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Tin hoc\Project\DCF\"/>
    </mc:Choice>
  </mc:AlternateContent>
  <xr:revisionPtr revIDLastSave="0" documentId="13_ncr:1_{6081F2AC-AA48-4651-9460-1657F3676095}" xr6:coauthVersionLast="47" xr6:coauthVersionMax="47" xr10:uidLastSave="{00000000-0000-0000-0000-000000000000}"/>
  <bookViews>
    <workbookView xWindow="-108" yWindow="-108" windowWidth="23256" windowHeight="12456" firstSheet="2" activeTab="4" xr2:uid="{00000000-000D-0000-FFFF-FFFF00000000}"/>
  </bookViews>
  <sheets>
    <sheet name="IS Raw" sheetId="2" r:id="rId1"/>
    <sheet name="BS Raw" sheetId="1" r:id="rId2"/>
    <sheet name="CF Raw" sheetId="3" r:id="rId3"/>
    <sheet name="Notes" sheetId="4" r:id="rId4"/>
    <sheet name="Doanh thu DCM" sheetId="22" r:id="rId5"/>
    <sheet name="Doanh thu KVF" sheetId="10" r:id="rId6"/>
    <sheet name="Welfare &amp; Dividends" sheetId="5" r:id="rId7"/>
    <sheet name="Consol. Rev." sheetId="11" r:id="rId8"/>
    <sheet name="Debt" sheetId="13" r:id="rId9"/>
    <sheet name="LT. Asset" sheetId="12" r:id="rId10"/>
    <sheet name="Input" sheetId="6" r:id="rId11"/>
    <sheet name="Output-FR (show)" sheetId="8" r:id="rId12"/>
    <sheet name="Output-FR (check)" sheetId="19" r:id="rId13"/>
    <sheet name="ERP-Beta" sheetId="14" r:id="rId14"/>
    <sheet name="Assumption &amp; Result" sheetId="17" r:id="rId15"/>
    <sheet name="DCF" sheetId="15" r:id="rId16"/>
    <sheet name="Ratio" sheetId="18" r:id="rId17"/>
    <sheet name="ComSize" sheetId="20" r:id="rId18"/>
    <sheet name="RV" sheetId="21" r:id="rId19"/>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73" i="20" l="1"/>
  <c r="M73" i="20"/>
  <c r="N73" i="20"/>
  <c r="O73" i="20"/>
  <c r="P73" i="20"/>
  <c r="L74" i="20"/>
  <c r="M74" i="20"/>
  <c r="N74" i="20"/>
  <c r="O74" i="20"/>
  <c r="P74" i="20"/>
  <c r="L75" i="20"/>
  <c r="L77" i="20" s="1"/>
  <c r="L78" i="20" s="1"/>
  <c r="M75" i="20"/>
  <c r="N75" i="20"/>
  <c r="O75" i="20"/>
  <c r="O77" i="20" s="1"/>
  <c r="O78" i="20" s="1"/>
  <c r="P75" i="20"/>
  <c r="L76" i="20"/>
  <c r="M76" i="20"/>
  <c r="M77" i="20" s="1"/>
  <c r="M78" i="20" s="1"/>
  <c r="N76" i="20"/>
  <c r="O76" i="20"/>
  <c r="P76" i="20"/>
  <c r="N77" i="20"/>
  <c r="N78" i="20" s="1"/>
  <c r="P77" i="20"/>
  <c r="P78" i="20"/>
  <c r="K78" i="20"/>
  <c r="K77" i="20"/>
  <c r="K76" i="20"/>
  <c r="K75" i="20"/>
  <c r="K74" i="20"/>
  <c r="K73" i="20"/>
  <c r="L70" i="20"/>
  <c r="M70" i="20"/>
  <c r="N70" i="20"/>
  <c r="O70" i="20"/>
  <c r="P70" i="20"/>
  <c r="K70" i="20"/>
  <c r="L61" i="20"/>
  <c r="M61" i="20"/>
  <c r="N61" i="20"/>
  <c r="O61" i="20"/>
  <c r="P61" i="20"/>
  <c r="L62" i="20"/>
  <c r="M62" i="20"/>
  <c r="N62" i="20"/>
  <c r="O62" i="20"/>
  <c r="P62" i="20"/>
  <c r="L63" i="20"/>
  <c r="M63" i="20"/>
  <c r="N63" i="20"/>
  <c r="O63" i="20"/>
  <c r="P63" i="20"/>
  <c r="L64" i="20"/>
  <c r="M64" i="20"/>
  <c r="N64" i="20"/>
  <c r="O64" i="20"/>
  <c r="P64" i="20"/>
  <c r="L65" i="20"/>
  <c r="M65" i="20"/>
  <c r="N65" i="20"/>
  <c r="O65" i="20"/>
  <c r="P65" i="20"/>
  <c r="L66" i="20"/>
  <c r="L67" i="20" s="1"/>
  <c r="M66" i="20"/>
  <c r="N66" i="20"/>
  <c r="O66" i="20"/>
  <c r="P66" i="20"/>
  <c r="P67" i="20" s="1"/>
  <c r="M67" i="20"/>
  <c r="N67" i="20"/>
  <c r="O67" i="20"/>
  <c r="K67" i="20"/>
  <c r="K66" i="20"/>
  <c r="K65" i="20"/>
  <c r="K64" i="20"/>
  <c r="K63" i="20"/>
  <c r="K62" i="20"/>
  <c r="K61" i="20"/>
  <c r="L55" i="20"/>
  <c r="M55" i="20"/>
  <c r="N55" i="20"/>
  <c r="O55" i="20"/>
  <c r="P55" i="20"/>
  <c r="L56" i="20"/>
  <c r="M56" i="20"/>
  <c r="N56" i="20"/>
  <c r="O56" i="20"/>
  <c r="P56" i="20"/>
  <c r="L57" i="20"/>
  <c r="L59" i="20" s="1"/>
  <c r="M57" i="20"/>
  <c r="N57" i="20"/>
  <c r="O57" i="20"/>
  <c r="P57" i="20"/>
  <c r="L58" i="20"/>
  <c r="M58" i="20"/>
  <c r="M59" i="20" s="1"/>
  <c r="N58" i="20"/>
  <c r="O58" i="20"/>
  <c r="P58" i="20"/>
  <c r="N59" i="20"/>
  <c r="O59" i="20"/>
  <c r="P59" i="20"/>
  <c r="K59" i="20"/>
  <c r="K58" i="20"/>
  <c r="K57" i="20"/>
  <c r="K56" i="20"/>
  <c r="K55" i="20"/>
  <c r="L48" i="20"/>
  <c r="M48" i="20"/>
  <c r="N48" i="20"/>
  <c r="O48" i="20"/>
  <c r="P48" i="20"/>
  <c r="L49" i="20"/>
  <c r="M49" i="20"/>
  <c r="N49" i="20"/>
  <c r="O49" i="20"/>
  <c r="P49" i="20"/>
  <c r="L50" i="20"/>
  <c r="L52" i="20" s="1"/>
  <c r="M50" i="20"/>
  <c r="N50" i="20"/>
  <c r="O50" i="20"/>
  <c r="P50" i="20"/>
  <c r="L51" i="20"/>
  <c r="M51" i="20"/>
  <c r="M52" i="20" s="1"/>
  <c r="N51" i="20"/>
  <c r="O51" i="20"/>
  <c r="P51" i="20"/>
  <c r="N52" i="20"/>
  <c r="O52" i="20"/>
  <c r="P52" i="20"/>
  <c r="K52" i="20"/>
  <c r="K51" i="20"/>
  <c r="K50" i="20"/>
  <c r="K49" i="20"/>
  <c r="K48" i="20"/>
  <c r="L40" i="20"/>
  <c r="M40" i="20"/>
  <c r="N40" i="20"/>
  <c r="O40" i="20"/>
  <c r="P40" i="20"/>
  <c r="L41" i="20"/>
  <c r="M41" i="20"/>
  <c r="N41" i="20"/>
  <c r="O41" i="20"/>
  <c r="O46" i="20" s="1"/>
  <c r="P41" i="20"/>
  <c r="L42" i="20"/>
  <c r="L46" i="20" s="1"/>
  <c r="M42" i="20"/>
  <c r="N42" i="20"/>
  <c r="N46" i="20" s="1"/>
  <c r="O42" i="20"/>
  <c r="P42" i="20"/>
  <c r="L43" i="20"/>
  <c r="M43" i="20"/>
  <c r="M46" i="20" s="1"/>
  <c r="N43" i="20"/>
  <c r="O43" i="20"/>
  <c r="P43" i="20"/>
  <c r="L44" i="20"/>
  <c r="M44" i="20"/>
  <c r="N44" i="20"/>
  <c r="O44" i="20"/>
  <c r="P44" i="20"/>
  <c r="L45" i="20"/>
  <c r="M45" i="20"/>
  <c r="N45" i="20"/>
  <c r="O45" i="20"/>
  <c r="P45" i="20"/>
  <c r="P46" i="20"/>
  <c r="K46" i="20"/>
  <c r="K45" i="20"/>
  <c r="K44" i="20"/>
  <c r="K43" i="20"/>
  <c r="K42" i="20"/>
  <c r="K41" i="20"/>
  <c r="K40" i="20"/>
  <c r="L57" i="18"/>
  <c r="M57" i="18"/>
  <c r="N57" i="18"/>
  <c r="O57" i="18"/>
  <c r="P57" i="18"/>
  <c r="L58" i="18"/>
  <c r="M58" i="18"/>
  <c r="N58" i="18"/>
  <c r="O58" i="18"/>
  <c r="P58" i="18"/>
  <c r="L59" i="18"/>
  <c r="M59" i="18"/>
  <c r="N59" i="18"/>
  <c r="O59" i="18"/>
  <c r="P59" i="18"/>
  <c r="L60" i="18"/>
  <c r="M60" i="18"/>
  <c r="N60" i="18"/>
  <c r="O60" i="18"/>
  <c r="P60" i="18"/>
  <c r="L61" i="18"/>
  <c r="M61" i="18"/>
  <c r="N61" i="18"/>
  <c r="O61" i="18"/>
  <c r="P61" i="18"/>
  <c r="L62" i="18"/>
  <c r="M62" i="18"/>
  <c r="N62" i="18"/>
  <c r="O62" i="18"/>
  <c r="P62" i="18"/>
  <c r="K62" i="18"/>
  <c r="K61" i="18"/>
  <c r="K60" i="18"/>
  <c r="K59" i="18"/>
  <c r="K58" i="18"/>
  <c r="K57" i="18"/>
  <c r="L49" i="18"/>
  <c r="L50" i="18" s="1"/>
  <c r="M49" i="18"/>
  <c r="M50" i="18" s="1"/>
  <c r="N49" i="18"/>
  <c r="N50" i="18" s="1"/>
  <c r="O49" i="18"/>
  <c r="O50" i="18" s="1"/>
  <c r="P49" i="18"/>
  <c r="P50" i="18"/>
  <c r="L51" i="18"/>
  <c r="M51" i="18"/>
  <c r="N51" i="18"/>
  <c r="O51" i="18"/>
  <c r="P51" i="18"/>
  <c r="L52" i="18"/>
  <c r="M52" i="18"/>
  <c r="N52" i="18"/>
  <c r="O52" i="18"/>
  <c r="P52" i="18"/>
  <c r="L53" i="18"/>
  <c r="M53" i="18"/>
  <c r="N53" i="18"/>
  <c r="O53" i="18"/>
  <c r="P53" i="18"/>
  <c r="L54" i="18"/>
  <c r="M54" i="18"/>
  <c r="N54" i="18"/>
  <c r="O54" i="18"/>
  <c r="P54" i="18"/>
  <c r="K54" i="18"/>
  <c r="K53" i="18"/>
  <c r="K52" i="18"/>
  <c r="K51" i="18"/>
  <c r="K50" i="18"/>
  <c r="K49" i="18"/>
  <c r="L34" i="18"/>
  <c r="M34" i="18"/>
  <c r="N34" i="18"/>
  <c r="O34" i="18"/>
  <c r="P34" i="18"/>
  <c r="L35" i="18"/>
  <c r="M35" i="18"/>
  <c r="N35" i="18"/>
  <c r="O35" i="18"/>
  <c r="P35" i="18"/>
  <c r="L36" i="18"/>
  <c r="M36" i="18"/>
  <c r="N36" i="18"/>
  <c r="O36" i="18"/>
  <c r="P36" i="18"/>
  <c r="K36" i="18"/>
  <c r="K35" i="18"/>
  <c r="J111" i="8"/>
  <c r="K34" i="18" s="1"/>
  <c r="L6" i="18"/>
  <c r="M6" i="18"/>
  <c r="N6" i="18"/>
  <c r="O6" i="18"/>
  <c r="P6" i="18"/>
  <c r="Q6" i="18"/>
  <c r="R6" i="18"/>
  <c r="S6" i="18"/>
  <c r="T6" i="18"/>
  <c r="U6" i="18"/>
  <c r="V6" i="18"/>
  <c r="W6" i="18"/>
  <c r="X6" i="18"/>
  <c r="Y6" i="18"/>
  <c r="Z6" i="18"/>
  <c r="L7" i="18"/>
  <c r="M7" i="18"/>
  <c r="N7" i="18"/>
  <c r="O7" i="18"/>
  <c r="P7" i="18"/>
  <c r="L8" i="18"/>
  <c r="M8" i="18"/>
  <c r="N8" i="18"/>
  <c r="O8" i="18"/>
  <c r="P8" i="18"/>
  <c r="L14" i="18"/>
  <c r="M14" i="18"/>
  <c r="N14" i="18"/>
  <c r="O14" i="18"/>
  <c r="P14" i="18"/>
  <c r="L15" i="18"/>
  <c r="M15" i="18"/>
  <c r="N15" i="18"/>
  <c r="O15" i="18"/>
  <c r="P15" i="18"/>
  <c r="L16" i="18"/>
  <c r="M16" i="18"/>
  <c r="N16" i="18"/>
  <c r="O16" i="18"/>
  <c r="P16" i="18"/>
  <c r="L17" i="18"/>
  <c r="M17" i="18"/>
  <c r="N17" i="18"/>
  <c r="O17" i="18"/>
  <c r="P17" i="18"/>
  <c r="L19" i="18"/>
  <c r="M19" i="18"/>
  <c r="N19" i="18"/>
  <c r="O19" i="18"/>
  <c r="P19" i="18"/>
  <c r="P21" i="18" s="1"/>
  <c r="L21" i="18"/>
  <c r="M21" i="18"/>
  <c r="N21" i="18"/>
  <c r="O21" i="18"/>
  <c r="L22" i="18"/>
  <c r="M22" i="18"/>
  <c r="N22" i="18"/>
  <c r="O22" i="18"/>
  <c r="P22" i="18"/>
  <c r="L23" i="18"/>
  <c r="M23" i="18"/>
  <c r="N23" i="18"/>
  <c r="O23" i="18"/>
  <c r="P23" i="18"/>
  <c r="K23" i="18"/>
  <c r="K22" i="18"/>
  <c r="K21" i="18"/>
  <c r="K19" i="18"/>
  <c r="K17" i="18"/>
  <c r="K16" i="18"/>
  <c r="K15" i="18"/>
  <c r="K14" i="18"/>
  <c r="K8" i="18"/>
  <c r="K7" i="18"/>
  <c r="K6" i="18"/>
  <c r="Z173" i="6" l="1"/>
  <c r="J125" i="22"/>
  <c r="K125" i="22" s="1"/>
  <c r="L125" i="22" s="1"/>
  <c r="M125" i="22" s="1"/>
  <c r="N125" i="22"/>
  <c r="O125" i="22" s="1"/>
  <c r="P125" i="22" s="1"/>
  <c r="Q125" i="22" s="1"/>
  <c r="R125" i="22" s="1"/>
  <c r="S125" i="22" s="1"/>
  <c r="Y173" i="6"/>
  <c r="X173" i="6"/>
  <c r="W173" i="6"/>
  <c r="V173" i="6"/>
  <c r="U173" i="6"/>
  <c r="T173" i="6"/>
  <c r="M107" i="22"/>
  <c r="S278" i="6"/>
  <c r="S173" i="6"/>
  <c r="R173" i="6"/>
  <c r="R252" i="22"/>
  <c r="S252" i="22" s="1"/>
  <c r="P252" i="22"/>
  <c r="Q252" i="22" s="1"/>
  <c r="K252" i="22"/>
  <c r="L252" i="22" s="1"/>
  <c r="M252" i="22" s="1"/>
  <c r="N252" i="22" s="1"/>
  <c r="O252" i="22" s="1"/>
  <c r="S107" i="22"/>
  <c r="R107" i="22"/>
  <c r="Q107" i="22"/>
  <c r="P107" i="22"/>
  <c r="O107" i="22"/>
  <c r="N107" i="22"/>
  <c r="L107" i="22"/>
  <c r="K107" i="22"/>
  <c r="Q173" i="6"/>
  <c r="R278" i="6"/>
  <c r="Q278" i="6"/>
  <c r="D79" i="15"/>
  <c r="I57" i="15"/>
  <c r="J57" i="15"/>
  <c r="K57" i="15"/>
  <c r="L57" i="15"/>
  <c r="M57" i="15"/>
  <c r="I58" i="15"/>
  <c r="J58" i="15"/>
  <c r="K58" i="15"/>
  <c r="L58" i="15"/>
  <c r="M58" i="15"/>
  <c r="I59" i="15"/>
  <c r="J59" i="15"/>
  <c r="K59" i="15"/>
  <c r="L59" i="15"/>
  <c r="M59" i="15"/>
  <c r="N59" i="15"/>
  <c r="O59" i="15"/>
  <c r="P59" i="15"/>
  <c r="Q59" i="15"/>
  <c r="R59" i="15"/>
  <c r="S59" i="15"/>
  <c r="T59" i="15"/>
  <c r="U59" i="15"/>
  <c r="V59" i="15"/>
  <c r="W59" i="15"/>
  <c r="I60" i="15"/>
  <c r="J60" i="15"/>
  <c r="K60" i="15"/>
  <c r="L60" i="15"/>
  <c r="M60" i="15"/>
  <c r="I61" i="15"/>
  <c r="J61" i="15"/>
  <c r="K61" i="15"/>
  <c r="L61" i="15"/>
  <c r="M61" i="15"/>
  <c r="N61" i="15"/>
  <c r="O61" i="15"/>
  <c r="P61" i="15"/>
  <c r="Q61" i="15"/>
  <c r="R61" i="15"/>
  <c r="S61" i="15"/>
  <c r="T61" i="15"/>
  <c r="U61" i="15"/>
  <c r="V61" i="15"/>
  <c r="W61" i="15"/>
  <c r="I62" i="15"/>
  <c r="J62" i="15"/>
  <c r="K62" i="15"/>
  <c r="L62" i="15"/>
  <c r="M62" i="15"/>
  <c r="I63" i="15"/>
  <c r="J63" i="15"/>
  <c r="K63" i="15"/>
  <c r="L63" i="15"/>
  <c r="M63" i="15"/>
  <c r="H63" i="15"/>
  <c r="H62" i="15"/>
  <c r="H61" i="15"/>
  <c r="H60" i="15"/>
  <c r="H59" i="15"/>
  <c r="H58" i="15"/>
  <c r="H57" i="15"/>
  <c r="D13" i="17"/>
  <c r="D9" i="17"/>
  <c r="T278" i="6" l="1"/>
  <c r="D28" i="17"/>
  <c r="I10" i="15"/>
  <c r="J10" i="15"/>
  <c r="K10" i="15"/>
  <c r="L10" i="15"/>
  <c r="M10" i="15"/>
  <c r="I11" i="15"/>
  <c r="J11" i="15"/>
  <c r="K11" i="15"/>
  <c r="L11" i="15"/>
  <c r="M11" i="15"/>
  <c r="I12" i="15"/>
  <c r="I18" i="15" s="1"/>
  <c r="I19" i="15" s="1"/>
  <c r="J12" i="15"/>
  <c r="K12" i="15"/>
  <c r="L12" i="15"/>
  <c r="L18" i="15" s="1"/>
  <c r="L19" i="15" s="1"/>
  <c r="M12" i="15"/>
  <c r="N12" i="15"/>
  <c r="O12" i="15"/>
  <c r="P12" i="15"/>
  <c r="Q12" i="15"/>
  <c r="R12" i="15"/>
  <c r="S12" i="15"/>
  <c r="T12" i="15"/>
  <c r="U12" i="15"/>
  <c r="V12" i="15"/>
  <c r="W12" i="15"/>
  <c r="I13" i="15"/>
  <c r="J13" i="15"/>
  <c r="J18" i="15" s="1"/>
  <c r="J19" i="15" s="1"/>
  <c r="K13" i="15"/>
  <c r="L13" i="15"/>
  <c r="M13" i="15"/>
  <c r="I15" i="15"/>
  <c r="J15" i="15"/>
  <c r="K15" i="15"/>
  <c r="K18" i="15" s="1"/>
  <c r="K19" i="15" s="1"/>
  <c r="L15" i="15"/>
  <c r="M15" i="15"/>
  <c r="I16" i="15"/>
  <c r="J16" i="15"/>
  <c r="K16" i="15"/>
  <c r="L16" i="15"/>
  <c r="M16" i="15"/>
  <c r="I17" i="15"/>
  <c r="J17" i="15"/>
  <c r="K17" i="15"/>
  <c r="L17" i="15"/>
  <c r="M17" i="15"/>
  <c r="M18" i="15" s="1"/>
  <c r="M19" i="15" s="1"/>
  <c r="H19" i="15"/>
  <c r="H18" i="15"/>
  <c r="H17" i="15"/>
  <c r="H16" i="15"/>
  <c r="H15" i="15"/>
  <c r="H13" i="15"/>
  <c r="H12" i="15"/>
  <c r="H11" i="15"/>
  <c r="H10" i="15"/>
  <c r="M45" i="15"/>
  <c r="Z106" i="19"/>
  <c r="Z176" i="19" s="1"/>
  <c r="Z175" i="19" s="1"/>
  <c r="Z107" i="19"/>
  <c r="Z177" i="19" s="1"/>
  <c r="Z108" i="19"/>
  <c r="Z110" i="19"/>
  <c r="Z96" i="19"/>
  <c r="Z75" i="19"/>
  <c r="Z161" i="19" s="1"/>
  <c r="Z132" i="19"/>
  <c r="Z133" i="19"/>
  <c r="Z139" i="19"/>
  <c r="Z145" i="19"/>
  <c r="Z148" i="19"/>
  <c r="Z149" i="19"/>
  <c r="Z150" i="19"/>
  <c r="Z155" i="19"/>
  <c r="Z163" i="19"/>
  <c r="Z171" i="19"/>
  <c r="Z173" i="19"/>
  <c r="Z172" i="19" s="1"/>
  <c r="Z174" i="19"/>
  <c r="Z178" i="19"/>
  <c r="Z179" i="19"/>
  <c r="Z181" i="19"/>
  <c r="R171" i="19"/>
  <c r="S171" i="19"/>
  <c r="T171" i="19"/>
  <c r="U171" i="19"/>
  <c r="V171" i="19"/>
  <c r="W171" i="19"/>
  <c r="X171" i="19"/>
  <c r="Y171" i="19"/>
  <c r="R173" i="19"/>
  <c r="R172" i="19" s="1"/>
  <c r="S173" i="19"/>
  <c r="S172" i="19" s="1"/>
  <c r="T173" i="19"/>
  <c r="T172" i="19" s="1"/>
  <c r="U173" i="19"/>
  <c r="U172" i="19" s="1"/>
  <c r="V173" i="19"/>
  <c r="V172" i="19" s="1"/>
  <c r="W173" i="19"/>
  <c r="W172" i="19" s="1"/>
  <c r="X173" i="19"/>
  <c r="X172" i="19" s="1"/>
  <c r="Y173" i="19"/>
  <c r="Y172" i="19" s="1"/>
  <c r="R174" i="19"/>
  <c r="S174" i="19"/>
  <c r="T174" i="19"/>
  <c r="U174" i="19"/>
  <c r="V174" i="19"/>
  <c r="W174" i="19"/>
  <c r="X174" i="19"/>
  <c r="Y174" i="19"/>
  <c r="R176" i="19"/>
  <c r="R175" i="19" s="1"/>
  <c r="S176" i="19"/>
  <c r="S175" i="19" s="1"/>
  <c r="T176" i="19"/>
  <c r="T175" i="19" s="1"/>
  <c r="U176" i="19"/>
  <c r="U175" i="19" s="1"/>
  <c r="V176" i="19"/>
  <c r="V175" i="19" s="1"/>
  <c r="W176" i="19"/>
  <c r="W175" i="19" s="1"/>
  <c r="X176" i="19"/>
  <c r="X175" i="19" s="1"/>
  <c r="Y176" i="19"/>
  <c r="Y175" i="19" s="1"/>
  <c r="R177" i="19"/>
  <c r="S177" i="19"/>
  <c r="T177" i="19"/>
  <c r="U177" i="19"/>
  <c r="V177" i="19"/>
  <c r="W177" i="19"/>
  <c r="X177" i="19"/>
  <c r="Y177" i="19"/>
  <c r="R178" i="19"/>
  <c r="S178" i="19"/>
  <c r="T178" i="19"/>
  <c r="U178" i="19"/>
  <c r="V178" i="19"/>
  <c r="W178" i="19"/>
  <c r="X178" i="19"/>
  <c r="Y178" i="19"/>
  <c r="R179" i="19"/>
  <c r="S179" i="19"/>
  <c r="T179" i="19"/>
  <c r="U179" i="19"/>
  <c r="V179" i="19"/>
  <c r="W179" i="19"/>
  <c r="X179" i="19"/>
  <c r="Y179" i="19"/>
  <c r="R181" i="19"/>
  <c r="S181" i="19"/>
  <c r="T181" i="19"/>
  <c r="U181" i="19"/>
  <c r="V181" i="19"/>
  <c r="W181" i="19"/>
  <c r="X181" i="19"/>
  <c r="Y181" i="19"/>
  <c r="R161" i="19"/>
  <c r="S161" i="19"/>
  <c r="T161" i="19"/>
  <c r="U161" i="19"/>
  <c r="V161" i="19"/>
  <c r="W161" i="19"/>
  <c r="X161" i="19"/>
  <c r="Y161" i="19"/>
  <c r="R163" i="19"/>
  <c r="S163" i="19"/>
  <c r="T163" i="19"/>
  <c r="U163" i="19"/>
  <c r="V163" i="19"/>
  <c r="W163" i="19"/>
  <c r="X163" i="19"/>
  <c r="Y163" i="19"/>
  <c r="R145" i="19"/>
  <c r="S145" i="19"/>
  <c r="T145" i="19"/>
  <c r="U145" i="19"/>
  <c r="V145" i="19"/>
  <c r="W145" i="19"/>
  <c r="X145" i="19"/>
  <c r="Y145" i="19"/>
  <c r="R148" i="19"/>
  <c r="S148" i="19"/>
  <c r="T148" i="19"/>
  <c r="U148" i="19"/>
  <c r="V148" i="19"/>
  <c r="W148" i="19"/>
  <c r="X148" i="19"/>
  <c r="Y148" i="19"/>
  <c r="R149" i="19"/>
  <c r="S149" i="19"/>
  <c r="T149" i="19"/>
  <c r="U149" i="19"/>
  <c r="V149" i="19"/>
  <c r="W149" i="19"/>
  <c r="X149" i="19"/>
  <c r="Y149" i="19"/>
  <c r="R150" i="19"/>
  <c r="S150" i="19"/>
  <c r="T150" i="19"/>
  <c r="U150" i="19"/>
  <c r="V150" i="19"/>
  <c r="W150" i="19"/>
  <c r="X150" i="19"/>
  <c r="Y150" i="19"/>
  <c r="R155" i="19"/>
  <c r="S155" i="19"/>
  <c r="T155" i="19"/>
  <c r="U155" i="19"/>
  <c r="V155" i="19"/>
  <c r="W155" i="19"/>
  <c r="X155" i="19"/>
  <c r="Y155" i="19"/>
  <c r="R132" i="19"/>
  <c r="S132" i="19"/>
  <c r="T132" i="19"/>
  <c r="U132" i="19"/>
  <c r="V132" i="19"/>
  <c r="W132" i="19"/>
  <c r="X132" i="19"/>
  <c r="Y132" i="19"/>
  <c r="R133" i="19"/>
  <c r="S133" i="19"/>
  <c r="T133" i="19"/>
  <c r="U133" i="19"/>
  <c r="V133" i="19"/>
  <c r="W133" i="19"/>
  <c r="X133" i="19"/>
  <c r="Y133" i="19"/>
  <c r="R139" i="19"/>
  <c r="S139" i="19"/>
  <c r="T139" i="19"/>
  <c r="U139" i="19"/>
  <c r="V139" i="19"/>
  <c r="W139" i="19"/>
  <c r="X139" i="19"/>
  <c r="Y139" i="19"/>
  <c r="R106" i="19"/>
  <c r="S106" i="19"/>
  <c r="T106" i="19"/>
  <c r="U106" i="19"/>
  <c r="V106" i="19"/>
  <c r="W106" i="19"/>
  <c r="X106" i="19"/>
  <c r="Y106" i="19"/>
  <c r="R107" i="19"/>
  <c r="S107" i="19"/>
  <c r="T107" i="19"/>
  <c r="U107" i="19"/>
  <c r="V107" i="19"/>
  <c r="W107" i="19"/>
  <c r="X107" i="19"/>
  <c r="Y107" i="19"/>
  <c r="R108" i="19"/>
  <c r="S108" i="19"/>
  <c r="T108" i="19"/>
  <c r="U108" i="19"/>
  <c r="V108" i="19"/>
  <c r="W108" i="19"/>
  <c r="X108" i="19"/>
  <c r="Y108" i="19"/>
  <c r="R110" i="19"/>
  <c r="S110" i="19"/>
  <c r="T110" i="19"/>
  <c r="U110" i="19"/>
  <c r="V110" i="19"/>
  <c r="W110" i="19"/>
  <c r="X110" i="19"/>
  <c r="Y110" i="19"/>
  <c r="R96" i="19"/>
  <c r="S96" i="19"/>
  <c r="T96" i="19"/>
  <c r="U96" i="19"/>
  <c r="V96" i="19"/>
  <c r="W96" i="19"/>
  <c r="X96" i="19"/>
  <c r="Y96" i="19"/>
  <c r="R75" i="19"/>
  <c r="S75" i="19"/>
  <c r="T75" i="19"/>
  <c r="U75" i="19"/>
  <c r="V75" i="19"/>
  <c r="W75" i="19"/>
  <c r="X75" i="19"/>
  <c r="Y75" i="19"/>
  <c r="R38" i="19"/>
  <c r="S38" i="19"/>
  <c r="T38" i="19"/>
  <c r="U38" i="19"/>
  <c r="V38" i="19"/>
  <c r="W38" i="19"/>
  <c r="X38" i="19"/>
  <c r="Y38" i="19"/>
  <c r="Z38" i="19"/>
  <c r="R39" i="19"/>
  <c r="S39" i="19"/>
  <c r="T39" i="19"/>
  <c r="U39" i="19"/>
  <c r="V39" i="19"/>
  <c r="W39" i="19"/>
  <c r="X39" i="19"/>
  <c r="Y39" i="19"/>
  <c r="Z39" i="19"/>
  <c r="R42" i="19"/>
  <c r="S42" i="19"/>
  <c r="T42" i="19"/>
  <c r="U42" i="19"/>
  <c r="V42" i="19"/>
  <c r="W42" i="19"/>
  <c r="X42" i="19"/>
  <c r="Y42" i="19"/>
  <c r="Z42" i="19"/>
  <c r="R24" i="19"/>
  <c r="S24" i="19"/>
  <c r="T24" i="19"/>
  <c r="U24" i="19"/>
  <c r="V24" i="19"/>
  <c r="W24" i="19"/>
  <c r="X24" i="19"/>
  <c r="Y24" i="19"/>
  <c r="Z24" i="19"/>
  <c r="R26" i="19"/>
  <c r="S26" i="19"/>
  <c r="T26" i="19"/>
  <c r="U26" i="19"/>
  <c r="V26" i="19"/>
  <c r="W26" i="19"/>
  <c r="X26" i="19"/>
  <c r="Y26" i="19"/>
  <c r="Z26" i="19"/>
  <c r="Q75" i="6"/>
  <c r="S75" i="6" s="1"/>
  <c r="R75" i="6"/>
  <c r="Q134" i="8"/>
  <c r="R134" i="8"/>
  <c r="S134" i="8"/>
  <c r="T134" i="8"/>
  <c r="U134" i="8"/>
  <c r="V134" i="8"/>
  <c r="W134" i="8"/>
  <c r="X134" i="8"/>
  <c r="Y134" i="8"/>
  <c r="Z134" i="8"/>
  <c r="Q184" i="8"/>
  <c r="Q178" i="8"/>
  <c r="Q177" i="8"/>
  <c r="Q176" i="8"/>
  <c r="Q173" i="8"/>
  <c r="Q171" i="8"/>
  <c r="Q162" i="8"/>
  <c r="L184" i="19"/>
  <c r="M184" i="19"/>
  <c r="N184" i="19"/>
  <c r="O184" i="19"/>
  <c r="P184" i="19"/>
  <c r="Q184" i="19"/>
  <c r="L185" i="19"/>
  <c r="M185" i="19"/>
  <c r="N185" i="19"/>
  <c r="O185" i="19"/>
  <c r="P185" i="19"/>
  <c r="K185" i="19"/>
  <c r="K184" i="19"/>
  <c r="L180" i="19"/>
  <c r="M180" i="19"/>
  <c r="M181" i="19" s="1"/>
  <c r="N180" i="19"/>
  <c r="N181" i="19" s="1"/>
  <c r="O180" i="19"/>
  <c r="O181" i="19" s="1"/>
  <c r="P180" i="19"/>
  <c r="L181" i="19"/>
  <c r="P181" i="19"/>
  <c r="Q181" i="19"/>
  <c r="K181" i="19"/>
  <c r="K180" i="19"/>
  <c r="L175" i="19"/>
  <c r="M175" i="19"/>
  <c r="N175" i="19"/>
  <c r="O175" i="19"/>
  <c r="P175" i="19"/>
  <c r="L176" i="19"/>
  <c r="M176" i="19"/>
  <c r="N176" i="19"/>
  <c r="O176" i="19"/>
  <c r="P176" i="19"/>
  <c r="Q176" i="19"/>
  <c r="Q175" i="19" s="1"/>
  <c r="L177" i="19"/>
  <c r="M177" i="19"/>
  <c r="N177" i="19"/>
  <c r="O177" i="19"/>
  <c r="P177" i="19"/>
  <c r="Q177" i="19"/>
  <c r="L178" i="19"/>
  <c r="M178" i="19"/>
  <c r="N178" i="19"/>
  <c r="O178" i="19"/>
  <c r="P178" i="19"/>
  <c r="Q178" i="19"/>
  <c r="L179" i="19"/>
  <c r="M179" i="19"/>
  <c r="N179" i="19"/>
  <c r="O179" i="19"/>
  <c r="P179" i="19"/>
  <c r="Q179" i="19"/>
  <c r="K179" i="19"/>
  <c r="K178" i="19"/>
  <c r="K177" i="19"/>
  <c r="K176" i="19"/>
  <c r="K175" i="19"/>
  <c r="L172" i="19"/>
  <c r="M172" i="19"/>
  <c r="N172" i="19"/>
  <c r="O172" i="19"/>
  <c r="P172" i="19"/>
  <c r="L173" i="19"/>
  <c r="M173" i="19"/>
  <c r="N173" i="19"/>
  <c r="O173" i="19"/>
  <c r="P173" i="19"/>
  <c r="Q173" i="19"/>
  <c r="Q172" i="19" s="1"/>
  <c r="L174" i="19"/>
  <c r="M174" i="19"/>
  <c r="N174" i="19"/>
  <c r="O174" i="19"/>
  <c r="P174" i="19"/>
  <c r="Q174" i="19"/>
  <c r="K174" i="19"/>
  <c r="K173" i="19"/>
  <c r="K172" i="19"/>
  <c r="L171" i="19"/>
  <c r="M171" i="19"/>
  <c r="N171" i="19"/>
  <c r="O171" i="19"/>
  <c r="P171" i="19"/>
  <c r="Q171" i="19"/>
  <c r="K171" i="19"/>
  <c r="L165" i="19"/>
  <c r="M165" i="19"/>
  <c r="N165" i="19"/>
  <c r="O165" i="19"/>
  <c r="P165" i="19"/>
  <c r="K165" i="19"/>
  <c r="L163" i="19"/>
  <c r="M163" i="19"/>
  <c r="N163" i="19"/>
  <c r="O163" i="19"/>
  <c r="P163" i="19"/>
  <c r="Q163" i="19"/>
  <c r="K163" i="19"/>
  <c r="L162" i="19"/>
  <c r="M162" i="19"/>
  <c r="N162" i="19"/>
  <c r="O162" i="19"/>
  <c r="P162" i="19"/>
  <c r="K162" i="19"/>
  <c r="L161" i="19"/>
  <c r="M161" i="19"/>
  <c r="N161" i="19"/>
  <c r="O161" i="19"/>
  <c r="P161" i="19"/>
  <c r="Q161" i="19"/>
  <c r="K161" i="19"/>
  <c r="L160" i="19"/>
  <c r="M160" i="19"/>
  <c r="N160" i="19"/>
  <c r="O160" i="19"/>
  <c r="P160" i="19"/>
  <c r="K160" i="19"/>
  <c r="L159" i="19"/>
  <c r="M159" i="19"/>
  <c r="N159" i="19"/>
  <c r="O159" i="19"/>
  <c r="P159" i="19"/>
  <c r="K159" i="19"/>
  <c r="L158" i="19"/>
  <c r="M158" i="19"/>
  <c r="N158" i="19"/>
  <c r="O158" i="19"/>
  <c r="P158" i="19"/>
  <c r="K158" i="19"/>
  <c r="L157" i="19"/>
  <c r="M157" i="19"/>
  <c r="N157" i="19"/>
  <c r="O157" i="19"/>
  <c r="P157" i="19"/>
  <c r="K157" i="19"/>
  <c r="Q155" i="19"/>
  <c r="L153" i="19"/>
  <c r="M153" i="19"/>
  <c r="N153" i="19"/>
  <c r="O153" i="19"/>
  <c r="P153" i="19"/>
  <c r="K153" i="19"/>
  <c r="L151" i="19"/>
  <c r="M151" i="19"/>
  <c r="N151" i="19"/>
  <c r="O151" i="19"/>
  <c r="P151" i="19"/>
  <c r="K151" i="19"/>
  <c r="L150" i="19"/>
  <c r="M150" i="19"/>
  <c r="N150" i="19"/>
  <c r="O150" i="19"/>
  <c r="P150" i="19"/>
  <c r="Q150" i="19"/>
  <c r="K150" i="19"/>
  <c r="L149" i="19"/>
  <c r="M149" i="19"/>
  <c r="N149" i="19"/>
  <c r="O149" i="19"/>
  <c r="P149" i="19"/>
  <c r="Q149" i="19"/>
  <c r="K149" i="19"/>
  <c r="L148" i="19"/>
  <c r="M148" i="19"/>
  <c r="N148" i="19"/>
  <c r="O148" i="19"/>
  <c r="P148" i="19"/>
  <c r="Q148" i="19"/>
  <c r="K148" i="19"/>
  <c r="L147" i="19"/>
  <c r="M147" i="19"/>
  <c r="N147" i="19"/>
  <c r="O147" i="19"/>
  <c r="P147" i="19"/>
  <c r="K147" i="19"/>
  <c r="L146" i="19"/>
  <c r="M146" i="19"/>
  <c r="N146" i="19"/>
  <c r="O146" i="19"/>
  <c r="P146" i="19"/>
  <c r="K146" i="19"/>
  <c r="L145" i="19"/>
  <c r="M145" i="19"/>
  <c r="N145" i="19"/>
  <c r="O145" i="19"/>
  <c r="P145" i="19"/>
  <c r="Q145" i="19"/>
  <c r="K145" i="19"/>
  <c r="L144" i="19"/>
  <c r="M144" i="19"/>
  <c r="N144" i="19"/>
  <c r="O144" i="19"/>
  <c r="P144" i="19"/>
  <c r="K144" i="19"/>
  <c r="L143" i="19"/>
  <c r="M143" i="19"/>
  <c r="N143" i="19"/>
  <c r="O143" i="19"/>
  <c r="P143" i="19"/>
  <c r="K143" i="19"/>
  <c r="L142" i="19"/>
  <c r="M142" i="19"/>
  <c r="N142" i="19"/>
  <c r="O142" i="19"/>
  <c r="P142" i="19"/>
  <c r="K142" i="19"/>
  <c r="L139" i="19"/>
  <c r="M139" i="19"/>
  <c r="N139" i="19"/>
  <c r="O139" i="19"/>
  <c r="P139" i="19"/>
  <c r="Q139" i="19"/>
  <c r="K139" i="19"/>
  <c r="L138" i="19"/>
  <c r="M138" i="19"/>
  <c r="N138" i="19"/>
  <c r="O138" i="19"/>
  <c r="P138" i="19"/>
  <c r="K138" i="19"/>
  <c r="L137" i="19"/>
  <c r="M137" i="19"/>
  <c r="N137" i="19"/>
  <c r="O137" i="19"/>
  <c r="P137" i="19"/>
  <c r="K137" i="19"/>
  <c r="L136" i="19"/>
  <c r="L134" i="19" s="1"/>
  <c r="M136" i="19"/>
  <c r="N136" i="19"/>
  <c r="N134" i="19" s="1"/>
  <c r="O136" i="19"/>
  <c r="P136" i="19"/>
  <c r="K136" i="19"/>
  <c r="L135" i="19"/>
  <c r="M135" i="19"/>
  <c r="N135" i="19"/>
  <c r="O135" i="19"/>
  <c r="P135" i="19"/>
  <c r="P134" i="19" s="1"/>
  <c r="K135" i="19"/>
  <c r="M134" i="19"/>
  <c r="O134" i="19"/>
  <c r="L133" i="19"/>
  <c r="M133" i="19"/>
  <c r="N133" i="19"/>
  <c r="O133" i="19"/>
  <c r="P133" i="19"/>
  <c r="Q133" i="19"/>
  <c r="K133" i="19"/>
  <c r="L132" i="19"/>
  <c r="M132" i="19"/>
  <c r="N132" i="19"/>
  <c r="O132" i="19"/>
  <c r="P132" i="19"/>
  <c r="Q132" i="19"/>
  <c r="K132" i="19"/>
  <c r="L131" i="19"/>
  <c r="M131" i="19"/>
  <c r="N131" i="19"/>
  <c r="O131" i="19"/>
  <c r="P131" i="19"/>
  <c r="K131" i="19"/>
  <c r="F126" i="19"/>
  <c r="G126" i="19"/>
  <c r="H126" i="19"/>
  <c r="I126" i="19"/>
  <c r="J126" i="19"/>
  <c r="K126" i="19"/>
  <c r="L126" i="19"/>
  <c r="M126" i="19"/>
  <c r="N126" i="19"/>
  <c r="O126" i="19"/>
  <c r="P126" i="19"/>
  <c r="Q126" i="19"/>
  <c r="R126" i="19"/>
  <c r="S126" i="19"/>
  <c r="T126" i="19"/>
  <c r="U126" i="19"/>
  <c r="V126" i="19"/>
  <c r="W126" i="19"/>
  <c r="X126" i="19"/>
  <c r="Y126" i="19"/>
  <c r="Z126" i="19"/>
  <c r="AA126" i="19"/>
  <c r="AB126" i="19"/>
  <c r="AC126" i="19"/>
  <c r="AD126" i="19"/>
  <c r="E126" i="19"/>
  <c r="D126" i="19"/>
  <c r="L103" i="19"/>
  <c r="M103" i="19"/>
  <c r="M112" i="19" s="1"/>
  <c r="M113" i="19" s="1"/>
  <c r="N103" i="19"/>
  <c r="N112" i="19" s="1"/>
  <c r="N113" i="19" s="1"/>
  <c r="O103" i="19"/>
  <c r="P103" i="19"/>
  <c r="L106" i="19"/>
  <c r="L111" i="19" s="1"/>
  <c r="L112" i="19" s="1"/>
  <c r="L113" i="19" s="1"/>
  <c r="M106" i="19"/>
  <c r="N106" i="19"/>
  <c r="O106" i="19"/>
  <c r="O111" i="19" s="1"/>
  <c r="O112" i="19" s="1"/>
  <c r="O113" i="19" s="1"/>
  <c r="P106" i="19"/>
  <c r="P111" i="19" s="1"/>
  <c r="P112" i="19" s="1"/>
  <c r="P113" i="19" s="1"/>
  <c r="Q106" i="19"/>
  <c r="L107" i="19"/>
  <c r="M107" i="19"/>
  <c r="N107" i="19"/>
  <c r="O107" i="19"/>
  <c r="P107" i="19"/>
  <c r="Q107" i="19"/>
  <c r="L108" i="19"/>
  <c r="M108" i="19"/>
  <c r="N108" i="19"/>
  <c r="O108" i="19"/>
  <c r="P108" i="19"/>
  <c r="Q108" i="19"/>
  <c r="L109" i="19"/>
  <c r="M109" i="19"/>
  <c r="N109" i="19"/>
  <c r="O109" i="19"/>
  <c r="P109" i="19"/>
  <c r="L110" i="19"/>
  <c r="M110" i="19"/>
  <c r="N110" i="19"/>
  <c r="O110" i="19"/>
  <c r="P110" i="19"/>
  <c r="Q110" i="19"/>
  <c r="M111" i="19"/>
  <c r="N111" i="19"/>
  <c r="K113" i="19"/>
  <c r="K112" i="19"/>
  <c r="K111" i="19"/>
  <c r="K110" i="19"/>
  <c r="K109" i="19"/>
  <c r="K108" i="19"/>
  <c r="K107" i="19"/>
  <c r="K106" i="19"/>
  <c r="K103" i="19"/>
  <c r="L91" i="19"/>
  <c r="L98" i="19" s="1"/>
  <c r="L99" i="19" s="1"/>
  <c r="L100" i="19" s="1"/>
  <c r="M91" i="19"/>
  <c r="M98" i="19" s="1"/>
  <c r="M99" i="19" s="1"/>
  <c r="M100" i="19" s="1"/>
  <c r="N91" i="19"/>
  <c r="O91" i="19"/>
  <c r="P91" i="19"/>
  <c r="L92" i="19"/>
  <c r="M92" i="19"/>
  <c r="N92" i="19"/>
  <c r="O92" i="19"/>
  <c r="P92" i="19"/>
  <c r="P98" i="19" s="1"/>
  <c r="P99" i="19" s="1"/>
  <c r="P100" i="19" s="1"/>
  <c r="L96" i="19"/>
  <c r="M96" i="19"/>
  <c r="N96" i="19"/>
  <c r="O96" i="19"/>
  <c r="P96" i="19"/>
  <c r="Q96" i="19"/>
  <c r="L97" i="19"/>
  <c r="M97" i="19"/>
  <c r="N97" i="19"/>
  <c r="O97" i="19"/>
  <c r="P97" i="19"/>
  <c r="N98" i="19"/>
  <c r="N99" i="19" s="1"/>
  <c r="N100" i="19" s="1"/>
  <c r="O98" i="19"/>
  <c r="O99" i="19" s="1"/>
  <c r="O100" i="19" s="1"/>
  <c r="K100" i="19"/>
  <c r="K99" i="19"/>
  <c r="K98" i="19"/>
  <c r="K97" i="19"/>
  <c r="K96" i="19"/>
  <c r="K92" i="19"/>
  <c r="K91" i="19"/>
  <c r="L83" i="19"/>
  <c r="L82" i="19" s="1"/>
  <c r="L88" i="19" s="1"/>
  <c r="L89" i="19" s="1"/>
  <c r="M83" i="19"/>
  <c r="M82" i="19" s="1"/>
  <c r="M88" i="19" s="1"/>
  <c r="M89" i="19" s="1"/>
  <c r="N83" i="19"/>
  <c r="N82" i="19" s="1"/>
  <c r="N88" i="19" s="1"/>
  <c r="N89" i="19" s="1"/>
  <c r="O83" i="19"/>
  <c r="O82" i="19" s="1"/>
  <c r="O88" i="19" s="1"/>
  <c r="O89" i="19" s="1"/>
  <c r="P83" i="19"/>
  <c r="P82" i="19" s="1"/>
  <c r="P88" i="19" s="1"/>
  <c r="P89" i="19" s="1"/>
  <c r="L84" i="19"/>
  <c r="M84" i="19"/>
  <c r="N84" i="19"/>
  <c r="O84" i="19"/>
  <c r="P84" i="19"/>
  <c r="L85" i="19"/>
  <c r="M85" i="19"/>
  <c r="N85" i="19"/>
  <c r="O85" i="19"/>
  <c r="P85" i="19"/>
  <c r="L86" i="19"/>
  <c r="M86" i="19"/>
  <c r="N86" i="19"/>
  <c r="O86" i="19"/>
  <c r="P86" i="19"/>
  <c r="L87" i="19"/>
  <c r="M87" i="19"/>
  <c r="N87" i="19"/>
  <c r="O87" i="19"/>
  <c r="P87" i="19"/>
  <c r="K89" i="19"/>
  <c r="U278" i="6" l="1"/>
  <c r="T75" i="6"/>
  <c r="U75" i="6"/>
  <c r="V75" i="6"/>
  <c r="K134" i="19"/>
  <c r="K88" i="19"/>
  <c r="K87" i="19"/>
  <c r="K86" i="19"/>
  <c r="K85" i="19"/>
  <c r="K84" i="19"/>
  <c r="K83" i="19"/>
  <c r="L69" i="19"/>
  <c r="M69" i="19"/>
  <c r="N69" i="19"/>
  <c r="O69" i="19"/>
  <c r="P69" i="19"/>
  <c r="L70" i="19"/>
  <c r="L77" i="19" s="1"/>
  <c r="L78" i="19" s="1"/>
  <c r="L79" i="19" s="1"/>
  <c r="M70" i="19"/>
  <c r="N70" i="19"/>
  <c r="O70" i="19"/>
  <c r="P70" i="19"/>
  <c r="L71" i="19"/>
  <c r="M71" i="19"/>
  <c r="N71" i="19"/>
  <c r="N77" i="19" s="1"/>
  <c r="N78" i="19" s="1"/>
  <c r="N79" i="19" s="1"/>
  <c r="O71" i="19"/>
  <c r="P71" i="19"/>
  <c r="L72" i="19"/>
  <c r="M72" i="19"/>
  <c r="M77" i="19" s="1"/>
  <c r="M78" i="19" s="1"/>
  <c r="M79" i="19" s="1"/>
  <c r="N72" i="19"/>
  <c r="O72" i="19"/>
  <c r="P72" i="19"/>
  <c r="P77" i="19" s="1"/>
  <c r="P78" i="19" s="1"/>
  <c r="P79" i="19" s="1"/>
  <c r="L73" i="19"/>
  <c r="M73" i="19"/>
  <c r="N73" i="19"/>
  <c r="O73" i="19"/>
  <c r="P73" i="19"/>
  <c r="L74" i="19"/>
  <c r="M74" i="19"/>
  <c r="N74" i="19"/>
  <c r="O74" i="19"/>
  <c r="P74" i="19"/>
  <c r="L75" i="19"/>
  <c r="M75" i="19"/>
  <c r="N75" i="19"/>
  <c r="O75" i="19"/>
  <c r="P75" i="19"/>
  <c r="Q75" i="19"/>
  <c r="L76" i="19"/>
  <c r="M76" i="19"/>
  <c r="N76" i="19"/>
  <c r="O76" i="19"/>
  <c r="P76" i="19"/>
  <c r="O77" i="19"/>
  <c r="O78" i="19" s="1"/>
  <c r="O79" i="19" s="1"/>
  <c r="K79" i="19"/>
  <c r="K78" i="19"/>
  <c r="K77" i="19"/>
  <c r="K76" i="19"/>
  <c r="K75" i="19"/>
  <c r="K74" i="19"/>
  <c r="K73" i="19"/>
  <c r="K72" i="19"/>
  <c r="K71" i="19"/>
  <c r="K70" i="19"/>
  <c r="K69" i="19"/>
  <c r="P59" i="19"/>
  <c r="P66" i="19" s="1"/>
  <c r="P67" i="19" s="1"/>
  <c r="L60" i="19"/>
  <c r="L59" i="19" s="1"/>
  <c r="L66" i="19" s="1"/>
  <c r="L67" i="19" s="1"/>
  <c r="M60" i="19"/>
  <c r="M59" i="19" s="1"/>
  <c r="M66" i="19" s="1"/>
  <c r="M67" i="19" s="1"/>
  <c r="N60" i="19"/>
  <c r="O60" i="19"/>
  <c r="O59" i="19" s="1"/>
  <c r="O66" i="19" s="1"/>
  <c r="O67" i="19" s="1"/>
  <c r="P60" i="19"/>
  <c r="L61" i="19"/>
  <c r="M61" i="19"/>
  <c r="N61" i="19"/>
  <c r="N59" i="19" s="1"/>
  <c r="N66" i="19" s="1"/>
  <c r="N67" i="19" s="1"/>
  <c r="O61" i="19"/>
  <c r="P61" i="19"/>
  <c r="L62" i="19"/>
  <c r="M62" i="19"/>
  <c r="N62" i="19"/>
  <c r="O62" i="19"/>
  <c r="P62" i="19"/>
  <c r="L63" i="19"/>
  <c r="M63" i="19"/>
  <c r="N63" i="19"/>
  <c r="O63" i="19"/>
  <c r="P63" i="19"/>
  <c r="L64" i="19"/>
  <c r="M64" i="19"/>
  <c r="N64" i="19"/>
  <c r="O64" i="19"/>
  <c r="P64" i="19"/>
  <c r="L65" i="19"/>
  <c r="M65" i="19"/>
  <c r="N65" i="19"/>
  <c r="O65" i="19"/>
  <c r="P65" i="19"/>
  <c r="K67" i="19"/>
  <c r="V278" i="6" l="1"/>
  <c r="W75" i="6"/>
  <c r="X75" i="6" s="1"/>
  <c r="K82" i="19"/>
  <c r="K66" i="19"/>
  <c r="K65" i="19"/>
  <c r="K64" i="19"/>
  <c r="K63" i="19"/>
  <c r="K62" i="19"/>
  <c r="K61" i="19"/>
  <c r="K60" i="19"/>
  <c r="E57" i="19"/>
  <c r="F57" i="19"/>
  <c r="G57" i="19"/>
  <c r="H57" i="19"/>
  <c r="I57" i="19"/>
  <c r="J57" i="19"/>
  <c r="K57" i="19"/>
  <c r="L57" i="19"/>
  <c r="M57" i="19"/>
  <c r="N57" i="19"/>
  <c r="O57" i="19"/>
  <c r="P57" i="19"/>
  <c r="Q57" i="19"/>
  <c r="R57" i="19"/>
  <c r="S57" i="19"/>
  <c r="T57" i="19"/>
  <c r="U57" i="19"/>
  <c r="V57" i="19"/>
  <c r="W57" i="19"/>
  <c r="X57" i="19"/>
  <c r="Y57" i="19"/>
  <c r="Z57" i="19"/>
  <c r="AA57" i="19"/>
  <c r="AB57" i="19"/>
  <c r="AC57" i="19"/>
  <c r="AD57" i="19"/>
  <c r="AE57" i="19"/>
  <c r="AF57" i="19"/>
  <c r="AG57" i="19"/>
  <c r="AH57" i="19"/>
  <c r="AI57" i="19"/>
  <c r="D57" i="19"/>
  <c r="L43" i="19"/>
  <c r="M43" i="19"/>
  <c r="N43" i="19"/>
  <c r="O43" i="19"/>
  <c r="P43" i="19"/>
  <c r="K43" i="19"/>
  <c r="L42" i="19"/>
  <c r="M42" i="19"/>
  <c r="N42" i="19"/>
  <c r="O42" i="19"/>
  <c r="P42" i="19"/>
  <c r="Q42" i="19"/>
  <c r="K42" i="19"/>
  <c r="L40" i="19"/>
  <c r="M40" i="19"/>
  <c r="N40" i="19"/>
  <c r="O40" i="19"/>
  <c r="P40" i="19"/>
  <c r="K40" i="19"/>
  <c r="L39" i="19"/>
  <c r="M39" i="19"/>
  <c r="N39" i="19"/>
  <c r="O39" i="19"/>
  <c r="P39" i="19"/>
  <c r="Q39" i="19"/>
  <c r="K39" i="19"/>
  <c r="L38" i="19"/>
  <c r="M38" i="19"/>
  <c r="N38" i="19"/>
  <c r="O38" i="19"/>
  <c r="P38" i="19"/>
  <c r="Q38" i="19"/>
  <c r="K38" i="19"/>
  <c r="L37" i="19"/>
  <c r="M37" i="19"/>
  <c r="N37" i="19"/>
  <c r="O37" i="19"/>
  <c r="P37" i="19"/>
  <c r="K37" i="19"/>
  <c r="L35" i="19"/>
  <c r="M35" i="19"/>
  <c r="N35" i="19"/>
  <c r="O35" i="19"/>
  <c r="P35" i="19"/>
  <c r="K35" i="19"/>
  <c r="L34" i="19"/>
  <c r="M34" i="19"/>
  <c r="N34" i="19"/>
  <c r="O34" i="19"/>
  <c r="P34" i="19"/>
  <c r="K34" i="19"/>
  <c r="L31" i="19"/>
  <c r="M31" i="19"/>
  <c r="N31" i="19"/>
  <c r="O31" i="19"/>
  <c r="P31" i="19"/>
  <c r="K31" i="19"/>
  <c r="L27" i="19"/>
  <c r="M27" i="19"/>
  <c r="N27" i="19"/>
  <c r="O27" i="19"/>
  <c r="P27" i="19"/>
  <c r="K27" i="19"/>
  <c r="L26" i="19"/>
  <c r="M26" i="19"/>
  <c r="N26" i="19"/>
  <c r="O26" i="19"/>
  <c r="P26" i="19"/>
  <c r="Q26" i="19"/>
  <c r="K26" i="19"/>
  <c r="L24" i="19"/>
  <c r="M24" i="19"/>
  <c r="N24" i="19"/>
  <c r="O24" i="19"/>
  <c r="P24" i="19"/>
  <c r="Q24" i="19"/>
  <c r="K24" i="19"/>
  <c r="L23" i="19"/>
  <c r="M23" i="19"/>
  <c r="N23" i="19"/>
  <c r="O23" i="19"/>
  <c r="P23" i="19"/>
  <c r="K23" i="19"/>
  <c r="L21" i="19"/>
  <c r="M21" i="19"/>
  <c r="N21" i="19"/>
  <c r="O21" i="19"/>
  <c r="P21" i="19"/>
  <c r="L22" i="19"/>
  <c r="M22" i="19"/>
  <c r="N22" i="19"/>
  <c r="O22" i="19"/>
  <c r="P22" i="19"/>
  <c r="K22" i="19"/>
  <c r="K21" i="19"/>
  <c r="L15" i="19"/>
  <c r="M15" i="19"/>
  <c r="N15" i="19"/>
  <c r="O15" i="19"/>
  <c r="P15" i="19"/>
  <c r="K15" i="19"/>
  <c r="L10" i="19"/>
  <c r="M10" i="19"/>
  <c r="N10" i="19"/>
  <c r="O10" i="19"/>
  <c r="P10" i="19"/>
  <c r="K10" i="19"/>
  <c r="L138" i="8"/>
  <c r="M138" i="8"/>
  <c r="N138" i="8"/>
  <c r="O138" i="8"/>
  <c r="P138" i="8"/>
  <c r="K138" i="8"/>
  <c r="L132" i="8"/>
  <c r="M132" i="8"/>
  <c r="N132" i="8"/>
  <c r="O132" i="8"/>
  <c r="P132" i="8"/>
  <c r="K132" i="8"/>
  <c r="L184" i="8"/>
  <c r="M184" i="8"/>
  <c r="N184" i="8"/>
  <c r="O184" i="8"/>
  <c r="P184" i="8"/>
  <c r="L185" i="8"/>
  <c r="M185" i="8"/>
  <c r="N185" i="8"/>
  <c r="O185" i="8"/>
  <c r="P185" i="8"/>
  <c r="K185" i="8"/>
  <c r="K184" i="8"/>
  <c r="L171" i="8"/>
  <c r="M171" i="8"/>
  <c r="M180" i="8" s="1"/>
  <c r="M181" i="8" s="1"/>
  <c r="N171" i="8"/>
  <c r="O171" i="8"/>
  <c r="P171" i="8"/>
  <c r="P180" i="8" s="1"/>
  <c r="P181" i="8" s="1"/>
  <c r="R171" i="8"/>
  <c r="S171" i="8"/>
  <c r="T171" i="8"/>
  <c r="U171" i="8"/>
  <c r="V171" i="8"/>
  <c r="W171" i="8"/>
  <c r="X171" i="8"/>
  <c r="Y171" i="8"/>
  <c r="Z171" i="8"/>
  <c r="L172" i="8"/>
  <c r="M172" i="8"/>
  <c r="N172" i="8"/>
  <c r="O172" i="8"/>
  <c r="P172" i="8"/>
  <c r="Q172" i="8"/>
  <c r="R172" i="8"/>
  <c r="S172" i="8"/>
  <c r="T172" i="8"/>
  <c r="Y172" i="8"/>
  <c r="Z172" i="8"/>
  <c r="L173" i="8"/>
  <c r="M173" i="8"/>
  <c r="N173" i="8"/>
  <c r="O173" i="8"/>
  <c r="P173" i="8"/>
  <c r="R173" i="8"/>
  <c r="S173" i="8"/>
  <c r="T173" i="8"/>
  <c r="U173" i="8"/>
  <c r="U172" i="8" s="1"/>
  <c r="V173" i="8"/>
  <c r="W173" i="8"/>
  <c r="W172" i="8" s="1"/>
  <c r="X173" i="8"/>
  <c r="X172" i="8" s="1"/>
  <c r="Y173" i="8"/>
  <c r="Z173" i="8"/>
  <c r="L174" i="8"/>
  <c r="M174" i="8"/>
  <c r="N174" i="8"/>
  <c r="O174" i="8"/>
  <c r="P174" i="8"/>
  <c r="Q174" i="8"/>
  <c r="R174" i="8"/>
  <c r="S174" i="8"/>
  <c r="T174" i="8"/>
  <c r="U174" i="8"/>
  <c r="V174" i="8"/>
  <c r="V172" i="8" s="1"/>
  <c r="W174" i="8"/>
  <c r="X174" i="8"/>
  <c r="Y174" i="8"/>
  <c r="Z174" i="8"/>
  <c r="L175" i="8"/>
  <c r="M175" i="8"/>
  <c r="N175" i="8"/>
  <c r="N180" i="8" s="1"/>
  <c r="N181" i="8" s="1"/>
  <c r="O175" i="8"/>
  <c r="O180" i="8" s="1"/>
  <c r="O181" i="8" s="1"/>
  <c r="P175" i="8"/>
  <c r="U175" i="8"/>
  <c r="V175" i="8"/>
  <c r="W175" i="8"/>
  <c r="L176" i="8"/>
  <c r="M176" i="8"/>
  <c r="N176" i="8"/>
  <c r="O176" i="8"/>
  <c r="P176" i="8"/>
  <c r="R176" i="8"/>
  <c r="R175" i="8" s="1"/>
  <c r="S176" i="8"/>
  <c r="S175" i="8" s="1"/>
  <c r="T176" i="8"/>
  <c r="U176" i="8"/>
  <c r="V176" i="8"/>
  <c r="W176" i="8"/>
  <c r="X176" i="8"/>
  <c r="X175" i="8" s="1"/>
  <c r="Y176" i="8"/>
  <c r="Z176" i="8"/>
  <c r="Z175" i="8" s="1"/>
  <c r="L177" i="8"/>
  <c r="M177" i="8"/>
  <c r="N177" i="8"/>
  <c r="O177" i="8"/>
  <c r="P177" i="8"/>
  <c r="Q175" i="8"/>
  <c r="R177" i="8"/>
  <c r="S177" i="8"/>
  <c r="T177" i="8"/>
  <c r="U177" i="8"/>
  <c r="V177" i="8"/>
  <c r="W177" i="8"/>
  <c r="X177" i="8"/>
  <c r="Y177" i="8"/>
  <c r="Y175" i="8" s="1"/>
  <c r="Z177" i="8"/>
  <c r="L178" i="8"/>
  <c r="M178" i="8"/>
  <c r="N178" i="8"/>
  <c r="O178" i="8"/>
  <c r="P178" i="8"/>
  <c r="R178" i="8"/>
  <c r="S178" i="8"/>
  <c r="T178" i="8"/>
  <c r="T175" i="8" s="1"/>
  <c r="U178" i="8"/>
  <c r="V178" i="8"/>
  <c r="W178" i="8"/>
  <c r="X178" i="8"/>
  <c r="Y178" i="8"/>
  <c r="Z178" i="8"/>
  <c r="L179" i="8"/>
  <c r="M179" i="8"/>
  <c r="N179" i="8"/>
  <c r="O179" i="8"/>
  <c r="P179" i="8"/>
  <c r="Q179" i="8"/>
  <c r="R179" i="8"/>
  <c r="S179" i="8"/>
  <c r="T179" i="8"/>
  <c r="U179" i="8"/>
  <c r="V179" i="8"/>
  <c r="W179" i="8"/>
  <c r="X179" i="8"/>
  <c r="Y179" i="8"/>
  <c r="Z179" i="8"/>
  <c r="L180" i="8"/>
  <c r="L181" i="8" s="1"/>
  <c r="Q181" i="8"/>
  <c r="R181" i="8"/>
  <c r="S181" i="8"/>
  <c r="T181" i="8"/>
  <c r="U181" i="8"/>
  <c r="V181" i="8"/>
  <c r="W181" i="8"/>
  <c r="X181" i="8"/>
  <c r="Y181" i="8"/>
  <c r="Z181" i="8"/>
  <c r="L166" i="8"/>
  <c r="M166" i="8"/>
  <c r="N166" i="8"/>
  <c r="O166" i="8"/>
  <c r="P166" i="8"/>
  <c r="K179" i="8"/>
  <c r="K178" i="8"/>
  <c r="K177" i="8"/>
  <c r="K176" i="8"/>
  <c r="K175" i="8"/>
  <c r="K174" i="8"/>
  <c r="K173" i="8"/>
  <c r="K172" i="8"/>
  <c r="K171" i="8"/>
  <c r="K166" i="8"/>
  <c r="D4" i="15"/>
  <c r="K180" i="8" l="1"/>
  <c r="K181" i="8" s="1"/>
  <c r="W278" i="6"/>
  <c r="Y75" i="6"/>
  <c r="Z75" i="6"/>
  <c r="K59" i="19"/>
  <c r="X278" i="6" l="1"/>
  <c r="L158" i="8"/>
  <c r="M158" i="8"/>
  <c r="N158" i="8"/>
  <c r="O158" i="8"/>
  <c r="P158" i="8"/>
  <c r="L159" i="8"/>
  <c r="L163" i="8" s="1"/>
  <c r="L164" i="8" s="1"/>
  <c r="M159" i="8"/>
  <c r="N159" i="8"/>
  <c r="O159" i="8"/>
  <c r="O163" i="8" s="1"/>
  <c r="O164" i="8" s="1"/>
  <c r="P159" i="8"/>
  <c r="L160" i="8"/>
  <c r="M160" i="8"/>
  <c r="M163" i="8" s="1"/>
  <c r="M164" i="8" s="1"/>
  <c r="N160" i="8"/>
  <c r="N163" i="8" s="1"/>
  <c r="N164" i="8" s="1"/>
  <c r="O160" i="8"/>
  <c r="P160" i="8"/>
  <c r="L161" i="8"/>
  <c r="M161" i="8"/>
  <c r="N161" i="8"/>
  <c r="O161" i="8"/>
  <c r="P161" i="8"/>
  <c r="L162" i="8"/>
  <c r="M162" i="8"/>
  <c r="N162" i="8"/>
  <c r="O162" i="8"/>
  <c r="P162" i="8"/>
  <c r="R162" i="8"/>
  <c r="S162" i="8"/>
  <c r="T162" i="8"/>
  <c r="U162" i="8"/>
  <c r="V162" i="8"/>
  <c r="W162" i="8"/>
  <c r="X162" i="8"/>
  <c r="Y162" i="8"/>
  <c r="Z162" i="8"/>
  <c r="P163" i="8"/>
  <c r="P164" i="8" s="1"/>
  <c r="Q164" i="8"/>
  <c r="R164" i="8"/>
  <c r="S164" i="8"/>
  <c r="T164" i="8"/>
  <c r="U164" i="8"/>
  <c r="V164" i="8"/>
  <c r="W164" i="8"/>
  <c r="X164" i="8"/>
  <c r="Y164" i="8"/>
  <c r="Z164" i="8"/>
  <c r="K162" i="8"/>
  <c r="K161" i="8"/>
  <c r="K163" i="8" s="1"/>
  <c r="K164" i="8" s="1"/>
  <c r="K160" i="8"/>
  <c r="K159" i="8"/>
  <c r="K158" i="8"/>
  <c r="L143" i="8"/>
  <c r="M143" i="8"/>
  <c r="N143" i="8"/>
  <c r="O143" i="8"/>
  <c r="P143" i="8"/>
  <c r="L144" i="8"/>
  <c r="M144" i="8"/>
  <c r="N144" i="8"/>
  <c r="O144" i="8"/>
  <c r="P144" i="8"/>
  <c r="L145" i="8"/>
  <c r="M145" i="8"/>
  <c r="N145" i="8"/>
  <c r="O145" i="8"/>
  <c r="P145" i="8"/>
  <c r="L146" i="8"/>
  <c r="M146" i="8"/>
  <c r="N146" i="8"/>
  <c r="O146" i="8"/>
  <c r="P146" i="8"/>
  <c r="Q146" i="8"/>
  <c r="R146" i="8"/>
  <c r="S146" i="8"/>
  <c r="T146" i="8"/>
  <c r="U146" i="8"/>
  <c r="V146" i="8"/>
  <c r="W146" i="8"/>
  <c r="X146" i="8"/>
  <c r="Y146" i="8"/>
  <c r="Z146" i="8"/>
  <c r="L147" i="8"/>
  <c r="M147" i="8"/>
  <c r="N147" i="8"/>
  <c r="O147" i="8"/>
  <c r="P147" i="8"/>
  <c r="L148" i="8"/>
  <c r="M148" i="8"/>
  <c r="N148" i="8"/>
  <c r="O148" i="8"/>
  <c r="P148" i="8"/>
  <c r="L149" i="8"/>
  <c r="M149" i="8"/>
  <c r="N149" i="8"/>
  <c r="O149" i="8"/>
  <c r="P149" i="8"/>
  <c r="Q149" i="8"/>
  <c r="R149" i="8"/>
  <c r="S149" i="8"/>
  <c r="T149" i="8"/>
  <c r="U149" i="8"/>
  <c r="V149" i="8"/>
  <c r="W149" i="8"/>
  <c r="X149" i="8"/>
  <c r="Y149" i="8"/>
  <c r="Z149" i="8"/>
  <c r="L150" i="8"/>
  <c r="M150" i="8"/>
  <c r="N150" i="8"/>
  <c r="O150" i="8"/>
  <c r="P150" i="8"/>
  <c r="Q150" i="8"/>
  <c r="R150" i="8"/>
  <c r="S150" i="8"/>
  <c r="T150" i="8"/>
  <c r="U150" i="8"/>
  <c r="V150" i="8"/>
  <c r="W150" i="8"/>
  <c r="X150" i="8"/>
  <c r="Y150" i="8"/>
  <c r="Z150" i="8"/>
  <c r="L151" i="8"/>
  <c r="M151" i="8"/>
  <c r="N151" i="8"/>
  <c r="O151" i="8"/>
  <c r="P151" i="8"/>
  <c r="Q151" i="8"/>
  <c r="R151" i="8"/>
  <c r="S151" i="8"/>
  <c r="T151" i="8"/>
  <c r="U151" i="8"/>
  <c r="V151" i="8"/>
  <c r="W151" i="8"/>
  <c r="X151" i="8"/>
  <c r="Y151" i="8"/>
  <c r="Z151" i="8"/>
  <c r="L152" i="8"/>
  <c r="M152" i="8"/>
  <c r="N152" i="8"/>
  <c r="O152" i="8"/>
  <c r="P152" i="8"/>
  <c r="Q156" i="8"/>
  <c r="R156" i="8"/>
  <c r="S156" i="8"/>
  <c r="T156" i="8"/>
  <c r="U156" i="8"/>
  <c r="V156" i="8"/>
  <c r="W156" i="8"/>
  <c r="X156" i="8"/>
  <c r="Y156" i="8"/>
  <c r="Z156" i="8"/>
  <c r="K152" i="8"/>
  <c r="K151" i="8"/>
  <c r="K150" i="8"/>
  <c r="K149" i="8"/>
  <c r="K148" i="8"/>
  <c r="K147" i="8"/>
  <c r="K146" i="8"/>
  <c r="K145" i="8"/>
  <c r="K144" i="8"/>
  <c r="K154" i="8" s="1"/>
  <c r="K143" i="8"/>
  <c r="L133" i="8"/>
  <c r="M133" i="8"/>
  <c r="N133" i="8"/>
  <c r="O133" i="8"/>
  <c r="P133" i="8"/>
  <c r="Q133" i="8"/>
  <c r="R133" i="8"/>
  <c r="S133" i="8"/>
  <c r="T133" i="8"/>
  <c r="U133" i="8"/>
  <c r="V133" i="8"/>
  <c r="W133" i="8"/>
  <c r="X133" i="8"/>
  <c r="Y133" i="8"/>
  <c r="Z133" i="8"/>
  <c r="L134" i="8"/>
  <c r="M134" i="8"/>
  <c r="N134" i="8"/>
  <c r="O134" i="8"/>
  <c r="P134" i="8"/>
  <c r="L136" i="8"/>
  <c r="M136" i="8"/>
  <c r="M135" i="8" s="1"/>
  <c r="N136" i="8"/>
  <c r="O136" i="8"/>
  <c r="P136" i="8"/>
  <c r="L137" i="8"/>
  <c r="M137" i="8"/>
  <c r="N137" i="8"/>
  <c r="O137" i="8"/>
  <c r="P137" i="8"/>
  <c r="L139" i="8"/>
  <c r="M139" i="8"/>
  <c r="N139" i="8"/>
  <c r="O139" i="8"/>
  <c r="P139" i="8"/>
  <c r="L140" i="8"/>
  <c r="M140" i="8"/>
  <c r="N140" i="8"/>
  <c r="O140" i="8"/>
  <c r="P140" i="8"/>
  <c r="Q140" i="8"/>
  <c r="R140" i="8"/>
  <c r="S140" i="8"/>
  <c r="T140" i="8"/>
  <c r="U140" i="8"/>
  <c r="V140" i="8"/>
  <c r="W140" i="8"/>
  <c r="X140" i="8"/>
  <c r="Y140" i="8"/>
  <c r="Z140" i="8"/>
  <c r="K140" i="8"/>
  <c r="K139" i="8"/>
  <c r="K137" i="8"/>
  <c r="K136" i="8"/>
  <c r="K134" i="8"/>
  <c r="Y278" i="6" l="1"/>
  <c r="Z278" i="6" s="1"/>
  <c r="P154" i="8"/>
  <c r="P135" i="8"/>
  <c r="O135" i="8"/>
  <c r="N135" i="8"/>
  <c r="O154" i="8"/>
  <c r="N154" i="8"/>
  <c r="M154" i="8"/>
  <c r="L135" i="8"/>
  <c r="L154" i="8"/>
  <c r="K135" i="8"/>
  <c r="K133" i="8" l="1"/>
  <c r="L106" i="8"/>
  <c r="M106" i="8"/>
  <c r="N106" i="8"/>
  <c r="O106" i="8"/>
  <c r="P106" i="8"/>
  <c r="Q106" i="8"/>
  <c r="R106" i="8"/>
  <c r="S106" i="8"/>
  <c r="T106" i="8"/>
  <c r="U106" i="8"/>
  <c r="V106" i="8"/>
  <c r="W106" i="8"/>
  <c r="X106" i="8"/>
  <c r="Y106" i="8"/>
  <c r="Z106" i="8"/>
  <c r="L107" i="8"/>
  <c r="M107" i="8"/>
  <c r="N107" i="8"/>
  <c r="O107" i="8"/>
  <c r="P107" i="8"/>
  <c r="Q107" i="8"/>
  <c r="R107" i="8"/>
  <c r="S107" i="8"/>
  <c r="T107" i="8"/>
  <c r="U107" i="8"/>
  <c r="V107" i="8"/>
  <c r="W107" i="8"/>
  <c r="X107" i="8"/>
  <c r="Y107" i="8"/>
  <c r="Z107" i="8"/>
  <c r="L108" i="8"/>
  <c r="M108" i="8"/>
  <c r="M111" i="8" s="1"/>
  <c r="N108" i="8"/>
  <c r="O108" i="8"/>
  <c r="P108" i="8"/>
  <c r="Q108" i="8"/>
  <c r="R108" i="8"/>
  <c r="S108" i="8"/>
  <c r="T108" i="8"/>
  <c r="U108" i="8"/>
  <c r="V108" i="8"/>
  <c r="W108" i="8"/>
  <c r="X108" i="8"/>
  <c r="Y108" i="8"/>
  <c r="Z108" i="8"/>
  <c r="L109" i="8"/>
  <c r="M109" i="8"/>
  <c r="N109" i="8"/>
  <c r="O109" i="8"/>
  <c r="P109" i="8"/>
  <c r="L110" i="8"/>
  <c r="M110" i="8"/>
  <c r="N110" i="8"/>
  <c r="O110" i="8"/>
  <c r="O111" i="8" s="1"/>
  <c r="P110" i="8"/>
  <c r="Q110" i="8"/>
  <c r="R110" i="8"/>
  <c r="S110" i="8"/>
  <c r="T110" i="8"/>
  <c r="U110" i="8"/>
  <c r="V110" i="8"/>
  <c r="W110" i="8"/>
  <c r="X110" i="8"/>
  <c r="Y110" i="8"/>
  <c r="Z110" i="8"/>
  <c r="K110" i="8"/>
  <c r="K109" i="8"/>
  <c r="K108" i="8"/>
  <c r="K107" i="8"/>
  <c r="K106" i="8"/>
  <c r="L103" i="8"/>
  <c r="M103" i="8"/>
  <c r="N103" i="8"/>
  <c r="O103" i="8"/>
  <c r="P103" i="8"/>
  <c r="AA103" i="8"/>
  <c r="AB103" i="8"/>
  <c r="AC103" i="8"/>
  <c r="AD103" i="8"/>
  <c r="AE103" i="8"/>
  <c r="AF103" i="8"/>
  <c r="AG103" i="8"/>
  <c r="AH103" i="8"/>
  <c r="AI103" i="8"/>
  <c r="AJ103" i="8"/>
  <c r="AK103" i="8"/>
  <c r="AL103" i="8"/>
  <c r="AM103" i="8"/>
  <c r="AN103" i="8"/>
  <c r="AO103" i="8"/>
  <c r="AP103" i="8"/>
  <c r="AQ103" i="8"/>
  <c r="AR103" i="8"/>
  <c r="AS103" i="8"/>
  <c r="K103" i="8"/>
  <c r="L96" i="8"/>
  <c r="M96" i="8"/>
  <c r="N96" i="8"/>
  <c r="O96" i="8"/>
  <c r="P96" i="8"/>
  <c r="Q96" i="8"/>
  <c r="R96" i="8"/>
  <c r="S96" i="8"/>
  <c r="T96" i="8"/>
  <c r="U96" i="8"/>
  <c r="V96" i="8"/>
  <c r="W96" i="8"/>
  <c r="X96" i="8"/>
  <c r="Y96" i="8"/>
  <c r="Z96" i="8"/>
  <c r="L97" i="8"/>
  <c r="M97" i="8"/>
  <c r="N97" i="8"/>
  <c r="O97" i="8"/>
  <c r="P97" i="8"/>
  <c r="K111" i="8" l="1"/>
  <c r="P111" i="8"/>
  <c r="N111" i="8"/>
  <c r="L111" i="8"/>
  <c r="K97" i="8"/>
  <c r="K96" i="8"/>
  <c r="L91" i="8"/>
  <c r="M91" i="8"/>
  <c r="N91" i="8"/>
  <c r="O91" i="8"/>
  <c r="P91" i="8"/>
  <c r="L92" i="8"/>
  <c r="M92" i="8"/>
  <c r="N92" i="8"/>
  <c r="O92" i="8"/>
  <c r="P92" i="8"/>
  <c r="K92" i="8"/>
  <c r="K91" i="8"/>
  <c r="K98" i="8" s="1"/>
  <c r="L83" i="8"/>
  <c r="M83" i="8"/>
  <c r="N83" i="8"/>
  <c r="O83" i="8"/>
  <c r="P83" i="8"/>
  <c r="L84" i="8"/>
  <c r="M84" i="8"/>
  <c r="N84" i="8"/>
  <c r="O84" i="8"/>
  <c r="P84" i="8"/>
  <c r="L85" i="8"/>
  <c r="M85" i="8"/>
  <c r="N85" i="8"/>
  <c r="O85" i="8"/>
  <c r="P85" i="8"/>
  <c r="L86" i="8"/>
  <c r="M86" i="8"/>
  <c r="N86" i="8"/>
  <c r="O86" i="8"/>
  <c r="P86" i="8"/>
  <c r="L87" i="8"/>
  <c r="M87" i="8"/>
  <c r="N87" i="8"/>
  <c r="O87" i="8"/>
  <c r="P87" i="8"/>
  <c r="K87" i="8"/>
  <c r="K86" i="8"/>
  <c r="K85" i="8"/>
  <c r="K84" i="8"/>
  <c r="K83" i="8"/>
  <c r="L69" i="8"/>
  <c r="M69" i="8"/>
  <c r="N69" i="8"/>
  <c r="O69" i="8"/>
  <c r="P69" i="8"/>
  <c r="L70" i="8"/>
  <c r="M70" i="8"/>
  <c r="N70" i="8"/>
  <c r="O70" i="8"/>
  <c r="P70" i="8"/>
  <c r="L71" i="8"/>
  <c r="M71" i="8"/>
  <c r="N71" i="8"/>
  <c r="O71" i="8"/>
  <c r="P71" i="8"/>
  <c r="L72" i="8"/>
  <c r="M72" i="8"/>
  <c r="N72" i="8"/>
  <c r="O72" i="8"/>
  <c r="P72" i="8"/>
  <c r="L73" i="8"/>
  <c r="M73" i="8"/>
  <c r="N73" i="8"/>
  <c r="O73" i="8"/>
  <c r="P73" i="8"/>
  <c r="L74" i="8"/>
  <c r="M74" i="8"/>
  <c r="N74" i="8"/>
  <c r="O74" i="8"/>
  <c r="P74" i="8"/>
  <c r="L75" i="8"/>
  <c r="M75" i="8"/>
  <c r="N75" i="8"/>
  <c r="O75" i="8"/>
  <c r="P75" i="8"/>
  <c r="Q75" i="8"/>
  <c r="R75" i="8"/>
  <c r="S75" i="8"/>
  <c r="T75" i="8"/>
  <c r="U75" i="8"/>
  <c r="V75" i="8"/>
  <c r="W75" i="8"/>
  <c r="X75" i="8"/>
  <c r="Y75" i="8"/>
  <c r="Z75" i="8"/>
  <c r="L76" i="8"/>
  <c r="M76" i="8"/>
  <c r="N76" i="8"/>
  <c r="O76" i="8"/>
  <c r="P76" i="8"/>
  <c r="K76" i="8"/>
  <c r="K75" i="8"/>
  <c r="K74" i="8"/>
  <c r="K73" i="8"/>
  <c r="K72" i="8"/>
  <c r="K71" i="8"/>
  <c r="K70" i="8"/>
  <c r="K69" i="8"/>
  <c r="L60" i="8"/>
  <c r="M60" i="8"/>
  <c r="N60" i="8"/>
  <c r="O60" i="8"/>
  <c r="P60" i="8"/>
  <c r="L61" i="8"/>
  <c r="M61" i="8"/>
  <c r="N61" i="8"/>
  <c r="O61" i="8"/>
  <c r="P61" i="8"/>
  <c r="L62" i="8"/>
  <c r="M62" i="8"/>
  <c r="N62" i="8"/>
  <c r="O62" i="8"/>
  <c r="P62" i="8"/>
  <c r="L63" i="8"/>
  <c r="M63" i="8"/>
  <c r="N63" i="8"/>
  <c r="O63" i="8"/>
  <c r="P63" i="8"/>
  <c r="L64" i="8"/>
  <c r="M64" i="8"/>
  <c r="N64" i="8"/>
  <c r="O64" i="8"/>
  <c r="P64" i="8"/>
  <c r="L65" i="8"/>
  <c r="M65" i="8"/>
  <c r="N65" i="8"/>
  <c r="O65" i="8"/>
  <c r="P65" i="8"/>
  <c r="K65" i="8"/>
  <c r="K64" i="8"/>
  <c r="K63" i="8"/>
  <c r="K62" i="8"/>
  <c r="K61" i="8"/>
  <c r="K60" i="8"/>
  <c r="BD175" i="6"/>
  <c r="L31" i="8"/>
  <c r="M31" i="8"/>
  <c r="N31" i="8"/>
  <c r="O31" i="8"/>
  <c r="P31" i="8"/>
  <c r="L34" i="8"/>
  <c r="M34" i="8"/>
  <c r="N34" i="8"/>
  <c r="O34" i="8"/>
  <c r="P34" i="8"/>
  <c r="L35" i="8"/>
  <c r="M35" i="8"/>
  <c r="N35" i="8"/>
  <c r="O35" i="8"/>
  <c r="P35" i="8"/>
  <c r="L37" i="8"/>
  <c r="M37" i="8"/>
  <c r="N37" i="8"/>
  <c r="O37" i="8"/>
  <c r="P37" i="8"/>
  <c r="L38" i="8"/>
  <c r="M38" i="8"/>
  <c r="N38" i="8"/>
  <c r="O38" i="8"/>
  <c r="P38" i="8"/>
  <c r="Q38" i="8"/>
  <c r="R38" i="8"/>
  <c r="S38" i="8"/>
  <c r="T38" i="8"/>
  <c r="U38" i="8"/>
  <c r="V38" i="8"/>
  <c r="W38" i="8"/>
  <c r="X38" i="8"/>
  <c r="Y38" i="8"/>
  <c r="Z38" i="8"/>
  <c r="L39" i="8"/>
  <c r="M39" i="8"/>
  <c r="N39" i="8"/>
  <c r="O39" i="8"/>
  <c r="P39" i="8"/>
  <c r="Q39" i="8"/>
  <c r="R39" i="8"/>
  <c r="S39" i="8"/>
  <c r="T39" i="8"/>
  <c r="U39" i="8"/>
  <c r="V39" i="8"/>
  <c r="W39" i="8"/>
  <c r="X39" i="8"/>
  <c r="Y39" i="8"/>
  <c r="Z39" i="8"/>
  <c r="L42" i="8"/>
  <c r="M42" i="8"/>
  <c r="N42" i="8"/>
  <c r="O42" i="8"/>
  <c r="P42" i="8"/>
  <c r="R42" i="8"/>
  <c r="S42" i="8"/>
  <c r="T42" i="8"/>
  <c r="U42" i="8"/>
  <c r="V42" i="8"/>
  <c r="W42" i="8"/>
  <c r="X42" i="8"/>
  <c r="Y42" i="8"/>
  <c r="Z42" i="8"/>
  <c r="L43" i="8"/>
  <c r="M43" i="8"/>
  <c r="N43" i="8"/>
  <c r="O43" i="8"/>
  <c r="P43" i="8"/>
  <c r="K43" i="8"/>
  <c r="K42" i="8"/>
  <c r="K39" i="8"/>
  <c r="K38" i="8"/>
  <c r="K37" i="8"/>
  <c r="K35" i="8"/>
  <c r="K34" i="8"/>
  <c r="K31" i="8"/>
  <c r="L21" i="8"/>
  <c r="M21" i="8"/>
  <c r="N21" i="8"/>
  <c r="O21" i="8"/>
  <c r="P21" i="8"/>
  <c r="L22" i="8"/>
  <c r="M22" i="8"/>
  <c r="N22" i="8"/>
  <c r="O22" i="8"/>
  <c r="P22" i="8"/>
  <c r="L23" i="8"/>
  <c r="M23" i="8"/>
  <c r="N23" i="8"/>
  <c r="O23" i="8"/>
  <c r="P23" i="8"/>
  <c r="L24" i="8"/>
  <c r="M24" i="8"/>
  <c r="N24" i="8"/>
  <c r="O24" i="8"/>
  <c r="P24" i="8"/>
  <c r="Q24" i="8"/>
  <c r="R24" i="8"/>
  <c r="S24" i="8"/>
  <c r="T24" i="8"/>
  <c r="U24" i="8"/>
  <c r="V24" i="8"/>
  <c r="W24" i="8"/>
  <c r="X24" i="8"/>
  <c r="Y24" i="8"/>
  <c r="Z24" i="8"/>
  <c r="L26" i="8"/>
  <c r="M26" i="8"/>
  <c r="N26" i="8"/>
  <c r="O26" i="8"/>
  <c r="P26" i="8"/>
  <c r="Q26" i="8"/>
  <c r="R26" i="8"/>
  <c r="S26" i="8"/>
  <c r="T26" i="8"/>
  <c r="U26" i="8"/>
  <c r="V26" i="8"/>
  <c r="W26" i="8"/>
  <c r="X26" i="8"/>
  <c r="Y26" i="8"/>
  <c r="Z26" i="8"/>
  <c r="L27" i="8"/>
  <c r="M27" i="8"/>
  <c r="N27" i="8"/>
  <c r="O27" i="8"/>
  <c r="P27" i="8"/>
  <c r="K27" i="8"/>
  <c r="K26" i="8"/>
  <c r="K24" i="8"/>
  <c r="K23" i="8"/>
  <c r="K22" i="8"/>
  <c r="K21" i="8"/>
  <c r="L10" i="8"/>
  <c r="M10" i="8"/>
  <c r="N10" i="8"/>
  <c r="O10" i="8"/>
  <c r="P10" i="8"/>
  <c r="K10" i="8"/>
  <c r="L59" i="8" l="1"/>
  <c r="P82" i="8"/>
  <c r="P98" i="8"/>
  <c r="O82" i="8"/>
  <c r="O88" i="8" s="1"/>
  <c r="O89" i="8" s="1"/>
  <c r="O25" i="8"/>
  <c r="N98" i="8"/>
  <c r="L66" i="8"/>
  <c r="L67" i="8" s="1"/>
  <c r="K40" i="8"/>
  <c r="P88" i="8"/>
  <c r="P89" i="8" s="1"/>
  <c r="M40" i="8"/>
  <c r="O98" i="8"/>
  <c r="P59" i="8"/>
  <c r="P66" i="8" s="1"/>
  <c r="P67" i="8" s="1"/>
  <c r="N82" i="8"/>
  <c r="N88" i="8" s="1"/>
  <c r="N89" i="8" s="1"/>
  <c r="M82" i="8"/>
  <c r="M88" i="8" s="1"/>
  <c r="M89" i="8" s="1"/>
  <c r="M98" i="8"/>
  <c r="L98" i="8"/>
  <c r="K77" i="8"/>
  <c r="P40" i="8"/>
  <c r="P25" i="8"/>
  <c r="L40" i="8"/>
  <c r="M59" i="8"/>
  <c r="M66" i="8" s="1"/>
  <c r="M67" i="8" s="1"/>
  <c r="L82" i="8"/>
  <c r="L88" i="8" s="1"/>
  <c r="L89" i="8" s="1"/>
  <c r="P77" i="8"/>
  <c r="P99" i="8"/>
  <c r="P100" i="8" s="1"/>
  <c r="N40" i="8"/>
  <c r="O40" i="8"/>
  <c r="N59" i="8"/>
  <c r="N66" i="8" s="1"/>
  <c r="N67" i="8" s="1"/>
  <c r="N25" i="8"/>
  <c r="O77" i="8"/>
  <c r="N77" i="8"/>
  <c r="M77" i="8"/>
  <c r="M78" i="8" s="1"/>
  <c r="M79" i="8" s="1"/>
  <c r="L77" i="8"/>
  <c r="L78" i="8" s="1"/>
  <c r="L79" i="8" s="1"/>
  <c r="M25" i="8"/>
  <c r="O59" i="8"/>
  <c r="O66" i="8" s="1"/>
  <c r="O67" i="8" s="1"/>
  <c r="K25" i="8"/>
  <c r="L25" i="8"/>
  <c r="K82" i="8"/>
  <c r="K88" i="8" s="1"/>
  <c r="K89" i="8" s="1"/>
  <c r="K59" i="8"/>
  <c r="K66" i="8" s="1"/>
  <c r="O99" i="8" l="1"/>
  <c r="O100" i="8" s="1"/>
  <c r="O78" i="8"/>
  <c r="O79" i="8" s="1"/>
  <c r="M99" i="8"/>
  <c r="P112" i="8"/>
  <c r="P113" i="8" s="1"/>
  <c r="O112" i="8"/>
  <c r="O113" i="8" s="1"/>
  <c r="L99" i="8"/>
  <c r="L100" i="8" s="1"/>
  <c r="K67" i="8"/>
  <c r="K78" i="8"/>
  <c r="K79" i="8" s="1"/>
  <c r="M100" i="8"/>
  <c r="M112" i="8"/>
  <c r="M113" i="8" s="1"/>
  <c r="N99" i="8"/>
  <c r="N78" i="8"/>
  <c r="N79" i="8" s="1"/>
  <c r="P78" i="8"/>
  <c r="P79" i="8" s="1"/>
  <c r="K99" i="8"/>
  <c r="D126" i="8"/>
  <c r="BD174" i="6"/>
  <c r="S132" i="6"/>
  <c r="T132" i="6" s="1"/>
  <c r="V132" i="6" s="1"/>
  <c r="Z130" i="6" s="1"/>
  <c r="Z133" i="6" s="1"/>
  <c r="Z379" i="6"/>
  <c r="Y379" i="6"/>
  <c r="X379" i="6"/>
  <c r="W379" i="6"/>
  <c r="V379" i="6"/>
  <c r="U379" i="6"/>
  <c r="T379" i="6"/>
  <c r="R379" i="6"/>
  <c r="Q379" i="6"/>
  <c r="R132" i="6"/>
  <c r="L267" i="6"/>
  <c r="M267" i="6"/>
  <c r="N267" i="6"/>
  <c r="O267" i="6"/>
  <c r="P267" i="6"/>
  <c r="K267" i="6"/>
  <c r="L390" i="6"/>
  <c r="M390" i="6"/>
  <c r="N390" i="6"/>
  <c r="O390" i="6"/>
  <c r="P390" i="6"/>
  <c r="K390" i="6"/>
  <c r="L389" i="6"/>
  <c r="M389" i="6"/>
  <c r="N389" i="6"/>
  <c r="O389" i="6"/>
  <c r="P389" i="6"/>
  <c r="Q389" i="6"/>
  <c r="R389" i="6"/>
  <c r="S389" i="6"/>
  <c r="T389" i="6"/>
  <c r="U389" i="6"/>
  <c r="V389" i="6"/>
  <c r="W389" i="6"/>
  <c r="X389" i="6"/>
  <c r="Y389" i="6"/>
  <c r="Z389" i="6"/>
  <c r="K389" i="6"/>
  <c r="L388" i="6"/>
  <c r="M388" i="6"/>
  <c r="N388" i="6"/>
  <c r="O388" i="6"/>
  <c r="P388" i="6"/>
  <c r="K388" i="6"/>
  <c r="L387" i="6"/>
  <c r="M387" i="6"/>
  <c r="N387" i="6"/>
  <c r="O387" i="6"/>
  <c r="P387" i="6"/>
  <c r="K387" i="6"/>
  <c r="L353" i="6"/>
  <c r="M353" i="6"/>
  <c r="N353" i="6"/>
  <c r="O353" i="6"/>
  <c r="P353" i="6"/>
  <c r="K353" i="6"/>
  <c r="L352" i="6"/>
  <c r="M352" i="6"/>
  <c r="N352" i="6"/>
  <c r="O352" i="6"/>
  <c r="P352" i="6"/>
  <c r="K352" i="6"/>
  <c r="L350" i="6"/>
  <c r="M350" i="6"/>
  <c r="N350" i="6"/>
  <c r="O350" i="6"/>
  <c r="P350" i="6"/>
  <c r="K350" i="6"/>
  <c r="L349" i="6"/>
  <c r="M349" i="6"/>
  <c r="N349" i="6"/>
  <c r="O349" i="6"/>
  <c r="P349" i="6"/>
  <c r="K349" i="6"/>
  <c r="L297" i="6"/>
  <c r="M297" i="6"/>
  <c r="N297" i="6"/>
  <c r="O297" i="6"/>
  <c r="P297" i="6"/>
  <c r="Q297" i="6"/>
  <c r="R297" i="6"/>
  <c r="S297" i="6"/>
  <c r="T297" i="6"/>
  <c r="U297" i="6"/>
  <c r="V297" i="6"/>
  <c r="W297" i="6"/>
  <c r="X297" i="6"/>
  <c r="Y297" i="6"/>
  <c r="Z297" i="6"/>
  <c r="K297" i="6"/>
  <c r="L296" i="6"/>
  <c r="M296" i="6"/>
  <c r="N296" i="6"/>
  <c r="O296" i="6"/>
  <c r="P296" i="6"/>
  <c r="K296" i="6"/>
  <c r="L295" i="6"/>
  <c r="M295" i="6"/>
  <c r="N295" i="6"/>
  <c r="O295" i="6"/>
  <c r="P295" i="6"/>
  <c r="K295" i="6"/>
  <c r="Q271" i="6"/>
  <c r="L266" i="6"/>
  <c r="M266" i="6"/>
  <c r="N266" i="6"/>
  <c r="O266" i="6"/>
  <c r="P266" i="6"/>
  <c r="Q266" i="6"/>
  <c r="R266" i="6"/>
  <c r="S266" i="6"/>
  <c r="T266" i="6"/>
  <c r="U266" i="6"/>
  <c r="V266" i="6"/>
  <c r="W266" i="6"/>
  <c r="X266" i="6"/>
  <c r="Y266" i="6"/>
  <c r="Z266" i="6"/>
  <c r="K266" i="6"/>
  <c r="L265" i="6"/>
  <c r="M265" i="6"/>
  <c r="N265" i="6"/>
  <c r="O265" i="6"/>
  <c r="P265" i="6"/>
  <c r="K265" i="6"/>
  <c r="L264" i="6"/>
  <c r="M264" i="6"/>
  <c r="N264" i="6"/>
  <c r="O264" i="6"/>
  <c r="P264" i="6"/>
  <c r="K264" i="6"/>
  <c r="L262" i="6"/>
  <c r="M262" i="6"/>
  <c r="N262" i="6"/>
  <c r="O262" i="6"/>
  <c r="P262" i="6"/>
  <c r="K262" i="6"/>
  <c r="L261" i="6"/>
  <c r="M261" i="6"/>
  <c r="N261" i="6"/>
  <c r="O261" i="6"/>
  <c r="P261" i="6"/>
  <c r="K261" i="6"/>
  <c r="L215" i="6"/>
  <c r="M215" i="6"/>
  <c r="N215" i="6"/>
  <c r="O215" i="6"/>
  <c r="P215" i="6"/>
  <c r="Q215" i="6"/>
  <c r="R215" i="6"/>
  <c r="S215" i="6"/>
  <c r="T215" i="6"/>
  <c r="U215" i="6"/>
  <c r="V215" i="6"/>
  <c r="W215" i="6"/>
  <c r="X215" i="6"/>
  <c r="Y215" i="6"/>
  <c r="Z215" i="6"/>
  <c r="K215" i="6"/>
  <c r="L214" i="6"/>
  <c r="M214" i="6"/>
  <c r="N214" i="6"/>
  <c r="O214" i="6"/>
  <c r="P214" i="6"/>
  <c r="K214" i="6"/>
  <c r="L213" i="6"/>
  <c r="M213" i="6"/>
  <c r="N213" i="6"/>
  <c r="O213" i="6"/>
  <c r="P213" i="6"/>
  <c r="K213" i="6"/>
  <c r="L179" i="6"/>
  <c r="M179" i="6"/>
  <c r="N179" i="6"/>
  <c r="O179" i="6"/>
  <c r="P179" i="6"/>
  <c r="K179" i="6"/>
  <c r="L180" i="6"/>
  <c r="M180" i="6"/>
  <c r="N180" i="6"/>
  <c r="O180" i="6"/>
  <c r="P180" i="6"/>
  <c r="K180" i="6"/>
  <c r="L178" i="6"/>
  <c r="M178" i="6"/>
  <c r="N178" i="6"/>
  <c r="O178" i="6"/>
  <c r="P178" i="6"/>
  <c r="K178" i="6"/>
  <c r="Q156" i="6"/>
  <c r="P411" i="6"/>
  <c r="P409" i="6"/>
  <c r="P408" i="6"/>
  <c r="P407" i="6"/>
  <c r="P406" i="6"/>
  <c r="P405" i="6"/>
  <c r="R402" i="6"/>
  <c r="S402" i="6"/>
  <c r="T402" i="6"/>
  <c r="U402" i="6"/>
  <c r="V402" i="6"/>
  <c r="W402" i="6"/>
  <c r="X402" i="6"/>
  <c r="Y402" i="6"/>
  <c r="Z402" i="6"/>
  <c r="Q402" i="6"/>
  <c r="P402" i="6"/>
  <c r="P401" i="6"/>
  <c r="R401" i="6"/>
  <c r="S401" i="6"/>
  <c r="T401" i="6"/>
  <c r="U401" i="6"/>
  <c r="V401" i="6"/>
  <c r="W401" i="6"/>
  <c r="X401" i="6"/>
  <c r="Y401" i="6"/>
  <c r="Z401" i="6"/>
  <c r="Q401" i="6"/>
  <c r="L302" i="6"/>
  <c r="M302" i="6"/>
  <c r="N302" i="6"/>
  <c r="O302" i="6"/>
  <c r="P302" i="6"/>
  <c r="P400" i="6" s="1"/>
  <c r="K302" i="6"/>
  <c r="L299" i="6"/>
  <c r="M299" i="6"/>
  <c r="N299" i="6"/>
  <c r="O299" i="6"/>
  <c r="P299" i="6"/>
  <c r="K299" i="6"/>
  <c r="R398" i="6"/>
  <c r="S398" i="6"/>
  <c r="T398" i="6"/>
  <c r="U398" i="6"/>
  <c r="V398" i="6"/>
  <c r="W398" i="6"/>
  <c r="X398" i="6"/>
  <c r="Y398" i="6"/>
  <c r="Z398" i="6"/>
  <c r="P398" i="6"/>
  <c r="Q398" i="6"/>
  <c r="L396" i="6"/>
  <c r="M396" i="6"/>
  <c r="N396" i="6"/>
  <c r="O396" i="6"/>
  <c r="P396" i="6"/>
  <c r="K396" i="6"/>
  <c r="L155" i="6"/>
  <c r="M155" i="6"/>
  <c r="N155" i="6"/>
  <c r="O155" i="6"/>
  <c r="P155" i="6"/>
  <c r="K155" i="6"/>
  <c r="L284" i="6"/>
  <c r="M284" i="6"/>
  <c r="N284" i="6"/>
  <c r="O284" i="6"/>
  <c r="P284" i="6"/>
  <c r="K284" i="6"/>
  <c r="L394" i="6"/>
  <c r="M394" i="6"/>
  <c r="N394" i="6"/>
  <c r="O394" i="6"/>
  <c r="P394" i="6"/>
  <c r="L289" i="6"/>
  <c r="M289" i="6"/>
  <c r="N289" i="6"/>
  <c r="O289" i="6"/>
  <c r="P289" i="6"/>
  <c r="K289" i="6"/>
  <c r="K394" i="6"/>
  <c r="K393" i="6"/>
  <c r="L393" i="6"/>
  <c r="M393" i="6"/>
  <c r="N393" i="6"/>
  <c r="O393" i="6"/>
  <c r="P393" i="6"/>
  <c r="L385" i="6"/>
  <c r="M385" i="6"/>
  <c r="N385" i="6"/>
  <c r="O385" i="6"/>
  <c r="P385" i="6"/>
  <c r="K385" i="6"/>
  <c r="L384" i="6"/>
  <c r="M384" i="6"/>
  <c r="N384" i="6"/>
  <c r="O384" i="6"/>
  <c r="P384" i="6"/>
  <c r="K384" i="6"/>
  <c r="Q380" i="6"/>
  <c r="Q382" i="6" s="1"/>
  <c r="Q383" i="6" s="1"/>
  <c r="S379" i="6"/>
  <c r="M379" i="6"/>
  <c r="N379" i="6"/>
  <c r="O379" i="6"/>
  <c r="P379" i="6"/>
  <c r="L379" i="6"/>
  <c r="L381" i="6"/>
  <c r="M381" i="6"/>
  <c r="N381" i="6"/>
  <c r="O381" i="6"/>
  <c r="P381" i="6"/>
  <c r="L382" i="6"/>
  <c r="M382" i="6"/>
  <c r="N382" i="6"/>
  <c r="O382" i="6"/>
  <c r="P382" i="6"/>
  <c r="K382" i="6"/>
  <c r="K381" i="6" s="1"/>
  <c r="L380" i="6"/>
  <c r="M380" i="6"/>
  <c r="N380" i="6"/>
  <c r="O380" i="6"/>
  <c r="P380" i="6"/>
  <c r="K380" i="6"/>
  <c r="L378" i="6"/>
  <c r="M378" i="6"/>
  <c r="N378" i="6"/>
  <c r="O378" i="6"/>
  <c r="P378" i="6"/>
  <c r="K378" i="6"/>
  <c r="L376" i="6"/>
  <c r="M376" i="6"/>
  <c r="N376" i="6"/>
  <c r="O376" i="6"/>
  <c r="P376" i="6"/>
  <c r="K376" i="6"/>
  <c r="Q374" i="6"/>
  <c r="R374" i="6"/>
  <c r="S374" i="6"/>
  <c r="T374" i="6"/>
  <c r="U374" i="6"/>
  <c r="V374" i="6"/>
  <c r="W374" i="6"/>
  <c r="X374" i="6"/>
  <c r="Y374" i="6"/>
  <c r="Z374" i="6"/>
  <c r="R372" i="6"/>
  <c r="S372" i="6" s="1"/>
  <c r="T372" i="6" s="1"/>
  <c r="U372" i="6" s="1"/>
  <c r="V372" i="6" s="1"/>
  <c r="W372" i="6" s="1"/>
  <c r="X372" i="6" s="1"/>
  <c r="Y372" i="6" s="1"/>
  <c r="Z372" i="6" s="1"/>
  <c r="Q372" i="6"/>
  <c r="L374" i="6"/>
  <c r="M374" i="6"/>
  <c r="N374" i="6"/>
  <c r="O374" i="6"/>
  <c r="P374" i="6"/>
  <c r="K374" i="6"/>
  <c r="L372" i="6"/>
  <c r="M372" i="6"/>
  <c r="N372" i="6"/>
  <c r="O372" i="6"/>
  <c r="P372" i="6"/>
  <c r="K372" i="6"/>
  <c r="Q370" i="6"/>
  <c r="R370" i="6"/>
  <c r="S370" i="6"/>
  <c r="T370" i="6"/>
  <c r="U370" i="6"/>
  <c r="V370" i="6"/>
  <c r="W370" i="6"/>
  <c r="X370" i="6"/>
  <c r="Y370" i="6"/>
  <c r="Z370" i="6"/>
  <c r="R368" i="6"/>
  <c r="S368" i="6" s="1"/>
  <c r="T368" i="6" s="1"/>
  <c r="U368" i="6" s="1"/>
  <c r="V368" i="6" s="1"/>
  <c r="W368" i="6" s="1"/>
  <c r="X368" i="6" s="1"/>
  <c r="Y368" i="6" s="1"/>
  <c r="Z368" i="6" s="1"/>
  <c r="Q368" i="6"/>
  <c r="L370" i="6"/>
  <c r="M370" i="6"/>
  <c r="N370" i="6"/>
  <c r="O370" i="6"/>
  <c r="P370" i="6"/>
  <c r="K370" i="6"/>
  <c r="L368" i="6"/>
  <c r="M368" i="6"/>
  <c r="N368" i="6"/>
  <c r="O368" i="6"/>
  <c r="P368" i="6"/>
  <c r="K368" i="6"/>
  <c r="Q366" i="6"/>
  <c r="R366" i="6"/>
  <c r="S366" i="6"/>
  <c r="T366" i="6"/>
  <c r="U366" i="6"/>
  <c r="V366" i="6"/>
  <c r="W366" i="6"/>
  <c r="X366" i="6"/>
  <c r="Y366" i="6"/>
  <c r="Z366" i="6"/>
  <c r="R362" i="6"/>
  <c r="S362" i="6"/>
  <c r="T362" i="6"/>
  <c r="U362" i="6" s="1"/>
  <c r="V362" i="6" s="1"/>
  <c r="W362" i="6" s="1"/>
  <c r="X362" i="6" s="1"/>
  <c r="Y362" i="6" s="1"/>
  <c r="Z362" i="6" s="1"/>
  <c r="Q362" i="6"/>
  <c r="L366" i="6"/>
  <c r="M366" i="6"/>
  <c r="N366" i="6"/>
  <c r="O366" i="6"/>
  <c r="P366" i="6"/>
  <c r="K366" i="6"/>
  <c r="L362" i="6"/>
  <c r="M362" i="6"/>
  <c r="N362" i="6"/>
  <c r="O362" i="6"/>
  <c r="P362" i="6"/>
  <c r="K362" i="6"/>
  <c r="L359" i="6"/>
  <c r="M359" i="6"/>
  <c r="N359" i="6"/>
  <c r="O359" i="6"/>
  <c r="P359" i="6"/>
  <c r="K359" i="6"/>
  <c r="L357" i="6"/>
  <c r="M357" i="6"/>
  <c r="N357" i="6"/>
  <c r="O357" i="6"/>
  <c r="P357" i="6"/>
  <c r="K357" i="6"/>
  <c r="M147" i="6"/>
  <c r="N147" i="6"/>
  <c r="O147" i="6"/>
  <c r="P147" i="6"/>
  <c r="L147" i="6"/>
  <c r="L146" i="6"/>
  <c r="M146" i="6"/>
  <c r="N146" i="6"/>
  <c r="O146" i="6"/>
  <c r="P146" i="6"/>
  <c r="K146" i="6"/>
  <c r="L145" i="6"/>
  <c r="M145" i="6"/>
  <c r="N145" i="6"/>
  <c r="O145" i="6"/>
  <c r="P145" i="6"/>
  <c r="K145" i="6"/>
  <c r="L143" i="6"/>
  <c r="M143" i="6"/>
  <c r="N143" i="6"/>
  <c r="O143" i="6"/>
  <c r="P143" i="6"/>
  <c r="K143" i="6"/>
  <c r="AA142" i="6"/>
  <c r="L142" i="6"/>
  <c r="M142" i="6"/>
  <c r="N142" i="6"/>
  <c r="O142" i="6"/>
  <c r="P142" i="6"/>
  <c r="K142" i="6"/>
  <c r="L136" i="6"/>
  <c r="M136" i="6"/>
  <c r="N136" i="6"/>
  <c r="O136" i="6"/>
  <c r="P136" i="6"/>
  <c r="K136" i="6"/>
  <c r="W130" i="6"/>
  <c r="W133" i="6" s="1"/>
  <c r="X130" i="6"/>
  <c r="X133" i="6" s="1"/>
  <c r="R130" i="6"/>
  <c r="Q130" i="6"/>
  <c r="Q133" i="6" s="1"/>
  <c r="Q42" i="8" s="1"/>
  <c r="L131" i="6"/>
  <c r="M131" i="6"/>
  <c r="N131" i="6"/>
  <c r="O131" i="6"/>
  <c r="P131" i="6"/>
  <c r="K131" i="6"/>
  <c r="L133" i="6"/>
  <c r="M133" i="6"/>
  <c r="N133" i="6"/>
  <c r="O133" i="6"/>
  <c r="P133" i="6"/>
  <c r="K133" i="6"/>
  <c r="L130" i="6"/>
  <c r="M130" i="6"/>
  <c r="N130" i="6"/>
  <c r="O130" i="6"/>
  <c r="P130" i="6"/>
  <c r="K130" i="6"/>
  <c r="L128" i="6"/>
  <c r="M128" i="6"/>
  <c r="N128" i="6"/>
  <c r="O128" i="6"/>
  <c r="P128" i="6"/>
  <c r="K128" i="6"/>
  <c r="L127" i="6"/>
  <c r="M127" i="6"/>
  <c r="N127" i="6"/>
  <c r="O127" i="6"/>
  <c r="P127" i="6"/>
  <c r="K127" i="6"/>
  <c r="R117" i="6"/>
  <c r="T117" i="6" s="1"/>
  <c r="S117" i="6"/>
  <c r="Q117" i="6"/>
  <c r="L117" i="6"/>
  <c r="M117" i="6"/>
  <c r="N117" i="6"/>
  <c r="O117" i="6"/>
  <c r="P117" i="6"/>
  <c r="L118" i="6"/>
  <c r="M118" i="6"/>
  <c r="N118" i="6"/>
  <c r="O118" i="6"/>
  <c r="P118" i="6"/>
  <c r="K118" i="6"/>
  <c r="K117" i="6"/>
  <c r="L116" i="6"/>
  <c r="M116" i="6"/>
  <c r="N116" i="6"/>
  <c r="O116" i="6"/>
  <c r="P116" i="6"/>
  <c r="K116" i="6"/>
  <c r="M114" i="6"/>
  <c r="N114" i="6"/>
  <c r="O114" i="6"/>
  <c r="P114" i="6"/>
  <c r="L114" i="6"/>
  <c r="L113" i="6"/>
  <c r="M113" i="6"/>
  <c r="N113" i="6"/>
  <c r="O113" i="6"/>
  <c r="P113" i="6"/>
  <c r="K113" i="6"/>
  <c r="L112" i="6"/>
  <c r="M112" i="6"/>
  <c r="N112" i="6"/>
  <c r="O112" i="6"/>
  <c r="P112" i="6"/>
  <c r="K112" i="6"/>
  <c r="L110" i="6"/>
  <c r="M110" i="6"/>
  <c r="N110" i="6"/>
  <c r="O110" i="6"/>
  <c r="P110" i="6"/>
  <c r="K110" i="6"/>
  <c r="L109" i="6"/>
  <c r="M109" i="6"/>
  <c r="N109" i="6"/>
  <c r="O109" i="6"/>
  <c r="P109" i="6"/>
  <c r="K109" i="6"/>
  <c r="R139" i="6"/>
  <c r="S139" i="6"/>
  <c r="T139" i="6" s="1"/>
  <c r="U139" i="6" s="1"/>
  <c r="V139" i="6" s="1"/>
  <c r="W139" i="6" s="1"/>
  <c r="X139" i="6" s="1"/>
  <c r="Y139" i="6" s="1"/>
  <c r="Z139" i="6" s="1"/>
  <c r="Q139" i="6"/>
  <c r="R138" i="6"/>
  <c r="S138" i="6"/>
  <c r="T138" i="6" s="1"/>
  <c r="U138" i="6" s="1"/>
  <c r="V138" i="6" s="1"/>
  <c r="W138" i="6" s="1"/>
  <c r="X138" i="6" s="1"/>
  <c r="Y138" i="6" s="1"/>
  <c r="Z138" i="6" s="1"/>
  <c r="Q138" i="6"/>
  <c r="L139" i="6"/>
  <c r="M139" i="6"/>
  <c r="N139" i="6"/>
  <c r="O139" i="6"/>
  <c r="P139" i="6"/>
  <c r="K139" i="6"/>
  <c r="L138" i="6"/>
  <c r="M138" i="6"/>
  <c r="N138" i="6"/>
  <c r="O138" i="6"/>
  <c r="P138" i="6"/>
  <c r="K138" i="6"/>
  <c r="M107" i="6"/>
  <c r="N107" i="6"/>
  <c r="O107" i="6"/>
  <c r="P107" i="6"/>
  <c r="L107" i="6"/>
  <c r="L106" i="6"/>
  <c r="M106" i="6"/>
  <c r="N106" i="6"/>
  <c r="O106" i="6"/>
  <c r="P106" i="6"/>
  <c r="K106" i="6"/>
  <c r="L102" i="6"/>
  <c r="M102" i="6"/>
  <c r="N102" i="6"/>
  <c r="O102" i="6"/>
  <c r="P102" i="6"/>
  <c r="K102" i="6"/>
  <c r="L100" i="6"/>
  <c r="M100" i="6"/>
  <c r="N100" i="6"/>
  <c r="O100" i="6"/>
  <c r="P100" i="6"/>
  <c r="K100" i="6"/>
  <c r="L98" i="6"/>
  <c r="M98" i="6"/>
  <c r="N98" i="6"/>
  <c r="O98" i="6"/>
  <c r="P98" i="6"/>
  <c r="K98" i="6"/>
  <c r="L29" i="5"/>
  <c r="M29" i="5"/>
  <c r="N29" i="5"/>
  <c r="O29" i="5"/>
  <c r="P29" i="5"/>
  <c r="K29" i="5"/>
  <c r="L28" i="5"/>
  <c r="M28" i="5"/>
  <c r="N28" i="5"/>
  <c r="O28" i="5"/>
  <c r="P28" i="5"/>
  <c r="K28" i="5"/>
  <c r="P14" i="5"/>
  <c r="P13" i="5"/>
  <c r="P11" i="5"/>
  <c r="P10" i="5"/>
  <c r="O14" i="5"/>
  <c r="O13" i="5"/>
  <c r="O11" i="5"/>
  <c r="O10" i="5"/>
  <c r="N13" i="5"/>
  <c r="N14" i="5"/>
  <c r="N11" i="5"/>
  <c r="N10" i="5"/>
  <c r="N9" i="5" s="1"/>
  <c r="N8" i="5" s="1"/>
  <c r="M13" i="5"/>
  <c r="M14" i="5"/>
  <c r="M11" i="5"/>
  <c r="M10" i="5"/>
  <c r="L13" i="5"/>
  <c r="L14" i="5"/>
  <c r="L12" i="5"/>
  <c r="M12" i="5"/>
  <c r="N12" i="5"/>
  <c r="O12" i="5"/>
  <c r="P12" i="5"/>
  <c r="L9" i="5"/>
  <c r="L8" i="5" s="1"/>
  <c r="M9" i="5"/>
  <c r="M8" i="5" s="1"/>
  <c r="O9" i="5"/>
  <c r="O8" i="5" s="1"/>
  <c r="P9" i="5"/>
  <c r="P8" i="5" s="1"/>
  <c r="L112" i="8" l="1"/>
  <c r="L113" i="8" s="1"/>
  <c r="N100" i="8"/>
  <c r="N112" i="8"/>
  <c r="N113" i="8" s="1"/>
  <c r="K100" i="8"/>
  <c r="K112" i="8"/>
  <c r="K113" i="8" s="1"/>
  <c r="R380" i="6"/>
  <c r="R133" i="6"/>
  <c r="V130" i="6"/>
  <c r="U130" i="6"/>
  <c r="T130" i="6"/>
  <c r="S130" i="6"/>
  <c r="Y130" i="6"/>
  <c r="U117" i="6"/>
  <c r="S380" i="6" l="1"/>
  <c r="R382" i="6"/>
  <c r="R383" i="6" s="1"/>
  <c r="T133" i="6"/>
  <c r="S133" i="6"/>
  <c r="U133" i="6"/>
  <c r="V133" i="6"/>
  <c r="Y133" i="6"/>
  <c r="V117" i="6"/>
  <c r="K12" i="5"/>
  <c r="K8" i="5"/>
  <c r="K14" i="5"/>
  <c r="K13" i="5"/>
  <c r="K9" i="5"/>
  <c r="Q96" i="6"/>
  <c r="R96" i="6"/>
  <c r="S96" i="6"/>
  <c r="T96" i="6"/>
  <c r="U96" i="6"/>
  <c r="V96" i="6"/>
  <c r="W96" i="6"/>
  <c r="X96" i="6"/>
  <c r="Y96" i="6"/>
  <c r="Z96" i="6"/>
  <c r="P91" i="6"/>
  <c r="O91" i="6"/>
  <c r="M91" i="6"/>
  <c r="L91" i="6"/>
  <c r="K91" i="6"/>
  <c r="N91" i="6"/>
  <c r="P87" i="6"/>
  <c r="O87" i="6"/>
  <c r="N87" i="6"/>
  <c r="M87" i="6"/>
  <c r="L56" i="6"/>
  <c r="M56" i="6"/>
  <c r="N56" i="6"/>
  <c r="O56" i="6"/>
  <c r="P56" i="6"/>
  <c r="K56" i="6"/>
  <c r="Q82" i="6"/>
  <c r="R82" i="6"/>
  <c r="S82" i="6"/>
  <c r="T82" i="6"/>
  <c r="U82" i="6"/>
  <c r="V82" i="6"/>
  <c r="W82" i="6"/>
  <c r="X82" i="6"/>
  <c r="Y82" i="6"/>
  <c r="Z82" i="6"/>
  <c r="R79" i="6"/>
  <c r="S79" i="6"/>
  <c r="T79" i="6" s="1"/>
  <c r="U79" i="6" s="1"/>
  <c r="V79" i="6" s="1"/>
  <c r="W79" i="6" s="1"/>
  <c r="X79" i="6" s="1"/>
  <c r="Y79" i="6" s="1"/>
  <c r="Z79" i="6" s="1"/>
  <c r="Q79" i="6"/>
  <c r="R76" i="6"/>
  <c r="S76" i="6" s="1"/>
  <c r="Q76" i="6"/>
  <c r="R74" i="6"/>
  <c r="S74" i="6"/>
  <c r="T74" i="6"/>
  <c r="U74" i="6"/>
  <c r="V74" i="6"/>
  <c r="W74" i="6"/>
  <c r="X74" i="6"/>
  <c r="Y74" i="6"/>
  <c r="Z74" i="6"/>
  <c r="Q74" i="6"/>
  <c r="R73" i="6"/>
  <c r="S73" i="6"/>
  <c r="T73" i="6"/>
  <c r="U73" i="6"/>
  <c r="V73" i="6"/>
  <c r="W73" i="6"/>
  <c r="X73" i="6"/>
  <c r="Y73" i="6"/>
  <c r="Z73" i="6"/>
  <c r="Q73" i="6"/>
  <c r="Q175" i="6"/>
  <c r="Q174" i="6"/>
  <c r="W65" i="6"/>
  <c r="X65" i="6" s="1"/>
  <c r="V65" i="6"/>
  <c r="U65" i="6"/>
  <c r="T65" i="6"/>
  <c r="S65" i="6"/>
  <c r="R65" i="6"/>
  <c r="Q65" i="6"/>
  <c r="R64" i="6"/>
  <c r="S64" i="6" s="1"/>
  <c r="T64" i="6" s="1"/>
  <c r="U64" i="6" s="1"/>
  <c r="V64" i="6" s="1"/>
  <c r="W64" i="6" s="1"/>
  <c r="X64" i="6" s="1"/>
  <c r="Y64" i="6" s="1"/>
  <c r="Z64" i="6" s="1"/>
  <c r="Q64" i="6"/>
  <c r="R63" i="6"/>
  <c r="S63" i="6" s="1"/>
  <c r="T63" i="6" s="1"/>
  <c r="U63" i="6" s="1"/>
  <c r="V63" i="6" s="1"/>
  <c r="W63" i="6" s="1"/>
  <c r="X63" i="6" s="1"/>
  <c r="Y63" i="6" s="1"/>
  <c r="Z63" i="6" s="1"/>
  <c r="Q63" i="6"/>
  <c r="R62" i="6"/>
  <c r="S62" i="6"/>
  <c r="T62" i="6" s="1"/>
  <c r="U62" i="6" s="1"/>
  <c r="V62" i="6" s="1"/>
  <c r="W62" i="6" s="1"/>
  <c r="X62" i="6" s="1"/>
  <c r="Y62" i="6" s="1"/>
  <c r="Z62" i="6" s="1"/>
  <c r="Q62" i="6"/>
  <c r="Q52" i="6"/>
  <c r="R52" i="6"/>
  <c r="S52" i="6"/>
  <c r="T52" i="6"/>
  <c r="U52" i="6"/>
  <c r="V52" i="6"/>
  <c r="W52" i="6"/>
  <c r="X52" i="6"/>
  <c r="Y52" i="6"/>
  <c r="Z52" i="6"/>
  <c r="R49" i="6"/>
  <c r="S49" i="6"/>
  <c r="T49" i="6"/>
  <c r="U49" i="6"/>
  <c r="V49" i="6"/>
  <c r="W49" i="6"/>
  <c r="X49" i="6"/>
  <c r="Y49" i="6"/>
  <c r="Z49" i="6"/>
  <c r="Q49" i="6"/>
  <c r="R48" i="6"/>
  <c r="S48" i="6" s="1"/>
  <c r="Q48" i="6"/>
  <c r="P48" i="6"/>
  <c r="L48" i="6"/>
  <c r="M48" i="6"/>
  <c r="N48" i="6"/>
  <c r="O48" i="6"/>
  <c r="K48" i="6"/>
  <c r="L90" i="6"/>
  <c r="M90" i="6"/>
  <c r="N90" i="6"/>
  <c r="O90" i="6"/>
  <c r="P90" i="6"/>
  <c r="K90" i="6"/>
  <c r="L88" i="6"/>
  <c r="M88" i="6"/>
  <c r="N88" i="6"/>
  <c r="O88" i="6"/>
  <c r="P88" i="6"/>
  <c r="K88" i="6"/>
  <c r="L82" i="6"/>
  <c r="M82" i="6"/>
  <c r="N82" i="6"/>
  <c r="O82" i="6"/>
  <c r="P82" i="6"/>
  <c r="K82" i="6"/>
  <c r="L79" i="6"/>
  <c r="M79" i="6"/>
  <c r="N79" i="6"/>
  <c r="O79" i="6"/>
  <c r="P79" i="6"/>
  <c r="K79" i="6"/>
  <c r="L77" i="6"/>
  <c r="M77" i="6"/>
  <c r="N77" i="6"/>
  <c r="O77" i="6"/>
  <c r="P77" i="6"/>
  <c r="K77" i="6"/>
  <c r="L76" i="6"/>
  <c r="M76" i="6"/>
  <c r="N76" i="6"/>
  <c r="O76" i="6"/>
  <c r="P76" i="6"/>
  <c r="K76" i="6"/>
  <c r="L75" i="6"/>
  <c r="M75" i="6"/>
  <c r="N75" i="6"/>
  <c r="O75" i="6"/>
  <c r="P75" i="6"/>
  <c r="K75" i="6"/>
  <c r="L69" i="6"/>
  <c r="M69" i="6"/>
  <c r="N69" i="6"/>
  <c r="O69" i="6"/>
  <c r="P69" i="6"/>
  <c r="K69" i="6"/>
  <c r="L68" i="6"/>
  <c r="M68" i="6"/>
  <c r="N68" i="6"/>
  <c r="O68" i="6"/>
  <c r="P68" i="6"/>
  <c r="K68" i="6"/>
  <c r="L66" i="6"/>
  <c r="M66" i="6"/>
  <c r="N66" i="6"/>
  <c r="O66" i="6"/>
  <c r="P66" i="6"/>
  <c r="K66" i="6"/>
  <c r="L59" i="6"/>
  <c r="M59" i="6"/>
  <c r="N59" i="6"/>
  <c r="O59" i="6"/>
  <c r="P59" i="6"/>
  <c r="K59" i="6"/>
  <c r="L65" i="6"/>
  <c r="M65" i="6"/>
  <c r="N65" i="6"/>
  <c r="O65" i="6"/>
  <c r="P65" i="6"/>
  <c r="K65" i="6"/>
  <c r="L64" i="6"/>
  <c r="M64" i="6"/>
  <c r="N64" i="6"/>
  <c r="O64" i="6"/>
  <c r="P64" i="6"/>
  <c r="K64" i="6"/>
  <c r="L63" i="6"/>
  <c r="M63" i="6"/>
  <c r="N63" i="6"/>
  <c r="O63" i="6"/>
  <c r="P63" i="6"/>
  <c r="K63" i="6"/>
  <c r="L62" i="6"/>
  <c r="M62" i="6"/>
  <c r="N62" i="6"/>
  <c r="O62" i="6"/>
  <c r="P62" i="6"/>
  <c r="K62" i="6"/>
  <c r="L61" i="6"/>
  <c r="M61" i="6"/>
  <c r="N61" i="6"/>
  <c r="O61" i="6"/>
  <c r="P61" i="6"/>
  <c r="K61" i="6"/>
  <c r="L58" i="6"/>
  <c r="M58" i="6"/>
  <c r="N58" i="6"/>
  <c r="O58" i="6"/>
  <c r="P58" i="6"/>
  <c r="K58" i="6"/>
  <c r="L54" i="6"/>
  <c r="M54" i="6"/>
  <c r="N54" i="6"/>
  <c r="O54" i="6"/>
  <c r="P54" i="6"/>
  <c r="K54" i="6"/>
  <c r="L52" i="6"/>
  <c r="M52" i="6"/>
  <c r="N52" i="6"/>
  <c r="O52" i="6"/>
  <c r="P52" i="6"/>
  <c r="K52" i="6"/>
  <c r="L49" i="6"/>
  <c r="M49" i="6"/>
  <c r="N49" i="6"/>
  <c r="O49" i="6"/>
  <c r="P49" i="6"/>
  <c r="K49" i="6"/>
  <c r="S382" i="6" l="1"/>
  <c r="S383" i="6" s="1"/>
  <c r="T380" i="6"/>
  <c r="W117" i="6"/>
  <c r="T76" i="6"/>
  <c r="U76" i="6"/>
  <c r="X76" i="6" s="1"/>
  <c r="V76" i="6"/>
  <c r="W76" i="6"/>
  <c r="Y76" i="6" s="1"/>
  <c r="Y65" i="6"/>
  <c r="Z65" i="6" s="1"/>
  <c r="T48" i="6"/>
  <c r="U380" i="6" l="1"/>
  <c r="T382" i="6"/>
  <c r="T383" i="6" s="1"/>
  <c r="X117" i="6"/>
  <c r="Z76" i="6"/>
  <c r="U48" i="6"/>
  <c r="V48" i="6"/>
  <c r="W48" i="6" s="1"/>
  <c r="V380" i="6" l="1"/>
  <c r="U382" i="6"/>
  <c r="U383" i="6" s="1"/>
  <c r="Y117" i="6"/>
  <c r="Z117" i="6" s="1"/>
  <c r="Z48" i="6"/>
  <c r="X48" i="6"/>
  <c r="Y48" i="6"/>
  <c r="W380" i="6" l="1"/>
  <c r="V382" i="6"/>
  <c r="V383" i="6" s="1"/>
  <c r="X380" i="6" l="1"/>
  <c r="W382" i="6"/>
  <c r="W383" i="6" s="1"/>
  <c r="Y380" i="6" l="1"/>
  <c r="X382" i="6"/>
  <c r="X383" i="6" s="1"/>
  <c r="Z380" i="6" l="1"/>
  <c r="Z382" i="6" s="1"/>
  <c r="Y382" i="6"/>
  <c r="Y383" i="6" s="1"/>
  <c r="Z383" i="6" l="1"/>
  <c r="L347" i="6" l="1"/>
  <c r="M347" i="6"/>
  <c r="N347" i="6"/>
  <c r="O347" i="6"/>
  <c r="P347" i="6"/>
  <c r="K347" i="6"/>
  <c r="L345" i="6"/>
  <c r="M345" i="6"/>
  <c r="N345" i="6"/>
  <c r="O345" i="6"/>
  <c r="P345" i="6"/>
  <c r="K345" i="6"/>
  <c r="L343" i="6"/>
  <c r="M343" i="6"/>
  <c r="N343" i="6"/>
  <c r="O343" i="6"/>
  <c r="P343" i="6"/>
  <c r="K343" i="6"/>
  <c r="L340" i="6"/>
  <c r="M340" i="6"/>
  <c r="N340" i="6"/>
  <c r="O340" i="6"/>
  <c r="P340" i="6"/>
  <c r="K340" i="6"/>
  <c r="L336" i="6"/>
  <c r="M336" i="6"/>
  <c r="N336" i="6"/>
  <c r="O336" i="6"/>
  <c r="P336" i="6"/>
  <c r="Q336" i="6"/>
  <c r="R336" i="6"/>
  <c r="S336" i="6"/>
  <c r="T336" i="6"/>
  <c r="U336" i="6"/>
  <c r="V336" i="6"/>
  <c r="W336" i="6"/>
  <c r="X336" i="6"/>
  <c r="Y336" i="6"/>
  <c r="Z336" i="6"/>
  <c r="K336" i="6"/>
  <c r="L332" i="6"/>
  <c r="M332" i="6"/>
  <c r="N332" i="6"/>
  <c r="O332" i="6"/>
  <c r="P332" i="6"/>
  <c r="Q332" i="6"/>
  <c r="R332" i="6"/>
  <c r="S332" i="6"/>
  <c r="T332" i="6"/>
  <c r="U332" i="6"/>
  <c r="V332" i="6"/>
  <c r="W332" i="6"/>
  <c r="X332" i="6"/>
  <c r="Y332" i="6"/>
  <c r="Z332" i="6"/>
  <c r="K332" i="6"/>
  <c r="L330" i="6"/>
  <c r="M330" i="6"/>
  <c r="N330" i="6"/>
  <c r="O330" i="6"/>
  <c r="P330" i="6"/>
  <c r="K330" i="6"/>
  <c r="L329" i="6"/>
  <c r="M329" i="6"/>
  <c r="N329" i="6"/>
  <c r="O329" i="6"/>
  <c r="P329" i="6"/>
  <c r="K329" i="6"/>
  <c r="J305" i="6"/>
  <c r="Q306" i="6"/>
  <c r="Q299" i="6"/>
  <c r="L305" i="6"/>
  <c r="M305" i="6"/>
  <c r="N305" i="6"/>
  <c r="O305" i="6"/>
  <c r="P305" i="6"/>
  <c r="K305" i="6"/>
  <c r="K304" i="6"/>
  <c r="L304" i="6"/>
  <c r="M304" i="6"/>
  <c r="N304" i="6"/>
  <c r="O304" i="6"/>
  <c r="P304" i="6"/>
  <c r="J304" i="6"/>
  <c r="L293" i="6"/>
  <c r="M293" i="6"/>
  <c r="N293" i="6"/>
  <c r="O293" i="6"/>
  <c r="P293" i="6"/>
  <c r="K293" i="6"/>
  <c r="L291" i="6" l="1"/>
  <c r="M291" i="6"/>
  <c r="N291" i="6"/>
  <c r="O291" i="6"/>
  <c r="P291" i="6"/>
  <c r="K291" i="6"/>
  <c r="J207" i="6"/>
  <c r="L286" i="6"/>
  <c r="M286" i="6"/>
  <c r="N286" i="6"/>
  <c r="O286" i="6"/>
  <c r="P286" i="6"/>
  <c r="K286" i="6"/>
  <c r="L281" i="6"/>
  <c r="M281" i="6"/>
  <c r="N281" i="6"/>
  <c r="O281" i="6"/>
  <c r="P281" i="6"/>
  <c r="K281" i="6"/>
  <c r="Q276" i="6"/>
  <c r="B1" i="13"/>
  <c r="R242" i="13"/>
  <c r="R239" i="13"/>
  <c r="R231" i="13"/>
  <c r="R228" i="13"/>
  <c r="R220" i="13"/>
  <c r="R217" i="13"/>
  <c r="R209" i="13"/>
  <c r="R206" i="13"/>
  <c r="R198" i="13"/>
  <c r="R195" i="13"/>
  <c r="R187" i="13"/>
  <c r="R184" i="13"/>
  <c r="R176" i="13"/>
  <c r="R173" i="13"/>
  <c r="R165" i="13"/>
  <c r="R162" i="13"/>
  <c r="L278" i="6" l="1"/>
  <c r="M278" i="6"/>
  <c r="N278" i="6"/>
  <c r="O278" i="6"/>
  <c r="P278" i="6"/>
  <c r="L195" i="6"/>
  <c r="M195" i="6"/>
  <c r="N195" i="6"/>
  <c r="O195" i="6"/>
  <c r="P195" i="6"/>
  <c r="K195" i="6"/>
  <c r="K278" i="6" s="1"/>
  <c r="L279" i="6"/>
  <c r="M279" i="6"/>
  <c r="N279" i="6"/>
  <c r="O279" i="6"/>
  <c r="P279" i="6"/>
  <c r="K279" i="6"/>
  <c r="L275" i="6"/>
  <c r="M275" i="6"/>
  <c r="N275" i="6"/>
  <c r="O275" i="6"/>
  <c r="P275" i="6"/>
  <c r="K275" i="6"/>
  <c r="M258" i="6"/>
  <c r="N258" i="6"/>
  <c r="O258" i="6"/>
  <c r="P258" i="6"/>
  <c r="L258" i="6"/>
  <c r="L259" i="6"/>
  <c r="M259" i="6"/>
  <c r="N259" i="6"/>
  <c r="O259" i="6"/>
  <c r="P259" i="6"/>
  <c r="K259" i="6"/>
  <c r="L256" i="6"/>
  <c r="M256" i="6"/>
  <c r="N256" i="6"/>
  <c r="O256" i="6"/>
  <c r="P256" i="6"/>
  <c r="K256" i="6"/>
  <c r="R251" i="6"/>
  <c r="S251" i="6"/>
  <c r="T251" i="6" s="1"/>
  <c r="Q251" i="6"/>
  <c r="Q254" i="6"/>
  <c r="R254" i="6"/>
  <c r="L254" i="6"/>
  <c r="M254" i="6"/>
  <c r="N254" i="6"/>
  <c r="O254" i="6"/>
  <c r="P254" i="6"/>
  <c r="K254" i="6"/>
  <c r="L251" i="6"/>
  <c r="M251" i="6"/>
  <c r="N251" i="6"/>
  <c r="O251" i="6"/>
  <c r="P251" i="6"/>
  <c r="K251" i="6"/>
  <c r="L249" i="6"/>
  <c r="M249" i="6"/>
  <c r="N249" i="6"/>
  <c r="O249" i="6"/>
  <c r="P249" i="6"/>
  <c r="K249" i="6"/>
  <c r="L246" i="6"/>
  <c r="M246" i="6"/>
  <c r="N246" i="6"/>
  <c r="O246" i="6"/>
  <c r="P246" i="6"/>
  <c r="K246" i="6"/>
  <c r="L244" i="6"/>
  <c r="M244" i="6"/>
  <c r="N244" i="6"/>
  <c r="O244" i="6"/>
  <c r="P244" i="6"/>
  <c r="K244" i="6"/>
  <c r="L240" i="6"/>
  <c r="M240" i="6"/>
  <c r="N240" i="6"/>
  <c r="O240" i="6"/>
  <c r="P240" i="6"/>
  <c r="K240" i="6"/>
  <c r="L238" i="6"/>
  <c r="M238" i="6"/>
  <c r="N238" i="6"/>
  <c r="O238" i="6"/>
  <c r="P238" i="6"/>
  <c r="K238" i="6"/>
  <c r="L234" i="6"/>
  <c r="M234" i="6"/>
  <c r="N234" i="6"/>
  <c r="O234" i="6"/>
  <c r="P234" i="6"/>
  <c r="K234" i="6"/>
  <c r="L232" i="6"/>
  <c r="M232" i="6"/>
  <c r="N232" i="6"/>
  <c r="O232" i="6"/>
  <c r="P232" i="6"/>
  <c r="K232" i="6"/>
  <c r="L228" i="6"/>
  <c r="M228" i="6"/>
  <c r="N228" i="6"/>
  <c r="O228" i="6"/>
  <c r="P228" i="6"/>
  <c r="K228" i="6"/>
  <c r="L226" i="6"/>
  <c r="M226" i="6"/>
  <c r="N226" i="6"/>
  <c r="O226" i="6"/>
  <c r="P226" i="6"/>
  <c r="K226" i="6"/>
  <c r="L222" i="6"/>
  <c r="M222" i="6"/>
  <c r="N222" i="6"/>
  <c r="O222" i="6"/>
  <c r="P222" i="6"/>
  <c r="K222" i="6"/>
  <c r="L220" i="6"/>
  <c r="M220" i="6"/>
  <c r="N220" i="6"/>
  <c r="O220" i="6"/>
  <c r="P220" i="6"/>
  <c r="K220" i="6"/>
  <c r="L217" i="6"/>
  <c r="M217" i="6"/>
  <c r="N217" i="6"/>
  <c r="O217" i="6"/>
  <c r="P217" i="6"/>
  <c r="K217" i="6"/>
  <c r="L211" i="6"/>
  <c r="M211" i="6"/>
  <c r="N211" i="6"/>
  <c r="O211" i="6"/>
  <c r="P211" i="6"/>
  <c r="K211" i="6"/>
  <c r="L209" i="6"/>
  <c r="M209" i="6"/>
  <c r="N209" i="6"/>
  <c r="O209" i="6"/>
  <c r="P209" i="6"/>
  <c r="K209" i="6"/>
  <c r="R193" i="6"/>
  <c r="S193" i="6"/>
  <c r="T193" i="6"/>
  <c r="U193" i="6"/>
  <c r="V193" i="6"/>
  <c r="W193" i="6"/>
  <c r="X193" i="6"/>
  <c r="Y193" i="6"/>
  <c r="Z193" i="6"/>
  <c r="Q193" i="6"/>
  <c r="R191" i="6"/>
  <c r="S191" i="6"/>
  <c r="T191" i="6"/>
  <c r="U191" i="6"/>
  <c r="V191" i="6"/>
  <c r="W191" i="6"/>
  <c r="X191" i="6"/>
  <c r="Y191" i="6"/>
  <c r="Z191" i="6"/>
  <c r="Q191" i="6"/>
  <c r="S190" i="6"/>
  <c r="T190" i="6" s="1"/>
  <c r="U190" i="6" s="1"/>
  <c r="V190" i="6" s="1"/>
  <c r="W190" i="6" s="1"/>
  <c r="X190" i="6" s="1"/>
  <c r="Y190" i="6" s="1"/>
  <c r="Z190" i="6" s="1"/>
  <c r="R190" i="6"/>
  <c r="Q190" i="6"/>
  <c r="L193" i="6"/>
  <c r="M193" i="6"/>
  <c r="N193" i="6"/>
  <c r="O193" i="6"/>
  <c r="P193" i="6"/>
  <c r="K193" i="6"/>
  <c r="L191" i="6"/>
  <c r="M191" i="6"/>
  <c r="N191" i="6"/>
  <c r="O191" i="6"/>
  <c r="P191" i="6"/>
  <c r="K191" i="6"/>
  <c r="L190" i="6"/>
  <c r="M190" i="6"/>
  <c r="N190" i="6"/>
  <c r="O190" i="6"/>
  <c r="P190" i="6"/>
  <c r="K190" i="6"/>
  <c r="L189" i="6"/>
  <c r="M189" i="6"/>
  <c r="N189" i="6"/>
  <c r="O189" i="6"/>
  <c r="P189" i="6"/>
  <c r="K189" i="6"/>
  <c r="L187" i="6"/>
  <c r="M187" i="6"/>
  <c r="N187" i="6"/>
  <c r="O187" i="6"/>
  <c r="P187" i="6"/>
  <c r="K187" i="6"/>
  <c r="L207" i="6"/>
  <c r="M207" i="6"/>
  <c r="N207" i="6"/>
  <c r="O207" i="6"/>
  <c r="P207" i="6"/>
  <c r="K207" i="6"/>
  <c r="L206" i="6"/>
  <c r="M206" i="6"/>
  <c r="N206" i="6"/>
  <c r="O206" i="6"/>
  <c r="P206" i="6"/>
  <c r="K206" i="6"/>
  <c r="J197" i="6"/>
  <c r="L197" i="6"/>
  <c r="M197" i="6"/>
  <c r="N197" i="6"/>
  <c r="O197" i="6"/>
  <c r="P197" i="6"/>
  <c r="K197" i="6"/>
  <c r="L185" i="6"/>
  <c r="M185" i="6"/>
  <c r="N185" i="6"/>
  <c r="O185" i="6"/>
  <c r="P185" i="6"/>
  <c r="K185" i="6"/>
  <c r="L183" i="6"/>
  <c r="M183" i="6"/>
  <c r="N183" i="6"/>
  <c r="O183" i="6"/>
  <c r="P183" i="6"/>
  <c r="K183" i="6"/>
  <c r="L182" i="6"/>
  <c r="M182" i="6"/>
  <c r="N182" i="6"/>
  <c r="O182" i="6"/>
  <c r="P182" i="6"/>
  <c r="K182" i="6"/>
  <c r="L176" i="6"/>
  <c r="M176" i="6"/>
  <c r="N176" i="6"/>
  <c r="O176" i="6"/>
  <c r="P176" i="6"/>
  <c r="K176" i="6"/>
  <c r="L173" i="6"/>
  <c r="M173" i="6"/>
  <c r="N173" i="6"/>
  <c r="O173" i="6"/>
  <c r="P173" i="6"/>
  <c r="K173" i="6"/>
  <c r="L172" i="6"/>
  <c r="M172" i="6"/>
  <c r="N172" i="6"/>
  <c r="O172" i="6"/>
  <c r="P172" i="6"/>
  <c r="K172" i="6"/>
  <c r="L171" i="6"/>
  <c r="M171" i="6"/>
  <c r="N171" i="6"/>
  <c r="O171" i="6"/>
  <c r="P171" i="6"/>
  <c r="K171" i="6"/>
  <c r="M170" i="6"/>
  <c r="N170" i="6"/>
  <c r="O170" i="6"/>
  <c r="P170" i="6"/>
  <c r="L170" i="6"/>
  <c r="L169" i="6"/>
  <c r="M169" i="6"/>
  <c r="N169" i="6"/>
  <c r="O169" i="6"/>
  <c r="P169" i="6"/>
  <c r="K169" i="6"/>
  <c r="R164" i="6"/>
  <c r="S164" i="6" s="1"/>
  <c r="T164" i="6" s="1"/>
  <c r="U164" i="6" s="1"/>
  <c r="V164" i="6" s="1"/>
  <c r="W164" i="6" s="1"/>
  <c r="X164" i="6" s="1"/>
  <c r="Y164" i="6" s="1"/>
  <c r="Z164" i="6" s="1"/>
  <c r="Q164" i="6"/>
  <c r="P165" i="6"/>
  <c r="L166" i="6"/>
  <c r="M166" i="6"/>
  <c r="N166" i="6"/>
  <c r="O166" i="6"/>
  <c r="P166" i="6"/>
  <c r="K166" i="6"/>
  <c r="U251" i="6" l="1"/>
  <c r="T254" i="6"/>
  <c r="S254" i="6"/>
  <c r="V251" i="6" l="1"/>
  <c r="U254" i="6"/>
  <c r="W251" i="6" l="1"/>
  <c r="V254" i="6"/>
  <c r="W254" i="6" l="1"/>
  <c r="X251" i="6"/>
  <c r="X254" i="6" l="1"/>
  <c r="Y251" i="6"/>
  <c r="AB278" i="6" l="1"/>
  <c r="AC278" i="6" s="1"/>
  <c r="Z251" i="6"/>
  <c r="Z254" i="6" s="1"/>
  <c r="Y254" i="6"/>
  <c r="L160" i="6"/>
  <c r="M160" i="6"/>
  <c r="N160" i="6"/>
  <c r="O160" i="6"/>
  <c r="P160" i="6"/>
  <c r="K160" i="6"/>
  <c r="L162" i="6"/>
  <c r="M162" i="6"/>
  <c r="N162" i="6"/>
  <c r="O162" i="6"/>
  <c r="P162" i="6"/>
  <c r="K162" i="6"/>
  <c r="L161" i="6"/>
  <c r="M161" i="6"/>
  <c r="N161" i="6"/>
  <c r="O161" i="6"/>
  <c r="P161" i="6"/>
  <c r="K161" i="6"/>
  <c r="L110" i="22"/>
  <c r="K110" i="22"/>
  <c r="J108" i="22"/>
  <c r="J106" i="22"/>
  <c r="J251" i="22"/>
  <c r="K164" i="22"/>
  <c r="L164" i="22"/>
  <c r="M164" i="22"/>
  <c r="N164" i="22"/>
  <c r="O164" i="22"/>
  <c r="P164" i="22"/>
  <c r="Q164" i="22"/>
  <c r="R164" i="22"/>
  <c r="S164" i="22"/>
  <c r="E138" i="22"/>
  <c r="F138" i="22" s="1"/>
  <c r="G138" i="22" s="1"/>
  <c r="H138" i="22" s="1"/>
  <c r="I138" i="22" s="1"/>
  <c r="K246" i="22"/>
  <c r="M350" i="22"/>
  <c r="Q26" i="10"/>
  <c r="T239" i="13"/>
  <c r="T228" i="13"/>
  <c r="T217" i="13"/>
  <c r="T206" i="13"/>
  <c r="T195" i="13"/>
  <c r="T184" i="13"/>
  <c r="T173" i="13"/>
  <c r="U162" i="13"/>
  <c r="T162" i="13"/>
  <c r="T151" i="13"/>
  <c r="AB58" i="13"/>
  <c r="AA58" i="13"/>
  <c r="Z306" i="6" s="1"/>
  <c r="Z58" i="13"/>
  <c r="Y306" i="6" s="1"/>
  <c r="Y58" i="13"/>
  <c r="X306" i="6" s="1"/>
  <c r="X58" i="13"/>
  <c r="W306" i="6" s="1"/>
  <c r="W58" i="13"/>
  <c r="V306" i="6" s="1"/>
  <c r="V58" i="13"/>
  <c r="U306" i="6" s="1"/>
  <c r="U58" i="13"/>
  <c r="T306" i="6" s="1"/>
  <c r="T58" i="13"/>
  <c r="S306" i="6" s="1"/>
  <c r="S58" i="13"/>
  <c r="R306" i="6" s="1"/>
  <c r="R58" i="13"/>
  <c r="S4" i="13"/>
  <c r="S152" i="13" s="1"/>
  <c r="R3" i="13"/>
  <c r="R57" i="13" l="1"/>
  <c r="S54" i="13" s="1"/>
  <c r="S24" i="13" s="1"/>
  <c r="R46" i="13"/>
  <c r="S43" i="13" s="1"/>
  <c r="S17" i="13" s="1"/>
  <c r="R54" i="13"/>
  <c r="R24" i="13" s="1"/>
  <c r="R43" i="13"/>
  <c r="R17" i="13" s="1"/>
  <c r="S8" i="13"/>
  <c r="R11" i="13"/>
  <c r="R8" i="13"/>
  <c r="R12" i="13"/>
  <c r="S3" i="13"/>
  <c r="AD278" i="6"/>
  <c r="AE278" i="6" s="1"/>
  <c r="F103" i="13"/>
  <c r="S218" i="13"/>
  <c r="S185" i="13"/>
  <c r="S229" i="13"/>
  <c r="S196" i="13"/>
  <c r="S163" i="13"/>
  <c r="S240" i="13"/>
  <c r="S207" i="13"/>
  <c r="S174" i="13"/>
  <c r="T4" i="13"/>
  <c r="AF278" i="6" l="1"/>
  <c r="AG278" i="6" s="1"/>
  <c r="R59" i="13"/>
  <c r="R20" i="13"/>
  <c r="S11" i="13"/>
  <c r="R13" i="13"/>
  <c r="C53" i="13"/>
  <c r="S55" i="13" s="1"/>
  <c r="R27" i="13"/>
  <c r="R108" i="13"/>
  <c r="F150" i="13"/>
  <c r="T218" i="13"/>
  <c r="T185" i="13"/>
  <c r="T229" i="13"/>
  <c r="T196" i="13"/>
  <c r="T163" i="13"/>
  <c r="T240" i="13"/>
  <c r="T207" i="13"/>
  <c r="T209" i="13" s="1"/>
  <c r="U206" i="13" s="1"/>
  <c r="T174" i="13"/>
  <c r="T3" i="13"/>
  <c r="U4" i="13"/>
  <c r="S57" i="13"/>
  <c r="R47" i="13" l="1"/>
  <c r="R48" i="13" s="1"/>
  <c r="R21" i="13" s="1"/>
  <c r="S13" i="13"/>
  <c r="T13" i="13" s="1"/>
  <c r="U13" i="13" s="1"/>
  <c r="AH278" i="6"/>
  <c r="AI278" i="6" s="1"/>
  <c r="R155" i="13"/>
  <c r="F161" i="13"/>
  <c r="S108" i="13"/>
  <c r="T108" i="13" s="1"/>
  <c r="U108" i="13" s="1"/>
  <c r="R109" i="13"/>
  <c r="U229" i="13"/>
  <c r="U196" i="13"/>
  <c r="U240" i="13"/>
  <c r="U207" i="13"/>
  <c r="U209" i="13" s="1"/>
  <c r="V206" i="13" s="1"/>
  <c r="U174" i="13"/>
  <c r="U218" i="13"/>
  <c r="U185" i="13"/>
  <c r="U105" i="13"/>
  <c r="V4" i="13"/>
  <c r="U3" i="13"/>
  <c r="U152" i="13"/>
  <c r="T54" i="13"/>
  <c r="S59" i="13"/>
  <c r="T55" i="13"/>
  <c r="AJ278" i="6" l="1"/>
  <c r="AK278" i="6" s="1"/>
  <c r="AL278" i="6" s="1"/>
  <c r="F172" i="13"/>
  <c r="R166" i="13"/>
  <c r="R156" i="13"/>
  <c r="S155" i="13"/>
  <c r="V13" i="13"/>
  <c r="V108" i="13"/>
  <c r="V240" i="13"/>
  <c r="V207" i="13"/>
  <c r="V209" i="13" s="1"/>
  <c r="W206" i="13" s="1"/>
  <c r="V152" i="13"/>
  <c r="V229" i="13"/>
  <c r="V196" i="13"/>
  <c r="V163" i="13"/>
  <c r="V105" i="13"/>
  <c r="W4" i="13"/>
  <c r="V185" i="13"/>
  <c r="V218" i="13"/>
  <c r="V3" i="13"/>
  <c r="T57" i="13"/>
  <c r="U55" i="13" s="1"/>
  <c r="T59" i="13" l="1"/>
  <c r="AM278" i="6"/>
  <c r="R177" i="13"/>
  <c r="F183" i="13"/>
  <c r="S156" i="13"/>
  <c r="T155" i="13"/>
  <c r="U155" i="13" s="1"/>
  <c r="V155" i="13" s="1"/>
  <c r="W155" i="13" s="1"/>
  <c r="S166" i="13"/>
  <c r="R167" i="13"/>
  <c r="W152" i="13"/>
  <c r="W240" i="13"/>
  <c r="W207" i="13"/>
  <c r="W209" i="13" s="1"/>
  <c r="X206" i="13" s="1"/>
  <c r="W3" i="13"/>
  <c r="W163" i="13"/>
  <c r="W174" i="13"/>
  <c r="W196" i="13"/>
  <c r="X4" i="13"/>
  <c r="W105" i="13"/>
  <c r="W229" i="13"/>
  <c r="W218" i="13"/>
  <c r="W13" i="13"/>
  <c r="U54" i="13"/>
  <c r="W108" i="13"/>
  <c r="AN278" i="6" l="1"/>
  <c r="R188" i="13"/>
  <c r="F194" i="13"/>
  <c r="T166" i="13"/>
  <c r="S167" i="13"/>
  <c r="R178" i="13"/>
  <c r="S177" i="13"/>
  <c r="X218" i="13"/>
  <c r="X185" i="13"/>
  <c r="X105" i="13"/>
  <c r="X174" i="13"/>
  <c r="X163" i="13"/>
  <c r="X207" i="13"/>
  <c r="X209" i="13" s="1"/>
  <c r="Y206" i="13" s="1"/>
  <c r="X152" i="13"/>
  <c r="Y4" i="13"/>
  <c r="X240" i="13"/>
  <c r="X229" i="13"/>
  <c r="X3" i="13"/>
  <c r="U57" i="13"/>
  <c r="U59" i="13" s="1"/>
  <c r="X13" i="13"/>
  <c r="X155" i="13"/>
  <c r="X108" i="13"/>
  <c r="AO278" i="6" l="1"/>
  <c r="AP278" i="6" s="1"/>
  <c r="U166" i="13"/>
  <c r="T167" i="13"/>
  <c r="R189" i="13"/>
  <c r="S188" i="13"/>
  <c r="F205" i="13"/>
  <c r="R199" i="13"/>
  <c r="S178" i="13"/>
  <c r="T177" i="13"/>
  <c r="Y108" i="13"/>
  <c r="Y155" i="13"/>
  <c r="Y218" i="13"/>
  <c r="Y185" i="13"/>
  <c r="Y229" i="13"/>
  <c r="Y196" i="13"/>
  <c r="Y163" i="13"/>
  <c r="Y152" i="13"/>
  <c r="Y174" i="13"/>
  <c r="Z4" i="13"/>
  <c r="Y240" i="13"/>
  <c r="Y3" i="13"/>
  <c r="Y105" i="13"/>
  <c r="Y13" i="13"/>
  <c r="V54" i="13"/>
  <c r="V55" i="13"/>
  <c r="AQ278" i="6" l="1"/>
  <c r="AR278" i="6" s="1"/>
  <c r="S199" i="13"/>
  <c r="R200" i="13"/>
  <c r="S189" i="13"/>
  <c r="T188" i="13"/>
  <c r="R210" i="13"/>
  <c r="F216" i="13"/>
  <c r="U177" i="13"/>
  <c r="V166" i="13"/>
  <c r="Z108" i="13"/>
  <c r="Z185" i="13"/>
  <c r="Z105" i="13"/>
  <c r="Z229" i="13"/>
  <c r="Z196" i="13"/>
  <c r="Z163" i="13"/>
  <c r="Z240" i="13"/>
  <c r="Z207" i="13"/>
  <c r="Z174" i="13"/>
  <c r="AA4" i="13"/>
  <c r="Z3" i="13"/>
  <c r="Z152" i="13"/>
  <c r="V57" i="13"/>
  <c r="W55" i="13" s="1"/>
  <c r="Z13" i="13"/>
  <c r="Z155" i="13"/>
  <c r="AS278" i="6" l="1"/>
  <c r="AT278" i="6" s="1"/>
  <c r="AU278" i="6" s="1"/>
  <c r="W166" i="13"/>
  <c r="F227" i="13"/>
  <c r="R221" i="13"/>
  <c r="U188" i="13"/>
  <c r="V177" i="13"/>
  <c r="S200" i="13"/>
  <c r="T199" i="13"/>
  <c r="S210" i="13"/>
  <c r="R211" i="13"/>
  <c r="AA155" i="13"/>
  <c r="V59" i="13"/>
  <c r="AA13" i="13"/>
  <c r="W54" i="13"/>
  <c r="AA218" i="13"/>
  <c r="AA185" i="13"/>
  <c r="AA105" i="13"/>
  <c r="AA196" i="13"/>
  <c r="AA163" i="13"/>
  <c r="AA240" i="13"/>
  <c r="AA207" i="13"/>
  <c r="AA174" i="13"/>
  <c r="AB4" i="13"/>
  <c r="AA3" i="13"/>
  <c r="AA152" i="13"/>
  <c r="AA108" i="13"/>
  <c r="AV278" i="6" l="1"/>
  <c r="V188" i="13"/>
  <c r="S221" i="13"/>
  <c r="R222" i="13"/>
  <c r="U199" i="13"/>
  <c r="F238" i="13"/>
  <c r="R243" i="13" s="1"/>
  <c r="R232" i="13"/>
  <c r="X166" i="13"/>
  <c r="T210" i="13"/>
  <c r="S211" i="13"/>
  <c r="W177" i="13"/>
  <c r="W57" i="13"/>
  <c r="W59" i="13" s="1"/>
  <c r="AB155" i="13"/>
  <c r="AB108" i="13"/>
  <c r="AB218" i="13"/>
  <c r="AB185" i="13"/>
  <c r="AB229" i="13"/>
  <c r="AB196" i="13"/>
  <c r="AB163" i="13"/>
  <c r="AB207" i="13"/>
  <c r="AB174" i="13"/>
  <c r="AB152" i="13"/>
  <c r="AB3" i="13"/>
  <c r="AB105" i="13"/>
  <c r="AC4" i="13"/>
  <c r="AB13" i="13"/>
  <c r="AW278" i="6" l="1"/>
  <c r="AX278" i="6" s="1"/>
  <c r="V199" i="13"/>
  <c r="S243" i="13"/>
  <c r="R244" i="13"/>
  <c r="U210" i="13"/>
  <c r="T211" i="13"/>
  <c r="Y166" i="13"/>
  <c r="W188" i="13"/>
  <c r="X177" i="13"/>
  <c r="S222" i="13"/>
  <c r="T221" i="13"/>
  <c r="R233" i="13"/>
  <c r="S232" i="13"/>
  <c r="AC3" i="13"/>
  <c r="AD4" i="13"/>
  <c r="X54" i="13"/>
  <c r="X55" i="13"/>
  <c r="R28" i="13" l="1"/>
  <c r="AY278" i="6"/>
  <c r="Z166" i="13"/>
  <c r="S244" i="13"/>
  <c r="T243" i="13"/>
  <c r="U211" i="13"/>
  <c r="V210" i="13"/>
  <c r="X188" i="13"/>
  <c r="W199" i="13"/>
  <c r="U221" i="13"/>
  <c r="Y177" i="13"/>
  <c r="S233" i="13"/>
  <c r="T232" i="13"/>
  <c r="X57" i="13"/>
  <c r="X59" i="13"/>
  <c r="AD3" i="13"/>
  <c r="AE4" i="13"/>
  <c r="AZ278" i="6" l="1"/>
  <c r="BA278" i="6" s="1"/>
  <c r="Z177" i="13"/>
  <c r="V211" i="13"/>
  <c r="W210" i="13"/>
  <c r="V221" i="13"/>
  <c r="U232" i="13"/>
  <c r="Y188" i="13"/>
  <c r="U243" i="13"/>
  <c r="X199" i="13"/>
  <c r="AA166" i="13"/>
  <c r="AF4" i="13"/>
  <c r="AE3" i="13"/>
  <c r="Y54" i="13"/>
  <c r="Y55" i="13"/>
  <c r="V232" i="13" l="1"/>
  <c r="Y199" i="13"/>
  <c r="W221" i="13"/>
  <c r="V243" i="13"/>
  <c r="W211" i="13"/>
  <c r="X210" i="13"/>
  <c r="Z188" i="13"/>
  <c r="AB166" i="13"/>
  <c r="AA177" i="13"/>
  <c r="Y57" i="13"/>
  <c r="AG4" i="13"/>
  <c r="AF3" i="13"/>
  <c r="W243" i="13" l="1"/>
  <c r="X221" i="13"/>
  <c r="AA188" i="13"/>
  <c r="Z199" i="13"/>
  <c r="Y210" i="13"/>
  <c r="X211" i="13"/>
  <c r="AB177" i="13"/>
  <c r="W232" i="13"/>
  <c r="Z54" i="13"/>
  <c r="Z55" i="13"/>
  <c r="AH4" i="13"/>
  <c r="AG3" i="13"/>
  <c r="Y59" i="13"/>
  <c r="AB188" i="13" l="1"/>
  <c r="Y221" i="13"/>
  <c r="AA199" i="13"/>
  <c r="X243" i="13"/>
  <c r="X232" i="13"/>
  <c r="Z210" i="13"/>
  <c r="AI4" i="13"/>
  <c r="AH3" i="13"/>
  <c r="Z57" i="13"/>
  <c r="AA55" i="13" s="1"/>
  <c r="Z59" i="13"/>
  <c r="AB199" i="13" l="1"/>
  <c r="Y243" i="13"/>
  <c r="Z221" i="13"/>
  <c r="AA210" i="13"/>
  <c r="Y232" i="13"/>
  <c r="AJ4" i="13"/>
  <c r="AI3" i="13"/>
  <c r="AA54" i="13"/>
  <c r="Z232" i="13" l="1"/>
  <c r="Z243" i="13"/>
  <c r="AB210" i="13"/>
  <c r="AA221" i="13"/>
  <c r="AA57" i="13"/>
  <c r="AA59" i="13" s="1"/>
  <c r="AJ3" i="13"/>
  <c r="AK4" i="13"/>
  <c r="AA243" i="13" l="1"/>
  <c r="AA232" i="13"/>
  <c r="AB221" i="13"/>
  <c r="AL4" i="13"/>
  <c r="AK3" i="13"/>
  <c r="AB54" i="13"/>
  <c r="AB55" i="13"/>
  <c r="AB232" i="13" l="1"/>
  <c r="AB243" i="13"/>
  <c r="AM4" i="13"/>
  <c r="AL3" i="13"/>
  <c r="AB57" i="13"/>
  <c r="AB59" i="13" s="1"/>
  <c r="AM3" i="13" l="1"/>
  <c r="AN4" i="13"/>
  <c r="AO4" i="13" l="1"/>
  <c r="AN3" i="13"/>
  <c r="AP4" i="13" l="1"/>
  <c r="AO3" i="13"/>
  <c r="AQ4" i="13" l="1"/>
  <c r="AP3" i="13"/>
  <c r="AR4" i="13" l="1"/>
  <c r="AQ3" i="13"/>
  <c r="AR3" i="13" l="1"/>
  <c r="AS4" i="13"/>
  <c r="AT4" i="13" l="1"/>
  <c r="AS3" i="13"/>
  <c r="AT3" i="13" l="1"/>
  <c r="AU4" i="13"/>
  <c r="AV4" i="13" l="1"/>
  <c r="AU3" i="13"/>
  <c r="AW4" i="13" l="1"/>
  <c r="AV3" i="13"/>
  <c r="AX4" i="13" l="1"/>
  <c r="AW3" i="13"/>
  <c r="AY4" i="13" l="1"/>
  <c r="AX3" i="13"/>
  <c r="AZ4" i="13" l="1"/>
  <c r="AY3" i="13"/>
  <c r="AZ3" i="13" l="1"/>
  <c r="BA4" i="13"/>
  <c r="BB4" i="13" l="1"/>
  <c r="BA3" i="13"/>
  <c r="BC4" i="13" l="1"/>
  <c r="BB3" i="13"/>
  <c r="BC3" i="13" l="1"/>
  <c r="BD4" i="13"/>
  <c r="BE4" i="13" l="1"/>
  <c r="BD3" i="13"/>
  <c r="BF4" i="13" l="1"/>
  <c r="BF3" i="13" s="1"/>
  <c r="BE3" i="13"/>
  <c r="E297" i="22" l="1"/>
  <c r="F297" i="22"/>
  <c r="G297" i="22"/>
  <c r="H297" i="22"/>
  <c r="I297" i="22"/>
  <c r="D297" i="22"/>
  <c r="P148" i="11"/>
  <c r="Q143" i="12"/>
  <c r="R143" i="12"/>
  <c r="S143" i="12"/>
  <c r="T143" i="12"/>
  <c r="U143" i="12"/>
  <c r="V143" i="12"/>
  <c r="W143" i="12"/>
  <c r="X143" i="12"/>
  <c r="Y143" i="12"/>
  <c r="Z143" i="12"/>
  <c r="Q210" i="12" l="1"/>
  <c r="Q214" i="12" s="1"/>
  <c r="R210" i="12" s="1"/>
  <c r="R214" i="12" s="1"/>
  <c r="S210" i="12" s="1"/>
  <c r="S214" i="12" s="1"/>
  <c r="T210" i="12" s="1"/>
  <c r="T214" i="12" s="1"/>
  <c r="U210" i="12" s="1"/>
  <c r="U214" i="12" s="1"/>
  <c r="V210" i="12" s="1"/>
  <c r="V214" i="12" s="1"/>
  <c r="W210" i="12" s="1"/>
  <c r="W214" i="12" s="1"/>
  <c r="X210" i="12" s="1"/>
  <c r="X214" i="12" s="1"/>
  <c r="Y210" i="12" s="1"/>
  <c r="Y214" i="12" s="1"/>
  <c r="Z210" i="12" s="1"/>
  <c r="Z214" i="12" s="1"/>
  <c r="Q203" i="12"/>
  <c r="Q207" i="12" s="1"/>
  <c r="R203" i="12" s="1"/>
  <c r="R207" i="12" s="1"/>
  <c r="S203" i="12" s="1"/>
  <c r="S207" i="12" s="1"/>
  <c r="T203" i="12" s="1"/>
  <c r="T207" i="12" s="1"/>
  <c r="U203" i="12" s="1"/>
  <c r="U207" i="12" s="1"/>
  <c r="V203" i="12" s="1"/>
  <c r="V207" i="12" s="1"/>
  <c r="W203" i="12" s="1"/>
  <c r="W207" i="12" s="1"/>
  <c r="X203" i="12" s="1"/>
  <c r="X207" i="12" s="1"/>
  <c r="Y203" i="12" s="1"/>
  <c r="Y207" i="12" s="1"/>
  <c r="Z203" i="12" s="1"/>
  <c r="Z207" i="12" s="1"/>
  <c r="Q196" i="12"/>
  <c r="Q200" i="12" s="1"/>
  <c r="R196" i="12" s="1"/>
  <c r="R200" i="12" s="1"/>
  <c r="S196" i="12" s="1"/>
  <c r="S200" i="12" s="1"/>
  <c r="T196" i="12" s="1"/>
  <c r="T200" i="12" s="1"/>
  <c r="U196" i="12" s="1"/>
  <c r="U200" i="12" s="1"/>
  <c r="V196" i="12" s="1"/>
  <c r="V200" i="12" s="1"/>
  <c r="W196" i="12" s="1"/>
  <c r="W200" i="12" s="1"/>
  <c r="X196" i="12" s="1"/>
  <c r="X200" i="12" s="1"/>
  <c r="Y196" i="12" s="1"/>
  <c r="Y200" i="12" s="1"/>
  <c r="Z196" i="12" s="1"/>
  <c r="Z200" i="12" s="1"/>
  <c r="Q189" i="12"/>
  <c r="Q193" i="12" s="1"/>
  <c r="R189" i="12" s="1"/>
  <c r="R193" i="12" s="1"/>
  <c r="S189" i="12" s="1"/>
  <c r="S193" i="12" s="1"/>
  <c r="T189" i="12" s="1"/>
  <c r="T193" i="12" s="1"/>
  <c r="U189" i="12" s="1"/>
  <c r="U193" i="12" s="1"/>
  <c r="V189" i="12" s="1"/>
  <c r="V193" i="12" s="1"/>
  <c r="W189" i="12" s="1"/>
  <c r="W193" i="12" s="1"/>
  <c r="X189" i="12" s="1"/>
  <c r="X193" i="12" s="1"/>
  <c r="Y189" i="12" s="1"/>
  <c r="Y193" i="12" s="1"/>
  <c r="Z189" i="12" s="1"/>
  <c r="Z193" i="12" s="1"/>
  <c r="Q182" i="12"/>
  <c r="Q186" i="12" s="1"/>
  <c r="R182" i="12" s="1"/>
  <c r="R186" i="12" s="1"/>
  <c r="S182" i="12" s="1"/>
  <c r="S186" i="12" s="1"/>
  <c r="T182" i="12" s="1"/>
  <c r="T186" i="12" s="1"/>
  <c r="U182" i="12" s="1"/>
  <c r="U186" i="12" s="1"/>
  <c r="V182" i="12" s="1"/>
  <c r="V186" i="12" s="1"/>
  <c r="W182" i="12" s="1"/>
  <c r="W186" i="12" s="1"/>
  <c r="X182" i="12" s="1"/>
  <c r="X186" i="12" s="1"/>
  <c r="Y182" i="12" s="1"/>
  <c r="Y186" i="12" s="1"/>
  <c r="Z182" i="12" s="1"/>
  <c r="Z186" i="12" s="1"/>
  <c r="Q174" i="12"/>
  <c r="Q179" i="12" s="1"/>
  <c r="R174" i="12" s="1"/>
  <c r="R179" i="12" s="1"/>
  <c r="S174" i="12" s="1"/>
  <c r="S179" i="12" s="1"/>
  <c r="T174" i="12" s="1"/>
  <c r="T179" i="12" s="1"/>
  <c r="U174" i="12" s="1"/>
  <c r="U179" i="12" s="1"/>
  <c r="V174" i="12" s="1"/>
  <c r="V179" i="12" s="1"/>
  <c r="W174" i="12" s="1"/>
  <c r="W179" i="12" s="1"/>
  <c r="X174" i="12" s="1"/>
  <c r="X179" i="12" s="1"/>
  <c r="Y174" i="12" s="1"/>
  <c r="Y179" i="12" s="1"/>
  <c r="Z174" i="12" s="1"/>
  <c r="Z179" i="12" s="1"/>
  <c r="Q167" i="12"/>
  <c r="Q171" i="12" s="1"/>
  <c r="R167" i="12" s="1"/>
  <c r="R171" i="12" s="1"/>
  <c r="S167" i="12" s="1"/>
  <c r="S171" i="12" s="1"/>
  <c r="T167" i="12" s="1"/>
  <c r="T171" i="12" s="1"/>
  <c r="U167" i="12" s="1"/>
  <c r="U171" i="12" s="1"/>
  <c r="V167" i="12" s="1"/>
  <c r="V171" i="12" s="1"/>
  <c r="W167" i="12" s="1"/>
  <c r="W171" i="12" s="1"/>
  <c r="X167" i="12" s="1"/>
  <c r="X171" i="12" s="1"/>
  <c r="Y167" i="12" s="1"/>
  <c r="Y171" i="12" s="1"/>
  <c r="Z167" i="12" s="1"/>
  <c r="Z171" i="12" s="1"/>
  <c r="R15" i="12"/>
  <c r="S15" i="12" s="1"/>
  <c r="T15" i="12" s="1"/>
  <c r="U15" i="12" s="1"/>
  <c r="V15" i="12" s="1"/>
  <c r="W15" i="12" s="1"/>
  <c r="X15" i="12" s="1"/>
  <c r="Y15" i="12" s="1"/>
  <c r="Z15" i="12" s="1"/>
  <c r="Q15" i="12"/>
  <c r="Q13" i="12"/>
  <c r="Q132" i="12"/>
  <c r="R132" i="12"/>
  <c r="S132" i="12"/>
  <c r="T132" i="12"/>
  <c r="U132" i="12"/>
  <c r="V132" i="12"/>
  <c r="W132" i="12"/>
  <c r="X132" i="12"/>
  <c r="Y132" i="12"/>
  <c r="Z132" i="12"/>
  <c r="Q109" i="12" l="1"/>
  <c r="R109" i="12"/>
  <c r="S109" i="12"/>
  <c r="T109" i="12"/>
  <c r="U109" i="12"/>
  <c r="V109" i="12"/>
  <c r="W109" i="12"/>
  <c r="X109" i="12"/>
  <c r="Y109" i="12"/>
  <c r="Z109" i="12"/>
  <c r="R105" i="12"/>
  <c r="S105" i="12"/>
  <c r="T105" i="12"/>
  <c r="U105" i="12"/>
  <c r="V105" i="12"/>
  <c r="W105" i="12"/>
  <c r="X105" i="12"/>
  <c r="Y105" i="12"/>
  <c r="Z105" i="12"/>
  <c r="Q105" i="12"/>
  <c r="Q76" i="12"/>
  <c r="R76" i="12"/>
  <c r="S76" i="12"/>
  <c r="T76" i="12"/>
  <c r="U76" i="12"/>
  <c r="V76" i="12"/>
  <c r="W76" i="12"/>
  <c r="X76" i="12"/>
  <c r="Y76" i="12"/>
  <c r="Z76" i="12"/>
  <c r="R72" i="12"/>
  <c r="S72" i="12"/>
  <c r="T72" i="12"/>
  <c r="U72" i="12"/>
  <c r="V72" i="12"/>
  <c r="W72" i="12"/>
  <c r="X72" i="12"/>
  <c r="Y72" i="12"/>
  <c r="Z72" i="12"/>
  <c r="Q72" i="12"/>
  <c r="Q98" i="12"/>
  <c r="R98" i="12"/>
  <c r="S98" i="12"/>
  <c r="T98" i="12"/>
  <c r="U98" i="12"/>
  <c r="V98" i="12"/>
  <c r="W98" i="12"/>
  <c r="X98" i="12"/>
  <c r="Y98" i="12"/>
  <c r="Z98" i="12"/>
  <c r="R95" i="12"/>
  <c r="S95" i="12"/>
  <c r="T95" i="12"/>
  <c r="U95" i="12"/>
  <c r="V95" i="12"/>
  <c r="W95" i="12"/>
  <c r="X95" i="12"/>
  <c r="Y95" i="12"/>
  <c r="Z95" i="12"/>
  <c r="Q95" i="12"/>
  <c r="Q65" i="12"/>
  <c r="R65" i="12"/>
  <c r="S65" i="12"/>
  <c r="T65" i="12"/>
  <c r="U65" i="12"/>
  <c r="V65" i="12"/>
  <c r="W65" i="12"/>
  <c r="X65" i="12"/>
  <c r="Y65" i="12"/>
  <c r="Z65" i="12"/>
  <c r="R62" i="12"/>
  <c r="S62" i="12"/>
  <c r="T62" i="12"/>
  <c r="U62" i="12"/>
  <c r="V62" i="12"/>
  <c r="W62" i="12"/>
  <c r="X62" i="12"/>
  <c r="Y62" i="12"/>
  <c r="Z62" i="12"/>
  <c r="Q62" i="12"/>
  <c r="Q42" i="12"/>
  <c r="R42" i="12"/>
  <c r="S42" i="12"/>
  <c r="T42" i="12"/>
  <c r="U42" i="12"/>
  <c r="V42" i="12"/>
  <c r="W42" i="12"/>
  <c r="X42" i="12"/>
  <c r="Y42" i="12"/>
  <c r="Z42" i="12"/>
  <c r="R38" i="12"/>
  <c r="S38" i="12"/>
  <c r="T38" i="12"/>
  <c r="U38" i="12"/>
  <c r="V38" i="12"/>
  <c r="W38" i="12"/>
  <c r="X38" i="12"/>
  <c r="Y38" i="12"/>
  <c r="Z38" i="12"/>
  <c r="Q38" i="12"/>
  <c r="Q31" i="12" l="1"/>
  <c r="R31" i="12"/>
  <c r="S31" i="12"/>
  <c r="T31" i="12"/>
  <c r="U31" i="12"/>
  <c r="V31" i="12"/>
  <c r="W31" i="12"/>
  <c r="X31" i="12"/>
  <c r="Y31" i="12"/>
  <c r="Z31" i="12"/>
  <c r="R27" i="12"/>
  <c r="S27" i="12"/>
  <c r="T27" i="12"/>
  <c r="U27" i="12"/>
  <c r="V27" i="12"/>
  <c r="W27" i="12"/>
  <c r="X27" i="12"/>
  <c r="Y27" i="12"/>
  <c r="Z27" i="12"/>
  <c r="Q27" i="12"/>
  <c r="BE9" i="12"/>
  <c r="R13" i="12" l="1"/>
  <c r="S13" i="12" l="1"/>
  <c r="T13" i="12" l="1"/>
  <c r="U13" i="12" l="1"/>
  <c r="V13" i="12" l="1"/>
  <c r="W13" i="12" l="1"/>
  <c r="X13" i="12" l="1"/>
  <c r="Y13" i="12" l="1"/>
  <c r="Z13" i="12" l="1"/>
  <c r="K4" i="12" l="1"/>
  <c r="M215" i="12" l="1"/>
  <c r="N215" i="12"/>
  <c r="L164" i="12"/>
  <c r="L216" i="12" s="1"/>
  <c r="M164" i="12"/>
  <c r="M216" i="12" s="1"/>
  <c r="N164" i="12"/>
  <c r="N216" i="12" s="1"/>
  <c r="O164" i="12"/>
  <c r="O216" i="12" s="1"/>
  <c r="P164" i="12"/>
  <c r="K164" i="12"/>
  <c r="K216" i="12" s="1"/>
  <c r="L160" i="12"/>
  <c r="L215" i="12" s="1"/>
  <c r="M160" i="12"/>
  <c r="N160" i="12"/>
  <c r="O160" i="12"/>
  <c r="O215" i="12" s="1"/>
  <c r="P160" i="12"/>
  <c r="P215" i="12" s="1"/>
  <c r="K160" i="12"/>
  <c r="K215" i="12" s="1"/>
  <c r="L125" i="12"/>
  <c r="M125" i="12"/>
  <c r="N125" i="12"/>
  <c r="O125" i="12"/>
  <c r="P125" i="12"/>
  <c r="K125" i="12"/>
  <c r="L105" i="12"/>
  <c r="M105" i="12"/>
  <c r="N105" i="12"/>
  <c r="O105" i="12"/>
  <c r="P105" i="12"/>
  <c r="K105" i="12"/>
  <c r="L104" i="12"/>
  <c r="M104" i="12"/>
  <c r="N104" i="12"/>
  <c r="O104" i="12"/>
  <c r="P104" i="12"/>
  <c r="P261" i="12" s="1"/>
  <c r="K104" i="12"/>
  <c r="L101" i="12"/>
  <c r="M101" i="12"/>
  <c r="N101" i="12"/>
  <c r="O101" i="12"/>
  <c r="P101" i="12"/>
  <c r="K101" i="12"/>
  <c r="K106" i="12" s="1"/>
  <c r="M96" i="12"/>
  <c r="L95" i="12"/>
  <c r="M95" i="12"/>
  <c r="N95" i="12"/>
  <c r="O95" i="12"/>
  <c r="P95" i="12"/>
  <c r="K95" i="12"/>
  <c r="L94" i="12"/>
  <c r="M94" i="12"/>
  <c r="N94" i="12"/>
  <c r="O94" i="12"/>
  <c r="P94" i="12"/>
  <c r="K94" i="12"/>
  <c r="L91" i="12"/>
  <c r="M91" i="12"/>
  <c r="M107" i="12" s="1"/>
  <c r="N91" i="12"/>
  <c r="N107" i="12" s="1"/>
  <c r="O91" i="12"/>
  <c r="O96" i="12" s="1"/>
  <c r="P91" i="12"/>
  <c r="P96" i="12" s="1"/>
  <c r="K91" i="12"/>
  <c r="L72" i="12"/>
  <c r="M72" i="12"/>
  <c r="N72" i="12"/>
  <c r="O72" i="12"/>
  <c r="P72" i="12"/>
  <c r="K72" i="12"/>
  <c r="L71" i="12"/>
  <c r="M71" i="12"/>
  <c r="N71" i="12"/>
  <c r="O71" i="12"/>
  <c r="P71" i="12"/>
  <c r="P245" i="12" s="1"/>
  <c r="K71" i="12"/>
  <c r="L68" i="12"/>
  <c r="M68" i="12"/>
  <c r="M73" i="12" s="1"/>
  <c r="N68" i="12"/>
  <c r="N73" i="12" s="1"/>
  <c r="O68" i="12"/>
  <c r="P68" i="12"/>
  <c r="K68" i="12"/>
  <c r="L62" i="12"/>
  <c r="M62" i="12"/>
  <c r="N62" i="12"/>
  <c r="O62" i="12"/>
  <c r="P62" i="12"/>
  <c r="K62" i="12"/>
  <c r="L61" i="12"/>
  <c r="M61" i="12"/>
  <c r="M63" i="12" s="1"/>
  <c r="N61" i="12"/>
  <c r="O61" i="12"/>
  <c r="P61" i="12"/>
  <c r="K61" i="12"/>
  <c r="L58" i="12"/>
  <c r="L63" i="12" s="1"/>
  <c r="M58" i="12"/>
  <c r="N58" i="12"/>
  <c r="O58" i="12"/>
  <c r="O63" i="12" s="1"/>
  <c r="P58" i="12"/>
  <c r="K58" i="12"/>
  <c r="K63" i="12" s="1"/>
  <c r="K39" i="12"/>
  <c r="L38" i="12"/>
  <c r="M38" i="12"/>
  <c r="N38" i="12"/>
  <c r="O38" i="12"/>
  <c r="P38" i="12"/>
  <c r="K38" i="12"/>
  <c r="L37" i="12"/>
  <c r="M37" i="12"/>
  <c r="N37" i="12"/>
  <c r="O37" i="12"/>
  <c r="P37" i="12"/>
  <c r="P230" i="12" s="1"/>
  <c r="K37" i="12"/>
  <c r="L34" i="12"/>
  <c r="L39" i="12" s="1"/>
  <c r="M34" i="12"/>
  <c r="N34" i="12"/>
  <c r="N40" i="12" s="1"/>
  <c r="O34" i="12"/>
  <c r="O39" i="12" s="1"/>
  <c r="P34" i="12"/>
  <c r="K34" i="12"/>
  <c r="L27" i="12"/>
  <c r="M27" i="12"/>
  <c r="N27" i="12"/>
  <c r="O27" i="12"/>
  <c r="P27" i="12"/>
  <c r="K27" i="12"/>
  <c r="L26" i="12"/>
  <c r="M26" i="12"/>
  <c r="N26" i="12"/>
  <c r="O26" i="12"/>
  <c r="P26" i="12"/>
  <c r="K26" i="12"/>
  <c r="L23" i="12"/>
  <c r="M23" i="12"/>
  <c r="N23" i="12"/>
  <c r="N28" i="12" s="1"/>
  <c r="O23" i="12"/>
  <c r="O28" i="12" s="1"/>
  <c r="P23" i="12"/>
  <c r="K23" i="12"/>
  <c r="K40" i="12" s="1"/>
  <c r="N96" i="12" l="1"/>
  <c r="P63" i="12"/>
  <c r="P75" i="12" s="1"/>
  <c r="L73" i="12"/>
  <c r="P216" i="12"/>
  <c r="Q160" i="12"/>
  <c r="Q215" i="12" s="1"/>
  <c r="N63" i="12"/>
  <c r="L107" i="12"/>
  <c r="P106" i="12"/>
  <c r="Q101" i="12" s="1"/>
  <c r="L106" i="12"/>
  <c r="M74" i="12"/>
  <c r="K73" i="12"/>
  <c r="K75" i="12" s="1"/>
  <c r="O106" i="12"/>
  <c r="O108" i="12" s="1"/>
  <c r="M39" i="12"/>
  <c r="M41" i="12" s="1"/>
  <c r="M28" i="12"/>
  <c r="N29" i="12" s="1"/>
  <c r="L74" i="12"/>
  <c r="P73" i="12"/>
  <c r="Q68" i="12" s="1"/>
  <c r="N106" i="12"/>
  <c r="P28" i="12"/>
  <c r="Q23" i="12" s="1"/>
  <c r="L28" i="12"/>
  <c r="P39" i="12"/>
  <c r="Q34" i="12" s="1"/>
  <c r="O73" i="12"/>
  <c r="K96" i="12"/>
  <c r="M106" i="12"/>
  <c r="Q91" i="12"/>
  <c r="P108" i="12"/>
  <c r="O75" i="12"/>
  <c r="Q58" i="12"/>
  <c r="N75" i="12"/>
  <c r="M29" i="12"/>
  <c r="L41" i="12"/>
  <c r="K108" i="12"/>
  <c r="P40" i="12"/>
  <c r="K74" i="12"/>
  <c r="P273" i="12"/>
  <c r="P74" i="12"/>
  <c r="K107" i="12"/>
  <c r="O74" i="12"/>
  <c r="M75" i="12"/>
  <c r="L96" i="12"/>
  <c r="P107" i="12"/>
  <c r="N108" i="12"/>
  <c r="M40" i="12"/>
  <c r="N74" i="12"/>
  <c r="L75" i="12"/>
  <c r="O107" i="12"/>
  <c r="M108" i="12"/>
  <c r="N39" i="12"/>
  <c r="N41" i="12" s="1"/>
  <c r="L40" i="12"/>
  <c r="O40" i="12"/>
  <c r="K28" i="12"/>
  <c r="L29" i="12" s="1"/>
  <c r="O29" i="12"/>
  <c r="P242" i="12"/>
  <c r="O41" i="12"/>
  <c r="P257" i="12"/>
  <c r="L37" i="6"/>
  <c r="M37" i="6"/>
  <c r="N37" i="6"/>
  <c r="O37" i="6"/>
  <c r="P37" i="6"/>
  <c r="K37" i="6"/>
  <c r="N40" i="6" l="1"/>
  <c r="N15" i="8" s="1"/>
  <c r="M40" i="6"/>
  <c r="K40" i="6"/>
  <c r="P40" i="6"/>
  <c r="P15" i="8" s="1"/>
  <c r="O40" i="6"/>
  <c r="O15" i="8" s="1"/>
  <c r="L40" i="6"/>
  <c r="P29" i="12"/>
  <c r="P41" i="12"/>
  <c r="P43" i="12"/>
  <c r="P77" i="12"/>
  <c r="Q40" i="12"/>
  <c r="Q74" i="12"/>
  <c r="P110" i="12"/>
  <c r="Q107" i="12"/>
  <c r="K41" i="12"/>
  <c r="L108" i="12"/>
  <c r="L27" i="6"/>
  <c r="M27" i="6"/>
  <c r="N27" i="6"/>
  <c r="O27" i="6"/>
  <c r="P27" i="6"/>
  <c r="K27" i="6"/>
  <c r="L23" i="6"/>
  <c r="M23" i="6"/>
  <c r="N23" i="6"/>
  <c r="O23" i="6"/>
  <c r="P23" i="6"/>
  <c r="K23" i="6"/>
  <c r="L19" i="6"/>
  <c r="M19" i="6"/>
  <c r="N19" i="6"/>
  <c r="O19" i="6"/>
  <c r="P19" i="6"/>
  <c r="K19" i="6"/>
  <c r="L17" i="6"/>
  <c r="M17" i="6"/>
  <c r="N17" i="6"/>
  <c r="O17" i="6"/>
  <c r="P17" i="6"/>
  <c r="K17" i="6"/>
  <c r="L25" i="6"/>
  <c r="M25" i="6"/>
  <c r="N25" i="6"/>
  <c r="O25" i="6"/>
  <c r="P25" i="6"/>
  <c r="K25" i="6"/>
  <c r="L21" i="6"/>
  <c r="M21" i="6"/>
  <c r="N21" i="6"/>
  <c r="O21" i="6"/>
  <c r="P21" i="6"/>
  <c r="K21" i="6"/>
  <c r="L143" i="11"/>
  <c r="M143" i="11"/>
  <c r="N143" i="11"/>
  <c r="O143" i="11"/>
  <c r="P143" i="11"/>
  <c r="K143" i="11"/>
  <c r="L125" i="11"/>
  <c r="M125" i="11"/>
  <c r="N125" i="11"/>
  <c r="O125" i="11"/>
  <c r="P125" i="11"/>
  <c r="K125" i="11"/>
  <c r="L101" i="11"/>
  <c r="M101" i="11"/>
  <c r="N101" i="11"/>
  <c r="O101" i="11"/>
  <c r="P101" i="11"/>
  <c r="K101" i="11"/>
  <c r="M15" i="8" l="1"/>
  <c r="K15" i="8"/>
  <c r="L15" i="8"/>
  <c r="Q245" i="12"/>
  <c r="Q230" i="12"/>
  <c r="Q261" i="12"/>
  <c r="L162" i="11"/>
  <c r="M162" i="11"/>
  <c r="N162" i="11"/>
  <c r="O162" i="11"/>
  <c r="K162" i="11"/>
  <c r="O159" i="11"/>
  <c r="P159" i="11"/>
  <c r="P162" i="11" s="1"/>
  <c r="L160" i="11"/>
  <c r="L159" i="11" s="1"/>
  <c r="M160" i="11"/>
  <c r="M159" i="11" s="1"/>
  <c r="N160" i="11"/>
  <c r="O160" i="11"/>
  <c r="P160" i="11"/>
  <c r="L161" i="11"/>
  <c r="M161" i="11"/>
  <c r="N161" i="11"/>
  <c r="N159" i="11" s="1"/>
  <c r="O161" i="11"/>
  <c r="P161" i="11"/>
  <c r="K159" i="11"/>
  <c r="K161" i="11"/>
  <c r="K160" i="11"/>
  <c r="Q77" i="12" l="1"/>
  <c r="Q110" i="12"/>
  <c r="R261" i="12" s="1"/>
  <c r="Q43" i="12"/>
  <c r="K131" i="11"/>
  <c r="P17" i="10"/>
  <c r="L31" i="11"/>
  <c r="K31" i="11"/>
  <c r="R230" i="12" l="1"/>
  <c r="R43" i="12" s="1"/>
  <c r="R245" i="12"/>
  <c r="R110" i="12"/>
  <c r="S261" i="12" s="1"/>
  <c r="S230" i="12" l="1"/>
  <c r="S43" i="12" s="1"/>
  <c r="S110" i="12"/>
  <c r="T261" i="12" s="1"/>
  <c r="R77" i="12"/>
  <c r="S245" i="12" s="1"/>
  <c r="E7" i="22"/>
  <c r="F7" i="22"/>
  <c r="G7" i="22"/>
  <c r="H7" i="22"/>
  <c r="I7" i="22"/>
  <c r="D7" i="22"/>
  <c r="S77" i="12" l="1"/>
  <c r="T230" i="12"/>
  <c r="T110" i="12"/>
  <c r="L152" i="11"/>
  <c r="M152" i="11"/>
  <c r="N152" i="11"/>
  <c r="O152" i="11"/>
  <c r="P152" i="11"/>
  <c r="K152" i="11"/>
  <c r="L150" i="11"/>
  <c r="M150" i="11"/>
  <c r="N150" i="11"/>
  <c r="O150" i="11"/>
  <c r="P150" i="11"/>
  <c r="K150" i="11"/>
  <c r="L148" i="11"/>
  <c r="M148" i="11"/>
  <c r="N148" i="11"/>
  <c r="O148" i="11"/>
  <c r="K148" i="11"/>
  <c r="L146" i="11"/>
  <c r="M146" i="11"/>
  <c r="N146" i="11"/>
  <c r="O146" i="11"/>
  <c r="P146" i="11"/>
  <c r="K146" i="11"/>
  <c r="U261" i="12" l="1"/>
  <c r="T43" i="12"/>
  <c r="U230" i="12" s="1"/>
  <c r="T245" i="12"/>
  <c r="T77" i="12" s="1"/>
  <c r="L144" i="11"/>
  <c r="L44" i="11" s="1"/>
  <c r="M144" i="11"/>
  <c r="M44" i="11" s="1"/>
  <c r="N144" i="11"/>
  <c r="N44" i="11" s="1"/>
  <c r="O144" i="11"/>
  <c r="O44" i="11" s="1"/>
  <c r="P144" i="11"/>
  <c r="P44" i="11" s="1"/>
  <c r="K144" i="11"/>
  <c r="K44" i="11" s="1"/>
  <c r="U43" i="12" l="1"/>
  <c r="U245" i="12"/>
  <c r="U77" i="12" s="1"/>
  <c r="U110" i="12"/>
  <c r="D6" i="22"/>
  <c r="D8" i="22" s="1"/>
  <c r="E6" i="22"/>
  <c r="E8" i="22" s="1"/>
  <c r="F6" i="22"/>
  <c r="F8" i="22" s="1"/>
  <c r="G6" i="22"/>
  <c r="G8" i="22" s="1"/>
  <c r="H6" i="22"/>
  <c r="H8" i="22" s="1"/>
  <c r="I6" i="22"/>
  <c r="I8" i="22" s="1"/>
  <c r="V261" i="12" l="1"/>
  <c r="V110" i="12"/>
  <c r="V245" i="12"/>
  <c r="V230" i="12"/>
  <c r="V43" i="12" s="1"/>
  <c r="I11" i="22"/>
  <c r="L32" i="11"/>
  <c r="W230" i="12" l="1"/>
  <c r="W261" i="12"/>
  <c r="W110" i="12" s="1"/>
  <c r="V77" i="12"/>
  <c r="L11" i="11"/>
  <c r="L74" i="11" s="1"/>
  <c r="L83" i="11" s="1"/>
  <c r="L10" i="11"/>
  <c r="L73" i="11" s="1"/>
  <c r="L82" i="11" s="1"/>
  <c r="K10" i="11"/>
  <c r="K73" i="11" s="1"/>
  <c r="K82" i="11" s="1"/>
  <c r="P55" i="10"/>
  <c r="Q27" i="10"/>
  <c r="R18" i="10"/>
  <c r="P54" i="10"/>
  <c r="P31" i="10"/>
  <c r="P26" i="10"/>
  <c r="V251" i="22"/>
  <c r="F162" i="22"/>
  <c r="G162" i="22"/>
  <c r="H162" i="22"/>
  <c r="I162" i="22"/>
  <c r="E162" i="22"/>
  <c r="I165" i="22"/>
  <c r="P33" i="11" s="1"/>
  <c r="I159" i="22"/>
  <c r="H165" i="22"/>
  <c r="O33" i="11" s="1"/>
  <c r="H159" i="22"/>
  <c r="G165" i="22"/>
  <c r="N33" i="11" s="1"/>
  <c r="G159" i="22"/>
  <c r="F165" i="22"/>
  <c r="M33" i="11" s="1"/>
  <c r="F159" i="22"/>
  <c r="E165" i="22"/>
  <c r="L33" i="11" s="1"/>
  <c r="E159" i="22"/>
  <c r="L12" i="11" s="1"/>
  <c r="D165" i="22"/>
  <c r="K33" i="11" s="1"/>
  <c r="D159" i="22"/>
  <c r="D163" i="22" s="1"/>
  <c r="J109" i="22"/>
  <c r="H121" i="22"/>
  <c r="I121" i="22"/>
  <c r="J121" i="22"/>
  <c r="K121" i="22"/>
  <c r="L121" i="22"/>
  <c r="M121" i="22"/>
  <c r="N121" i="22"/>
  <c r="O121" i="22"/>
  <c r="P121" i="22"/>
  <c r="Q121" i="22"/>
  <c r="R121" i="22"/>
  <c r="S121" i="22"/>
  <c r="E121" i="22"/>
  <c r="F121" i="22"/>
  <c r="G121" i="22"/>
  <c r="D121" i="22"/>
  <c r="I118" i="22"/>
  <c r="J118" i="22" s="1"/>
  <c r="K118" i="22" s="1"/>
  <c r="L118" i="22" s="1"/>
  <c r="M118" i="22" s="1"/>
  <c r="N118" i="22" s="1"/>
  <c r="O118" i="22" s="1"/>
  <c r="P118" i="22" s="1"/>
  <c r="Q118" i="22" s="1"/>
  <c r="R118" i="22" s="1"/>
  <c r="S118" i="22" s="1"/>
  <c r="I355" i="22"/>
  <c r="I120" i="22" s="1"/>
  <c r="H355" i="22"/>
  <c r="H120" i="22" s="1"/>
  <c r="G355" i="22"/>
  <c r="G120" i="22" s="1"/>
  <c r="F126" i="22"/>
  <c r="G126" i="22"/>
  <c r="H126" i="22"/>
  <c r="I126" i="22"/>
  <c r="E126" i="22"/>
  <c r="F355" i="22"/>
  <c r="F120" i="22" s="1"/>
  <c r="E355" i="22"/>
  <c r="E120" i="22" s="1"/>
  <c r="D355" i="22"/>
  <c r="D120" i="22" s="1"/>
  <c r="E351" i="22"/>
  <c r="J162" i="22" l="1"/>
  <c r="W43" i="12"/>
  <c r="X230" i="12" s="1"/>
  <c r="X261" i="12"/>
  <c r="W245" i="12"/>
  <c r="F166" i="22"/>
  <c r="F167" i="22" s="1"/>
  <c r="J161" i="22"/>
  <c r="I166" i="22"/>
  <c r="I167" i="22" s="1"/>
  <c r="L75" i="11"/>
  <c r="L84" i="11" s="1"/>
  <c r="J105" i="22"/>
  <c r="G166" i="22"/>
  <c r="G167" i="22" s="1"/>
  <c r="D166" i="22"/>
  <c r="D167" i="22" s="1"/>
  <c r="H166" i="22"/>
  <c r="H167" i="22" s="1"/>
  <c r="E166" i="22"/>
  <c r="E167" i="22" s="1"/>
  <c r="K12" i="11"/>
  <c r="K75" i="11" s="1"/>
  <c r="K84" i="11" s="1"/>
  <c r="I163" i="22"/>
  <c r="H163" i="22"/>
  <c r="P12" i="11"/>
  <c r="G163" i="22"/>
  <c r="O12" i="11"/>
  <c r="O75" i="11" s="1"/>
  <c r="O84" i="11" s="1"/>
  <c r="F163" i="22"/>
  <c r="N12" i="11"/>
  <c r="E163" i="22"/>
  <c r="E164" i="22" s="1"/>
  <c r="M12" i="11"/>
  <c r="M75" i="11" s="1"/>
  <c r="M84" i="11" s="1"/>
  <c r="L19" i="11"/>
  <c r="P9" i="10"/>
  <c r="E135" i="22"/>
  <c r="F135" i="22"/>
  <c r="G135" i="22"/>
  <c r="H135" i="22"/>
  <c r="J135" i="22"/>
  <c r="I103" i="22"/>
  <c r="I135" i="22" s="1"/>
  <c r="D135" i="22"/>
  <c r="E134" i="22"/>
  <c r="F134" i="22"/>
  <c r="G134" i="22"/>
  <c r="H134" i="22"/>
  <c r="I134" i="22"/>
  <c r="J134" i="22"/>
  <c r="K134" i="22"/>
  <c r="L134" i="22"/>
  <c r="M134" i="22"/>
  <c r="N134" i="22"/>
  <c r="O134" i="22"/>
  <c r="P134" i="22"/>
  <c r="Q134" i="22"/>
  <c r="R134" i="22"/>
  <c r="S134" i="22"/>
  <c r="D134" i="22"/>
  <c r="E131" i="22"/>
  <c r="F131" i="22"/>
  <c r="G131" i="22"/>
  <c r="H131" i="22"/>
  <c r="I131" i="22"/>
  <c r="J131" i="22"/>
  <c r="K131" i="22"/>
  <c r="L131" i="22"/>
  <c r="M131" i="22"/>
  <c r="N131" i="22"/>
  <c r="O131" i="22"/>
  <c r="P131" i="22"/>
  <c r="Q131" i="22"/>
  <c r="R131" i="22"/>
  <c r="S131" i="22"/>
  <c r="D131" i="22"/>
  <c r="E130" i="22"/>
  <c r="F130" i="22"/>
  <c r="G130" i="22"/>
  <c r="H130" i="22"/>
  <c r="I130" i="22"/>
  <c r="J130" i="22"/>
  <c r="D130" i="22"/>
  <c r="E129" i="22"/>
  <c r="F129" i="22"/>
  <c r="G129" i="22"/>
  <c r="H129" i="22"/>
  <c r="I129" i="22"/>
  <c r="J129" i="22"/>
  <c r="D129" i="22"/>
  <c r="K126" i="22"/>
  <c r="K130" i="22" s="1"/>
  <c r="K128" i="22"/>
  <c r="L128" i="22" s="1"/>
  <c r="M128" i="22" s="1"/>
  <c r="N128" i="22" s="1"/>
  <c r="O128" i="22" s="1"/>
  <c r="P128" i="22" s="1"/>
  <c r="Q128" i="22" s="1"/>
  <c r="R128" i="22" s="1"/>
  <c r="S128" i="22" s="1"/>
  <c r="E127" i="22"/>
  <c r="F127" i="22"/>
  <c r="G127" i="22"/>
  <c r="H127" i="22"/>
  <c r="I127" i="22"/>
  <c r="J127" i="22"/>
  <c r="D127" i="22"/>
  <c r="Q259" i="22"/>
  <c r="O259" i="22"/>
  <c r="P259" i="22"/>
  <c r="L259" i="22"/>
  <c r="M259" i="22"/>
  <c r="N259" i="22"/>
  <c r="H259" i="22"/>
  <c r="I259" i="22"/>
  <c r="J259" i="22"/>
  <c r="K259" i="22"/>
  <c r="G259" i="22"/>
  <c r="Z270" i="22"/>
  <c r="K251" i="22"/>
  <c r="J248" i="22"/>
  <c r="J339" i="22" s="1"/>
  <c r="M245" i="22"/>
  <c r="N245" i="22" s="1"/>
  <c r="N244" i="22" s="1"/>
  <c r="N333" i="22" s="1"/>
  <c r="J245" i="22"/>
  <c r="J332" i="22"/>
  <c r="J349" i="22" s="1"/>
  <c r="J351" i="22" s="1"/>
  <c r="K350" i="22"/>
  <c r="K332" i="22" s="1"/>
  <c r="K349" i="22" s="1"/>
  <c r="K351" i="22" s="1"/>
  <c r="E350" i="22"/>
  <c r="F350" i="22"/>
  <c r="G350" i="22"/>
  <c r="H350" i="22"/>
  <c r="I350" i="22"/>
  <c r="D350" i="22"/>
  <c r="G349" i="22"/>
  <c r="G351" i="22" s="1"/>
  <c r="H349" i="22"/>
  <c r="H351" i="22" s="1"/>
  <c r="I349" i="22"/>
  <c r="I351" i="22" s="1"/>
  <c r="F349" i="22"/>
  <c r="F351" i="22" s="1"/>
  <c r="D349" i="22"/>
  <c r="D351" i="22" s="1"/>
  <c r="E179" i="22"/>
  <c r="O177" i="22"/>
  <c r="P177" i="22" s="1"/>
  <c r="Q177" i="22" s="1"/>
  <c r="R177" i="22" s="1"/>
  <c r="S177" i="22" s="1"/>
  <c r="E177" i="22"/>
  <c r="F177" i="22"/>
  <c r="G177" i="22"/>
  <c r="H177" i="22"/>
  <c r="I177" i="22"/>
  <c r="J177" i="22"/>
  <c r="K177" i="22"/>
  <c r="L177" i="22"/>
  <c r="M177" i="22"/>
  <c r="D177" i="22"/>
  <c r="H176" i="22"/>
  <c r="I176" i="22" s="1"/>
  <c r="J176" i="22" s="1"/>
  <c r="K176" i="22" s="1"/>
  <c r="L176" i="22" s="1"/>
  <c r="M176" i="22" s="1"/>
  <c r="N176" i="22" s="1"/>
  <c r="O176" i="22" s="1"/>
  <c r="P176" i="22" s="1"/>
  <c r="Q176" i="22" s="1"/>
  <c r="R176" i="22" s="1"/>
  <c r="S176" i="22" s="1"/>
  <c r="F175" i="22"/>
  <c r="M32" i="11" s="1"/>
  <c r="D175" i="22"/>
  <c r="K32" i="11" s="1"/>
  <c r="Q174" i="22"/>
  <c r="R174" i="22"/>
  <c r="S174" i="22"/>
  <c r="P174" i="22"/>
  <c r="K174" i="22"/>
  <c r="L174" i="22" s="1"/>
  <c r="M174" i="22" s="1"/>
  <c r="N174" i="22" s="1"/>
  <c r="O174" i="22" s="1"/>
  <c r="F173" i="22"/>
  <c r="F170" i="22"/>
  <c r="M11" i="11" s="1"/>
  <c r="E173" i="22"/>
  <c r="E171" i="22" s="1"/>
  <c r="E344" i="22" s="1"/>
  <c r="D173" i="22"/>
  <c r="D170" i="22"/>
  <c r="K11" i="11" s="1"/>
  <c r="G338" i="22"/>
  <c r="H338" i="22"/>
  <c r="I338" i="22"/>
  <c r="G339" i="22"/>
  <c r="H339" i="22"/>
  <c r="I339" i="22"/>
  <c r="F339" i="22"/>
  <c r="F338" i="22"/>
  <c r="F333" i="22"/>
  <c r="F334" i="22" s="1"/>
  <c r="J287" i="22"/>
  <c r="K287" i="22" s="1"/>
  <c r="L287" i="22" s="1"/>
  <c r="M287" i="22" s="1"/>
  <c r="N287" i="22" s="1"/>
  <c r="O287" i="22" s="1"/>
  <c r="P287" i="22" s="1"/>
  <c r="H250" i="22"/>
  <c r="I250" i="22"/>
  <c r="G250" i="22"/>
  <c r="H246" i="22"/>
  <c r="I246" i="22"/>
  <c r="G246" i="22"/>
  <c r="I244" i="22"/>
  <c r="I333" i="22" s="1"/>
  <c r="I334" i="22" s="1"/>
  <c r="I336" i="22" s="1"/>
  <c r="V246" i="22"/>
  <c r="V249" i="22" s="1"/>
  <c r="I241" i="22" s="1"/>
  <c r="P10" i="11" s="1"/>
  <c r="U246" i="22"/>
  <c r="V243" i="22"/>
  <c r="V245" i="22" s="1"/>
  <c r="U243" i="22"/>
  <c r="I249" i="22"/>
  <c r="H253" i="22"/>
  <c r="K74" i="11" l="1"/>
  <c r="K83" i="11" s="1"/>
  <c r="J167" i="22"/>
  <c r="I136" i="22"/>
  <c r="X110" i="12"/>
  <c r="Y261" i="12" s="1"/>
  <c r="X43" i="12"/>
  <c r="W77" i="12"/>
  <c r="P39" i="10"/>
  <c r="P10" i="10"/>
  <c r="K162" i="22"/>
  <c r="L162" i="22" s="1"/>
  <c r="M162" i="22" s="1"/>
  <c r="N162" i="22" s="1"/>
  <c r="O162" i="22" s="1"/>
  <c r="P162" i="22" s="1"/>
  <c r="Q162" i="22" s="1"/>
  <c r="R162" i="22" s="1"/>
  <c r="V247" i="22"/>
  <c r="F336" i="22"/>
  <c r="M74" i="11"/>
  <c r="M83" i="11" s="1"/>
  <c r="M21" i="11"/>
  <c r="H132" i="22"/>
  <c r="H353" i="22" s="1"/>
  <c r="H354" i="22" s="1"/>
  <c r="H356" i="22" s="1"/>
  <c r="H136" i="22"/>
  <c r="F136" i="22"/>
  <c r="L21" i="11"/>
  <c r="I164" i="22"/>
  <c r="L246" i="22"/>
  <c r="R27" i="10"/>
  <c r="R26" i="10" s="1"/>
  <c r="L20" i="11"/>
  <c r="N21" i="11"/>
  <c r="N75" i="11"/>
  <c r="N84" i="11" s="1"/>
  <c r="M20" i="11"/>
  <c r="F164" i="22"/>
  <c r="G164" i="22"/>
  <c r="S18" i="10"/>
  <c r="P21" i="11"/>
  <c r="P75" i="11"/>
  <c r="P84" i="11" s="1"/>
  <c r="G136" i="22"/>
  <c r="O21" i="11"/>
  <c r="H164" i="22"/>
  <c r="P59" i="10"/>
  <c r="J132" i="22"/>
  <c r="F174" i="22"/>
  <c r="G132" i="22"/>
  <c r="G353" i="22" s="1"/>
  <c r="G354" i="22" s="1"/>
  <c r="G356" i="22" s="1"/>
  <c r="K245" i="22"/>
  <c r="K244" i="22" s="1"/>
  <c r="K333" i="22" s="1"/>
  <c r="K334" i="22" s="1"/>
  <c r="E132" i="22"/>
  <c r="E353" i="22" s="1"/>
  <c r="E354" i="22" s="1"/>
  <c r="E356" i="22" s="1"/>
  <c r="E174" i="22"/>
  <c r="J250" i="22"/>
  <c r="J136" i="22"/>
  <c r="F176" i="22"/>
  <c r="D179" i="22"/>
  <c r="D132" i="22"/>
  <c r="D353" i="22" s="1"/>
  <c r="D354" i="22" s="1"/>
  <c r="D356" i="22" s="1"/>
  <c r="E181" i="22"/>
  <c r="E178" i="22" s="1"/>
  <c r="K129" i="22"/>
  <c r="E136" i="22"/>
  <c r="I132" i="22"/>
  <c r="I353" i="22" s="1"/>
  <c r="I354" i="22" s="1"/>
  <c r="I356" i="22" s="1"/>
  <c r="F132" i="22"/>
  <c r="F353" i="22" s="1"/>
  <c r="F354" i="22" s="1"/>
  <c r="F356" i="22" s="1"/>
  <c r="K127" i="22"/>
  <c r="J244" i="22"/>
  <c r="J333" i="22" s="1"/>
  <c r="J334" i="22" s="1"/>
  <c r="L251" i="22"/>
  <c r="N338" i="22"/>
  <c r="M338" i="22"/>
  <c r="D171" i="22"/>
  <c r="D344" i="22" s="1"/>
  <c r="J241" i="22"/>
  <c r="F179" i="22"/>
  <c r="D176" i="22"/>
  <c r="K248" i="22"/>
  <c r="M244" i="22"/>
  <c r="M333" i="22" s="1"/>
  <c r="J338" i="22"/>
  <c r="N350" i="22"/>
  <c r="O350" i="22" s="1"/>
  <c r="P350" i="22" s="1"/>
  <c r="Q350" i="22" s="1"/>
  <c r="R350" i="22" s="1"/>
  <c r="S350" i="22" s="1"/>
  <c r="S332" i="22" s="1"/>
  <c r="I251" i="22"/>
  <c r="G173" i="22"/>
  <c r="F171" i="22"/>
  <c r="F344" i="22" s="1"/>
  <c r="L332" i="22"/>
  <c r="J249" i="22"/>
  <c r="Q32" i="10" s="1"/>
  <c r="Q31" i="10" s="1"/>
  <c r="K167" i="22" l="1"/>
  <c r="L167" i="22" s="1"/>
  <c r="K161" i="22"/>
  <c r="L161" i="22" s="1"/>
  <c r="M161" i="22" s="1"/>
  <c r="N161" i="22" s="1"/>
  <c r="O161" i="22" s="1"/>
  <c r="P161" i="22" s="1"/>
  <c r="Q161" i="22" s="1"/>
  <c r="R161" i="22" s="1"/>
  <c r="S161" i="22" s="1"/>
  <c r="J353" i="22"/>
  <c r="J354" i="22" s="1"/>
  <c r="Y110" i="12"/>
  <c r="Z261" i="12" s="1"/>
  <c r="X245" i="12"/>
  <c r="X77" i="12" s="1"/>
  <c r="Y230" i="12"/>
  <c r="Y43" i="12" s="1"/>
  <c r="P44" i="10"/>
  <c r="P40" i="10"/>
  <c r="P41" i="10" s="1"/>
  <c r="P29" i="11"/>
  <c r="P9" i="6" s="1"/>
  <c r="K338" i="22"/>
  <c r="K241" i="22"/>
  <c r="M251" i="22"/>
  <c r="M241" i="22" s="1"/>
  <c r="F133" i="22"/>
  <c r="J133" i="22"/>
  <c r="O332" i="22"/>
  <c r="O349" i="22" s="1"/>
  <c r="O351" i="22" s="1"/>
  <c r="K249" i="22"/>
  <c r="R32" i="10" s="1"/>
  <c r="R31" i="10" s="1"/>
  <c r="R33" i="10" s="1"/>
  <c r="I133" i="22"/>
  <c r="N332" i="22"/>
  <c r="N349" i="22" s="1"/>
  <c r="N351" i="22" s="1"/>
  <c r="M246" i="22"/>
  <c r="S27" i="10"/>
  <c r="S26" i="10" s="1"/>
  <c r="L245" i="22"/>
  <c r="T18" i="10"/>
  <c r="H133" i="22"/>
  <c r="M332" i="22"/>
  <c r="M349" i="22" s="1"/>
  <c r="M351" i="22" s="1"/>
  <c r="G133" i="22"/>
  <c r="Q33" i="10"/>
  <c r="P332" i="22"/>
  <c r="P349" i="22" s="1"/>
  <c r="P351" i="22" s="1"/>
  <c r="J356" i="22"/>
  <c r="K356" i="22" s="1"/>
  <c r="L356" i="22" s="1"/>
  <c r="M356" i="22" s="1"/>
  <c r="N356" i="22" s="1"/>
  <c r="O356" i="22" s="1"/>
  <c r="P356" i="22" s="1"/>
  <c r="Q356" i="22" s="1"/>
  <c r="R356" i="22" s="1"/>
  <c r="S356" i="22" s="1"/>
  <c r="L126" i="22"/>
  <c r="K132" i="22"/>
  <c r="Q332" i="22"/>
  <c r="Q349" i="22" s="1"/>
  <c r="Q351" i="22" s="1"/>
  <c r="R332" i="22"/>
  <c r="R349" i="22" s="1"/>
  <c r="R351" i="22" s="1"/>
  <c r="L129" i="22"/>
  <c r="E133" i="22"/>
  <c r="J242" i="22"/>
  <c r="D181" i="22"/>
  <c r="D178" i="22" s="1"/>
  <c r="L248" i="22"/>
  <c r="K339" i="22"/>
  <c r="K250" i="22"/>
  <c r="L349" i="22"/>
  <c r="L351" i="22" s="1"/>
  <c r="S349" i="22"/>
  <c r="S351" i="22" s="1"/>
  <c r="F181" i="22"/>
  <c r="F178" i="22" s="1"/>
  <c r="J252" i="22"/>
  <c r="Q18" i="10" s="1"/>
  <c r="Q17" i="10" s="1"/>
  <c r="Q9" i="10" s="1"/>
  <c r="G171" i="22"/>
  <c r="G174" i="22"/>
  <c r="H173" i="22"/>
  <c r="M167" i="22" l="1"/>
  <c r="N167" i="22"/>
  <c r="P186" i="6"/>
  <c r="P29" i="6"/>
  <c r="O167" i="22"/>
  <c r="N251" i="22"/>
  <c r="N241" i="22" s="1"/>
  <c r="N242" i="22" s="1"/>
  <c r="K133" i="22"/>
  <c r="Z110" i="12"/>
  <c r="Z230" i="12"/>
  <c r="Z43" i="12" s="1"/>
  <c r="Y245" i="12"/>
  <c r="N334" i="22"/>
  <c r="K242" i="22"/>
  <c r="M334" i="22"/>
  <c r="J355" i="22"/>
  <c r="J120" i="22" s="1"/>
  <c r="Q10" i="10"/>
  <c r="Q10" i="11"/>
  <c r="L338" i="22"/>
  <c r="L244" i="22"/>
  <c r="L333" i="22" s="1"/>
  <c r="L334" i="22" s="1"/>
  <c r="U18" i="10"/>
  <c r="Q22" i="10"/>
  <c r="R17" i="10"/>
  <c r="L241" i="22"/>
  <c r="O246" i="22"/>
  <c r="T27" i="10"/>
  <c r="U27" i="10" s="1"/>
  <c r="V27" i="10" s="1"/>
  <c r="W27" i="10" s="1"/>
  <c r="X27" i="10" s="1"/>
  <c r="Y27" i="10" s="1"/>
  <c r="Z27" i="10" s="1"/>
  <c r="Q13" i="10"/>
  <c r="K353" i="22"/>
  <c r="L130" i="22"/>
  <c r="L127" i="22"/>
  <c r="L132" i="22" s="1"/>
  <c r="M126" i="22"/>
  <c r="M129" i="22"/>
  <c r="L250" i="22"/>
  <c r="L339" i="22"/>
  <c r="M248" i="22"/>
  <c r="L249" i="22"/>
  <c r="S32" i="10" s="1"/>
  <c r="S31" i="10" s="1"/>
  <c r="S33" i="10" s="1"/>
  <c r="H171" i="22"/>
  <c r="G170" i="22"/>
  <c r="N11" i="11" s="1"/>
  <c r="G344" i="22"/>
  <c r="I173" i="22"/>
  <c r="H174" i="22"/>
  <c r="P167" i="22" l="1"/>
  <c r="O251" i="22"/>
  <c r="Y77" i="12"/>
  <c r="M242" i="22"/>
  <c r="L242" i="22"/>
  <c r="R22" i="10"/>
  <c r="S17" i="10"/>
  <c r="R9" i="10"/>
  <c r="V18" i="10"/>
  <c r="T26" i="10"/>
  <c r="N20" i="11"/>
  <c r="Q19" i="11"/>
  <c r="P246" i="22"/>
  <c r="Q246" i="22" s="1"/>
  <c r="R246" i="22" s="1"/>
  <c r="S246" i="22" s="1"/>
  <c r="O245" i="22"/>
  <c r="M127" i="22"/>
  <c r="M132" i="22" s="1"/>
  <c r="M130" i="22"/>
  <c r="L353" i="22"/>
  <c r="L133" i="22"/>
  <c r="N126" i="22"/>
  <c r="N129" i="22"/>
  <c r="M339" i="22"/>
  <c r="N248" i="22"/>
  <c r="O248" i="22" s="1"/>
  <c r="O339" i="22" s="1"/>
  <c r="M250" i="22"/>
  <c r="M249" i="22"/>
  <c r="T32" i="10" s="1"/>
  <c r="G175" i="22"/>
  <c r="J173" i="22"/>
  <c r="I174" i="22"/>
  <c r="I171" i="22"/>
  <c r="H170" i="22"/>
  <c r="O11" i="11" s="1"/>
  <c r="H344" i="22"/>
  <c r="Q167" i="22" l="1"/>
  <c r="R167" i="22" s="1"/>
  <c r="Z245" i="12"/>
  <c r="P251" i="22"/>
  <c r="W18" i="10"/>
  <c r="R10" i="10"/>
  <c r="R10" i="11"/>
  <c r="R13" i="10"/>
  <c r="S22" i="10"/>
  <c r="T17" i="10"/>
  <c r="S9" i="10"/>
  <c r="O20" i="11"/>
  <c r="U26" i="10"/>
  <c r="T31" i="10"/>
  <c r="T33" i="10" s="1"/>
  <c r="G181" i="22"/>
  <c r="G178" i="22" s="1"/>
  <c r="N32" i="11"/>
  <c r="N74" i="11" s="1"/>
  <c r="N83" i="11" s="1"/>
  <c r="O244" i="22"/>
  <c r="O333" i="22" s="1"/>
  <c r="O334" i="22" s="1"/>
  <c r="P245" i="22"/>
  <c r="O338" i="22"/>
  <c r="O241" i="22"/>
  <c r="G179" i="22"/>
  <c r="O126" i="22"/>
  <c r="O129" i="22"/>
  <c r="N130" i="22"/>
  <c r="N127" i="22"/>
  <c r="N132" i="22" s="1"/>
  <c r="M353" i="22"/>
  <c r="M133" i="22"/>
  <c r="O249" i="22"/>
  <c r="V32" i="10" s="1"/>
  <c r="N339" i="22"/>
  <c r="N250" i="22"/>
  <c r="N249" i="22"/>
  <c r="U32" i="10" s="1"/>
  <c r="O250" i="22"/>
  <c r="P248" i="22"/>
  <c r="P339" i="22" s="1"/>
  <c r="H175" i="22"/>
  <c r="J171" i="22"/>
  <c r="J344" i="22" s="1"/>
  <c r="I170" i="22"/>
  <c r="P11" i="11" s="1"/>
  <c r="I344" i="22"/>
  <c r="K173" i="22"/>
  <c r="L173" i="22" s="1"/>
  <c r="M173" i="22" s="1"/>
  <c r="N173" i="22" s="1"/>
  <c r="O173" i="22" s="1"/>
  <c r="P173" i="22" s="1"/>
  <c r="Q173" i="22" s="1"/>
  <c r="R173" i="22" s="1"/>
  <c r="S173" i="22" s="1"/>
  <c r="J174" i="22"/>
  <c r="S167" i="22" l="1"/>
  <c r="Z77" i="12"/>
  <c r="R19" i="11"/>
  <c r="P20" i="11"/>
  <c r="H181" i="22"/>
  <c r="H178" i="22" s="1"/>
  <c r="O32" i="11"/>
  <c r="O74" i="11" s="1"/>
  <c r="O83" i="11" s="1"/>
  <c r="O242" i="22"/>
  <c r="S13" i="10"/>
  <c r="S10" i="10"/>
  <c r="S10" i="11"/>
  <c r="X18" i="10"/>
  <c r="V26" i="10"/>
  <c r="U31" i="10"/>
  <c r="U33" i="10" s="1"/>
  <c r="Q245" i="22"/>
  <c r="P338" i="22"/>
  <c r="P244" i="22"/>
  <c r="P333" i="22" s="1"/>
  <c r="P334" i="22" s="1"/>
  <c r="P241" i="22"/>
  <c r="T22" i="10"/>
  <c r="U17" i="10"/>
  <c r="T9" i="10"/>
  <c r="Q251" i="22"/>
  <c r="P250" i="22"/>
  <c r="N353" i="22"/>
  <c r="N133" i="22"/>
  <c r="Q248" i="22"/>
  <c r="Q339" i="22" s="1"/>
  <c r="P249" i="22"/>
  <c r="W32" i="10" s="1"/>
  <c r="H179" i="22"/>
  <c r="O127" i="22"/>
  <c r="O132" i="22" s="1"/>
  <c r="O130" i="22"/>
  <c r="P126" i="22"/>
  <c r="P129" i="22"/>
  <c r="I175" i="22"/>
  <c r="K171" i="22"/>
  <c r="K344" i="22" s="1"/>
  <c r="J170" i="22"/>
  <c r="Q11" i="11" s="1"/>
  <c r="R248" i="22"/>
  <c r="R339" i="22" s="1"/>
  <c r="Z18" i="10" l="1"/>
  <c r="Y18" i="10"/>
  <c r="Q249" i="22"/>
  <c r="X32" i="10" s="1"/>
  <c r="Q244" i="22"/>
  <c r="Q333" i="22" s="1"/>
  <c r="Q334" i="22" s="1"/>
  <c r="R245" i="22"/>
  <c r="Q241" i="22"/>
  <c r="Q338" i="22"/>
  <c r="S19" i="11"/>
  <c r="P242" i="22"/>
  <c r="R251" i="22"/>
  <c r="T10" i="10"/>
  <c r="T10" i="11"/>
  <c r="T13" i="10"/>
  <c r="W26" i="10"/>
  <c r="V31" i="10"/>
  <c r="V33" i="10" s="1"/>
  <c r="Q20" i="11"/>
  <c r="I181" i="22"/>
  <c r="I178" i="22" s="1"/>
  <c r="P32" i="11"/>
  <c r="P74" i="11" s="1"/>
  <c r="P83" i="11" s="1"/>
  <c r="U22" i="10"/>
  <c r="V17" i="10"/>
  <c r="U9" i="10"/>
  <c r="Q250" i="22"/>
  <c r="O353" i="22"/>
  <c r="O133" i="22"/>
  <c r="P130" i="22"/>
  <c r="P127" i="22"/>
  <c r="P132" i="22" s="1"/>
  <c r="Q126" i="22"/>
  <c r="Q129" i="22"/>
  <c r="S248" i="22"/>
  <c r="S339" i="22" s="1"/>
  <c r="R249" i="22"/>
  <c r="Y32" i="10" s="1"/>
  <c r="R250" i="22"/>
  <c r="J175" i="22"/>
  <c r="L171" i="22"/>
  <c r="L344" i="22" s="1"/>
  <c r="K170" i="22"/>
  <c r="R11" i="11" s="1"/>
  <c r="I179" i="22"/>
  <c r="S251" i="22" l="1"/>
  <c r="R20" i="11"/>
  <c r="V22" i="10"/>
  <c r="V9" i="10"/>
  <c r="W17" i="10"/>
  <c r="T19" i="11"/>
  <c r="Q242" i="22"/>
  <c r="R338" i="22"/>
  <c r="R244" i="22"/>
  <c r="R333" i="22" s="1"/>
  <c r="R334" i="22" s="1"/>
  <c r="R241" i="22"/>
  <c r="S245" i="22"/>
  <c r="S249" i="22" s="1"/>
  <c r="Z32" i="10" s="1"/>
  <c r="J181" i="22"/>
  <c r="J178" i="22" s="1"/>
  <c r="Q32" i="11"/>
  <c r="Q74" i="11" s="1"/>
  <c r="Q83" i="11" s="1"/>
  <c r="U13" i="10"/>
  <c r="U10" i="10"/>
  <c r="U10" i="11"/>
  <c r="W31" i="10"/>
  <c r="W33" i="10" s="1"/>
  <c r="X26" i="10"/>
  <c r="P133" i="22"/>
  <c r="P353" i="22"/>
  <c r="Q130" i="22"/>
  <c r="Q127" i="22"/>
  <c r="Q132" i="22" s="1"/>
  <c r="R126" i="22"/>
  <c r="R129" i="22"/>
  <c r="J179" i="22"/>
  <c r="M171" i="22"/>
  <c r="M344" i="22" s="1"/>
  <c r="L170" i="22"/>
  <c r="S11" i="11" s="1"/>
  <c r="K175" i="22"/>
  <c r="S250" i="22"/>
  <c r="S20" i="11" l="1"/>
  <c r="R242" i="22"/>
  <c r="V13" i="10"/>
  <c r="V10" i="10"/>
  <c r="V10" i="11"/>
  <c r="S241" i="22"/>
  <c r="S244" i="22"/>
  <c r="S333" i="22" s="1"/>
  <c r="S334" i="22" s="1"/>
  <c r="S338" i="22"/>
  <c r="K181" i="22"/>
  <c r="K178" i="22" s="1"/>
  <c r="R32" i="11"/>
  <c r="R74" i="11" s="1"/>
  <c r="R83" i="11" s="1"/>
  <c r="X31" i="10"/>
  <c r="X33" i="10" s="1"/>
  <c r="Y26" i="10"/>
  <c r="W22" i="10"/>
  <c r="X17" i="10"/>
  <c r="W9" i="10"/>
  <c r="U19" i="11"/>
  <c r="R127" i="22"/>
  <c r="R132" i="22" s="1"/>
  <c r="R130" i="22"/>
  <c r="S126" i="22"/>
  <c r="S129" i="22"/>
  <c r="Q353" i="22"/>
  <c r="Q133" i="22"/>
  <c r="K179" i="22"/>
  <c r="L175" i="22"/>
  <c r="N171" i="22"/>
  <c r="N344" i="22" s="1"/>
  <c r="M170" i="22"/>
  <c r="T11" i="11" s="1"/>
  <c r="V19" i="11" l="1"/>
  <c r="T20" i="11"/>
  <c r="Z26" i="10"/>
  <c r="Z31" i="10" s="1"/>
  <c r="Y31" i="10"/>
  <c r="Y33" i="10" s="1"/>
  <c r="L181" i="22"/>
  <c r="L178" i="22" s="1"/>
  <c r="S32" i="11"/>
  <c r="S74" i="11" s="1"/>
  <c r="S83" i="11" s="1"/>
  <c r="W13" i="10"/>
  <c r="W10" i="10"/>
  <c r="W10" i="11"/>
  <c r="X22" i="10"/>
  <c r="X9" i="10"/>
  <c r="Y17" i="10"/>
  <c r="S242" i="22"/>
  <c r="S127" i="22"/>
  <c r="S132" i="22" s="1"/>
  <c r="S130" i="22"/>
  <c r="R133" i="22"/>
  <c r="R353" i="22"/>
  <c r="L179" i="22"/>
  <c r="M175" i="22"/>
  <c r="O171" i="22"/>
  <c r="O344" i="22" s="1"/>
  <c r="N170" i="22"/>
  <c r="U11" i="11" s="1"/>
  <c r="Y22" i="10" l="1"/>
  <c r="Z17" i="10"/>
  <c r="Y9" i="10"/>
  <c r="W19" i="11"/>
  <c r="X13" i="10"/>
  <c r="X10" i="10"/>
  <c r="X10" i="11"/>
  <c r="Z33" i="10"/>
  <c r="U20" i="11"/>
  <c r="M181" i="22"/>
  <c r="M178" i="22" s="1"/>
  <c r="T32" i="11"/>
  <c r="T74" i="11" s="1"/>
  <c r="T83" i="11" s="1"/>
  <c r="S353" i="22"/>
  <c r="S133" i="22"/>
  <c r="P171" i="22"/>
  <c r="P344" i="22" s="1"/>
  <c r="O170" i="22"/>
  <c r="V11" i="11" s="1"/>
  <c r="N175" i="22"/>
  <c r="M179" i="22"/>
  <c r="N181" i="22" l="1"/>
  <c r="N178" i="22" s="1"/>
  <c r="U32" i="11"/>
  <c r="U74" i="11" s="1"/>
  <c r="U83" i="11" s="1"/>
  <c r="Y13" i="10"/>
  <c r="Y10" i="10"/>
  <c r="Y10" i="11"/>
  <c r="Z22" i="10"/>
  <c r="Z9" i="10"/>
  <c r="V20" i="11"/>
  <c r="X19" i="11"/>
  <c r="N179" i="22"/>
  <c r="O175" i="22"/>
  <c r="Q171" i="22"/>
  <c r="Q344" i="22" s="1"/>
  <c r="P170" i="22"/>
  <c r="W11" i="11" s="1"/>
  <c r="O181" i="22" l="1"/>
  <c r="O178" i="22" s="1"/>
  <c r="V32" i="11"/>
  <c r="V74" i="11" s="1"/>
  <c r="V83" i="11" s="1"/>
  <c r="Z13" i="10"/>
  <c r="Z10" i="10"/>
  <c r="Z10" i="11"/>
  <c r="O179" i="22"/>
  <c r="Y19" i="11"/>
  <c r="W20" i="11"/>
  <c r="R171" i="22"/>
  <c r="R344" i="22" s="1"/>
  <c r="Q170" i="22"/>
  <c r="X11" i="11" s="1"/>
  <c r="P175" i="22"/>
  <c r="P179" i="22" s="1"/>
  <c r="Z19" i="11" l="1"/>
  <c r="P181" i="22"/>
  <c r="P178" i="22" s="1"/>
  <c r="W32" i="11"/>
  <c r="W74" i="11" s="1"/>
  <c r="W83" i="11" s="1"/>
  <c r="X20" i="11"/>
  <c r="Q175" i="22"/>
  <c r="S171" i="22"/>
  <c r="R170" i="22"/>
  <c r="Y11" i="11" s="1"/>
  <c r="Q181" i="22" l="1"/>
  <c r="Q178" i="22" s="1"/>
  <c r="X32" i="11"/>
  <c r="X74" i="11" s="1"/>
  <c r="X83" i="11" s="1"/>
  <c r="Y20" i="11"/>
  <c r="S170" i="22"/>
  <c r="Z11" i="11" s="1"/>
  <c r="S344" i="22"/>
  <c r="R175" i="22"/>
  <c r="R179" i="22" s="1"/>
  <c r="Q179" i="22"/>
  <c r="Z20" i="11" l="1"/>
  <c r="R181" i="22"/>
  <c r="R178" i="22" s="1"/>
  <c r="Y32" i="11"/>
  <c r="Y74" i="11" s="1"/>
  <c r="Y83" i="11" s="1"/>
  <c r="S175" i="22"/>
  <c r="S179" i="22" s="1"/>
  <c r="H249" i="22"/>
  <c r="H244" i="22"/>
  <c r="H333" i="22" s="1"/>
  <c r="H334" i="22" s="1"/>
  <c r="H336" i="22" s="1"/>
  <c r="H241" i="22"/>
  <c r="G253" i="22"/>
  <c r="G249" i="22"/>
  <c r="G244" i="22"/>
  <c r="G333" i="22" s="1"/>
  <c r="G334" i="22" s="1"/>
  <c r="G243" i="22"/>
  <c r="H243" i="22" s="1"/>
  <c r="G241" i="22"/>
  <c r="E294" i="22"/>
  <c r="E357" i="22" s="1"/>
  <c r="F294" i="22"/>
  <c r="G294" i="22"/>
  <c r="H294" i="22"/>
  <c r="I294" i="22"/>
  <c r="E296" i="22"/>
  <c r="F296" i="22"/>
  <c r="G296" i="22"/>
  <c r="H296" i="22"/>
  <c r="I296" i="22"/>
  <c r="E298" i="22"/>
  <c r="F298" i="22"/>
  <c r="G298" i="22"/>
  <c r="H298" i="22"/>
  <c r="I298" i="22"/>
  <c r="E299" i="22"/>
  <c r="F299" i="22"/>
  <c r="G299" i="22"/>
  <c r="H299" i="22"/>
  <c r="I299" i="22"/>
  <c r="D299" i="22"/>
  <c r="D298" i="22"/>
  <c r="D296" i="22"/>
  <c r="D294" i="22"/>
  <c r="D357" i="22" s="1"/>
  <c r="E19" i="22"/>
  <c r="F19" i="22"/>
  <c r="G19" i="22"/>
  <c r="H19" i="22"/>
  <c r="I19" i="22"/>
  <c r="D19" i="22"/>
  <c r="E18" i="22"/>
  <c r="F18" i="22"/>
  <c r="G18" i="22"/>
  <c r="H18" i="22"/>
  <c r="I18" i="22"/>
  <c r="D18" i="22"/>
  <c r="E17" i="22"/>
  <c r="F17" i="22"/>
  <c r="G17" i="22"/>
  <c r="H17" i="22"/>
  <c r="I17" i="22"/>
  <c r="D17" i="22"/>
  <c r="E16" i="22"/>
  <c r="F16" i="22"/>
  <c r="G16" i="22"/>
  <c r="H16" i="22"/>
  <c r="I16" i="22"/>
  <c r="D16" i="22"/>
  <c r="E15" i="22"/>
  <c r="F15" i="22"/>
  <c r="G15" i="22"/>
  <c r="H15" i="22"/>
  <c r="I15" i="22"/>
  <c r="D15" i="22"/>
  <c r="E14" i="22"/>
  <c r="F14" i="22"/>
  <c r="G14" i="22"/>
  <c r="H14" i="22"/>
  <c r="I14" i="22"/>
  <c r="D14" i="22"/>
  <c r="E9" i="22"/>
  <c r="F9" i="22"/>
  <c r="G9" i="22"/>
  <c r="H9" i="22"/>
  <c r="I9" i="22"/>
  <c r="D9" i="22"/>
  <c r="E12" i="22"/>
  <c r="F12" i="22"/>
  <c r="G12" i="22"/>
  <c r="H12" i="22"/>
  <c r="I12" i="22"/>
  <c r="D12" i="22"/>
  <c r="E11" i="22"/>
  <c r="F11" i="22"/>
  <c r="G11" i="22"/>
  <c r="H11" i="22"/>
  <c r="D11" i="22"/>
  <c r="H260" i="22" l="1"/>
  <c r="H261" i="22"/>
  <c r="G261" i="22"/>
  <c r="I261" i="22"/>
  <c r="I260" i="22"/>
  <c r="N10" i="11"/>
  <c r="G260" i="22"/>
  <c r="G336" i="22"/>
  <c r="T334" i="22"/>
  <c r="K29" i="11"/>
  <c r="L8" i="11"/>
  <c r="L5" i="6" s="1"/>
  <c r="O29" i="11"/>
  <c r="N29" i="11"/>
  <c r="K8" i="11"/>
  <c r="K5" i="6" s="1"/>
  <c r="L29" i="11"/>
  <c r="P8" i="11"/>
  <c r="S181" i="22"/>
  <c r="S178" i="22" s="1"/>
  <c r="Z32" i="11"/>
  <c r="Z74" i="11" s="1"/>
  <c r="Z83" i="11" s="1"/>
  <c r="D13" i="22"/>
  <c r="O8" i="11"/>
  <c r="O5" i="6" s="1"/>
  <c r="G10" i="22"/>
  <c r="N8" i="11"/>
  <c r="M29" i="11"/>
  <c r="F10" i="22"/>
  <c r="M8" i="11"/>
  <c r="M5" i="6" s="1"/>
  <c r="O10" i="11"/>
  <c r="I357" i="22"/>
  <c r="H357" i="22"/>
  <c r="G357" i="22"/>
  <c r="F357" i="22"/>
  <c r="I13" i="22"/>
  <c r="I10" i="22"/>
  <c r="H10" i="22"/>
  <c r="G13" i="22"/>
  <c r="F13" i="22"/>
  <c r="E13" i="22"/>
  <c r="E10" i="22"/>
  <c r="H312" i="22"/>
  <c r="E311" i="22"/>
  <c r="G309" i="22"/>
  <c r="G312" i="22"/>
  <c r="I313" i="22"/>
  <c r="F312" i="22"/>
  <c r="H310" i="22"/>
  <c r="E293" i="22"/>
  <c r="E306" i="22" s="1"/>
  <c r="E309" i="22"/>
  <c r="H313" i="22"/>
  <c r="E312" i="22"/>
  <c r="G310" i="22"/>
  <c r="D293" i="22"/>
  <c r="D305" i="22" s="1"/>
  <c r="G313" i="22"/>
  <c r="I311" i="22"/>
  <c r="F310" i="22"/>
  <c r="H13" i="22"/>
  <c r="F313" i="22"/>
  <c r="H311" i="22"/>
  <c r="E310" i="22"/>
  <c r="H242" i="22"/>
  <c r="I242" i="22"/>
  <c r="F309" i="22"/>
  <c r="E313" i="22"/>
  <c r="G311" i="22"/>
  <c r="I309" i="22"/>
  <c r="I310" i="22"/>
  <c r="I312" i="22"/>
  <c r="F311" i="22"/>
  <c r="H309" i="22"/>
  <c r="I243" i="22"/>
  <c r="H247" i="22"/>
  <c r="G256" i="22"/>
  <c r="G247" i="22"/>
  <c r="G251" i="22"/>
  <c r="H256" i="22"/>
  <c r="H251" i="22"/>
  <c r="F259" i="22"/>
  <c r="R259" i="22" s="1"/>
  <c r="E280" i="22"/>
  <c r="F280" i="22" s="1"/>
  <c r="G280" i="22" s="1"/>
  <c r="H280" i="22" s="1"/>
  <c r="I280" i="22" s="1"/>
  <c r="J280" i="22" s="1"/>
  <c r="K280" i="22" s="1"/>
  <c r="L280" i="22" s="1"/>
  <c r="M280" i="22" s="1"/>
  <c r="N280" i="22" s="1"/>
  <c r="O280" i="22" s="1"/>
  <c r="P280" i="22" s="1"/>
  <c r="Q280" i="22" s="1"/>
  <c r="R280" i="22" s="1"/>
  <c r="S280" i="22" s="1"/>
  <c r="E281" i="22"/>
  <c r="F281" i="22" s="1"/>
  <c r="G281" i="22" s="1"/>
  <c r="H281" i="22" s="1"/>
  <c r="I281" i="22" s="1"/>
  <c r="J281" i="22" s="1"/>
  <c r="K281" i="22" s="1"/>
  <c r="L281" i="22" s="1"/>
  <c r="M281" i="22" s="1"/>
  <c r="N281" i="22" s="1"/>
  <c r="O281" i="22" s="1"/>
  <c r="P281" i="22" s="1"/>
  <c r="Q281" i="22" s="1"/>
  <c r="R281" i="22" s="1"/>
  <c r="S281" i="22" s="1"/>
  <c r="E279" i="22"/>
  <c r="F279" i="22" s="1"/>
  <c r="G279" i="22" s="1"/>
  <c r="H279" i="22" s="1"/>
  <c r="I279" i="22" s="1"/>
  <c r="G273" i="22"/>
  <c r="F273" i="22"/>
  <c r="E273" i="22"/>
  <c r="D273" i="22"/>
  <c r="D285" i="22" s="1"/>
  <c r="D272" i="22"/>
  <c r="D284" i="22" s="1"/>
  <c r="E272" i="22"/>
  <c r="F272" i="22"/>
  <c r="AA270" i="22"/>
  <c r="G272" i="22" s="1"/>
  <c r="AB270" i="22"/>
  <c r="H272" i="22" s="1"/>
  <c r="AC270" i="22"/>
  <c r="I272" i="22" s="1"/>
  <c r="J272" i="22" s="1"/>
  <c r="K272" i="22" s="1"/>
  <c r="L272" i="22" s="1"/>
  <c r="M272" i="22" s="1"/>
  <c r="N272" i="22" s="1"/>
  <c r="O272" i="22" s="1"/>
  <c r="I115" i="22"/>
  <c r="H115" i="22"/>
  <c r="O30" i="11" s="1"/>
  <c r="G115" i="22"/>
  <c r="N30" i="11" s="1"/>
  <c r="F115" i="22"/>
  <c r="M30" i="11" s="1"/>
  <c r="E115" i="22"/>
  <c r="L30" i="11" s="1"/>
  <c r="D115" i="22"/>
  <c r="K30" i="11" s="1"/>
  <c r="E101" i="22"/>
  <c r="F101" i="22"/>
  <c r="G101" i="22"/>
  <c r="H101" i="22"/>
  <c r="I101" i="22"/>
  <c r="D101" i="22"/>
  <c r="F253" i="22"/>
  <c r="F249" i="22"/>
  <c r="F247" i="22"/>
  <c r="F241" i="22"/>
  <c r="E336" i="22"/>
  <c r="D336" i="22"/>
  <c r="I99" i="22"/>
  <c r="H99" i="22"/>
  <c r="G99" i="22"/>
  <c r="F99" i="22"/>
  <c r="E99" i="22"/>
  <c r="D99" i="22"/>
  <c r="P104" i="22"/>
  <c r="Q104" i="22" s="1"/>
  <c r="R104" i="22" s="1"/>
  <c r="S104" i="22" s="1"/>
  <c r="O104" i="22"/>
  <c r="N104" i="22"/>
  <c r="M104" i="22"/>
  <c r="L104" i="22"/>
  <c r="K104" i="22"/>
  <c r="K103" i="22" s="1"/>
  <c r="K135" i="22" s="1"/>
  <c r="J104" i="22"/>
  <c r="M110" i="22"/>
  <c r="Q110" i="22"/>
  <c r="R110" i="22"/>
  <c r="S110" i="22"/>
  <c r="O110" i="22"/>
  <c r="N110" i="22"/>
  <c r="K108" i="22"/>
  <c r="K106" i="22"/>
  <c r="K2" i="22"/>
  <c r="L2" i="22" s="1"/>
  <c r="M2" i="22" s="1"/>
  <c r="N2" i="22" s="1"/>
  <c r="O2" i="22" s="1"/>
  <c r="P2" i="22" s="1"/>
  <c r="Q2" i="22" s="1"/>
  <c r="R2" i="22" s="1"/>
  <c r="S2" i="22" s="1"/>
  <c r="B40" i="22"/>
  <c r="B39" i="22"/>
  <c r="B38" i="22"/>
  <c r="E1" i="22"/>
  <c r="J336" i="22" l="1"/>
  <c r="P272" i="22"/>
  <c r="Q272" i="22" s="1"/>
  <c r="R272" i="22" s="1"/>
  <c r="S272" i="22" s="1"/>
  <c r="P4" i="11"/>
  <c r="P4" i="12" s="1"/>
  <c r="P5" i="6"/>
  <c r="M9" i="6"/>
  <c r="M13" i="6" s="1"/>
  <c r="M41" i="11"/>
  <c r="L9" i="6"/>
  <c r="L41" i="11"/>
  <c r="N4" i="11"/>
  <c r="N4" i="12" s="1"/>
  <c r="N5" i="6"/>
  <c r="K119" i="6"/>
  <c r="K55" i="6"/>
  <c r="K18" i="6"/>
  <c r="K22" i="6"/>
  <c r="K38" i="6"/>
  <c r="K26" i="6"/>
  <c r="N9" i="6"/>
  <c r="N41" i="11"/>
  <c r="O119" i="6"/>
  <c r="O55" i="6"/>
  <c r="O18" i="6"/>
  <c r="O6" i="6"/>
  <c r="O13" i="6"/>
  <c r="O38" i="6"/>
  <c r="O22" i="6"/>
  <c r="O26" i="6"/>
  <c r="O9" i="6"/>
  <c r="O41" i="11"/>
  <c r="L119" i="6"/>
  <c r="L55" i="6"/>
  <c r="L18" i="6"/>
  <c r="L22" i="6"/>
  <c r="L6" i="6"/>
  <c r="L38" i="6"/>
  <c r="L26" i="6"/>
  <c r="K9" i="6"/>
  <c r="K41" i="11"/>
  <c r="M119" i="6"/>
  <c r="M55" i="6"/>
  <c r="M18" i="6"/>
  <c r="M22" i="6"/>
  <c r="M26" i="6"/>
  <c r="M38" i="6"/>
  <c r="M6" i="6"/>
  <c r="L4" i="11"/>
  <c r="L4" i="12" s="1"/>
  <c r="O4" i="11"/>
  <c r="O4" i="12" s="1"/>
  <c r="M4" i="11"/>
  <c r="M4" i="12" s="1"/>
  <c r="F261" i="22"/>
  <c r="G197" i="22"/>
  <c r="N34" i="11" s="1"/>
  <c r="M10" i="11"/>
  <c r="N19" i="11" s="1"/>
  <c r="F260" i="22"/>
  <c r="P70" i="11"/>
  <c r="K70" i="11"/>
  <c r="O70" i="11"/>
  <c r="N70" i="11"/>
  <c r="M70" i="11"/>
  <c r="H197" i="22"/>
  <c r="O34" i="11" s="1"/>
  <c r="F197" i="22"/>
  <c r="M34" i="11" s="1"/>
  <c r="F102" i="22"/>
  <c r="F285" i="22"/>
  <c r="O19" i="11"/>
  <c r="P19" i="11"/>
  <c r="P110" i="22"/>
  <c r="E197" i="22"/>
  <c r="L34" i="11" s="1"/>
  <c r="L35" i="11" s="1"/>
  <c r="K109" i="22"/>
  <c r="K105" i="22" s="1"/>
  <c r="G102" i="22"/>
  <c r="P30" i="11"/>
  <c r="L70" i="11"/>
  <c r="D197" i="22"/>
  <c r="K34" i="11" s="1"/>
  <c r="K35" i="11" s="1"/>
  <c r="E102" i="22"/>
  <c r="G242" i="22"/>
  <c r="G284" i="22"/>
  <c r="D302" i="22"/>
  <c r="D306" i="22"/>
  <c r="K336" i="22"/>
  <c r="H102" i="22"/>
  <c r="D111" i="22"/>
  <c r="D106" i="22"/>
  <c r="E106" i="22"/>
  <c r="E111" i="22"/>
  <c r="E100" i="22"/>
  <c r="J8" i="22"/>
  <c r="I271" i="22"/>
  <c r="J271" i="22" s="1"/>
  <c r="K271" i="22" s="1"/>
  <c r="L271" i="22" s="1"/>
  <c r="M271" i="22" s="1"/>
  <c r="N271" i="22" s="1"/>
  <c r="O271" i="22" s="1"/>
  <c r="P271" i="22" s="1"/>
  <c r="Q271" i="22" s="1"/>
  <c r="R271" i="22" s="1"/>
  <c r="S271" i="22" s="1"/>
  <c r="I116" i="22"/>
  <c r="I139" i="22" s="1"/>
  <c r="I140" i="22" s="1"/>
  <c r="I119" i="22"/>
  <c r="I122" i="22"/>
  <c r="I123" i="22" s="1"/>
  <c r="E116" i="22"/>
  <c r="E139" i="22" s="1"/>
  <c r="E140" i="22" s="1"/>
  <c r="E122" i="22"/>
  <c r="E123" i="22" s="1"/>
  <c r="E119" i="22"/>
  <c r="E305" i="22"/>
  <c r="F106" i="22"/>
  <c r="F111" i="22"/>
  <c r="F100" i="22"/>
  <c r="D271" i="22"/>
  <c r="D283" i="22" s="1"/>
  <c r="D269" i="22" s="1"/>
  <c r="D265" i="22" s="1"/>
  <c r="D116" i="22"/>
  <c r="D139" i="22" s="1"/>
  <c r="D140" i="22" s="1"/>
  <c r="D119" i="22"/>
  <c r="D122" i="22"/>
  <c r="D123" i="22" s="1"/>
  <c r="G111" i="22"/>
  <c r="G106" i="22"/>
  <c r="G100" i="22"/>
  <c r="H106" i="22"/>
  <c r="H111" i="22"/>
  <c r="H100" i="22"/>
  <c r="F119" i="22"/>
  <c r="F116" i="22"/>
  <c r="F139" i="22" s="1"/>
  <c r="F140" i="22" s="1"/>
  <c r="F122" i="22"/>
  <c r="F123" i="22" s="1"/>
  <c r="H116" i="22"/>
  <c r="H139" i="22" s="1"/>
  <c r="H140" i="22" s="1"/>
  <c r="H119" i="22"/>
  <c r="H122" i="22"/>
  <c r="H123" i="22" s="1"/>
  <c r="I100" i="22"/>
  <c r="I106" i="22"/>
  <c r="J107" i="22" s="1"/>
  <c r="J164" i="22" s="1"/>
  <c r="I111" i="22"/>
  <c r="I102" i="22"/>
  <c r="G119" i="22"/>
  <c r="G116" i="22"/>
  <c r="G139" i="22" s="1"/>
  <c r="G140" i="22" s="1"/>
  <c r="G122" i="22"/>
  <c r="G123" i="22" s="1"/>
  <c r="D303" i="22"/>
  <c r="E302" i="22"/>
  <c r="J284" i="22"/>
  <c r="K136" i="22"/>
  <c r="K354" i="22"/>
  <c r="K355" i="22" s="1"/>
  <c r="K120" i="22" s="1"/>
  <c r="D304" i="22"/>
  <c r="E303" i="22"/>
  <c r="E304" i="22"/>
  <c r="F277" i="22"/>
  <c r="U244" i="22"/>
  <c r="V250" i="22" s="1"/>
  <c r="I256" i="22" s="1"/>
  <c r="H252" i="22"/>
  <c r="I252" i="22"/>
  <c r="I247" i="22"/>
  <c r="J243" i="22"/>
  <c r="G271" i="22"/>
  <c r="G283" i="22" s="1"/>
  <c r="E276" i="22"/>
  <c r="F256" i="22"/>
  <c r="L106" i="22"/>
  <c r="E271" i="22"/>
  <c r="G277" i="22"/>
  <c r="E285" i="22"/>
  <c r="F271" i="22"/>
  <c r="H273" i="22"/>
  <c r="H285" i="22" s="1"/>
  <c r="L103" i="22"/>
  <c r="H271" i="22"/>
  <c r="H283" i="22" s="1"/>
  <c r="J279" i="22"/>
  <c r="K279" i="22" s="1"/>
  <c r="L279" i="22" s="1"/>
  <c r="M279" i="22" s="1"/>
  <c r="N279" i="22" s="1"/>
  <c r="O279" i="22" s="1"/>
  <c r="P279" i="22" s="1"/>
  <c r="Q279" i="22" s="1"/>
  <c r="R279" i="22" s="1"/>
  <c r="S279" i="22" s="1"/>
  <c r="I284" i="22"/>
  <c r="I276" i="22"/>
  <c r="H284" i="22"/>
  <c r="H276" i="22"/>
  <c r="G276" i="22"/>
  <c r="F284" i="22"/>
  <c r="F276" i="22"/>
  <c r="E277" i="22"/>
  <c r="E284" i="22"/>
  <c r="F251" i="22"/>
  <c r="G252" i="22" s="1"/>
  <c r="G285" i="22"/>
  <c r="L108" i="22"/>
  <c r="F1" i="22"/>
  <c r="K40" i="11" l="1"/>
  <c r="O45" i="6"/>
  <c r="O14" i="6"/>
  <c r="O33" i="6"/>
  <c r="O34" i="6" s="1"/>
  <c r="L40" i="11"/>
  <c r="M14" i="6"/>
  <c r="M45" i="6"/>
  <c r="M33" i="6"/>
  <c r="M34" i="6" s="1"/>
  <c r="K186" i="6"/>
  <c r="K29" i="6"/>
  <c r="K30" i="6" s="1"/>
  <c r="K10" i="6"/>
  <c r="L186" i="6"/>
  <c r="L10" i="6"/>
  <c r="L29" i="6"/>
  <c r="L30" i="6" s="1"/>
  <c r="K13" i="6"/>
  <c r="M40" i="11"/>
  <c r="O40" i="11"/>
  <c r="M186" i="6"/>
  <c r="M10" i="6"/>
  <c r="M29" i="6"/>
  <c r="M30" i="6" s="1"/>
  <c r="L36" i="11"/>
  <c r="L11" i="6"/>
  <c r="L13" i="6"/>
  <c r="O186" i="6"/>
  <c r="O29" i="6"/>
  <c r="O30" i="6" s="1"/>
  <c r="O10" i="6"/>
  <c r="P55" i="6"/>
  <c r="P119" i="6"/>
  <c r="P18" i="6"/>
  <c r="P26" i="6"/>
  <c r="P6" i="6"/>
  <c r="P13" i="6"/>
  <c r="P38" i="6"/>
  <c r="P22" i="6"/>
  <c r="P10" i="6"/>
  <c r="P30" i="6"/>
  <c r="N40" i="11"/>
  <c r="Q119" i="6"/>
  <c r="N186" i="6"/>
  <c r="N29" i="6"/>
  <c r="N30" i="6" s="1"/>
  <c r="N10" i="6"/>
  <c r="N119" i="6"/>
  <c r="N55" i="6"/>
  <c r="N18" i="6"/>
  <c r="N38" i="6"/>
  <c r="N13" i="6"/>
  <c r="N26" i="6"/>
  <c r="N22" i="6"/>
  <c r="N6" i="6"/>
  <c r="K36" i="11"/>
  <c r="K11" i="6"/>
  <c r="P71" i="11"/>
  <c r="M19" i="11"/>
  <c r="N71" i="11"/>
  <c r="H112" i="22"/>
  <c r="H142" i="22" s="1"/>
  <c r="H143" i="22" s="1"/>
  <c r="J240" i="22"/>
  <c r="J239" i="22" s="1"/>
  <c r="D112" i="22"/>
  <c r="D142" i="22" s="1"/>
  <c r="D143" i="22" s="1"/>
  <c r="F240" i="22"/>
  <c r="F239" i="22" s="1"/>
  <c r="F112" i="22"/>
  <c r="F142" i="22" s="1"/>
  <c r="F143" i="22" s="1"/>
  <c r="H240" i="22"/>
  <c r="H239" i="22" s="1"/>
  <c r="G112" i="22"/>
  <c r="G142" i="22" s="1"/>
  <c r="G143" i="22" s="1"/>
  <c r="I240" i="22"/>
  <c r="I239" i="22" s="1"/>
  <c r="I112" i="22"/>
  <c r="I194" i="22" s="1"/>
  <c r="K240" i="22"/>
  <c r="K239" i="22" s="1"/>
  <c r="E112" i="22"/>
  <c r="L9" i="11" s="1"/>
  <c r="G240" i="22"/>
  <c r="G239" i="22" s="1"/>
  <c r="L71" i="11"/>
  <c r="O71" i="11"/>
  <c r="M71" i="11"/>
  <c r="L109" i="22"/>
  <c r="L105" i="22" s="1"/>
  <c r="P9" i="11"/>
  <c r="J163" i="22"/>
  <c r="J110" i="22"/>
  <c r="E117" i="22"/>
  <c r="J335" i="22"/>
  <c r="I283" i="22"/>
  <c r="I117" i="22"/>
  <c r="K8" i="22"/>
  <c r="H117" i="22"/>
  <c r="H269" i="22"/>
  <c r="H265" i="22" s="1"/>
  <c r="H258" i="22" s="1"/>
  <c r="J140" i="22"/>
  <c r="J139" i="22" s="1"/>
  <c r="M106" i="22"/>
  <c r="F117" i="22"/>
  <c r="E275" i="22"/>
  <c r="G117" i="22"/>
  <c r="D117" i="22"/>
  <c r="I273" i="22"/>
  <c r="G269" i="22"/>
  <c r="G265" i="22" s="1"/>
  <c r="G258" i="22" s="1"/>
  <c r="E283" i="22"/>
  <c r="E269" i="22" s="1"/>
  <c r="E265" i="22" s="1"/>
  <c r="K284" i="22"/>
  <c r="K335" i="22"/>
  <c r="K101" i="22" s="1"/>
  <c r="K99" i="22" s="1"/>
  <c r="L336" i="22"/>
  <c r="M103" i="22"/>
  <c r="L135" i="22"/>
  <c r="J276" i="22"/>
  <c r="J283" i="22"/>
  <c r="K283" i="22"/>
  <c r="J256" i="22"/>
  <c r="I253" i="22"/>
  <c r="W244" i="22"/>
  <c r="U245" i="22"/>
  <c r="I275" i="22"/>
  <c r="F275" i="22"/>
  <c r="H277" i="22"/>
  <c r="H275" i="22"/>
  <c r="K243" i="22"/>
  <c r="J247" i="22"/>
  <c r="G275" i="22"/>
  <c r="F283" i="22"/>
  <c r="F269" i="22" s="1"/>
  <c r="F265" i="22" s="1"/>
  <c r="F258" i="22" s="1"/>
  <c r="M108" i="22"/>
  <c r="G1" i="22"/>
  <c r="H194" i="22" l="1"/>
  <c r="O9" i="11"/>
  <c r="G194" i="22"/>
  <c r="I142" i="22"/>
  <c r="I143" i="22" s="1"/>
  <c r="N9" i="11"/>
  <c r="R119" i="6"/>
  <c r="K6" i="19"/>
  <c r="K6" i="8"/>
  <c r="K288" i="6"/>
  <c r="K199" i="6"/>
  <c r="K198" i="6"/>
  <c r="K31" i="6"/>
  <c r="L45" i="6"/>
  <c r="L33" i="6"/>
  <c r="L34" i="6" s="1"/>
  <c r="L14" i="6"/>
  <c r="L6" i="19"/>
  <c r="L6" i="8"/>
  <c r="L288" i="6"/>
  <c r="L198" i="6"/>
  <c r="L199" i="6"/>
  <c r="L31" i="6"/>
  <c r="Q186" i="6"/>
  <c r="O84" i="6"/>
  <c r="O46" i="6"/>
  <c r="Q55" i="6"/>
  <c r="R55" i="6" s="1"/>
  <c r="K45" i="6"/>
  <c r="K14" i="6"/>
  <c r="K33" i="6"/>
  <c r="K34" i="6" s="1"/>
  <c r="J273" i="22"/>
  <c r="K273" i="22" s="1"/>
  <c r="L273" i="22" s="1"/>
  <c r="M273" i="22" s="1"/>
  <c r="N273" i="22" s="1"/>
  <c r="O273" i="22" s="1"/>
  <c r="P273" i="22" s="1"/>
  <c r="M84" i="6"/>
  <c r="M46" i="6"/>
  <c r="N14" i="6"/>
  <c r="N45" i="6"/>
  <c r="N33" i="6"/>
  <c r="N34" i="6" s="1"/>
  <c r="P33" i="6"/>
  <c r="P34" i="6" s="1"/>
  <c r="P14" i="6"/>
  <c r="P45" i="6"/>
  <c r="D194" i="22"/>
  <c r="D198" i="22" s="1"/>
  <c r="D199" i="22" s="1"/>
  <c r="I197" i="22"/>
  <c r="P34" i="11" s="1"/>
  <c r="K9" i="11"/>
  <c r="L18" i="11" s="1"/>
  <c r="E142" i="22"/>
  <c r="E143" i="22" s="1"/>
  <c r="F194" i="22"/>
  <c r="G195" i="22" s="1"/>
  <c r="M9" i="11"/>
  <c r="E194" i="22"/>
  <c r="E198" i="22" s="1"/>
  <c r="E199" i="22" s="1"/>
  <c r="J101" i="22"/>
  <c r="J99" i="22" s="1"/>
  <c r="J100" i="22" s="1"/>
  <c r="P72" i="11"/>
  <c r="P18" i="11"/>
  <c r="K163" i="22"/>
  <c r="J159" i="22"/>
  <c r="I195" i="22"/>
  <c r="P13" i="11"/>
  <c r="P14" i="11" s="1"/>
  <c r="O72" i="11"/>
  <c r="O18" i="11"/>
  <c r="M109" i="22"/>
  <c r="M105" i="22" s="1"/>
  <c r="L72" i="11"/>
  <c r="H195" i="22"/>
  <c r="H198" i="22"/>
  <c r="H199" i="22" s="1"/>
  <c r="O13" i="11"/>
  <c r="O14" i="11" s="1"/>
  <c r="I285" i="22"/>
  <c r="I269" i="22" s="1"/>
  <c r="I265" i="22" s="1"/>
  <c r="I258" i="22" s="1"/>
  <c r="I257" i="22" s="1"/>
  <c r="K140" i="22"/>
  <c r="N13" i="11"/>
  <c r="G198" i="22"/>
  <c r="G199" i="22" s="1"/>
  <c r="N72" i="11"/>
  <c r="L8" i="22"/>
  <c r="G257" i="22"/>
  <c r="G295" i="22"/>
  <c r="G293" i="22" s="1"/>
  <c r="F257" i="22"/>
  <c r="F295" i="22"/>
  <c r="H257" i="22"/>
  <c r="H295" i="22"/>
  <c r="H293" i="22" s="1"/>
  <c r="N106" i="22"/>
  <c r="I277" i="22"/>
  <c r="J277" i="22" s="1"/>
  <c r="L335" i="22"/>
  <c r="L101" i="22" s="1"/>
  <c r="L99" i="22" s="1"/>
  <c r="M336" i="22"/>
  <c r="K256" i="22"/>
  <c r="J253" i="22"/>
  <c r="L136" i="22"/>
  <c r="L354" i="22"/>
  <c r="L355" i="22" s="1"/>
  <c r="L120" i="22" s="1"/>
  <c r="L284" i="22"/>
  <c r="J275" i="22"/>
  <c r="L283" i="22"/>
  <c r="N103" i="22"/>
  <c r="M135" i="22"/>
  <c r="L243" i="22"/>
  <c r="K247" i="22"/>
  <c r="N108" i="22"/>
  <c r="H1" i="22"/>
  <c r="I1" i="22" s="1"/>
  <c r="J1" i="22" s="1"/>
  <c r="K1" i="22" s="1"/>
  <c r="L1" i="22" s="1"/>
  <c r="M1" i="22" s="1"/>
  <c r="N1" i="22" s="1"/>
  <c r="O1" i="22" s="1"/>
  <c r="P1" i="22" s="1"/>
  <c r="Q1" i="22" s="1"/>
  <c r="R1" i="22" s="1"/>
  <c r="S1" i="22" s="1"/>
  <c r="N18" i="11" l="1"/>
  <c r="J285" i="22"/>
  <c r="J269" i="22" s="1"/>
  <c r="J265" i="22" s="1"/>
  <c r="J258" i="22" s="1"/>
  <c r="K13" i="11"/>
  <c r="K76" i="11" s="1"/>
  <c r="K85" i="11" s="1"/>
  <c r="L13" i="11"/>
  <c r="L14" i="11" s="1"/>
  <c r="L138" i="11" s="1"/>
  <c r="K285" i="22"/>
  <c r="K269" i="22" s="1"/>
  <c r="K265" i="22" s="1"/>
  <c r="K258" i="22" s="1"/>
  <c r="Q273" i="22"/>
  <c r="R273" i="22" s="1"/>
  <c r="S273" i="22" s="1"/>
  <c r="O89" i="6"/>
  <c r="L46" i="15" s="1"/>
  <c r="L64" i="15" s="1"/>
  <c r="L65" i="15" s="1"/>
  <c r="O18" i="18" s="1"/>
  <c r="O20" i="18" s="1"/>
  <c r="O92" i="6"/>
  <c r="N84" i="6"/>
  <c r="N46" i="6"/>
  <c r="L60" i="11"/>
  <c r="K42" i="18"/>
  <c r="K41" i="18"/>
  <c r="P7" i="6"/>
  <c r="P126" i="11"/>
  <c r="P102" i="11"/>
  <c r="P60" i="11"/>
  <c r="P57" i="11"/>
  <c r="P59" i="11"/>
  <c r="P56" i="11"/>
  <c r="O102" i="11"/>
  <c r="O7" i="6"/>
  <c r="O126" i="11"/>
  <c r="O59" i="11"/>
  <c r="O57" i="11"/>
  <c r="O58" i="11"/>
  <c r="O56" i="11"/>
  <c r="O60" i="11"/>
  <c r="O62" i="11"/>
  <c r="I198" i="22"/>
  <c r="I199" i="22" s="1"/>
  <c r="P84" i="6"/>
  <c r="P46" i="6"/>
  <c r="L84" i="6"/>
  <c r="L46" i="6"/>
  <c r="S119" i="6"/>
  <c r="L140" i="22"/>
  <c r="L139" i="22" s="1"/>
  <c r="L116" i="22" s="1"/>
  <c r="L115" i="22" s="1"/>
  <c r="S30" i="11" s="1"/>
  <c r="K139" i="22"/>
  <c r="K116" i="22" s="1"/>
  <c r="K115" i="22" s="1"/>
  <c r="R30" i="11" s="1"/>
  <c r="K72" i="11"/>
  <c r="M89" i="6"/>
  <c r="J46" i="15" s="1"/>
  <c r="J64" i="15" s="1"/>
  <c r="J65" i="15" s="1"/>
  <c r="M18" i="18" s="1"/>
  <c r="M20" i="18" s="1"/>
  <c r="M92" i="6"/>
  <c r="K84" i="6"/>
  <c r="K46" i="6"/>
  <c r="L42" i="18"/>
  <c r="L41" i="18"/>
  <c r="R186" i="6"/>
  <c r="S55" i="6"/>
  <c r="F195" i="22"/>
  <c r="F254" i="22"/>
  <c r="F255" i="22" s="1"/>
  <c r="F198" i="22"/>
  <c r="F199" i="22" s="1"/>
  <c r="I254" i="22"/>
  <c r="I255" i="22" s="1"/>
  <c r="G254" i="22"/>
  <c r="G255" i="22" s="1"/>
  <c r="M13" i="11"/>
  <c r="M14" i="11" s="1"/>
  <c r="M72" i="11"/>
  <c r="M81" i="11" s="1"/>
  <c r="H254" i="22"/>
  <c r="M18" i="11"/>
  <c r="J111" i="22"/>
  <c r="J112" i="22" s="1"/>
  <c r="Q9" i="11" s="1"/>
  <c r="E195" i="22"/>
  <c r="J195" i="22" s="1"/>
  <c r="K195" i="22" s="1"/>
  <c r="L195" i="22" s="1"/>
  <c r="L118" i="11"/>
  <c r="L120" i="11"/>
  <c r="O120" i="11"/>
  <c r="P120" i="11"/>
  <c r="K199" i="22"/>
  <c r="L199" i="22" s="1"/>
  <c r="M199" i="22" s="1"/>
  <c r="N199" i="22" s="1"/>
  <c r="O199" i="22" s="1"/>
  <c r="P199" i="22" s="1"/>
  <c r="Q199" i="22" s="1"/>
  <c r="R199" i="22" s="1"/>
  <c r="S199" i="22" s="1"/>
  <c r="J116" i="22"/>
  <c r="J115" i="22" s="1"/>
  <c r="P155" i="11"/>
  <c r="P153" i="11"/>
  <c r="P147" i="11"/>
  <c r="P151" i="11"/>
  <c r="P149" i="11"/>
  <c r="P145" i="11"/>
  <c r="P15" i="11"/>
  <c r="L155" i="11"/>
  <c r="L153" i="11"/>
  <c r="L147" i="11"/>
  <c r="L145" i="11"/>
  <c r="L15" i="11"/>
  <c r="O155" i="11"/>
  <c r="O149" i="11"/>
  <c r="O147" i="11"/>
  <c r="O153" i="11"/>
  <c r="O151" i="11"/>
  <c r="O145" i="11"/>
  <c r="O15" i="11"/>
  <c r="K14" i="11"/>
  <c r="L81" i="11"/>
  <c r="L163" i="22"/>
  <c r="K159" i="22"/>
  <c r="I295" i="22"/>
  <c r="I293" i="22" s="1"/>
  <c r="I302" i="22" s="1"/>
  <c r="N76" i="11"/>
  <c r="N85" i="11" s="1"/>
  <c r="O76" i="11"/>
  <c r="O85" i="11" s="1"/>
  <c r="O22" i="11"/>
  <c r="P23" i="11"/>
  <c r="L37" i="11"/>
  <c r="P81" i="11"/>
  <c r="N14" i="11"/>
  <c r="O81" i="11"/>
  <c r="L76" i="11"/>
  <c r="L85" i="11" s="1"/>
  <c r="L22" i="11"/>
  <c r="N109" i="22"/>
  <c r="N105" i="22" s="1"/>
  <c r="K81" i="11"/>
  <c r="J166" i="22"/>
  <c r="J165" i="22" s="1"/>
  <c r="Q33" i="11" s="1"/>
  <c r="Q12" i="11"/>
  <c r="N81" i="11"/>
  <c r="P22" i="11"/>
  <c r="P76" i="11"/>
  <c r="P85" i="11" s="1"/>
  <c r="M8" i="22"/>
  <c r="F293" i="22"/>
  <c r="G305" i="22"/>
  <c r="G303" i="22"/>
  <c r="G306" i="22"/>
  <c r="G302" i="22"/>
  <c r="G304" i="22"/>
  <c r="H305" i="22"/>
  <c r="H302" i="22"/>
  <c r="H304" i="22"/>
  <c r="H306" i="22"/>
  <c r="H303" i="22"/>
  <c r="O106" i="22"/>
  <c r="K100" i="22"/>
  <c r="K111" i="22"/>
  <c r="K112" i="22" s="1"/>
  <c r="L285" i="22"/>
  <c r="L269" i="22" s="1"/>
  <c r="L265" i="22" s="1"/>
  <c r="L258" i="22" s="1"/>
  <c r="M335" i="22"/>
  <c r="M101" i="22" s="1"/>
  <c r="M99" i="22" s="1"/>
  <c r="N336" i="22"/>
  <c r="O336" i="22" s="1"/>
  <c r="O335" i="22" s="1"/>
  <c r="O101" i="22" s="1"/>
  <c r="M283" i="22"/>
  <c r="L256" i="22"/>
  <c r="K253" i="22"/>
  <c r="M136" i="22"/>
  <c r="M354" i="22"/>
  <c r="M355" i="22" s="1"/>
  <c r="M120" i="22" s="1"/>
  <c r="M284" i="22"/>
  <c r="O103" i="22"/>
  <c r="N135" i="22"/>
  <c r="M243" i="22"/>
  <c r="L247" i="22"/>
  <c r="O108" i="22"/>
  <c r="A124" i="19"/>
  <c r="C9" i="21"/>
  <c r="E3" i="20"/>
  <c r="F3" i="20" s="1"/>
  <c r="G3" i="20" s="1"/>
  <c r="H3" i="20" s="1"/>
  <c r="I3" i="20" s="1"/>
  <c r="J3" i="20" s="1"/>
  <c r="E3" i="19"/>
  <c r="F3" i="19" s="1"/>
  <c r="L59" i="11" l="1"/>
  <c r="L149" i="11"/>
  <c r="L151" i="11"/>
  <c r="L56" i="11"/>
  <c r="L58" i="11"/>
  <c r="K77" i="11"/>
  <c r="L102" i="11"/>
  <c r="M140" i="22"/>
  <c r="M139" i="22" s="1"/>
  <c r="M116" i="22" s="1"/>
  <c r="M115" i="22" s="1"/>
  <c r="T30" i="11" s="1"/>
  <c r="L126" i="11"/>
  <c r="L62" i="11"/>
  <c r="L7" i="6"/>
  <c r="L10" i="20" s="1"/>
  <c r="L57" i="11"/>
  <c r="N102" i="11"/>
  <c r="N7" i="6"/>
  <c r="N126" i="11"/>
  <c r="N57" i="11"/>
  <c r="N59" i="11"/>
  <c r="N56" i="11"/>
  <c r="N58" i="11"/>
  <c r="N60" i="11"/>
  <c r="N62" i="11"/>
  <c r="K89" i="6"/>
  <c r="K92" i="6"/>
  <c r="M356" i="6"/>
  <c r="M99" i="6"/>
  <c r="M93" i="6"/>
  <c r="L92" i="6"/>
  <c r="L89" i="6"/>
  <c r="I46" i="15" s="1"/>
  <c r="I64" i="15" s="1"/>
  <c r="I65" i="15" s="1"/>
  <c r="L18" i="18" s="1"/>
  <c r="L20" i="18" s="1"/>
  <c r="N89" i="6"/>
  <c r="K46" i="15" s="1"/>
  <c r="K64" i="15" s="1"/>
  <c r="K65" i="15" s="1"/>
  <c r="N18" i="18" s="1"/>
  <c r="N20" i="18" s="1"/>
  <c r="N92" i="6"/>
  <c r="J254" i="22"/>
  <c r="K254" i="22" s="1"/>
  <c r="L254" i="22" s="1"/>
  <c r="M254" i="22" s="1"/>
  <c r="N254" i="22" s="1"/>
  <c r="O254" i="22" s="1"/>
  <c r="P254" i="22" s="1"/>
  <c r="Q254" i="22" s="1"/>
  <c r="R254" i="22" s="1"/>
  <c r="S254" i="22" s="1"/>
  <c r="P89" i="6"/>
  <c r="P92" i="6"/>
  <c r="O99" i="6"/>
  <c r="O356" i="6"/>
  <c r="O93" i="6"/>
  <c r="K7" i="6"/>
  <c r="K126" i="11"/>
  <c r="K102" i="11"/>
  <c r="K57" i="11"/>
  <c r="K60" i="11"/>
  <c r="K59" i="11"/>
  <c r="K58" i="11"/>
  <c r="K56" i="11"/>
  <c r="K62" i="11"/>
  <c r="L5" i="19"/>
  <c r="O5" i="8"/>
  <c r="O80" i="6"/>
  <c r="O292" i="6"/>
  <c r="O346" i="6"/>
  <c r="O341" i="6"/>
  <c r="O282" i="6"/>
  <c r="O287" i="6"/>
  <c r="O184" i="6"/>
  <c r="O257" i="6"/>
  <c r="O218" i="6"/>
  <c r="O224" i="6"/>
  <c r="O210" i="6"/>
  <c r="O188" i="6"/>
  <c r="O163" i="6"/>
  <c r="L341" i="6"/>
  <c r="L287" i="6"/>
  <c r="L282" i="6"/>
  <c r="L188" i="6"/>
  <c r="L163" i="6"/>
  <c r="L15" i="6"/>
  <c r="M7" i="6"/>
  <c r="M126" i="11"/>
  <c r="M102" i="11"/>
  <c r="M59" i="11"/>
  <c r="M56" i="11"/>
  <c r="M58" i="11"/>
  <c r="M60" i="11"/>
  <c r="M57" i="11"/>
  <c r="M62" i="11"/>
  <c r="T119" i="6"/>
  <c r="U119" i="6" s="1"/>
  <c r="M5" i="19"/>
  <c r="P5" i="8"/>
  <c r="P80" i="6"/>
  <c r="P346" i="6"/>
  <c r="P292" i="6"/>
  <c r="P341" i="6"/>
  <c r="P282" i="6"/>
  <c r="P287" i="6"/>
  <c r="P257" i="6"/>
  <c r="P218" i="6"/>
  <c r="P184" i="6"/>
  <c r="P224" i="6"/>
  <c r="P210" i="6"/>
  <c r="P188" i="6"/>
  <c r="P163" i="6"/>
  <c r="S186" i="6"/>
  <c r="T55" i="6"/>
  <c r="K132" i="11"/>
  <c r="K138" i="11"/>
  <c r="N22" i="11"/>
  <c r="M22" i="11"/>
  <c r="N31" i="11"/>
  <c r="G262" i="22"/>
  <c r="G263" i="22" s="1"/>
  <c r="I262" i="22"/>
  <c r="I263" i="22" s="1"/>
  <c r="P31" i="11"/>
  <c r="F262" i="22"/>
  <c r="F263" i="22" s="1"/>
  <c r="M31" i="11"/>
  <c r="M76" i="11"/>
  <c r="M85" i="11" s="1"/>
  <c r="H255" i="22"/>
  <c r="I306" i="22"/>
  <c r="M120" i="11"/>
  <c r="M118" i="11"/>
  <c r="Q30" i="11"/>
  <c r="Q72" i="11" s="1"/>
  <c r="Q81" i="11" s="1"/>
  <c r="J117" i="22"/>
  <c r="J119" i="22"/>
  <c r="J122" i="22"/>
  <c r="J123" i="22" s="1"/>
  <c r="N120" i="11"/>
  <c r="J142" i="22"/>
  <c r="J143" i="22" s="1"/>
  <c r="K120" i="11"/>
  <c r="K118" i="11"/>
  <c r="K117" i="22"/>
  <c r="K119" i="22"/>
  <c r="N149" i="11"/>
  <c r="N147" i="11"/>
  <c r="N155" i="11"/>
  <c r="N151" i="11"/>
  <c r="N153" i="11"/>
  <c r="N145" i="11"/>
  <c r="N15" i="11"/>
  <c r="K37" i="11"/>
  <c r="K155" i="11"/>
  <c r="K151" i="11"/>
  <c r="K149" i="11"/>
  <c r="K153" i="11"/>
  <c r="K147" i="11"/>
  <c r="K145" i="11"/>
  <c r="K15" i="11"/>
  <c r="M155" i="11"/>
  <c r="M153" i="11"/>
  <c r="M151" i="11"/>
  <c r="M149" i="11"/>
  <c r="M147" i="11"/>
  <c r="M145" i="11"/>
  <c r="M15" i="11"/>
  <c r="L23" i="11"/>
  <c r="K122" i="22"/>
  <c r="K123" i="22" s="1"/>
  <c r="L77" i="11"/>
  <c r="Q75" i="11"/>
  <c r="Q84" i="11" s="1"/>
  <c r="Q21" i="11"/>
  <c r="N23" i="11"/>
  <c r="R12" i="11"/>
  <c r="K166" i="22"/>
  <c r="K165" i="22" s="1"/>
  <c r="R33" i="11" s="1"/>
  <c r="K142" i="22"/>
  <c r="K143" i="22" s="1"/>
  <c r="R9" i="11"/>
  <c r="O23" i="11"/>
  <c r="M163" i="22"/>
  <c r="L159" i="22"/>
  <c r="I303" i="22"/>
  <c r="O109" i="22"/>
  <c r="O105" i="22" s="1"/>
  <c r="O99" i="22" s="1"/>
  <c r="I304" i="22"/>
  <c r="M23" i="11"/>
  <c r="I305" i="22"/>
  <c r="Q18" i="11"/>
  <c r="M195" i="22"/>
  <c r="J194" i="22"/>
  <c r="J9" i="22" s="1"/>
  <c r="N8" i="22"/>
  <c r="F303" i="22"/>
  <c r="F306" i="22"/>
  <c r="F305" i="22"/>
  <c r="F302" i="22"/>
  <c r="F304" i="22"/>
  <c r="P106" i="22"/>
  <c r="L122" i="22"/>
  <c r="L123" i="22" s="1"/>
  <c r="L119" i="22"/>
  <c r="L117" i="22"/>
  <c r="L100" i="22"/>
  <c r="L111" i="22"/>
  <c r="L112" i="22" s="1"/>
  <c r="N284" i="22"/>
  <c r="N283" i="22"/>
  <c r="N335" i="22"/>
  <c r="N101" i="22" s="1"/>
  <c r="N99" i="22" s="1"/>
  <c r="P336" i="22"/>
  <c r="P335" i="22" s="1"/>
  <c r="P101" i="22" s="1"/>
  <c r="P103" i="22"/>
  <c r="Q103" i="22" s="1"/>
  <c r="R103" i="22" s="1"/>
  <c r="S103" i="22" s="1"/>
  <c r="O135" i="22"/>
  <c r="N136" i="22"/>
  <c r="N354" i="22"/>
  <c r="N355" i="22" s="1"/>
  <c r="N120" i="22" s="1"/>
  <c r="M256" i="22"/>
  <c r="L253" i="22"/>
  <c r="M285" i="22"/>
  <c r="M269" i="22" s="1"/>
  <c r="M265" i="22" s="1"/>
  <c r="M258" i="22" s="1"/>
  <c r="N243" i="22"/>
  <c r="M247" i="22"/>
  <c r="P108" i="22"/>
  <c r="K3" i="20"/>
  <c r="F2" i="19"/>
  <c r="G3" i="19"/>
  <c r="D22" i="15"/>
  <c r="D32" i="15"/>
  <c r="D31" i="17"/>
  <c r="D36" i="15" s="1"/>
  <c r="D30" i="17"/>
  <c r="D23" i="15"/>
  <c r="E3" i="18"/>
  <c r="F3" i="18" s="1"/>
  <c r="G3" i="18" s="1"/>
  <c r="H3" i="18" s="1"/>
  <c r="D42" i="15"/>
  <c r="N140" i="22" l="1"/>
  <c r="N139" i="22" s="1"/>
  <c r="L292" i="6"/>
  <c r="L218" i="6"/>
  <c r="L210" i="6"/>
  <c r="L80" i="6"/>
  <c r="L224" i="6"/>
  <c r="L346" i="6"/>
  <c r="L184" i="6"/>
  <c r="L5" i="8"/>
  <c r="L9" i="20" s="1"/>
  <c r="L257" i="6"/>
  <c r="V119" i="6"/>
  <c r="Q184" i="6"/>
  <c r="R184" i="6" s="1"/>
  <c r="L356" i="6"/>
  <c r="L99" i="6"/>
  <c r="L93" i="6"/>
  <c r="O19" i="20"/>
  <c r="O18" i="20"/>
  <c r="O13" i="20"/>
  <c r="O40" i="18"/>
  <c r="O9" i="18"/>
  <c r="O25" i="20"/>
  <c r="O32" i="20"/>
  <c r="O17" i="20"/>
  <c r="O24" i="20"/>
  <c r="O29" i="20"/>
  <c r="O28" i="20"/>
  <c r="O20" i="20"/>
  <c r="O46" i="18"/>
  <c r="O23" i="20"/>
  <c r="O45" i="18"/>
  <c r="O9" i="20"/>
  <c r="O5" i="20"/>
  <c r="P93" i="6"/>
  <c r="P99" i="6"/>
  <c r="P356" i="6"/>
  <c r="P9" i="20"/>
  <c r="P5" i="20"/>
  <c r="P19" i="20"/>
  <c r="P18" i="20"/>
  <c r="P13" i="20"/>
  <c r="P40" i="18"/>
  <c r="P9" i="18"/>
  <c r="P25" i="20"/>
  <c r="P32" i="20"/>
  <c r="P17" i="20"/>
  <c r="P24" i="20"/>
  <c r="P29" i="20"/>
  <c r="P28" i="20"/>
  <c r="P23" i="20"/>
  <c r="P20" i="20"/>
  <c r="P46" i="18"/>
  <c r="P45" i="18"/>
  <c r="L45" i="18"/>
  <c r="L32" i="20"/>
  <c r="M46" i="15"/>
  <c r="M64" i="15" s="1"/>
  <c r="M65" i="15" s="1"/>
  <c r="P18" i="18" s="1"/>
  <c r="P20" i="18" s="1"/>
  <c r="T186" i="6"/>
  <c r="M5" i="8"/>
  <c r="M80" i="6"/>
  <c r="M346" i="6"/>
  <c r="M292" i="6"/>
  <c r="M341" i="6"/>
  <c r="M287" i="6"/>
  <c r="M282" i="6"/>
  <c r="M224" i="6"/>
  <c r="M210" i="6"/>
  <c r="M184" i="6"/>
  <c r="M188" i="6"/>
  <c r="M163" i="6"/>
  <c r="M257" i="6"/>
  <c r="M218" i="6"/>
  <c r="K5" i="8"/>
  <c r="K80" i="6"/>
  <c r="K341" i="6"/>
  <c r="K346" i="6"/>
  <c r="K292" i="6"/>
  <c r="K282" i="6"/>
  <c r="K287" i="6"/>
  <c r="K188" i="6"/>
  <c r="K163" i="6"/>
  <c r="K257" i="6"/>
  <c r="K224" i="6"/>
  <c r="K210" i="6"/>
  <c r="K184" i="6"/>
  <c r="K218" i="6"/>
  <c r="K15" i="6"/>
  <c r="K10" i="20"/>
  <c r="L7" i="19"/>
  <c r="L8" i="19" s="1"/>
  <c r="L7" i="8"/>
  <c r="L35" i="6"/>
  <c r="N195" i="22"/>
  <c r="O195" i="22" s="1"/>
  <c r="P195" i="22" s="1"/>
  <c r="Q195" i="22" s="1"/>
  <c r="R195" i="22" s="1"/>
  <c r="S195" i="22" s="1"/>
  <c r="W119" i="6"/>
  <c r="N356" i="6"/>
  <c r="N99" i="6"/>
  <c r="N93" i="6"/>
  <c r="K99" i="6"/>
  <c r="K356" i="6"/>
  <c r="K93" i="6"/>
  <c r="U55" i="6"/>
  <c r="V55" i="6" s="1"/>
  <c r="W55" i="6" s="1"/>
  <c r="Q89" i="6"/>
  <c r="N46" i="15" s="1"/>
  <c r="H46" i="15"/>
  <c r="H64" i="15" s="1"/>
  <c r="H65" i="15" s="1"/>
  <c r="K18" i="18" s="1"/>
  <c r="K20" i="18" s="1"/>
  <c r="K5" i="19"/>
  <c r="N5" i="8"/>
  <c r="N80" i="6"/>
  <c r="N292" i="6"/>
  <c r="N346" i="6"/>
  <c r="N341" i="6"/>
  <c r="N282" i="6"/>
  <c r="N287" i="6"/>
  <c r="N257" i="6"/>
  <c r="N224" i="6"/>
  <c r="N210" i="6"/>
  <c r="N188" i="6"/>
  <c r="N163" i="6"/>
  <c r="Q163" i="6" s="1"/>
  <c r="R163" i="6" s="1"/>
  <c r="N184" i="6"/>
  <c r="N218" i="6"/>
  <c r="H262" i="22"/>
  <c r="H263" i="22" s="1"/>
  <c r="O31" i="11"/>
  <c r="M35" i="11"/>
  <c r="M11" i="6" s="1"/>
  <c r="M73" i="11"/>
  <c r="P73" i="11"/>
  <c r="P35" i="11"/>
  <c r="P11" i="6" s="1"/>
  <c r="N73" i="11"/>
  <c r="N35" i="11"/>
  <c r="N11" i="6" s="1"/>
  <c r="Q153" i="11"/>
  <c r="Q145" i="11"/>
  <c r="R145" i="11" s="1"/>
  <c r="S145" i="11" s="1"/>
  <c r="Q147" i="11"/>
  <c r="R147" i="11" s="1"/>
  <c r="Q151" i="11"/>
  <c r="K194" i="22"/>
  <c r="S12" i="11"/>
  <c r="L166" i="22"/>
  <c r="L165" i="22" s="1"/>
  <c r="R75" i="11"/>
  <c r="R84" i="11" s="1"/>
  <c r="R21" i="11"/>
  <c r="L142" i="22"/>
  <c r="L143" i="22" s="1"/>
  <c r="S9" i="11"/>
  <c r="N163" i="22"/>
  <c r="M159" i="22"/>
  <c r="R72" i="11"/>
  <c r="R81" i="11" s="1"/>
  <c r="R18" i="11"/>
  <c r="O8" i="22"/>
  <c r="O111" i="22" s="1"/>
  <c r="O112" i="22" s="1"/>
  <c r="P109" i="22"/>
  <c r="P105" i="22" s="1"/>
  <c r="P99" i="22" s="1"/>
  <c r="Q106" i="22"/>
  <c r="M111" i="22"/>
  <c r="M112" i="22" s="1"/>
  <c r="M100" i="22"/>
  <c r="N116" i="22"/>
  <c r="N115" i="22" s="1"/>
  <c r="U30" i="11" s="1"/>
  <c r="M122" i="22"/>
  <c r="M123" i="22" s="1"/>
  <c r="M119" i="22"/>
  <c r="M117" i="22"/>
  <c r="P135" i="22"/>
  <c r="N285" i="22"/>
  <c r="N269" i="22" s="1"/>
  <c r="N265" i="22" s="1"/>
  <c r="N258" i="22" s="1"/>
  <c r="O284" i="22"/>
  <c r="N256" i="22"/>
  <c r="M253" i="22"/>
  <c r="O283" i="22"/>
  <c r="O136" i="22"/>
  <c r="O354" i="22"/>
  <c r="O355" i="22" s="1"/>
  <c r="O120" i="22" s="1"/>
  <c r="Q336" i="22"/>
  <c r="Q335" i="22" s="1"/>
  <c r="Q101" i="22" s="1"/>
  <c r="O243" i="22"/>
  <c r="N247" i="22"/>
  <c r="Q108" i="22"/>
  <c r="E2" i="18"/>
  <c r="L3" i="20"/>
  <c r="H3" i="19"/>
  <c r="G2" i="19"/>
  <c r="G2" i="18"/>
  <c r="I3" i="18"/>
  <c r="J3" i="18" s="1"/>
  <c r="K3" i="18" s="1"/>
  <c r="L3" i="18" s="1"/>
  <c r="M3" i="18" s="1"/>
  <c r="N3" i="18" s="1"/>
  <c r="O3" i="18" s="1"/>
  <c r="P3" i="18" s="1"/>
  <c r="Q3" i="18" s="1"/>
  <c r="R3" i="18" s="1"/>
  <c r="S3" i="18" s="1"/>
  <c r="T3" i="18" s="1"/>
  <c r="U3" i="18" s="1"/>
  <c r="V3" i="18" s="1"/>
  <c r="W3" i="18" s="1"/>
  <c r="X3" i="18" s="1"/>
  <c r="Y3" i="18" s="1"/>
  <c r="Z3" i="18" s="1"/>
  <c r="AA3" i="18" s="1"/>
  <c r="AB3" i="18" s="1"/>
  <c r="AC3" i="18" s="1"/>
  <c r="AD3" i="18" s="1"/>
  <c r="AE3" i="18" s="1"/>
  <c r="AF3" i="18" s="1"/>
  <c r="AG3" i="18" s="1"/>
  <c r="AH3" i="18" s="1"/>
  <c r="AI3" i="18" s="1"/>
  <c r="AJ3" i="18" s="1"/>
  <c r="AK3" i="18" s="1"/>
  <c r="AL3" i="18" s="1"/>
  <c r="AM3" i="18" s="1"/>
  <c r="AN3" i="18" s="1"/>
  <c r="AO3" i="18" s="1"/>
  <c r="AP3" i="18" s="1"/>
  <c r="AQ3" i="18" s="1"/>
  <c r="AR3" i="18" s="1"/>
  <c r="AS3" i="18" s="1"/>
  <c r="AT3" i="18" s="1"/>
  <c r="AU3" i="18" s="1"/>
  <c r="AV3" i="18" s="1"/>
  <c r="AW3" i="18" s="1"/>
  <c r="AX3" i="18" s="1"/>
  <c r="AY3" i="18" s="1"/>
  <c r="AZ3" i="18" s="1"/>
  <c r="BA3" i="18" s="1"/>
  <c r="H2" i="18"/>
  <c r="F2" i="18"/>
  <c r="O140" i="22" l="1"/>
  <c r="L9" i="18"/>
  <c r="L23" i="20"/>
  <c r="L40" i="18"/>
  <c r="L43" i="18" s="1"/>
  <c r="L46" i="18"/>
  <c r="L13" i="20"/>
  <c r="L20" i="20"/>
  <c r="L18" i="20"/>
  <c r="L29" i="20"/>
  <c r="L8" i="8"/>
  <c r="L26" i="18" s="1"/>
  <c r="L17" i="20"/>
  <c r="L25" i="20"/>
  <c r="L6" i="20"/>
  <c r="L19" i="20"/>
  <c r="L28" i="20"/>
  <c r="L5" i="20"/>
  <c r="L7" i="20" s="1"/>
  <c r="L24" i="20"/>
  <c r="Q341" i="6"/>
  <c r="R341" i="6" s="1"/>
  <c r="X119" i="6"/>
  <c r="Y119" i="6" s="1"/>
  <c r="Z119" i="6" s="1"/>
  <c r="X55" i="6"/>
  <c r="Y55" i="6" s="1"/>
  <c r="S163" i="6"/>
  <c r="N6" i="19"/>
  <c r="N6" i="8"/>
  <c r="N288" i="6"/>
  <c r="N198" i="6"/>
  <c r="N199" i="6"/>
  <c r="N31" i="6"/>
  <c r="N10" i="20" s="1"/>
  <c r="Q210" i="6"/>
  <c r="Q346" i="6"/>
  <c r="P10" i="18"/>
  <c r="P37" i="18"/>
  <c r="P30" i="18"/>
  <c r="P44" i="18"/>
  <c r="Q356" i="6"/>
  <c r="Q292" i="6"/>
  <c r="N18" i="20"/>
  <c r="N13" i="20"/>
  <c r="N40" i="18"/>
  <c r="N9" i="18"/>
  <c r="N25" i="20"/>
  <c r="N32" i="20"/>
  <c r="N17" i="20"/>
  <c r="N24" i="20"/>
  <c r="N29" i="20"/>
  <c r="N28" i="20"/>
  <c r="N20" i="20"/>
  <c r="N46" i="18"/>
  <c r="N23" i="20"/>
  <c r="N45" i="18"/>
  <c r="N9" i="20"/>
  <c r="N5" i="20"/>
  <c r="N19" i="20"/>
  <c r="P6" i="19"/>
  <c r="P6" i="8"/>
  <c r="P288" i="6"/>
  <c r="P199" i="6"/>
  <c r="P198" i="6"/>
  <c r="P31" i="6"/>
  <c r="P10" i="20" s="1"/>
  <c r="P15" i="6"/>
  <c r="Q257" i="6"/>
  <c r="Q188" i="6"/>
  <c r="R346" i="6"/>
  <c r="N15" i="6"/>
  <c r="K45" i="18"/>
  <c r="K9" i="18"/>
  <c r="L10" i="18" s="1"/>
  <c r="K29" i="20"/>
  <c r="K28" i="20"/>
  <c r="K20" i="20"/>
  <c r="K19" i="20"/>
  <c r="K13" i="20"/>
  <c r="K9" i="20"/>
  <c r="K5" i="20"/>
  <c r="K25" i="20"/>
  <c r="K18" i="20"/>
  <c r="K24" i="20"/>
  <c r="K17" i="20"/>
  <c r="K40" i="18"/>
  <c r="K43" i="18" s="1"/>
  <c r="K23" i="20"/>
  <c r="K32" i="20"/>
  <c r="K46" i="18"/>
  <c r="K6" i="20"/>
  <c r="R89" i="6"/>
  <c r="M6" i="19"/>
  <c r="M6" i="8"/>
  <c r="M288" i="6"/>
  <c r="M198" i="6"/>
  <c r="M199" i="6"/>
  <c r="M31" i="6"/>
  <c r="M10" i="20" s="1"/>
  <c r="M25" i="20"/>
  <c r="M32" i="20"/>
  <c r="M17" i="20"/>
  <c r="M24" i="20"/>
  <c r="M29" i="20"/>
  <c r="M28" i="20"/>
  <c r="M20" i="20"/>
  <c r="M46" i="18"/>
  <c r="M23" i="20"/>
  <c r="M45" i="18"/>
  <c r="M9" i="20"/>
  <c r="M5" i="20"/>
  <c r="M18" i="20"/>
  <c r="M19" i="20"/>
  <c r="M13" i="20"/>
  <c r="M9" i="18"/>
  <c r="M40" i="18"/>
  <c r="S184" i="6"/>
  <c r="T184" i="6" s="1"/>
  <c r="U186" i="6"/>
  <c r="V186" i="6" s="1"/>
  <c r="Q99" i="6"/>
  <c r="K7" i="19"/>
  <c r="K8" i="19" s="1"/>
  <c r="K7" i="8"/>
  <c r="K8" i="8" s="1"/>
  <c r="K26" i="18" s="1"/>
  <c r="K35" i="6"/>
  <c r="Q287" i="6"/>
  <c r="R287" i="6" s="1"/>
  <c r="R257" i="6"/>
  <c r="T163" i="6"/>
  <c r="U163" i="6" s="1"/>
  <c r="L12" i="19"/>
  <c r="L13" i="19" s="1"/>
  <c r="L12" i="8"/>
  <c r="L47" i="6"/>
  <c r="Q218" i="6"/>
  <c r="Q282" i="6"/>
  <c r="M15" i="6"/>
  <c r="L30" i="18"/>
  <c r="L37" i="18"/>
  <c r="L44" i="18"/>
  <c r="O37" i="18"/>
  <c r="O30" i="18"/>
  <c r="O44" i="18"/>
  <c r="P82" i="11"/>
  <c r="P77" i="11"/>
  <c r="M82" i="11"/>
  <c r="M77" i="11"/>
  <c r="M36" i="11"/>
  <c r="M37" i="11"/>
  <c r="O73" i="11"/>
  <c r="O35" i="11"/>
  <c r="O11" i="6" s="1"/>
  <c r="N36" i="11"/>
  <c r="N37" i="11"/>
  <c r="N82" i="11"/>
  <c r="N77" i="11"/>
  <c r="P36" i="11"/>
  <c r="P37" i="11"/>
  <c r="S33" i="11"/>
  <c r="S75" i="11" s="1"/>
  <c r="S84" i="11" s="1"/>
  <c r="R336" i="22"/>
  <c r="R335" i="22" s="1"/>
  <c r="R101" i="22" s="1"/>
  <c r="L194" i="22"/>
  <c r="K9" i="22"/>
  <c r="R153" i="11"/>
  <c r="S153" i="11" s="1"/>
  <c r="V9" i="11"/>
  <c r="R151" i="11"/>
  <c r="S151" i="11" s="1"/>
  <c r="S147" i="11"/>
  <c r="T147" i="11" s="1"/>
  <c r="T145" i="11"/>
  <c r="T12" i="11"/>
  <c r="M166" i="22"/>
  <c r="M165" i="22" s="1"/>
  <c r="S21" i="11"/>
  <c r="O163" i="22"/>
  <c r="N159" i="22"/>
  <c r="M142" i="22"/>
  <c r="M143" i="22" s="1"/>
  <c r="T9" i="11"/>
  <c r="S72" i="11"/>
  <c r="S81" i="11" s="1"/>
  <c r="S18" i="11"/>
  <c r="P8" i="22"/>
  <c r="P111" i="22" s="1"/>
  <c r="P112" i="22" s="1"/>
  <c r="Q109" i="22"/>
  <c r="Q105" i="22" s="1"/>
  <c r="Q99" i="22" s="1"/>
  <c r="R106" i="22"/>
  <c r="N111" i="22"/>
  <c r="N112" i="22" s="1"/>
  <c r="N100" i="22"/>
  <c r="N117" i="22"/>
  <c r="N122" i="22"/>
  <c r="N123" i="22" s="1"/>
  <c r="N119" i="22"/>
  <c r="P100" i="22"/>
  <c r="O100" i="22"/>
  <c r="P284" i="22"/>
  <c r="O285" i="22"/>
  <c r="O269" i="22" s="1"/>
  <c r="O265" i="22" s="1"/>
  <c r="O258" i="22" s="1"/>
  <c r="P136" i="22"/>
  <c r="P354" i="22"/>
  <c r="P355" i="22" s="1"/>
  <c r="P120" i="22" s="1"/>
  <c r="P283" i="22"/>
  <c r="Q135" i="22"/>
  <c r="O256" i="22"/>
  <c r="N253" i="22"/>
  <c r="P243" i="22"/>
  <c r="O247" i="22"/>
  <c r="R108" i="22"/>
  <c r="M3" i="20"/>
  <c r="I3" i="19"/>
  <c r="H2" i="19"/>
  <c r="D12" i="17"/>
  <c r="D11" i="17" s="1"/>
  <c r="O29" i="17"/>
  <c r="O24" i="17"/>
  <c r="O23" i="17"/>
  <c r="O16" i="17"/>
  <c r="O14" i="17"/>
  <c r="N14" i="17"/>
  <c r="W12" i="17"/>
  <c r="T12" i="17"/>
  <c r="T11" i="17"/>
  <c r="T7" i="17"/>
  <c r="O6" i="17"/>
  <c r="N6" i="17"/>
  <c r="D189" i="6"/>
  <c r="BD63" i="15"/>
  <c r="BD64" i="15" s="1"/>
  <c r="BD65" i="15" s="1"/>
  <c r="BD61" i="15"/>
  <c r="BD60" i="15"/>
  <c r="BD59" i="15" s="1"/>
  <c r="BF58" i="15"/>
  <c r="BG58" i="15" s="1"/>
  <c r="BH58" i="15" s="1"/>
  <c r="BI58" i="15" s="1"/>
  <c r="D56" i="15"/>
  <c r="D83" i="15"/>
  <c r="D78" i="15"/>
  <c r="D69" i="15"/>
  <c r="BD17" i="15"/>
  <c r="BD18" i="15" s="1"/>
  <c r="BD19" i="15" s="1"/>
  <c r="BD15" i="15"/>
  <c r="BD14" i="15"/>
  <c r="BD13" i="15"/>
  <c r="BF12" i="15"/>
  <c r="BG12" i="15" s="1"/>
  <c r="BH12" i="15" s="1"/>
  <c r="BI12" i="15" s="1"/>
  <c r="F9" i="15"/>
  <c r="F56" i="15" s="1"/>
  <c r="E9" i="15"/>
  <c r="E56" i="15" s="1"/>
  <c r="E57" i="8"/>
  <c r="F57" i="8" s="1"/>
  <c r="G57" i="8" s="1"/>
  <c r="H57" i="8" s="1"/>
  <c r="I57" i="8" s="1"/>
  <c r="J57" i="8" s="1"/>
  <c r="K57" i="8" s="1"/>
  <c r="L57" i="8" s="1"/>
  <c r="M57" i="8" s="1"/>
  <c r="N57" i="8" s="1"/>
  <c r="O57" i="8" s="1"/>
  <c r="P57" i="8" s="1"/>
  <c r="Q57" i="8" s="1"/>
  <c r="R57" i="8" s="1"/>
  <c r="S57" i="8" s="1"/>
  <c r="T57" i="8" s="1"/>
  <c r="U57" i="8" s="1"/>
  <c r="V57" i="8" s="1"/>
  <c r="W57" i="8" s="1"/>
  <c r="X57" i="8" s="1"/>
  <c r="Y57" i="8" s="1"/>
  <c r="Z57" i="8" s="1"/>
  <c r="AA57" i="8" s="1"/>
  <c r="AB57" i="8" s="1"/>
  <c r="AC57" i="8" s="1"/>
  <c r="AD57" i="8" s="1"/>
  <c r="AE57" i="8" s="1"/>
  <c r="AF57" i="8" s="1"/>
  <c r="AG57" i="8" s="1"/>
  <c r="AH57" i="8" s="1"/>
  <c r="AI57" i="8" s="1"/>
  <c r="AJ57" i="8" s="1"/>
  <c r="AK57" i="8" s="1"/>
  <c r="AL57" i="8" s="1"/>
  <c r="AM57" i="8" s="1"/>
  <c r="AN57" i="8" s="1"/>
  <c r="AO57" i="8" s="1"/>
  <c r="AP57" i="8" s="1"/>
  <c r="AQ57" i="8" s="1"/>
  <c r="AR57" i="8" s="1"/>
  <c r="N578" i="14"/>
  <c r="N577" i="14"/>
  <c r="M577" i="14"/>
  <c r="G577" i="14"/>
  <c r="D577" i="14"/>
  <c r="N576" i="14"/>
  <c r="M576" i="14"/>
  <c r="G576" i="14"/>
  <c r="D576" i="14"/>
  <c r="N575" i="14"/>
  <c r="M575" i="14"/>
  <c r="G575" i="14"/>
  <c r="D575" i="14"/>
  <c r="N574" i="14"/>
  <c r="M574" i="14"/>
  <c r="G574" i="14"/>
  <c r="D574" i="14"/>
  <c r="N573" i="14"/>
  <c r="M573" i="14"/>
  <c r="G573" i="14"/>
  <c r="D573" i="14"/>
  <c r="N572" i="14"/>
  <c r="M572" i="14"/>
  <c r="G572" i="14"/>
  <c r="D572" i="14"/>
  <c r="N571" i="14"/>
  <c r="M571" i="14"/>
  <c r="G571" i="14"/>
  <c r="D571" i="14"/>
  <c r="N570" i="14"/>
  <c r="M570" i="14"/>
  <c r="G570" i="14"/>
  <c r="D570" i="14"/>
  <c r="N569" i="14"/>
  <c r="M569" i="14"/>
  <c r="G569" i="14"/>
  <c r="D569" i="14"/>
  <c r="N568" i="14"/>
  <c r="M568" i="14"/>
  <c r="G568" i="14"/>
  <c r="D568" i="14"/>
  <c r="N567" i="14"/>
  <c r="M567" i="14"/>
  <c r="G567" i="14"/>
  <c r="D567" i="14"/>
  <c r="N566" i="14"/>
  <c r="M566" i="14"/>
  <c r="G566" i="14"/>
  <c r="D566" i="14"/>
  <c r="N565" i="14"/>
  <c r="M565" i="14"/>
  <c r="G565" i="14"/>
  <c r="D565" i="14"/>
  <c r="N564" i="14"/>
  <c r="M564" i="14"/>
  <c r="G564" i="14"/>
  <c r="D564" i="14"/>
  <c r="N563" i="14"/>
  <c r="M563" i="14"/>
  <c r="G563" i="14"/>
  <c r="D563" i="14"/>
  <c r="N562" i="14"/>
  <c r="M562" i="14"/>
  <c r="G562" i="14"/>
  <c r="D562" i="14"/>
  <c r="N561" i="14"/>
  <c r="M561" i="14"/>
  <c r="G561" i="14"/>
  <c r="D561" i="14"/>
  <c r="N560" i="14"/>
  <c r="M560" i="14"/>
  <c r="G560" i="14"/>
  <c r="D560" i="14"/>
  <c r="N559" i="14"/>
  <c r="M559" i="14"/>
  <c r="G559" i="14"/>
  <c r="D559" i="14"/>
  <c r="N558" i="14"/>
  <c r="M558" i="14"/>
  <c r="G558" i="14"/>
  <c r="D558" i="14"/>
  <c r="N557" i="14"/>
  <c r="M557" i="14"/>
  <c r="G557" i="14"/>
  <c r="D557" i="14"/>
  <c r="N556" i="14"/>
  <c r="M556" i="14"/>
  <c r="G556" i="14"/>
  <c r="D556" i="14"/>
  <c r="N555" i="14"/>
  <c r="M555" i="14"/>
  <c r="G555" i="14"/>
  <c r="D555" i="14"/>
  <c r="N554" i="14"/>
  <c r="M554" i="14"/>
  <c r="G554" i="14"/>
  <c r="D554" i="14"/>
  <c r="N553" i="14"/>
  <c r="M553" i="14"/>
  <c r="G553" i="14"/>
  <c r="D553" i="14"/>
  <c r="N552" i="14"/>
  <c r="M552" i="14"/>
  <c r="G552" i="14"/>
  <c r="D552" i="14"/>
  <c r="N551" i="14"/>
  <c r="M551" i="14"/>
  <c r="G551" i="14"/>
  <c r="D551" i="14"/>
  <c r="N550" i="14"/>
  <c r="M550" i="14"/>
  <c r="G550" i="14"/>
  <c r="D550" i="14"/>
  <c r="N549" i="14"/>
  <c r="M549" i="14"/>
  <c r="G549" i="14"/>
  <c r="D549" i="14"/>
  <c r="N548" i="14"/>
  <c r="M548" i="14"/>
  <c r="G548" i="14"/>
  <c r="D548" i="14"/>
  <c r="N547" i="14"/>
  <c r="M547" i="14"/>
  <c r="G547" i="14"/>
  <c r="D547" i="14"/>
  <c r="N546" i="14"/>
  <c r="M546" i="14"/>
  <c r="G546" i="14"/>
  <c r="D546" i="14"/>
  <c r="N545" i="14"/>
  <c r="M545" i="14"/>
  <c r="G545" i="14"/>
  <c r="D545" i="14"/>
  <c r="N544" i="14"/>
  <c r="M544" i="14"/>
  <c r="G544" i="14"/>
  <c r="D544" i="14"/>
  <c r="N543" i="14"/>
  <c r="M543" i="14"/>
  <c r="G543" i="14"/>
  <c r="D543" i="14"/>
  <c r="N542" i="14"/>
  <c r="M542" i="14"/>
  <c r="G542" i="14"/>
  <c r="D542" i="14"/>
  <c r="N541" i="14"/>
  <c r="M541" i="14"/>
  <c r="G541" i="14"/>
  <c r="D541" i="14"/>
  <c r="N540" i="14"/>
  <c r="M540" i="14"/>
  <c r="G540" i="14"/>
  <c r="D540" i="14"/>
  <c r="N539" i="14"/>
  <c r="M539" i="14"/>
  <c r="G539" i="14"/>
  <c r="D539" i="14"/>
  <c r="N538" i="14"/>
  <c r="M538" i="14"/>
  <c r="G538" i="14"/>
  <c r="D538" i="14"/>
  <c r="N537" i="14"/>
  <c r="M537" i="14"/>
  <c r="G537" i="14"/>
  <c r="D537" i="14"/>
  <c r="N536" i="14"/>
  <c r="M536" i="14"/>
  <c r="G536" i="14"/>
  <c r="D536" i="14"/>
  <c r="N535" i="14"/>
  <c r="M535" i="14"/>
  <c r="G535" i="14"/>
  <c r="D535" i="14"/>
  <c r="N534" i="14"/>
  <c r="M534" i="14"/>
  <c r="G534" i="14"/>
  <c r="D534" i="14"/>
  <c r="N533" i="14"/>
  <c r="M533" i="14"/>
  <c r="G533" i="14"/>
  <c r="D533" i="14"/>
  <c r="N532" i="14"/>
  <c r="M532" i="14"/>
  <c r="G532" i="14"/>
  <c r="D532" i="14"/>
  <c r="N531" i="14"/>
  <c r="M531" i="14"/>
  <c r="G531" i="14"/>
  <c r="D531" i="14"/>
  <c r="N530" i="14"/>
  <c r="M530" i="14"/>
  <c r="G530" i="14"/>
  <c r="D530" i="14"/>
  <c r="N529" i="14"/>
  <c r="M529" i="14"/>
  <c r="G529" i="14"/>
  <c r="D529" i="14"/>
  <c r="N528" i="14"/>
  <c r="M528" i="14"/>
  <c r="G528" i="14"/>
  <c r="D528" i="14"/>
  <c r="N527" i="14"/>
  <c r="M527" i="14"/>
  <c r="G527" i="14"/>
  <c r="D527" i="14"/>
  <c r="N526" i="14"/>
  <c r="M526" i="14"/>
  <c r="G526" i="14"/>
  <c r="D526" i="14"/>
  <c r="N525" i="14"/>
  <c r="M525" i="14"/>
  <c r="G525" i="14"/>
  <c r="D525" i="14"/>
  <c r="N524" i="14"/>
  <c r="M524" i="14"/>
  <c r="G524" i="14"/>
  <c r="D524" i="14"/>
  <c r="N523" i="14"/>
  <c r="M523" i="14"/>
  <c r="G523" i="14"/>
  <c r="D523" i="14"/>
  <c r="N522" i="14"/>
  <c r="M522" i="14"/>
  <c r="G522" i="14"/>
  <c r="D522" i="14"/>
  <c r="N521" i="14"/>
  <c r="M521" i="14"/>
  <c r="G521" i="14"/>
  <c r="D521" i="14"/>
  <c r="N520" i="14"/>
  <c r="M520" i="14"/>
  <c r="G520" i="14"/>
  <c r="D520" i="14"/>
  <c r="N519" i="14"/>
  <c r="M519" i="14"/>
  <c r="G519" i="14"/>
  <c r="D519" i="14"/>
  <c r="N518" i="14"/>
  <c r="M518" i="14"/>
  <c r="G518" i="14"/>
  <c r="D518" i="14"/>
  <c r="N517" i="14"/>
  <c r="M517" i="14"/>
  <c r="G517" i="14"/>
  <c r="D517" i="14"/>
  <c r="N516" i="14"/>
  <c r="M516" i="14"/>
  <c r="G516" i="14"/>
  <c r="D516" i="14"/>
  <c r="N515" i="14"/>
  <c r="M515" i="14"/>
  <c r="G515" i="14"/>
  <c r="D515" i="14"/>
  <c r="N514" i="14"/>
  <c r="M514" i="14"/>
  <c r="G514" i="14"/>
  <c r="D514" i="14"/>
  <c r="N513" i="14"/>
  <c r="M513" i="14"/>
  <c r="G513" i="14"/>
  <c r="D513" i="14"/>
  <c r="N512" i="14"/>
  <c r="M512" i="14"/>
  <c r="G512" i="14"/>
  <c r="D512" i="14"/>
  <c r="N511" i="14"/>
  <c r="M511" i="14"/>
  <c r="G511" i="14"/>
  <c r="D511" i="14"/>
  <c r="N510" i="14"/>
  <c r="M510" i="14"/>
  <c r="G510" i="14"/>
  <c r="D510" i="14"/>
  <c r="N509" i="14"/>
  <c r="M509" i="14"/>
  <c r="G509" i="14"/>
  <c r="D509" i="14"/>
  <c r="N508" i="14"/>
  <c r="M508" i="14"/>
  <c r="G508" i="14"/>
  <c r="D508" i="14"/>
  <c r="N507" i="14"/>
  <c r="M507" i="14"/>
  <c r="G507" i="14"/>
  <c r="D507" i="14"/>
  <c r="N506" i="14"/>
  <c r="M506" i="14"/>
  <c r="G506" i="14"/>
  <c r="D506" i="14"/>
  <c r="N505" i="14"/>
  <c r="M505" i="14"/>
  <c r="G505" i="14"/>
  <c r="D505" i="14"/>
  <c r="N504" i="14"/>
  <c r="M504" i="14"/>
  <c r="G504" i="14"/>
  <c r="D504" i="14"/>
  <c r="N503" i="14"/>
  <c r="M503" i="14"/>
  <c r="G503" i="14"/>
  <c r="D503" i="14"/>
  <c r="N502" i="14"/>
  <c r="M502" i="14"/>
  <c r="G502" i="14"/>
  <c r="D502" i="14"/>
  <c r="N501" i="14"/>
  <c r="M501" i="14"/>
  <c r="G501" i="14"/>
  <c r="D501" i="14"/>
  <c r="N500" i="14"/>
  <c r="M500" i="14"/>
  <c r="G500" i="14"/>
  <c r="D500" i="14"/>
  <c r="N499" i="14"/>
  <c r="M499" i="14"/>
  <c r="G499" i="14"/>
  <c r="D499" i="14"/>
  <c r="N498" i="14"/>
  <c r="M498" i="14"/>
  <c r="G498" i="14"/>
  <c r="D498" i="14"/>
  <c r="N497" i="14"/>
  <c r="M497" i="14"/>
  <c r="G497" i="14"/>
  <c r="D497" i="14"/>
  <c r="N496" i="14"/>
  <c r="M496" i="14"/>
  <c r="G496" i="14"/>
  <c r="D496" i="14"/>
  <c r="N495" i="14"/>
  <c r="M495" i="14"/>
  <c r="G495" i="14"/>
  <c r="D495" i="14"/>
  <c r="N494" i="14"/>
  <c r="M494" i="14"/>
  <c r="G494" i="14"/>
  <c r="D494" i="14"/>
  <c r="N493" i="14"/>
  <c r="M493" i="14"/>
  <c r="G493" i="14"/>
  <c r="D493" i="14"/>
  <c r="N492" i="14"/>
  <c r="M492" i="14"/>
  <c r="G492" i="14"/>
  <c r="D492" i="14"/>
  <c r="N491" i="14"/>
  <c r="M491" i="14"/>
  <c r="G491" i="14"/>
  <c r="D491" i="14"/>
  <c r="N490" i="14"/>
  <c r="M490" i="14"/>
  <c r="G490" i="14"/>
  <c r="D490" i="14"/>
  <c r="N489" i="14"/>
  <c r="M489" i="14"/>
  <c r="G489" i="14"/>
  <c r="D489" i="14"/>
  <c r="N488" i="14"/>
  <c r="M488" i="14"/>
  <c r="G488" i="14"/>
  <c r="D488" i="14"/>
  <c r="N487" i="14"/>
  <c r="M487" i="14"/>
  <c r="G487" i="14"/>
  <c r="D487" i="14"/>
  <c r="N486" i="14"/>
  <c r="M486" i="14"/>
  <c r="G486" i="14"/>
  <c r="D486" i="14"/>
  <c r="N485" i="14"/>
  <c r="M485" i="14"/>
  <c r="G485" i="14"/>
  <c r="D485" i="14"/>
  <c r="N484" i="14"/>
  <c r="M484" i="14"/>
  <c r="G484" i="14"/>
  <c r="D484" i="14"/>
  <c r="N483" i="14"/>
  <c r="M483" i="14"/>
  <c r="G483" i="14"/>
  <c r="D483" i="14"/>
  <c r="N482" i="14"/>
  <c r="M482" i="14"/>
  <c r="G482" i="14"/>
  <c r="D482" i="14"/>
  <c r="N481" i="14"/>
  <c r="M481" i="14"/>
  <c r="G481" i="14"/>
  <c r="D481" i="14"/>
  <c r="N480" i="14"/>
  <c r="M480" i="14"/>
  <c r="G480" i="14"/>
  <c r="D480" i="14"/>
  <c r="N479" i="14"/>
  <c r="M479" i="14"/>
  <c r="G479" i="14"/>
  <c r="D479" i="14"/>
  <c r="N478" i="14"/>
  <c r="M478" i="14"/>
  <c r="G478" i="14"/>
  <c r="D478" i="14"/>
  <c r="N477" i="14"/>
  <c r="M477" i="14"/>
  <c r="G477" i="14"/>
  <c r="D477" i="14"/>
  <c r="N476" i="14"/>
  <c r="M476" i="14"/>
  <c r="G476" i="14"/>
  <c r="D476" i="14"/>
  <c r="N475" i="14"/>
  <c r="M475" i="14"/>
  <c r="G475" i="14"/>
  <c r="D475" i="14"/>
  <c r="N474" i="14"/>
  <c r="M474" i="14"/>
  <c r="G474" i="14"/>
  <c r="D474" i="14"/>
  <c r="N473" i="14"/>
  <c r="M473" i="14"/>
  <c r="G473" i="14"/>
  <c r="D473" i="14"/>
  <c r="N472" i="14"/>
  <c r="M472" i="14"/>
  <c r="G472" i="14"/>
  <c r="D472" i="14"/>
  <c r="N471" i="14"/>
  <c r="M471" i="14"/>
  <c r="G471" i="14"/>
  <c r="D471" i="14"/>
  <c r="N470" i="14"/>
  <c r="M470" i="14"/>
  <c r="G470" i="14"/>
  <c r="D470" i="14"/>
  <c r="N469" i="14"/>
  <c r="M469" i="14"/>
  <c r="G469" i="14"/>
  <c r="D469" i="14"/>
  <c r="N468" i="14"/>
  <c r="M468" i="14"/>
  <c r="G468" i="14"/>
  <c r="D468" i="14"/>
  <c r="N467" i="14"/>
  <c r="M467" i="14"/>
  <c r="G467" i="14"/>
  <c r="D467" i="14"/>
  <c r="N466" i="14"/>
  <c r="M466" i="14"/>
  <c r="G466" i="14"/>
  <c r="D466" i="14"/>
  <c r="N465" i="14"/>
  <c r="M465" i="14"/>
  <c r="G465" i="14"/>
  <c r="D465" i="14"/>
  <c r="N464" i="14"/>
  <c r="M464" i="14"/>
  <c r="G464" i="14"/>
  <c r="D464" i="14"/>
  <c r="N463" i="14"/>
  <c r="M463" i="14"/>
  <c r="G463" i="14"/>
  <c r="D463" i="14"/>
  <c r="N462" i="14"/>
  <c r="M462" i="14"/>
  <c r="G462" i="14"/>
  <c r="D462" i="14"/>
  <c r="N461" i="14"/>
  <c r="M461" i="14"/>
  <c r="G461" i="14"/>
  <c r="D461" i="14"/>
  <c r="N460" i="14"/>
  <c r="M460" i="14"/>
  <c r="G460" i="14"/>
  <c r="D460" i="14"/>
  <c r="N459" i="14"/>
  <c r="M459" i="14"/>
  <c r="G459" i="14"/>
  <c r="D459" i="14"/>
  <c r="N458" i="14"/>
  <c r="M458" i="14"/>
  <c r="G458" i="14"/>
  <c r="D458" i="14"/>
  <c r="N457" i="14"/>
  <c r="M457" i="14"/>
  <c r="G457" i="14"/>
  <c r="D457" i="14"/>
  <c r="N456" i="14"/>
  <c r="M456" i="14"/>
  <c r="G456" i="14"/>
  <c r="D456" i="14"/>
  <c r="N455" i="14"/>
  <c r="M455" i="14"/>
  <c r="G455" i="14"/>
  <c r="D455" i="14"/>
  <c r="N454" i="14"/>
  <c r="M454" i="14"/>
  <c r="G454" i="14"/>
  <c r="D454" i="14"/>
  <c r="N453" i="14"/>
  <c r="M453" i="14"/>
  <c r="G453" i="14"/>
  <c r="D453" i="14"/>
  <c r="N452" i="14"/>
  <c r="M452" i="14"/>
  <c r="G452" i="14"/>
  <c r="D452" i="14"/>
  <c r="N451" i="14"/>
  <c r="M451" i="14"/>
  <c r="G451" i="14"/>
  <c r="D451" i="14"/>
  <c r="N450" i="14"/>
  <c r="M450" i="14"/>
  <c r="G450" i="14"/>
  <c r="D450" i="14"/>
  <c r="N449" i="14"/>
  <c r="M449" i="14"/>
  <c r="G449" i="14"/>
  <c r="D449" i="14"/>
  <c r="N448" i="14"/>
  <c r="M448" i="14"/>
  <c r="G448" i="14"/>
  <c r="D448" i="14"/>
  <c r="N447" i="14"/>
  <c r="M447" i="14"/>
  <c r="G447" i="14"/>
  <c r="D447" i="14"/>
  <c r="N446" i="14"/>
  <c r="M446" i="14"/>
  <c r="G446" i="14"/>
  <c r="D446" i="14"/>
  <c r="N445" i="14"/>
  <c r="M445" i="14"/>
  <c r="G445" i="14"/>
  <c r="D445" i="14"/>
  <c r="N444" i="14"/>
  <c r="M444" i="14"/>
  <c r="G444" i="14"/>
  <c r="D444" i="14"/>
  <c r="N443" i="14"/>
  <c r="M443" i="14"/>
  <c r="G443" i="14"/>
  <c r="D443" i="14"/>
  <c r="N442" i="14"/>
  <c r="M442" i="14"/>
  <c r="G442" i="14"/>
  <c r="D442" i="14"/>
  <c r="N441" i="14"/>
  <c r="M441" i="14"/>
  <c r="G441" i="14"/>
  <c r="D441" i="14"/>
  <c r="N440" i="14"/>
  <c r="M440" i="14"/>
  <c r="G440" i="14"/>
  <c r="D440" i="14"/>
  <c r="N439" i="14"/>
  <c r="M439" i="14"/>
  <c r="G439" i="14"/>
  <c r="D439" i="14"/>
  <c r="N438" i="14"/>
  <c r="M438" i="14"/>
  <c r="G438" i="14"/>
  <c r="D438" i="14"/>
  <c r="N437" i="14"/>
  <c r="M437" i="14"/>
  <c r="G437" i="14"/>
  <c r="D437" i="14"/>
  <c r="N436" i="14"/>
  <c r="M436" i="14"/>
  <c r="G436" i="14"/>
  <c r="D436" i="14"/>
  <c r="N435" i="14"/>
  <c r="M435" i="14"/>
  <c r="G435" i="14"/>
  <c r="D435" i="14"/>
  <c r="N434" i="14"/>
  <c r="M434" i="14"/>
  <c r="G434" i="14"/>
  <c r="D434" i="14"/>
  <c r="N433" i="14"/>
  <c r="M433" i="14"/>
  <c r="G433" i="14"/>
  <c r="D433" i="14"/>
  <c r="N432" i="14"/>
  <c r="M432" i="14"/>
  <c r="G432" i="14"/>
  <c r="D432" i="14"/>
  <c r="N431" i="14"/>
  <c r="M431" i="14"/>
  <c r="G431" i="14"/>
  <c r="D431" i="14"/>
  <c r="N430" i="14"/>
  <c r="M430" i="14"/>
  <c r="G430" i="14"/>
  <c r="D430" i="14"/>
  <c r="N429" i="14"/>
  <c r="M429" i="14"/>
  <c r="G429" i="14"/>
  <c r="D429" i="14"/>
  <c r="N428" i="14"/>
  <c r="M428" i="14"/>
  <c r="G428" i="14"/>
  <c r="D428" i="14"/>
  <c r="N427" i="14"/>
  <c r="M427" i="14"/>
  <c r="G427" i="14"/>
  <c r="D427" i="14"/>
  <c r="N426" i="14"/>
  <c r="M426" i="14"/>
  <c r="G426" i="14"/>
  <c r="D426" i="14"/>
  <c r="N425" i="14"/>
  <c r="M425" i="14"/>
  <c r="G425" i="14"/>
  <c r="D425" i="14"/>
  <c r="N424" i="14"/>
  <c r="M424" i="14"/>
  <c r="G424" i="14"/>
  <c r="D424" i="14"/>
  <c r="N423" i="14"/>
  <c r="M423" i="14"/>
  <c r="G423" i="14"/>
  <c r="D423" i="14"/>
  <c r="N422" i="14"/>
  <c r="M422" i="14"/>
  <c r="G422" i="14"/>
  <c r="D422" i="14"/>
  <c r="N421" i="14"/>
  <c r="M421" i="14"/>
  <c r="G421" i="14"/>
  <c r="D421" i="14"/>
  <c r="N420" i="14"/>
  <c r="M420" i="14"/>
  <c r="G420" i="14"/>
  <c r="D420" i="14"/>
  <c r="N419" i="14"/>
  <c r="M419" i="14"/>
  <c r="G419" i="14"/>
  <c r="D419" i="14"/>
  <c r="N418" i="14"/>
  <c r="M418" i="14"/>
  <c r="G418" i="14"/>
  <c r="D418" i="14"/>
  <c r="N417" i="14"/>
  <c r="M417" i="14"/>
  <c r="G417" i="14"/>
  <c r="D417" i="14"/>
  <c r="N416" i="14"/>
  <c r="M416" i="14"/>
  <c r="G416" i="14"/>
  <c r="D416" i="14"/>
  <c r="N415" i="14"/>
  <c r="M415" i="14"/>
  <c r="G415" i="14"/>
  <c r="D415" i="14"/>
  <c r="N414" i="14"/>
  <c r="M414" i="14"/>
  <c r="G414" i="14"/>
  <c r="D414" i="14"/>
  <c r="N413" i="14"/>
  <c r="M413" i="14"/>
  <c r="G413" i="14"/>
  <c r="D413" i="14"/>
  <c r="N412" i="14"/>
  <c r="M412" i="14"/>
  <c r="G412" i="14"/>
  <c r="D412" i="14"/>
  <c r="N411" i="14"/>
  <c r="M411" i="14"/>
  <c r="G411" i="14"/>
  <c r="D411" i="14"/>
  <c r="N410" i="14"/>
  <c r="M410" i="14"/>
  <c r="G410" i="14"/>
  <c r="D410" i="14"/>
  <c r="N409" i="14"/>
  <c r="M409" i="14"/>
  <c r="G409" i="14"/>
  <c r="D409" i="14"/>
  <c r="N408" i="14"/>
  <c r="M408" i="14"/>
  <c r="G408" i="14"/>
  <c r="D408" i="14"/>
  <c r="N407" i="14"/>
  <c r="M407" i="14"/>
  <c r="G407" i="14"/>
  <c r="D407" i="14"/>
  <c r="N406" i="14"/>
  <c r="M406" i="14"/>
  <c r="G406" i="14"/>
  <c r="D406" i="14"/>
  <c r="N405" i="14"/>
  <c r="M405" i="14"/>
  <c r="G405" i="14"/>
  <c r="D405" i="14"/>
  <c r="N404" i="14"/>
  <c r="M404" i="14"/>
  <c r="G404" i="14"/>
  <c r="D404" i="14"/>
  <c r="N403" i="14"/>
  <c r="M403" i="14"/>
  <c r="G403" i="14"/>
  <c r="D403" i="14"/>
  <c r="N402" i="14"/>
  <c r="M402" i="14"/>
  <c r="G402" i="14"/>
  <c r="D402" i="14"/>
  <c r="N401" i="14"/>
  <c r="M401" i="14"/>
  <c r="G401" i="14"/>
  <c r="D401" i="14"/>
  <c r="N400" i="14"/>
  <c r="M400" i="14"/>
  <c r="G400" i="14"/>
  <c r="D400" i="14"/>
  <c r="N399" i="14"/>
  <c r="M399" i="14"/>
  <c r="G399" i="14"/>
  <c r="D399" i="14"/>
  <c r="N398" i="14"/>
  <c r="M398" i="14"/>
  <c r="G398" i="14"/>
  <c r="D398" i="14"/>
  <c r="N397" i="14"/>
  <c r="M397" i="14"/>
  <c r="G397" i="14"/>
  <c r="D397" i="14"/>
  <c r="N396" i="14"/>
  <c r="M396" i="14"/>
  <c r="G396" i="14"/>
  <c r="D396" i="14"/>
  <c r="N395" i="14"/>
  <c r="M395" i="14"/>
  <c r="G395" i="14"/>
  <c r="D395" i="14"/>
  <c r="N394" i="14"/>
  <c r="M394" i="14"/>
  <c r="G394" i="14"/>
  <c r="D394" i="14"/>
  <c r="N393" i="14"/>
  <c r="M393" i="14"/>
  <c r="G393" i="14"/>
  <c r="D393" i="14"/>
  <c r="N392" i="14"/>
  <c r="M392" i="14"/>
  <c r="G392" i="14"/>
  <c r="D392" i="14"/>
  <c r="N391" i="14"/>
  <c r="M391" i="14"/>
  <c r="G391" i="14"/>
  <c r="D391" i="14"/>
  <c r="N390" i="14"/>
  <c r="M390" i="14"/>
  <c r="G390" i="14"/>
  <c r="D390" i="14"/>
  <c r="N389" i="14"/>
  <c r="M389" i="14"/>
  <c r="G389" i="14"/>
  <c r="D389" i="14"/>
  <c r="N388" i="14"/>
  <c r="M388" i="14"/>
  <c r="G388" i="14"/>
  <c r="D388" i="14"/>
  <c r="N387" i="14"/>
  <c r="M387" i="14"/>
  <c r="G387" i="14"/>
  <c r="D387" i="14"/>
  <c r="N386" i="14"/>
  <c r="M386" i="14"/>
  <c r="G386" i="14"/>
  <c r="D386" i="14"/>
  <c r="N385" i="14"/>
  <c r="M385" i="14"/>
  <c r="G385" i="14"/>
  <c r="D385" i="14"/>
  <c r="N384" i="14"/>
  <c r="M384" i="14"/>
  <c r="G384" i="14"/>
  <c r="D384" i="14"/>
  <c r="N383" i="14"/>
  <c r="M383" i="14"/>
  <c r="G383" i="14"/>
  <c r="D383" i="14"/>
  <c r="N382" i="14"/>
  <c r="M382" i="14"/>
  <c r="G382" i="14"/>
  <c r="D382" i="14"/>
  <c r="N381" i="14"/>
  <c r="M381" i="14"/>
  <c r="G381" i="14"/>
  <c r="D381" i="14"/>
  <c r="N380" i="14"/>
  <c r="M380" i="14"/>
  <c r="G380" i="14"/>
  <c r="D380" i="14"/>
  <c r="N379" i="14"/>
  <c r="M379" i="14"/>
  <c r="G379" i="14"/>
  <c r="D379" i="14"/>
  <c r="N378" i="14"/>
  <c r="M378" i="14"/>
  <c r="G378" i="14"/>
  <c r="D378" i="14"/>
  <c r="N377" i="14"/>
  <c r="M377" i="14"/>
  <c r="G377" i="14"/>
  <c r="D377" i="14"/>
  <c r="N376" i="14"/>
  <c r="M376" i="14"/>
  <c r="G376" i="14"/>
  <c r="D376" i="14"/>
  <c r="N375" i="14"/>
  <c r="M375" i="14"/>
  <c r="G375" i="14"/>
  <c r="D375" i="14"/>
  <c r="N374" i="14"/>
  <c r="M374" i="14"/>
  <c r="G374" i="14"/>
  <c r="D374" i="14"/>
  <c r="N373" i="14"/>
  <c r="M373" i="14"/>
  <c r="G373" i="14"/>
  <c r="D373" i="14"/>
  <c r="N372" i="14"/>
  <c r="M372" i="14"/>
  <c r="G372" i="14"/>
  <c r="D372" i="14"/>
  <c r="N371" i="14"/>
  <c r="M371" i="14"/>
  <c r="G371" i="14"/>
  <c r="D371" i="14"/>
  <c r="N370" i="14"/>
  <c r="M370" i="14"/>
  <c r="G370" i="14"/>
  <c r="D370" i="14"/>
  <c r="N369" i="14"/>
  <c r="M369" i="14"/>
  <c r="G369" i="14"/>
  <c r="D369" i="14"/>
  <c r="N368" i="14"/>
  <c r="M368" i="14"/>
  <c r="G368" i="14"/>
  <c r="D368" i="14"/>
  <c r="N367" i="14"/>
  <c r="M367" i="14"/>
  <c r="G367" i="14"/>
  <c r="D367" i="14"/>
  <c r="N366" i="14"/>
  <c r="M366" i="14"/>
  <c r="G366" i="14"/>
  <c r="D366" i="14"/>
  <c r="N365" i="14"/>
  <c r="M365" i="14"/>
  <c r="G365" i="14"/>
  <c r="D365" i="14"/>
  <c r="N364" i="14"/>
  <c r="M364" i="14"/>
  <c r="G364" i="14"/>
  <c r="D364" i="14"/>
  <c r="N363" i="14"/>
  <c r="M363" i="14"/>
  <c r="G363" i="14"/>
  <c r="D363" i="14"/>
  <c r="N362" i="14"/>
  <c r="M362" i="14"/>
  <c r="G362" i="14"/>
  <c r="D362" i="14"/>
  <c r="N361" i="14"/>
  <c r="M361" i="14"/>
  <c r="G361" i="14"/>
  <c r="D361" i="14"/>
  <c r="N360" i="14"/>
  <c r="M360" i="14"/>
  <c r="G360" i="14"/>
  <c r="D360" i="14"/>
  <c r="N359" i="14"/>
  <c r="M359" i="14"/>
  <c r="G359" i="14"/>
  <c r="D359" i="14"/>
  <c r="N358" i="14"/>
  <c r="M358" i="14"/>
  <c r="G358" i="14"/>
  <c r="D358" i="14"/>
  <c r="N357" i="14"/>
  <c r="M357" i="14"/>
  <c r="G357" i="14"/>
  <c r="D357" i="14"/>
  <c r="N356" i="14"/>
  <c r="M356" i="14"/>
  <c r="G356" i="14"/>
  <c r="D356" i="14"/>
  <c r="N355" i="14"/>
  <c r="M355" i="14"/>
  <c r="G355" i="14"/>
  <c r="D355" i="14"/>
  <c r="N354" i="14"/>
  <c r="M354" i="14"/>
  <c r="G354" i="14"/>
  <c r="D354" i="14"/>
  <c r="N353" i="14"/>
  <c r="M353" i="14"/>
  <c r="G353" i="14"/>
  <c r="D353" i="14"/>
  <c r="N352" i="14"/>
  <c r="M352" i="14"/>
  <c r="G352" i="14"/>
  <c r="D352" i="14"/>
  <c r="N351" i="14"/>
  <c r="M351" i="14"/>
  <c r="G351" i="14"/>
  <c r="D351" i="14"/>
  <c r="N350" i="14"/>
  <c r="M350" i="14"/>
  <c r="G350" i="14"/>
  <c r="D350" i="14"/>
  <c r="N349" i="14"/>
  <c r="M349" i="14"/>
  <c r="G349" i="14"/>
  <c r="D349" i="14"/>
  <c r="N348" i="14"/>
  <c r="M348" i="14"/>
  <c r="G348" i="14"/>
  <c r="D348" i="14"/>
  <c r="N347" i="14"/>
  <c r="M347" i="14"/>
  <c r="G347" i="14"/>
  <c r="D347" i="14"/>
  <c r="N346" i="14"/>
  <c r="M346" i="14"/>
  <c r="G346" i="14"/>
  <c r="D346" i="14"/>
  <c r="N345" i="14"/>
  <c r="M345" i="14"/>
  <c r="G345" i="14"/>
  <c r="D345" i="14"/>
  <c r="N344" i="14"/>
  <c r="M344" i="14"/>
  <c r="G344" i="14"/>
  <c r="D344" i="14"/>
  <c r="N343" i="14"/>
  <c r="M343" i="14"/>
  <c r="G343" i="14"/>
  <c r="D343" i="14"/>
  <c r="N342" i="14"/>
  <c r="M342" i="14"/>
  <c r="G342" i="14"/>
  <c r="D342" i="14"/>
  <c r="N341" i="14"/>
  <c r="M341" i="14"/>
  <c r="G341" i="14"/>
  <c r="D341" i="14"/>
  <c r="N340" i="14"/>
  <c r="M340" i="14"/>
  <c r="G340" i="14"/>
  <c r="D340" i="14"/>
  <c r="N339" i="14"/>
  <c r="M339" i="14"/>
  <c r="G339" i="14"/>
  <c r="D339" i="14"/>
  <c r="N338" i="14"/>
  <c r="M338" i="14"/>
  <c r="G338" i="14"/>
  <c r="D338" i="14"/>
  <c r="N337" i="14"/>
  <c r="M337" i="14"/>
  <c r="G337" i="14"/>
  <c r="D337" i="14"/>
  <c r="N336" i="14"/>
  <c r="M336" i="14"/>
  <c r="G336" i="14"/>
  <c r="D336" i="14"/>
  <c r="N335" i="14"/>
  <c r="M335" i="14"/>
  <c r="G335" i="14"/>
  <c r="D335" i="14"/>
  <c r="N334" i="14"/>
  <c r="M334" i="14"/>
  <c r="G334" i="14"/>
  <c r="D334" i="14"/>
  <c r="N333" i="14"/>
  <c r="M333" i="14"/>
  <c r="G333" i="14"/>
  <c r="D333" i="14"/>
  <c r="N332" i="14"/>
  <c r="M332" i="14"/>
  <c r="G332" i="14"/>
  <c r="D332" i="14"/>
  <c r="N331" i="14"/>
  <c r="M331" i="14"/>
  <c r="G331" i="14"/>
  <c r="D331" i="14"/>
  <c r="N330" i="14"/>
  <c r="M330" i="14"/>
  <c r="G330" i="14"/>
  <c r="D330" i="14"/>
  <c r="N329" i="14"/>
  <c r="M329" i="14"/>
  <c r="G329" i="14"/>
  <c r="D329" i="14"/>
  <c r="N328" i="14"/>
  <c r="M328" i="14"/>
  <c r="G328" i="14"/>
  <c r="D328" i="14"/>
  <c r="N327" i="14"/>
  <c r="M327" i="14"/>
  <c r="G327" i="14"/>
  <c r="D327" i="14"/>
  <c r="N326" i="14"/>
  <c r="M326" i="14"/>
  <c r="G326" i="14"/>
  <c r="D326" i="14"/>
  <c r="N325" i="14"/>
  <c r="M325" i="14"/>
  <c r="G325" i="14"/>
  <c r="D325" i="14"/>
  <c r="N324" i="14"/>
  <c r="M324" i="14"/>
  <c r="G324" i="14"/>
  <c r="D324" i="14"/>
  <c r="N323" i="14"/>
  <c r="M323" i="14"/>
  <c r="G323" i="14"/>
  <c r="D323" i="14"/>
  <c r="N322" i="14"/>
  <c r="M322" i="14"/>
  <c r="G322" i="14"/>
  <c r="D322" i="14"/>
  <c r="N321" i="14"/>
  <c r="M321" i="14"/>
  <c r="G321" i="14"/>
  <c r="D321" i="14"/>
  <c r="N320" i="14"/>
  <c r="M320" i="14"/>
  <c r="G320" i="14"/>
  <c r="D320" i="14"/>
  <c r="N319" i="14"/>
  <c r="M319" i="14"/>
  <c r="G319" i="14"/>
  <c r="D319" i="14"/>
  <c r="N318" i="14"/>
  <c r="M318" i="14"/>
  <c r="G318" i="14"/>
  <c r="D318" i="14"/>
  <c r="N317" i="14"/>
  <c r="M317" i="14"/>
  <c r="G317" i="14"/>
  <c r="D317" i="14"/>
  <c r="N316" i="14"/>
  <c r="M316" i="14"/>
  <c r="G316" i="14"/>
  <c r="D316" i="14"/>
  <c r="N315" i="14"/>
  <c r="M315" i="14"/>
  <c r="G315" i="14"/>
  <c r="D315" i="14"/>
  <c r="N314" i="14"/>
  <c r="M314" i="14"/>
  <c r="G314" i="14"/>
  <c r="D314" i="14"/>
  <c r="N313" i="14"/>
  <c r="M313" i="14"/>
  <c r="G313" i="14"/>
  <c r="D313" i="14"/>
  <c r="N312" i="14"/>
  <c r="M312" i="14"/>
  <c r="G312" i="14"/>
  <c r="D312" i="14"/>
  <c r="N311" i="14"/>
  <c r="M311" i="14"/>
  <c r="G311" i="14"/>
  <c r="D311" i="14"/>
  <c r="N310" i="14"/>
  <c r="M310" i="14"/>
  <c r="G310" i="14"/>
  <c r="D310" i="14"/>
  <c r="N309" i="14"/>
  <c r="M309" i="14"/>
  <c r="G309" i="14"/>
  <c r="D309" i="14"/>
  <c r="N308" i="14"/>
  <c r="M308" i="14"/>
  <c r="G308" i="14"/>
  <c r="D308" i="14"/>
  <c r="N307" i="14"/>
  <c r="M307" i="14"/>
  <c r="G307" i="14"/>
  <c r="D307" i="14"/>
  <c r="N306" i="14"/>
  <c r="M306" i="14"/>
  <c r="G306" i="14"/>
  <c r="D306" i="14"/>
  <c r="N305" i="14"/>
  <c r="M305" i="14"/>
  <c r="G305" i="14"/>
  <c r="D305" i="14"/>
  <c r="N304" i="14"/>
  <c r="M304" i="14"/>
  <c r="G304" i="14"/>
  <c r="D304" i="14"/>
  <c r="N303" i="14"/>
  <c r="M303" i="14"/>
  <c r="G303" i="14"/>
  <c r="D303" i="14"/>
  <c r="N302" i="14"/>
  <c r="M302" i="14"/>
  <c r="G302" i="14"/>
  <c r="D302" i="14"/>
  <c r="N301" i="14"/>
  <c r="M301" i="14"/>
  <c r="G301" i="14"/>
  <c r="D301" i="14"/>
  <c r="N300" i="14"/>
  <c r="M300" i="14"/>
  <c r="G300" i="14"/>
  <c r="D300" i="14"/>
  <c r="N299" i="14"/>
  <c r="M299" i="14"/>
  <c r="G299" i="14"/>
  <c r="D299" i="14"/>
  <c r="N298" i="14"/>
  <c r="M298" i="14"/>
  <c r="G298" i="14"/>
  <c r="D298" i="14"/>
  <c r="N297" i="14"/>
  <c r="M297" i="14"/>
  <c r="G297" i="14"/>
  <c r="D297" i="14"/>
  <c r="N296" i="14"/>
  <c r="M296" i="14"/>
  <c r="G296" i="14"/>
  <c r="D296" i="14"/>
  <c r="N295" i="14"/>
  <c r="M295" i="14"/>
  <c r="G295" i="14"/>
  <c r="D295" i="14"/>
  <c r="N294" i="14"/>
  <c r="M294" i="14"/>
  <c r="G294" i="14"/>
  <c r="D294" i="14"/>
  <c r="N293" i="14"/>
  <c r="M293" i="14"/>
  <c r="G293" i="14"/>
  <c r="D293" i="14"/>
  <c r="N292" i="14"/>
  <c r="M292" i="14"/>
  <c r="G292" i="14"/>
  <c r="D292" i="14"/>
  <c r="N291" i="14"/>
  <c r="M291" i="14"/>
  <c r="G291" i="14"/>
  <c r="D291" i="14"/>
  <c r="T290" i="14"/>
  <c r="S290" i="14"/>
  <c r="N290" i="14"/>
  <c r="M290" i="14"/>
  <c r="G290" i="14"/>
  <c r="D290" i="14"/>
  <c r="T289" i="14"/>
  <c r="S289" i="14"/>
  <c r="N289" i="14"/>
  <c r="M289" i="14"/>
  <c r="G289" i="14"/>
  <c r="D289" i="14"/>
  <c r="T288" i="14"/>
  <c r="S288" i="14"/>
  <c r="N288" i="14"/>
  <c r="M288" i="14"/>
  <c r="G288" i="14"/>
  <c r="D288" i="14"/>
  <c r="T287" i="14"/>
  <c r="S287" i="14"/>
  <c r="N287" i="14"/>
  <c r="M287" i="14"/>
  <c r="G287" i="14"/>
  <c r="D287" i="14"/>
  <c r="T286" i="14"/>
  <c r="S286" i="14"/>
  <c r="N286" i="14"/>
  <c r="M286" i="14"/>
  <c r="G286" i="14"/>
  <c r="D286" i="14"/>
  <c r="T285" i="14"/>
  <c r="S285" i="14"/>
  <c r="N285" i="14"/>
  <c r="M285" i="14"/>
  <c r="G285" i="14"/>
  <c r="D285" i="14"/>
  <c r="T284" i="14"/>
  <c r="S284" i="14"/>
  <c r="N284" i="14"/>
  <c r="M284" i="14"/>
  <c r="G284" i="14"/>
  <c r="D284" i="14"/>
  <c r="T283" i="14"/>
  <c r="S283" i="14"/>
  <c r="N283" i="14"/>
  <c r="M283" i="14"/>
  <c r="G283" i="14"/>
  <c r="D283" i="14"/>
  <c r="T282" i="14"/>
  <c r="S282" i="14"/>
  <c r="N282" i="14"/>
  <c r="M282" i="14"/>
  <c r="G282" i="14"/>
  <c r="D282" i="14"/>
  <c r="T281" i="14"/>
  <c r="S281" i="14"/>
  <c r="N281" i="14"/>
  <c r="M281" i="14"/>
  <c r="G281" i="14"/>
  <c r="D281" i="14"/>
  <c r="T280" i="14"/>
  <c r="S280" i="14"/>
  <c r="N280" i="14"/>
  <c r="M280" i="14"/>
  <c r="G280" i="14"/>
  <c r="D280" i="14"/>
  <c r="T279" i="14"/>
  <c r="S279" i="14"/>
  <c r="N279" i="14"/>
  <c r="M279" i="14"/>
  <c r="G279" i="14"/>
  <c r="D279" i="14"/>
  <c r="T278" i="14"/>
  <c r="S278" i="14"/>
  <c r="N278" i="14"/>
  <c r="M278" i="14"/>
  <c r="G278" i="14"/>
  <c r="D278" i="14"/>
  <c r="T277" i="14"/>
  <c r="S277" i="14"/>
  <c r="N277" i="14"/>
  <c r="M277" i="14"/>
  <c r="G277" i="14"/>
  <c r="D277" i="14"/>
  <c r="T276" i="14"/>
  <c r="S276" i="14"/>
  <c r="N276" i="14"/>
  <c r="M276" i="14"/>
  <c r="G276" i="14"/>
  <c r="D276" i="14"/>
  <c r="T275" i="14"/>
  <c r="S275" i="14"/>
  <c r="N275" i="14"/>
  <c r="M275" i="14"/>
  <c r="G275" i="14"/>
  <c r="D275" i="14"/>
  <c r="T274" i="14"/>
  <c r="S274" i="14"/>
  <c r="N274" i="14"/>
  <c r="M274" i="14"/>
  <c r="G274" i="14"/>
  <c r="D274" i="14"/>
  <c r="T273" i="14"/>
  <c r="S273" i="14"/>
  <c r="N273" i="14"/>
  <c r="M273" i="14"/>
  <c r="G273" i="14"/>
  <c r="D273" i="14"/>
  <c r="T272" i="14"/>
  <c r="S272" i="14"/>
  <c r="N272" i="14"/>
  <c r="M272" i="14"/>
  <c r="G272" i="14"/>
  <c r="D272" i="14"/>
  <c r="T271" i="14"/>
  <c r="S271" i="14"/>
  <c r="N271" i="14"/>
  <c r="M271" i="14"/>
  <c r="G271" i="14"/>
  <c r="D271" i="14"/>
  <c r="T270" i="14"/>
  <c r="S270" i="14"/>
  <c r="N270" i="14"/>
  <c r="M270" i="14"/>
  <c r="G270" i="14"/>
  <c r="D270" i="14"/>
  <c r="T269" i="14"/>
  <c r="S269" i="14"/>
  <c r="N269" i="14"/>
  <c r="M269" i="14"/>
  <c r="G269" i="14"/>
  <c r="D269" i="14"/>
  <c r="T268" i="14"/>
  <c r="S268" i="14"/>
  <c r="N268" i="14"/>
  <c r="M268" i="14"/>
  <c r="G268" i="14"/>
  <c r="D268" i="14"/>
  <c r="T267" i="14"/>
  <c r="S267" i="14"/>
  <c r="N267" i="14"/>
  <c r="M267" i="14"/>
  <c r="G267" i="14"/>
  <c r="D267" i="14"/>
  <c r="T266" i="14"/>
  <c r="S266" i="14"/>
  <c r="N266" i="14"/>
  <c r="M266" i="14"/>
  <c r="G266" i="14"/>
  <c r="D266" i="14"/>
  <c r="T265" i="14"/>
  <c r="S265" i="14"/>
  <c r="N265" i="14"/>
  <c r="M265" i="14"/>
  <c r="G265" i="14"/>
  <c r="D265" i="14"/>
  <c r="T264" i="14"/>
  <c r="S264" i="14"/>
  <c r="N264" i="14"/>
  <c r="M264" i="14"/>
  <c r="G264" i="14"/>
  <c r="D264" i="14"/>
  <c r="T263" i="14"/>
  <c r="S263" i="14"/>
  <c r="N263" i="14"/>
  <c r="M263" i="14"/>
  <c r="G263" i="14"/>
  <c r="D263" i="14"/>
  <c r="T262" i="14"/>
  <c r="S262" i="14"/>
  <c r="N262" i="14"/>
  <c r="M262" i="14"/>
  <c r="G262" i="14"/>
  <c r="D262" i="14"/>
  <c r="T261" i="14"/>
  <c r="S261" i="14"/>
  <c r="N261" i="14"/>
  <c r="M261" i="14"/>
  <c r="G261" i="14"/>
  <c r="D261" i="14"/>
  <c r="T260" i="14"/>
  <c r="S260" i="14"/>
  <c r="N260" i="14"/>
  <c r="M260" i="14"/>
  <c r="G260" i="14"/>
  <c r="D260" i="14"/>
  <c r="T259" i="14"/>
  <c r="S259" i="14"/>
  <c r="N259" i="14"/>
  <c r="M259" i="14"/>
  <c r="G259" i="14"/>
  <c r="D259" i="14"/>
  <c r="T258" i="14"/>
  <c r="S258" i="14"/>
  <c r="N258" i="14"/>
  <c r="M258" i="14"/>
  <c r="G258" i="14"/>
  <c r="D258" i="14"/>
  <c r="T257" i="14"/>
  <c r="S257" i="14"/>
  <c r="N257" i="14"/>
  <c r="M257" i="14"/>
  <c r="G257" i="14"/>
  <c r="D257" i="14"/>
  <c r="T256" i="14"/>
  <c r="S256" i="14"/>
  <c r="N256" i="14"/>
  <c r="M256" i="14"/>
  <c r="G256" i="14"/>
  <c r="D256" i="14"/>
  <c r="T255" i="14"/>
  <c r="S255" i="14"/>
  <c r="N255" i="14"/>
  <c r="M255" i="14"/>
  <c r="G255" i="14"/>
  <c r="D255" i="14"/>
  <c r="T254" i="14"/>
  <c r="S254" i="14"/>
  <c r="N254" i="14"/>
  <c r="M254" i="14"/>
  <c r="G254" i="14"/>
  <c r="D254" i="14"/>
  <c r="T253" i="14"/>
  <c r="S253" i="14"/>
  <c r="N253" i="14"/>
  <c r="M253" i="14"/>
  <c r="G253" i="14"/>
  <c r="D253" i="14"/>
  <c r="T252" i="14"/>
  <c r="S252" i="14"/>
  <c r="N252" i="14"/>
  <c r="M252" i="14"/>
  <c r="G252" i="14"/>
  <c r="D252" i="14"/>
  <c r="T251" i="14"/>
  <c r="S251" i="14"/>
  <c r="N251" i="14"/>
  <c r="M251" i="14"/>
  <c r="G251" i="14"/>
  <c r="D251" i="14"/>
  <c r="T250" i="14"/>
  <c r="S250" i="14"/>
  <c r="N250" i="14"/>
  <c r="M250" i="14"/>
  <c r="G250" i="14"/>
  <c r="D250" i="14"/>
  <c r="T249" i="14"/>
  <c r="S249" i="14"/>
  <c r="N249" i="14"/>
  <c r="M249" i="14"/>
  <c r="G249" i="14"/>
  <c r="D249" i="14"/>
  <c r="T248" i="14"/>
  <c r="S248" i="14"/>
  <c r="N248" i="14"/>
  <c r="M248" i="14"/>
  <c r="G248" i="14"/>
  <c r="D248" i="14"/>
  <c r="T247" i="14"/>
  <c r="S247" i="14"/>
  <c r="N247" i="14"/>
  <c r="M247" i="14"/>
  <c r="G247" i="14"/>
  <c r="D247" i="14"/>
  <c r="T246" i="14"/>
  <c r="S246" i="14"/>
  <c r="N246" i="14"/>
  <c r="M246" i="14"/>
  <c r="G246" i="14"/>
  <c r="D246" i="14"/>
  <c r="T245" i="14"/>
  <c r="S245" i="14"/>
  <c r="N245" i="14"/>
  <c r="M245" i="14"/>
  <c r="G245" i="14"/>
  <c r="D245" i="14"/>
  <c r="T244" i="14"/>
  <c r="S244" i="14"/>
  <c r="N244" i="14"/>
  <c r="M244" i="14"/>
  <c r="G244" i="14"/>
  <c r="D244" i="14"/>
  <c r="T243" i="14"/>
  <c r="S243" i="14"/>
  <c r="N243" i="14"/>
  <c r="M243" i="14"/>
  <c r="G243" i="14"/>
  <c r="D243" i="14"/>
  <c r="T242" i="14"/>
  <c r="S242" i="14"/>
  <c r="N242" i="14"/>
  <c r="M242" i="14"/>
  <c r="G242" i="14"/>
  <c r="D242" i="14"/>
  <c r="T241" i="14"/>
  <c r="S241" i="14"/>
  <c r="N241" i="14"/>
  <c r="M241" i="14"/>
  <c r="G241" i="14"/>
  <c r="D241" i="14"/>
  <c r="T240" i="14"/>
  <c r="S240" i="14"/>
  <c r="N240" i="14"/>
  <c r="M240" i="14"/>
  <c r="G240" i="14"/>
  <c r="D240" i="14"/>
  <c r="T239" i="14"/>
  <c r="S239" i="14"/>
  <c r="N239" i="14"/>
  <c r="M239" i="14"/>
  <c r="G239" i="14"/>
  <c r="D239" i="14"/>
  <c r="T238" i="14"/>
  <c r="S238" i="14"/>
  <c r="N238" i="14"/>
  <c r="M238" i="14"/>
  <c r="G238" i="14"/>
  <c r="D238" i="14"/>
  <c r="T237" i="14"/>
  <c r="S237" i="14"/>
  <c r="N237" i="14"/>
  <c r="M237" i="14"/>
  <c r="G237" i="14"/>
  <c r="D237" i="14"/>
  <c r="T236" i="14"/>
  <c r="S236" i="14"/>
  <c r="N236" i="14"/>
  <c r="M236" i="14"/>
  <c r="G236" i="14"/>
  <c r="D236" i="14"/>
  <c r="T235" i="14"/>
  <c r="S235" i="14"/>
  <c r="N235" i="14"/>
  <c r="M235" i="14"/>
  <c r="G235" i="14"/>
  <c r="D235" i="14"/>
  <c r="T234" i="14"/>
  <c r="S234" i="14"/>
  <c r="N234" i="14"/>
  <c r="M234" i="14"/>
  <c r="G234" i="14"/>
  <c r="D234" i="14"/>
  <c r="T233" i="14"/>
  <c r="S233" i="14"/>
  <c r="N233" i="14"/>
  <c r="M233" i="14"/>
  <c r="G233" i="14"/>
  <c r="D233" i="14"/>
  <c r="T232" i="14"/>
  <c r="S232" i="14"/>
  <c r="N232" i="14"/>
  <c r="M232" i="14"/>
  <c r="G232" i="14"/>
  <c r="D232" i="14"/>
  <c r="T231" i="14"/>
  <c r="S231" i="14"/>
  <c r="N231" i="14"/>
  <c r="M231" i="14"/>
  <c r="G231" i="14"/>
  <c r="D231" i="14"/>
  <c r="T230" i="14"/>
  <c r="S230" i="14"/>
  <c r="N230" i="14"/>
  <c r="M230" i="14"/>
  <c r="G230" i="14"/>
  <c r="D230" i="14"/>
  <c r="T229" i="14"/>
  <c r="S229" i="14"/>
  <c r="N229" i="14"/>
  <c r="M229" i="14"/>
  <c r="G229" i="14"/>
  <c r="D229" i="14"/>
  <c r="T228" i="14"/>
  <c r="S228" i="14"/>
  <c r="N228" i="14"/>
  <c r="M228" i="14"/>
  <c r="G228" i="14"/>
  <c r="D228" i="14"/>
  <c r="T227" i="14"/>
  <c r="S227" i="14"/>
  <c r="N227" i="14"/>
  <c r="M227" i="14"/>
  <c r="G227" i="14"/>
  <c r="D227" i="14"/>
  <c r="T226" i="14"/>
  <c r="S226" i="14"/>
  <c r="N226" i="14"/>
  <c r="M226" i="14"/>
  <c r="G226" i="14"/>
  <c r="D226" i="14"/>
  <c r="T225" i="14"/>
  <c r="S225" i="14"/>
  <c r="N225" i="14"/>
  <c r="M225" i="14"/>
  <c r="G225" i="14"/>
  <c r="D225" i="14"/>
  <c r="T224" i="14"/>
  <c r="S224" i="14"/>
  <c r="N224" i="14"/>
  <c r="M224" i="14"/>
  <c r="G224" i="14"/>
  <c r="D224" i="14"/>
  <c r="T223" i="14"/>
  <c r="S223" i="14"/>
  <c r="N223" i="14"/>
  <c r="M223" i="14"/>
  <c r="G223" i="14"/>
  <c r="D223" i="14"/>
  <c r="T222" i="14"/>
  <c r="S222" i="14"/>
  <c r="N222" i="14"/>
  <c r="M222" i="14"/>
  <c r="G222" i="14"/>
  <c r="D222" i="14"/>
  <c r="T221" i="14"/>
  <c r="S221" i="14"/>
  <c r="N221" i="14"/>
  <c r="M221" i="14"/>
  <c r="G221" i="14"/>
  <c r="D221" i="14"/>
  <c r="T220" i="14"/>
  <c r="S220" i="14"/>
  <c r="N220" i="14"/>
  <c r="M220" i="14"/>
  <c r="G220" i="14"/>
  <c r="D220" i="14"/>
  <c r="T219" i="14"/>
  <c r="S219" i="14"/>
  <c r="N219" i="14"/>
  <c r="M219" i="14"/>
  <c r="G219" i="14"/>
  <c r="D219" i="14"/>
  <c r="T218" i="14"/>
  <c r="S218" i="14"/>
  <c r="N218" i="14"/>
  <c r="M218" i="14"/>
  <c r="G218" i="14"/>
  <c r="D218" i="14"/>
  <c r="T217" i="14"/>
  <c r="S217" i="14"/>
  <c r="N217" i="14"/>
  <c r="M217" i="14"/>
  <c r="G217" i="14"/>
  <c r="D217" i="14"/>
  <c r="T216" i="14"/>
  <c r="S216" i="14"/>
  <c r="N216" i="14"/>
  <c r="M216" i="14"/>
  <c r="G216" i="14"/>
  <c r="D216" i="14"/>
  <c r="T215" i="14"/>
  <c r="S215" i="14"/>
  <c r="N215" i="14"/>
  <c r="M215" i="14"/>
  <c r="G215" i="14"/>
  <c r="D215" i="14"/>
  <c r="T214" i="14"/>
  <c r="S214" i="14"/>
  <c r="N214" i="14"/>
  <c r="M214" i="14"/>
  <c r="G214" i="14"/>
  <c r="D214" i="14"/>
  <c r="T213" i="14"/>
  <c r="S213" i="14"/>
  <c r="N213" i="14"/>
  <c r="M213" i="14"/>
  <c r="G213" i="14"/>
  <c r="D213" i="14"/>
  <c r="T212" i="14"/>
  <c r="S212" i="14"/>
  <c r="N212" i="14"/>
  <c r="M212" i="14"/>
  <c r="G212" i="14"/>
  <c r="D212" i="14"/>
  <c r="T211" i="14"/>
  <c r="S211" i="14"/>
  <c r="N211" i="14"/>
  <c r="M211" i="14"/>
  <c r="G211" i="14"/>
  <c r="D211" i="14"/>
  <c r="T210" i="14"/>
  <c r="S210" i="14"/>
  <c r="N210" i="14"/>
  <c r="M210" i="14"/>
  <c r="G210" i="14"/>
  <c r="D210" i="14"/>
  <c r="T209" i="14"/>
  <c r="S209" i="14"/>
  <c r="N209" i="14"/>
  <c r="M209" i="14"/>
  <c r="G209" i="14"/>
  <c r="D209" i="14"/>
  <c r="T208" i="14"/>
  <c r="S208" i="14"/>
  <c r="N208" i="14"/>
  <c r="M208" i="14"/>
  <c r="G208" i="14"/>
  <c r="D208" i="14"/>
  <c r="T207" i="14"/>
  <c r="S207" i="14"/>
  <c r="N207" i="14"/>
  <c r="M207" i="14"/>
  <c r="G207" i="14"/>
  <c r="D207" i="14"/>
  <c r="T206" i="14"/>
  <c r="S206" i="14"/>
  <c r="N206" i="14"/>
  <c r="M206" i="14"/>
  <c r="G206" i="14"/>
  <c r="D206" i="14"/>
  <c r="T205" i="14"/>
  <c r="S205" i="14"/>
  <c r="N205" i="14"/>
  <c r="M205" i="14"/>
  <c r="G205" i="14"/>
  <c r="D205" i="14"/>
  <c r="T204" i="14"/>
  <c r="S204" i="14"/>
  <c r="N204" i="14"/>
  <c r="M204" i="14"/>
  <c r="G204" i="14"/>
  <c r="D204" i="14"/>
  <c r="T203" i="14"/>
  <c r="S203" i="14"/>
  <c r="N203" i="14"/>
  <c r="M203" i="14"/>
  <c r="G203" i="14"/>
  <c r="D203" i="14"/>
  <c r="T202" i="14"/>
  <c r="S202" i="14"/>
  <c r="N202" i="14"/>
  <c r="M202" i="14"/>
  <c r="G202" i="14"/>
  <c r="D202" i="14"/>
  <c r="T201" i="14"/>
  <c r="S201" i="14"/>
  <c r="N201" i="14"/>
  <c r="M201" i="14"/>
  <c r="G201" i="14"/>
  <c r="D201" i="14"/>
  <c r="T200" i="14"/>
  <c r="S200" i="14"/>
  <c r="N200" i="14"/>
  <c r="M200" i="14"/>
  <c r="G200" i="14"/>
  <c r="D200" i="14"/>
  <c r="T199" i="14"/>
  <c r="S199" i="14"/>
  <c r="N199" i="14"/>
  <c r="M199" i="14"/>
  <c r="G199" i="14"/>
  <c r="D199" i="14"/>
  <c r="T198" i="14"/>
  <c r="S198" i="14"/>
  <c r="N198" i="14"/>
  <c r="M198" i="14"/>
  <c r="G198" i="14"/>
  <c r="D198" i="14"/>
  <c r="T197" i="14"/>
  <c r="S197" i="14"/>
  <c r="N197" i="14"/>
  <c r="M197" i="14"/>
  <c r="G197" i="14"/>
  <c r="D197" i="14"/>
  <c r="T196" i="14"/>
  <c r="S196" i="14"/>
  <c r="N196" i="14"/>
  <c r="M196" i="14"/>
  <c r="G196" i="14"/>
  <c r="D196" i="14"/>
  <c r="T195" i="14"/>
  <c r="S195" i="14"/>
  <c r="N195" i="14"/>
  <c r="M195" i="14"/>
  <c r="G195" i="14"/>
  <c r="D195" i="14"/>
  <c r="T194" i="14"/>
  <c r="S194" i="14"/>
  <c r="N194" i="14"/>
  <c r="M194" i="14"/>
  <c r="G194" i="14"/>
  <c r="D194" i="14"/>
  <c r="T193" i="14"/>
  <c r="S193" i="14"/>
  <c r="N193" i="14"/>
  <c r="M193" i="14"/>
  <c r="G193" i="14"/>
  <c r="D193" i="14"/>
  <c r="T192" i="14"/>
  <c r="S192" i="14"/>
  <c r="N192" i="14"/>
  <c r="M192" i="14"/>
  <c r="G192" i="14"/>
  <c r="D192" i="14"/>
  <c r="T191" i="14"/>
  <c r="S191" i="14"/>
  <c r="N191" i="14"/>
  <c r="M191" i="14"/>
  <c r="G191" i="14"/>
  <c r="D191" i="14"/>
  <c r="T190" i="14"/>
  <c r="S190" i="14"/>
  <c r="N190" i="14"/>
  <c r="M190" i="14"/>
  <c r="G190" i="14"/>
  <c r="D190" i="14"/>
  <c r="T189" i="14"/>
  <c r="S189" i="14"/>
  <c r="N189" i="14"/>
  <c r="M189" i="14"/>
  <c r="G189" i="14"/>
  <c r="D189" i="14"/>
  <c r="T188" i="14"/>
  <c r="S188" i="14"/>
  <c r="N188" i="14"/>
  <c r="M188" i="14"/>
  <c r="G188" i="14"/>
  <c r="D188" i="14"/>
  <c r="T187" i="14"/>
  <c r="S187" i="14"/>
  <c r="N187" i="14"/>
  <c r="M187" i="14"/>
  <c r="G187" i="14"/>
  <c r="D187" i="14"/>
  <c r="T186" i="14"/>
  <c r="S186" i="14"/>
  <c r="N186" i="14"/>
  <c r="M186" i="14"/>
  <c r="G186" i="14"/>
  <c r="D186" i="14"/>
  <c r="T185" i="14"/>
  <c r="S185" i="14"/>
  <c r="N185" i="14"/>
  <c r="M185" i="14"/>
  <c r="G185" i="14"/>
  <c r="D185" i="14"/>
  <c r="T184" i="14"/>
  <c r="S184" i="14"/>
  <c r="N184" i="14"/>
  <c r="M184" i="14"/>
  <c r="G184" i="14"/>
  <c r="D184" i="14"/>
  <c r="T183" i="14"/>
  <c r="S183" i="14"/>
  <c r="N183" i="14"/>
  <c r="M183" i="14"/>
  <c r="G183" i="14"/>
  <c r="D183" i="14"/>
  <c r="T182" i="14"/>
  <c r="S182" i="14"/>
  <c r="N182" i="14"/>
  <c r="M182" i="14"/>
  <c r="G182" i="14"/>
  <c r="D182" i="14"/>
  <c r="T181" i="14"/>
  <c r="S181" i="14"/>
  <c r="N181" i="14"/>
  <c r="M181" i="14"/>
  <c r="G181" i="14"/>
  <c r="D181" i="14"/>
  <c r="T180" i="14"/>
  <c r="S180" i="14"/>
  <c r="N180" i="14"/>
  <c r="M180" i="14"/>
  <c r="G180" i="14"/>
  <c r="D180" i="14"/>
  <c r="T179" i="14"/>
  <c r="S179" i="14"/>
  <c r="N179" i="14"/>
  <c r="M179" i="14"/>
  <c r="G179" i="14"/>
  <c r="D179" i="14"/>
  <c r="T178" i="14"/>
  <c r="S178" i="14"/>
  <c r="N178" i="14"/>
  <c r="M178" i="14"/>
  <c r="G178" i="14"/>
  <c r="D178" i="14"/>
  <c r="T177" i="14"/>
  <c r="S177" i="14"/>
  <c r="N177" i="14"/>
  <c r="M177" i="14"/>
  <c r="G177" i="14"/>
  <c r="D177" i="14"/>
  <c r="T176" i="14"/>
  <c r="S176" i="14"/>
  <c r="N176" i="14"/>
  <c r="M176" i="14"/>
  <c r="G176" i="14"/>
  <c r="D176" i="14"/>
  <c r="T175" i="14"/>
  <c r="S175" i="14"/>
  <c r="N175" i="14"/>
  <c r="M175" i="14"/>
  <c r="G175" i="14"/>
  <c r="D175" i="14"/>
  <c r="T174" i="14"/>
  <c r="S174" i="14"/>
  <c r="N174" i="14"/>
  <c r="M174" i="14"/>
  <c r="G174" i="14"/>
  <c r="D174" i="14"/>
  <c r="T173" i="14"/>
  <c r="S173" i="14"/>
  <c r="N173" i="14"/>
  <c r="M173" i="14"/>
  <c r="G173" i="14"/>
  <c r="D173" i="14"/>
  <c r="T172" i="14"/>
  <c r="S172" i="14"/>
  <c r="N172" i="14"/>
  <c r="M172" i="14"/>
  <c r="G172" i="14"/>
  <c r="D172" i="14"/>
  <c r="T171" i="14"/>
  <c r="S171" i="14"/>
  <c r="N171" i="14"/>
  <c r="M171" i="14"/>
  <c r="G171" i="14"/>
  <c r="D171" i="14"/>
  <c r="T170" i="14"/>
  <c r="S170" i="14"/>
  <c r="N170" i="14"/>
  <c r="M170" i="14"/>
  <c r="G170" i="14"/>
  <c r="D170" i="14"/>
  <c r="T169" i="14"/>
  <c r="S169" i="14"/>
  <c r="N169" i="14"/>
  <c r="M169" i="14"/>
  <c r="G169" i="14"/>
  <c r="D169" i="14"/>
  <c r="T168" i="14"/>
  <c r="S168" i="14"/>
  <c r="N168" i="14"/>
  <c r="M168" i="14"/>
  <c r="G168" i="14"/>
  <c r="D168" i="14"/>
  <c r="T167" i="14"/>
  <c r="S167" i="14"/>
  <c r="N167" i="14"/>
  <c r="M167" i="14"/>
  <c r="G167" i="14"/>
  <c r="D167" i="14"/>
  <c r="T166" i="14"/>
  <c r="S166" i="14"/>
  <c r="N166" i="14"/>
  <c r="M166" i="14"/>
  <c r="G166" i="14"/>
  <c r="D166" i="14"/>
  <c r="T165" i="14"/>
  <c r="S165" i="14"/>
  <c r="N165" i="14"/>
  <c r="M165" i="14"/>
  <c r="G165" i="14"/>
  <c r="D165" i="14"/>
  <c r="T164" i="14"/>
  <c r="S164" i="14"/>
  <c r="N164" i="14"/>
  <c r="M164" i="14"/>
  <c r="G164" i="14"/>
  <c r="D164" i="14"/>
  <c r="T163" i="14"/>
  <c r="S163" i="14"/>
  <c r="N163" i="14"/>
  <c r="M163" i="14"/>
  <c r="G163" i="14"/>
  <c r="D163" i="14"/>
  <c r="T162" i="14"/>
  <c r="S162" i="14"/>
  <c r="N162" i="14"/>
  <c r="M162" i="14"/>
  <c r="G162" i="14"/>
  <c r="D162" i="14"/>
  <c r="T161" i="14"/>
  <c r="S161" i="14"/>
  <c r="N161" i="14"/>
  <c r="M161" i="14"/>
  <c r="G161" i="14"/>
  <c r="D161" i="14"/>
  <c r="T160" i="14"/>
  <c r="S160" i="14"/>
  <c r="N160" i="14"/>
  <c r="M160" i="14"/>
  <c r="G160" i="14"/>
  <c r="D160" i="14"/>
  <c r="T159" i="14"/>
  <c r="S159" i="14"/>
  <c r="N159" i="14"/>
  <c r="M159" i="14"/>
  <c r="G159" i="14"/>
  <c r="D159" i="14"/>
  <c r="T158" i="14"/>
  <c r="S158" i="14"/>
  <c r="N158" i="14"/>
  <c r="M158" i="14"/>
  <c r="G158" i="14"/>
  <c r="D158" i="14"/>
  <c r="T157" i="14"/>
  <c r="S157" i="14"/>
  <c r="N157" i="14"/>
  <c r="M157" i="14"/>
  <c r="G157" i="14"/>
  <c r="D157" i="14"/>
  <c r="T156" i="14"/>
  <c r="S156" i="14"/>
  <c r="N156" i="14"/>
  <c r="M156" i="14"/>
  <c r="G156" i="14"/>
  <c r="D156" i="14"/>
  <c r="T155" i="14"/>
  <c r="S155" i="14"/>
  <c r="N155" i="14"/>
  <c r="M155" i="14"/>
  <c r="G155" i="14"/>
  <c r="D155" i="14"/>
  <c r="T154" i="14"/>
  <c r="S154" i="14"/>
  <c r="N154" i="14"/>
  <c r="M154" i="14"/>
  <c r="G154" i="14"/>
  <c r="D154" i="14"/>
  <c r="T153" i="14"/>
  <c r="S153" i="14"/>
  <c r="N153" i="14"/>
  <c r="M153" i="14"/>
  <c r="G153" i="14"/>
  <c r="D153" i="14"/>
  <c r="T152" i="14"/>
  <c r="S152" i="14"/>
  <c r="N152" i="14"/>
  <c r="M152" i="14"/>
  <c r="G152" i="14"/>
  <c r="D152" i="14"/>
  <c r="T151" i="14"/>
  <c r="S151" i="14"/>
  <c r="N151" i="14"/>
  <c r="M151" i="14"/>
  <c r="G151" i="14"/>
  <c r="D151" i="14"/>
  <c r="T150" i="14"/>
  <c r="S150" i="14"/>
  <c r="N150" i="14"/>
  <c r="M150" i="14"/>
  <c r="G150" i="14"/>
  <c r="D150" i="14"/>
  <c r="T149" i="14"/>
  <c r="S149" i="14"/>
  <c r="N149" i="14"/>
  <c r="M149" i="14"/>
  <c r="G149" i="14"/>
  <c r="D149" i="14"/>
  <c r="T148" i="14"/>
  <c r="S148" i="14"/>
  <c r="N148" i="14"/>
  <c r="M148" i="14"/>
  <c r="G148" i="14"/>
  <c r="D148" i="14"/>
  <c r="T147" i="14"/>
  <c r="S147" i="14"/>
  <c r="N147" i="14"/>
  <c r="M147" i="14"/>
  <c r="G147" i="14"/>
  <c r="D147" i="14"/>
  <c r="T146" i="14"/>
  <c r="S146" i="14"/>
  <c r="N146" i="14"/>
  <c r="M146" i="14"/>
  <c r="G146" i="14"/>
  <c r="D146" i="14"/>
  <c r="T145" i="14"/>
  <c r="S145" i="14"/>
  <c r="N145" i="14"/>
  <c r="M145" i="14"/>
  <c r="G145" i="14"/>
  <c r="D145" i="14"/>
  <c r="T144" i="14"/>
  <c r="S144" i="14"/>
  <c r="N144" i="14"/>
  <c r="M144" i="14"/>
  <c r="G144" i="14"/>
  <c r="D144" i="14"/>
  <c r="T143" i="14"/>
  <c r="S143" i="14"/>
  <c r="N143" i="14"/>
  <c r="M143" i="14"/>
  <c r="G143" i="14"/>
  <c r="D143" i="14"/>
  <c r="T142" i="14"/>
  <c r="S142" i="14"/>
  <c r="N142" i="14"/>
  <c r="M142" i="14"/>
  <c r="G142" i="14"/>
  <c r="D142" i="14"/>
  <c r="T141" i="14"/>
  <c r="S141" i="14"/>
  <c r="N141" i="14"/>
  <c r="M141" i="14"/>
  <c r="G141" i="14"/>
  <c r="D141" i="14"/>
  <c r="T140" i="14"/>
  <c r="S140" i="14"/>
  <c r="N140" i="14"/>
  <c r="M140" i="14"/>
  <c r="G140" i="14"/>
  <c r="D140" i="14"/>
  <c r="T139" i="14"/>
  <c r="S139" i="14"/>
  <c r="N139" i="14"/>
  <c r="M139" i="14"/>
  <c r="G139" i="14"/>
  <c r="D139" i="14"/>
  <c r="T138" i="14"/>
  <c r="S138" i="14"/>
  <c r="N138" i="14"/>
  <c r="M138" i="14"/>
  <c r="G138" i="14"/>
  <c r="D138" i="14"/>
  <c r="T137" i="14"/>
  <c r="S137" i="14"/>
  <c r="N137" i="14"/>
  <c r="M137" i="14"/>
  <c r="G137" i="14"/>
  <c r="D137" i="14"/>
  <c r="T136" i="14"/>
  <c r="S136" i="14"/>
  <c r="N136" i="14"/>
  <c r="M136" i="14"/>
  <c r="G136" i="14"/>
  <c r="D136" i="14"/>
  <c r="T135" i="14"/>
  <c r="S135" i="14"/>
  <c r="N135" i="14"/>
  <c r="M135" i="14"/>
  <c r="G135" i="14"/>
  <c r="D135" i="14"/>
  <c r="T134" i="14"/>
  <c r="S134" i="14"/>
  <c r="N134" i="14"/>
  <c r="M134" i="14"/>
  <c r="G134" i="14"/>
  <c r="D134" i="14"/>
  <c r="T133" i="14"/>
  <c r="S133" i="14"/>
  <c r="N133" i="14"/>
  <c r="M133" i="14"/>
  <c r="G133" i="14"/>
  <c r="D133" i="14"/>
  <c r="T132" i="14"/>
  <c r="S132" i="14"/>
  <c r="N132" i="14"/>
  <c r="M132" i="14"/>
  <c r="G132" i="14"/>
  <c r="D132" i="14"/>
  <c r="T131" i="14"/>
  <c r="S131" i="14"/>
  <c r="N131" i="14"/>
  <c r="M131" i="14"/>
  <c r="G131" i="14"/>
  <c r="D131" i="14"/>
  <c r="T130" i="14"/>
  <c r="S130" i="14"/>
  <c r="N130" i="14"/>
  <c r="M130" i="14"/>
  <c r="G130" i="14"/>
  <c r="D130" i="14"/>
  <c r="T129" i="14"/>
  <c r="S129" i="14"/>
  <c r="N129" i="14"/>
  <c r="M129" i="14"/>
  <c r="G129" i="14"/>
  <c r="D129" i="14"/>
  <c r="T128" i="14"/>
  <c r="S128" i="14"/>
  <c r="N128" i="14"/>
  <c r="M128" i="14"/>
  <c r="G128" i="14"/>
  <c r="D128" i="14"/>
  <c r="T127" i="14"/>
  <c r="S127" i="14"/>
  <c r="N127" i="14"/>
  <c r="M127" i="14"/>
  <c r="G127" i="14"/>
  <c r="D127" i="14"/>
  <c r="T126" i="14"/>
  <c r="S126" i="14"/>
  <c r="N126" i="14"/>
  <c r="M126" i="14"/>
  <c r="G126" i="14"/>
  <c r="D126" i="14"/>
  <c r="T125" i="14"/>
  <c r="S125" i="14"/>
  <c r="N125" i="14"/>
  <c r="M125" i="14"/>
  <c r="G125" i="14"/>
  <c r="D125" i="14"/>
  <c r="T124" i="14"/>
  <c r="S124" i="14"/>
  <c r="N124" i="14"/>
  <c r="M124" i="14"/>
  <c r="G124" i="14"/>
  <c r="D124" i="14"/>
  <c r="T123" i="14"/>
  <c r="S123" i="14"/>
  <c r="N123" i="14"/>
  <c r="M123" i="14"/>
  <c r="G123" i="14"/>
  <c r="D123" i="14"/>
  <c r="T122" i="14"/>
  <c r="S122" i="14"/>
  <c r="N122" i="14"/>
  <c r="M122" i="14"/>
  <c r="G122" i="14"/>
  <c r="D122" i="14"/>
  <c r="T121" i="14"/>
  <c r="S121" i="14"/>
  <c r="N121" i="14"/>
  <c r="M121" i="14"/>
  <c r="G121" i="14"/>
  <c r="D121" i="14"/>
  <c r="T120" i="14"/>
  <c r="S120" i="14"/>
  <c r="N120" i="14"/>
  <c r="M120" i="14"/>
  <c r="G120" i="14"/>
  <c r="D120" i="14"/>
  <c r="T119" i="14"/>
  <c r="S119" i="14"/>
  <c r="N119" i="14"/>
  <c r="M119" i="14"/>
  <c r="G119" i="14"/>
  <c r="D119" i="14"/>
  <c r="T118" i="14"/>
  <c r="S118" i="14"/>
  <c r="N118" i="14"/>
  <c r="M118" i="14"/>
  <c r="G118" i="14"/>
  <c r="D118" i="14"/>
  <c r="T117" i="14"/>
  <c r="S117" i="14"/>
  <c r="N117" i="14"/>
  <c r="M117" i="14"/>
  <c r="G117" i="14"/>
  <c r="D117" i="14"/>
  <c r="T116" i="14"/>
  <c r="S116" i="14"/>
  <c r="N116" i="14"/>
  <c r="M116" i="14"/>
  <c r="G116" i="14"/>
  <c r="D116" i="14"/>
  <c r="T115" i="14"/>
  <c r="S115" i="14"/>
  <c r="N115" i="14"/>
  <c r="M115" i="14"/>
  <c r="G115" i="14"/>
  <c r="D115" i="14"/>
  <c r="T114" i="14"/>
  <c r="S114" i="14"/>
  <c r="N114" i="14"/>
  <c r="M114" i="14"/>
  <c r="G114" i="14"/>
  <c r="D114" i="14"/>
  <c r="T113" i="14"/>
  <c r="S113" i="14"/>
  <c r="N113" i="14"/>
  <c r="M113" i="14"/>
  <c r="G113" i="14"/>
  <c r="D113" i="14"/>
  <c r="T112" i="14"/>
  <c r="S112" i="14"/>
  <c r="N112" i="14"/>
  <c r="M112" i="14"/>
  <c r="G112" i="14"/>
  <c r="D112" i="14"/>
  <c r="T111" i="14"/>
  <c r="S111" i="14"/>
  <c r="N111" i="14"/>
  <c r="M111" i="14"/>
  <c r="G111" i="14"/>
  <c r="D111" i="14"/>
  <c r="T110" i="14"/>
  <c r="S110" i="14"/>
  <c r="N110" i="14"/>
  <c r="M110" i="14"/>
  <c r="G110" i="14"/>
  <c r="D110" i="14"/>
  <c r="T109" i="14"/>
  <c r="S109" i="14"/>
  <c r="N109" i="14"/>
  <c r="M109" i="14"/>
  <c r="G109" i="14"/>
  <c r="D109" i="14"/>
  <c r="T108" i="14"/>
  <c r="S108" i="14"/>
  <c r="N108" i="14"/>
  <c r="M108" i="14"/>
  <c r="G108" i="14"/>
  <c r="D108" i="14"/>
  <c r="T107" i="14"/>
  <c r="S107" i="14"/>
  <c r="N107" i="14"/>
  <c r="M107" i="14"/>
  <c r="G107" i="14"/>
  <c r="D107" i="14"/>
  <c r="T106" i="14"/>
  <c r="S106" i="14"/>
  <c r="N106" i="14"/>
  <c r="M106" i="14"/>
  <c r="G106" i="14"/>
  <c r="D106" i="14"/>
  <c r="T105" i="14"/>
  <c r="S105" i="14"/>
  <c r="N105" i="14"/>
  <c r="M105" i="14"/>
  <c r="G105" i="14"/>
  <c r="D105" i="14"/>
  <c r="T104" i="14"/>
  <c r="S104" i="14"/>
  <c r="N104" i="14"/>
  <c r="M104" i="14"/>
  <c r="G104" i="14"/>
  <c r="D104" i="14"/>
  <c r="T103" i="14"/>
  <c r="S103" i="14"/>
  <c r="N103" i="14"/>
  <c r="M103" i="14"/>
  <c r="G103" i="14"/>
  <c r="D103" i="14"/>
  <c r="T102" i="14"/>
  <c r="S102" i="14"/>
  <c r="N102" i="14"/>
  <c r="M102" i="14"/>
  <c r="G102" i="14"/>
  <c r="D102" i="14"/>
  <c r="T101" i="14"/>
  <c r="S101" i="14"/>
  <c r="N101" i="14"/>
  <c r="M101" i="14"/>
  <c r="G101" i="14"/>
  <c r="D101" i="14"/>
  <c r="T100" i="14"/>
  <c r="S100" i="14"/>
  <c r="N100" i="14"/>
  <c r="M100" i="14"/>
  <c r="G100" i="14"/>
  <c r="D100" i="14"/>
  <c r="T99" i="14"/>
  <c r="S99" i="14"/>
  <c r="N99" i="14"/>
  <c r="M99" i="14"/>
  <c r="G99" i="14"/>
  <c r="D99" i="14"/>
  <c r="T98" i="14"/>
  <c r="S98" i="14"/>
  <c r="N98" i="14"/>
  <c r="M98" i="14"/>
  <c r="G98" i="14"/>
  <c r="D98" i="14"/>
  <c r="T97" i="14"/>
  <c r="S97" i="14"/>
  <c r="N97" i="14"/>
  <c r="M97" i="14"/>
  <c r="G97" i="14"/>
  <c r="D97" i="14"/>
  <c r="T96" i="14"/>
  <c r="S96" i="14"/>
  <c r="N96" i="14"/>
  <c r="M96" i="14"/>
  <c r="G96" i="14"/>
  <c r="D96" i="14"/>
  <c r="T95" i="14"/>
  <c r="S95" i="14"/>
  <c r="N95" i="14"/>
  <c r="M95" i="14"/>
  <c r="G95" i="14"/>
  <c r="D95" i="14"/>
  <c r="T94" i="14"/>
  <c r="S94" i="14"/>
  <c r="N94" i="14"/>
  <c r="M94" i="14"/>
  <c r="G94" i="14"/>
  <c r="D94" i="14"/>
  <c r="T93" i="14"/>
  <c r="S93" i="14"/>
  <c r="N93" i="14"/>
  <c r="M93" i="14"/>
  <c r="G93" i="14"/>
  <c r="D93" i="14"/>
  <c r="T92" i="14"/>
  <c r="S92" i="14"/>
  <c r="N92" i="14"/>
  <c r="M92" i="14"/>
  <c r="G92" i="14"/>
  <c r="D92" i="14"/>
  <c r="T91" i="14"/>
  <c r="S91" i="14"/>
  <c r="N91" i="14"/>
  <c r="M91" i="14"/>
  <c r="G91" i="14"/>
  <c r="D91" i="14"/>
  <c r="T90" i="14"/>
  <c r="S90" i="14"/>
  <c r="N90" i="14"/>
  <c r="M90" i="14"/>
  <c r="G90" i="14"/>
  <c r="D90" i="14"/>
  <c r="T89" i="14"/>
  <c r="S89" i="14"/>
  <c r="N89" i="14"/>
  <c r="M89" i="14"/>
  <c r="G89" i="14"/>
  <c r="D89" i="14"/>
  <c r="T88" i="14"/>
  <c r="S88" i="14"/>
  <c r="N88" i="14"/>
  <c r="M88" i="14"/>
  <c r="G88" i="14"/>
  <c r="D88" i="14"/>
  <c r="T87" i="14"/>
  <c r="S87" i="14"/>
  <c r="N87" i="14"/>
  <c r="M87" i="14"/>
  <c r="G87" i="14"/>
  <c r="D87" i="14"/>
  <c r="T86" i="14"/>
  <c r="S86" i="14"/>
  <c r="N86" i="14"/>
  <c r="M86" i="14"/>
  <c r="G86" i="14"/>
  <c r="D86" i="14"/>
  <c r="T85" i="14"/>
  <c r="S85" i="14"/>
  <c r="N85" i="14"/>
  <c r="M85" i="14"/>
  <c r="G85" i="14"/>
  <c r="D85" i="14"/>
  <c r="T84" i="14"/>
  <c r="S84" i="14"/>
  <c r="N84" i="14"/>
  <c r="M84" i="14"/>
  <c r="G84" i="14"/>
  <c r="D84" i="14"/>
  <c r="T83" i="14"/>
  <c r="S83" i="14"/>
  <c r="N83" i="14"/>
  <c r="M83" i="14"/>
  <c r="G83" i="14"/>
  <c r="D83" i="14"/>
  <c r="T82" i="14"/>
  <c r="S82" i="14"/>
  <c r="N82" i="14"/>
  <c r="M82" i="14"/>
  <c r="G82" i="14"/>
  <c r="D82" i="14"/>
  <c r="T81" i="14"/>
  <c r="S81" i="14"/>
  <c r="N81" i="14"/>
  <c r="M81" i="14"/>
  <c r="G81" i="14"/>
  <c r="D81" i="14"/>
  <c r="T80" i="14"/>
  <c r="S80" i="14"/>
  <c r="N80" i="14"/>
  <c r="M80" i="14"/>
  <c r="G80" i="14"/>
  <c r="D80" i="14"/>
  <c r="T79" i="14"/>
  <c r="S79" i="14"/>
  <c r="N79" i="14"/>
  <c r="M79" i="14"/>
  <c r="G79" i="14"/>
  <c r="D79" i="14"/>
  <c r="T78" i="14"/>
  <c r="S78" i="14"/>
  <c r="N78" i="14"/>
  <c r="M78" i="14"/>
  <c r="G78" i="14"/>
  <c r="D78" i="14"/>
  <c r="T77" i="14"/>
  <c r="S77" i="14"/>
  <c r="N77" i="14"/>
  <c r="M77" i="14"/>
  <c r="G77" i="14"/>
  <c r="D77" i="14"/>
  <c r="T76" i="14"/>
  <c r="S76" i="14"/>
  <c r="N76" i="14"/>
  <c r="M76" i="14"/>
  <c r="G76" i="14"/>
  <c r="D76" i="14"/>
  <c r="T75" i="14"/>
  <c r="S75" i="14"/>
  <c r="N75" i="14"/>
  <c r="M75" i="14"/>
  <c r="G75" i="14"/>
  <c r="D75" i="14"/>
  <c r="T74" i="14"/>
  <c r="S74" i="14"/>
  <c r="N74" i="14"/>
  <c r="M74" i="14"/>
  <c r="G74" i="14"/>
  <c r="D74" i="14"/>
  <c r="T73" i="14"/>
  <c r="S73" i="14"/>
  <c r="N73" i="14"/>
  <c r="M73" i="14"/>
  <c r="G73" i="14"/>
  <c r="D73" i="14"/>
  <c r="T72" i="14"/>
  <c r="S72" i="14"/>
  <c r="N72" i="14"/>
  <c r="M72" i="14"/>
  <c r="G72" i="14"/>
  <c r="D72" i="14"/>
  <c r="T71" i="14"/>
  <c r="S71" i="14"/>
  <c r="N71" i="14"/>
  <c r="M71" i="14"/>
  <c r="G71" i="14"/>
  <c r="D71" i="14"/>
  <c r="T70" i="14"/>
  <c r="S70" i="14"/>
  <c r="N70" i="14"/>
  <c r="M70" i="14"/>
  <c r="G70" i="14"/>
  <c r="D70" i="14"/>
  <c r="T69" i="14"/>
  <c r="S69" i="14"/>
  <c r="N69" i="14"/>
  <c r="M69" i="14"/>
  <c r="G69" i="14"/>
  <c r="D69" i="14"/>
  <c r="T68" i="14"/>
  <c r="S68" i="14"/>
  <c r="N68" i="14"/>
  <c r="M68" i="14"/>
  <c r="G68" i="14"/>
  <c r="D68" i="14"/>
  <c r="T67" i="14"/>
  <c r="S67" i="14"/>
  <c r="N67" i="14"/>
  <c r="M67" i="14"/>
  <c r="G67" i="14"/>
  <c r="D67" i="14"/>
  <c r="T66" i="14"/>
  <c r="S66" i="14"/>
  <c r="N66" i="14"/>
  <c r="M66" i="14"/>
  <c r="G66" i="14"/>
  <c r="D66" i="14"/>
  <c r="T65" i="14"/>
  <c r="S65" i="14"/>
  <c r="N65" i="14"/>
  <c r="M65" i="14"/>
  <c r="G65" i="14"/>
  <c r="D65" i="14"/>
  <c r="T64" i="14"/>
  <c r="S64" i="14"/>
  <c r="N64" i="14"/>
  <c r="M64" i="14"/>
  <c r="G64" i="14"/>
  <c r="D64" i="14"/>
  <c r="T63" i="14"/>
  <c r="S63" i="14"/>
  <c r="N63" i="14"/>
  <c r="M63" i="14"/>
  <c r="G63" i="14"/>
  <c r="D63" i="14"/>
  <c r="T62" i="14"/>
  <c r="S62" i="14"/>
  <c r="N62" i="14"/>
  <c r="M62" i="14"/>
  <c r="G62" i="14"/>
  <c r="D62" i="14"/>
  <c r="T61" i="14"/>
  <c r="S61" i="14"/>
  <c r="N61" i="14"/>
  <c r="M61" i="14"/>
  <c r="G61" i="14"/>
  <c r="D61" i="14"/>
  <c r="T60" i="14"/>
  <c r="S60" i="14"/>
  <c r="N60" i="14"/>
  <c r="M60" i="14"/>
  <c r="G60" i="14"/>
  <c r="D60" i="14"/>
  <c r="T59" i="14"/>
  <c r="S59" i="14"/>
  <c r="N59" i="14"/>
  <c r="M59" i="14"/>
  <c r="G59" i="14"/>
  <c r="D59" i="14"/>
  <c r="T58" i="14"/>
  <c r="S58" i="14"/>
  <c r="N58" i="14"/>
  <c r="M58" i="14"/>
  <c r="G58" i="14"/>
  <c r="D58" i="14"/>
  <c r="T57" i="14"/>
  <c r="S57" i="14"/>
  <c r="N57" i="14"/>
  <c r="M57" i="14"/>
  <c r="G57" i="14"/>
  <c r="D57" i="14"/>
  <c r="T56" i="14"/>
  <c r="S56" i="14"/>
  <c r="N56" i="14"/>
  <c r="M56" i="14"/>
  <c r="G56" i="14"/>
  <c r="D56" i="14"/>
  <c r="T55" i="14"/>
  <c r="S55" i="14"/>
  <c r="N55" i="14"/>
  <c r="M55" i="14"/>
  <c r="G55" i="14"/>
  <c r="D55" i="14"/>
  <c r="T54" i="14"/>
  <c r="S54" i="14"/>
  <c r="N54" i="14"/>
  <c r="M54" i="14"/>
  <c r="G54" i="14"/>
  <c r="D54" i="14"/>
  <c r="T53" i="14"/>
  <c r="S53" i="14"/>
  <c r="N53" i="14"/>
  <c r="M53" i="14"/>
  <c r="G53" i="14"/>
  <c r="D53" i="14"/>
  <c r="T52" i="14"/>
  <c r="S52" i="14"/>
  <c r="N52" i="14"/>
  <c r="M52" i="14"/>
  <c r="G52" i="14"/>
  <c r="D52" i="14"/>
  <c r="T51" i="14"/>
  <c r="S51" i="14"/>
  <c r="N51" i="14"/>
  <c r="M51" i="14"/>
  <c r="G51" i="14"/>
  <c r="D51" i="14"/>
  <c r="T50" i="14"/>
  <c r="S50" i="14"/>
  <c r="N50" i="14"/>
  <c r="M50" i="14"/>
  <c r="G50" i="14"/>
  <c r="D50" i="14"/>
  <c r="T49" i="14"/>
  <c r="S49" i="14"/>
  <c r="N49" i="14"/>
  <c r="M49" i="14"/>
  <c r="G49" i="14"/>
  <c r="D49" i="14"/>
  <c r="T48" i="14"/>
  <c r="S48" i="14"/>
  <c r="N48" i="14"/>
  <c r="M48" i="14"/>
  <c r="G48" i="14"/>
  <c r="D48" i="14"/>
  <c r="T47" i="14"/>
  <c r="S47" i="14"/>
  <c r="N47" i="14"/>
  <c r="M47" i="14"/>
  <c r="G47" i="14"/>
  <c r="D47" i="14"/>
  <c r="T46" i="14"/>
  <c r="S46" i="14"/>
  <c r="N46" i="14"/>
  <c r="M46" i="14"/>
  <c r="G46" i="14"/>
  <c r="D46" i="14"/>
  <c r="T45" i="14"/>
  <c r="S45" i="14"/>
  <c r="N45" i="14"/>
  <c r="M45" i="14"/>
  <c r="G45" i="14"/>
  <c r="D45" i="14"/>
  <c r="T44" i="14"/>
  <c r="S44" i="14"/>
  <c r="N44" i="14"/>
  <c r="M44" i="14"/>
  <c r="G44" i="14"/>
  <c r="D44" i="14"/>
  <c r="T43" i="14"/>
  <c r="S43" i="14"/>
  <c r="N43" i="14"/>
  <c r="M43" i="14"/>
  <c r="G43" i="14"/>
  <c r="D43" i="14"/>
  <c r="T42" i="14"/>
  <c r="S42" i="14"/>
  <c r="N42" i="14"/>
  <c r="M42" i="14"/>
  <c r="G42" i="14"/>
  <c r="D42" i="14"/>
  <c r="T41" i="14"/>
  <c r="S41" i="14"/>
  <c r="N41" i="14"/>
  <c r="M41" i="14"/>
  <c r="G41" i="14"/>
  <c r="D41" i="14"/>
  <c r="T40" i="14"/>
  <c r="S40" i="14"/>
  <c r="N40" i="14"/>
  <c r="M40" i="14"/>
  <c r="G40" i="14"/>
  <c r="D40" i="14"/>
  <c r="T39" i="14"/>
  <c r="S39" i="14"/>
  <c r="N39" i="14"/>
  <c r="M39" i="14"/>
  <c r="G39" i="14"/>
  <c r="D39" i="14"/>
  <c r="T38" i="14"/>
  <c r="S38" i="14"/>
  <c r="N38" i="14"/>
  <c r="M38" i="14"/>
  <c r="G38" i="14"/>
  <c r="D38" i="14"/>
  <c r="T37" i="14"/>
  <c r="S37" i="14"/>
  <c r="N37" i="14"/>
  <c r="M37" i="14"/>
  <c r="G37" i="14"/>
  <c r="D37" i="14"/>
  <c r="T36" i="14"/>
  <c r="S36" i="14"/>
  <c r="N36" i="14"/>
  <c r="M36" i="14"/>
  <c r="G36" i="14"/>
  <c r="D36" i="14"/>
  <c r="T35" i="14"/>
  <c r="S35" i="14"/>
  <c r="N35" i="14"/>
  <c r="M35" i="14"/>
  <c r="G35" i="14"/>
  <c r="D35" i="14"/>
  <c r="T34" i="14"/>
  <c r="S34" i="14"/>
  <c r="N34" i="14"/>
  <c r="M34" i="14"/>
  <c r="G34" i="14"/>
  <c r="D34" i="14"/>
  <c r="T33" i="14"/>
  <c r="S33" i="14"/>
  <c r="N33" i="14"/>
  <c r="M33" i="14"/>
  <c r="G33" i="14"/>
  <c r="D33" i="14"/>
  <c r="T32" i="14"/>
  <c r="S32" i="14"/>
  <c r="N32" i="14"/>
  <c r="M32" i="14"/>
  <c r="G32" i="14"/>
  <c r="D32" i="14"/>
  <c r="T31" i="14"/>
  <c r="S31" i="14"/>
  <c r="N31" i="14"/>
  <c r="M31" i="14"/>
  <c r="G31" i="14"/>
  <c r="D31" i="14"/>
  <c r="T30" i="14"/>
  <c r="S30" i="14"/>
  <c r="N30" i="14"/>
  <c r="M30" i="14"/>
  <c r="G30" i="14"/>
  <c r="D30" i="14"/>
  <c r="S29" i="14"/>
  <c r="N29" i="14"/>
  <c r="M29" i="14"/>
  <c r="G29" i="14"/>
  <c r="D29" i="14"/>
  <c r="N28" i="14"/>
  <c r="M28" i="14"/>
  <c r="G28" i="14"/>
  <c r="D28" i="14"/>
  <c r="N27" i="14"/>
  <c r="M27" i="14"/>
  <c r="G27" i="14"/>
  <c r="D27" i="14"/>
  <c r="N26" i="14"/>
  <c r="M26" i="14"/>
  <c r="G26" i="14"/>
  <c r="D26" i="14"/>
  <c r="N25" i="14"/>
  <c r="M25" i="14"/>
  <c r="G25" i="14"/>
  <c r="D25" i="14"/>
  <c r="N24" i="14"/>
  <c r="M24" i="14"/>
  <c r="G24" i="14"/>
  <c r="D24" i="14"/>
  <c r="N23" i="14"/>
  <c r="M23" i="14"/>
  <c r="G23" i="14"/>
  <c r="D23" i="14"/>
  <c r="N22" i="14"/>
  <c r="M22" i="14"/>
  <c r="L22" i="14"/>
  <c r="G22" i="14"/>
  <c r="D22" i="14"/>
  <c r="N21" i="14"/>
  <c r="M21" i="14"/>
  <c r="G21" i="14"/>
  <c r="D21" i="14"/>
  <c r="N20" i="14"/>
  <c r="M20" i="14"/>
  <c r="L20" i="14"/>
  <c r="L23" i="14" s="1"/>
  <c r="G20" i="14"/>
  <c r="D20" i="14"/>
  <c r="N19" i="14"/>
  <c r="M19" i="14"/>
  <c r="G19" i="14"/>
  <c r="D19" i="14"/>
  <c r="N18" i="14"/>
  <c r="M18" i="14"/>
  <c r="G18" i="14"/>
  <c r="D18" i="14"/>
  <c r="N17" i="14"/>
  <c r="M17" i="14"/>
  <c r="G17" i="14"/>
  <c r="D17" i="14"/>
  <c r="N16" i="14"/>
  <c r="M16" i="14"/>
  <c r="G16" i="14"/>
  <c r="D16" i="14"/>
  <c r="N15" i="14"/>
  <c r="M15" i="14"/>
  <c r="G15" i="14"/>
  <c r="D15" i="14"/>
  <c r="N14" i="14"/>
  <c r="M14" i="14"/>
  <c r="L14" i="14"/>
  <c r="L17" i="14" s="1"/>
  <c r="G14" i="14"/>
  <c r="D14" i="14"/>
  <c r="N13" i="14"/>
  <c r="M13" i="14"/>
  <c r="G13" i="14"/>
  <c r="D13" i="14"/>
  <c r="N12" i="14"/>
  <c r="M12" i="14"/>
  <c r="G12" i="14"/>
  <c r="D12" i="14"/>
  <c r="N11" i="14"/>
  <c r="M11" i="14"/>
  <c r="G11" i="14"/>
  <c r="D11" i="14"/>
  <c r="N10" i="14"/>
  <c r="M10" i="14"/>
  <c r="G10" i="14"/>
  <c r="D10" i="14"/>
  <c r="N9" i="14"/>
  <c r="M9" i="14"/>
  <c r="G9" i="14"/>
  <c r="D9" i="14"/>
  <c r="N8" i="14"/>
  <c r="M8" i="14"/>
  <c r="G8" i="14"/>
  <c r="D8" i="14"/>
  <c r="N7" i="14"/>
  <c r="M7" i="14"/>
  <c r="G7" i="14"/>
  <c r="D7" i="14"/>
  <c r="N6" i="14"/>
  <c r="M6" i="14"/>
  <c r="G6" i="14"/>
  <c r="K6" i="14" s="1"/>
  <c r="D6" i="14"/>
  <c r="J6" i="14" s="1"/>
  <c r="P140" i="22" l="1"/>
  <c r="O139" i="22"/>
  <c r="O116" i="22" s="1"/>
  <c r="O115" i="22" s="1"/>
  <c r="S341" i="6"/>
  <c r="T341" i="6" s="1"/>
  <c r="U341" i="6" s="1"/>
  <c r="V341" i="6" s="1"/>
  <c r="U184" i="6"/>
  <c r="V184" i="6" s="1"/>
  <c r="R188" i="6"/>
  <c r="M30" i="18"/>
  <c r="M37" i="18"/>
  <c r="M10" i="18"/>
  <c r="M44" i="18"/>
  <c r="R99" i="6"/>
  <c r="R218" i="6"/>
  <c r="N7" i="19"/>
  <c r="N7" i="8"/>
  <c r="N8" i="8" s="1"/>
  <c r="N26" i="18" s="1"/>
  <c r="N35" i="6"/>
  <c r="P7" i="19"/>
  <c r="P7" i="8"/>
  <c r="P8" i="8" s="1"/>
  <c r="P26" i="18" s="1"/>
  <c r="P35" i="6"/>
  <c r="R292" i="6"/>
  <c r="S292" i="6" s="1"/>
  <c r="K12" i="19"/>
  <c r="K13" i="19" s="1"/>
  <c r="K12" i="8"/>
  <c r="K47" i="6"/>
  <c r="S287" i="6"/>
  <c r="T287" i="6" s="1"/>
  <c r="S257" i="6"/>
  <c r="V163" i="6"/>
  <c r="W163" i="6" s="1"/>
  <c r="L13" i="8"/>
  <c r="L27" i="18" s="1"/>
  <c r="L68" i="18"/>
  <c r="L64" i="18"/>
  <c r="L11" i="20"/>
  <c r="L15" i="20" s="1"/>
  <c r="L21" i="20" s="1"/>
  <c r="L63" i="18"/>
  <c r="L69" i="18"/>
  <c r="L65" i="18"/>
  <c r="O6" i="19"/>
  <c r="O6" i="8"/>
  <c r="O288" i="6"/>
  <c r="O199" i="6"/>
  <c r="Q199" i="6" s="1"/>
  <c r="O198" i="6"/>
  <c r="O31" i="6"/>
  <c r="O10" i="20" s="1"/>
  <c r="O15" i="6"/>
  <c r="M7" i="19"/>
  <c r="M8" i="19" s="1"/>
  <c r="M7" i="8"/>
  <c r="M8" i="8" s="1"/>
  <c r="M26" i="18" s="1"/>
  <c r="M35" i="6"/>
  <c r="N6" i="20"/>
  <c r="N7" i="20" s="1"/>
  <c r="N42" i="18"/>
  <c r="N41" i="18"/>
  <c r="S89" i="6"/>
  <c r="O46" i="15"/>
  <c r="Z55" i="6"/>
  <c r="R282" i="6"/>
  <c r="K44" i="18"/>
  <c r="K30" i="18"/>
  <c r="K37" i="18"/>
  <c r="K10" i="18"/>
  <c r="O10" i="18"/>
  <c r="N30" i="18"/>
  <c r="N37" i="18"/>
  <c r="N44" i="18"/>
  <c r="N10" i="18"/>
  <c r="R210" i="6"/>
  <c r="L18" i="19"/>
  <c r="L19" i="19" s="1"/>
  <c r="L18" i="8"/>
  <c r="L86" i="6"/>
  <c r="W186" i="6"/>
  <c r="X186" i="6" s="1"/>
  <c r="M6" i="20"/>
  <c r="M7" i="20" s="1"/>
  <c r="M42" i="18"/>
  <c r="M41" i="18"/>
  <c r="M43" i="18" s="1"/>
  <c r="K7" i="20"/>
  <c r="S346" i="6"/>
  <c r="P42" i="18"/>
  <c r="P41" i="18"/>
  <c r="P6" i="20"/>
  <c r="P7" i="20" s="1"/>
  <c r="R356" i="6"/>
  <c r="L6" i="14"/>
  <c r="L10" i="14" s="1"/>
  <c r="L11" i="14" s="1"/>
  <c r="S22" i="14"/>
  <c r="S336" i="22"/>
  <c r="S335" i="22" s="1"/>
  <c r="S101" i="22" s="1"/>
  <c r="O36" i="11"/>
  <c r="O37" i="11"/>
  <c r="O82" i="11"/>
  <c r="O77" i="11"/>
  <c r="T33" i="11"/>
  <c r="T75" i="11" s="1"/>
  <c r="T84" i="11" s="1"/>
  <c r="T153" i="11"/>
  <c r="U153" i="11" s="1"/>
  <c r="M194" i="22"/>
  <c r="L9" i="22"/>
  <c r="U147" i="11"/>
  <c r="V147" i="11" s="1"/>
  <c r="T151" i="11"/>
  <c r="U151" i="11" s="1"/>
  <c r="U145" i="11"/>
  <c r="V145" i="11" s="1"/>
  <c r="W9" i="11"/>
  <c r="P163" i="22"/>
  <c r="O159" i="22"/>
  <c r="N142" i="22"/>
  <c r="N143" i="22" s="1"/>
  <c r="U9" i="11"/>
  <c r="T72" i="11"/>
  <c r="T81" i="11" s="1"/>
  <c r="T18" i="11"/>
  <c r="T21" i="11"/>
  <c r="N166" i="22"/>
  <c r="N165" i="22" s="1"/>
  <c r="U12" i="11"/>
  <c r="Q8" i="22"/>
  <c r="Q111" i="22" s="1"/>
  <c r="Q112" i="22" s="1"/>
  <c r="R109" i="22"/>
  <c r="R105" i="22" s="1"/>
  <c r="R99" i="22" s="1"/>
  <c r="R100" i="22" s="1"/>
  <c r="S106" i="22"/>
  <c r="Q100" i="22"/>
  <c r="P256" i="22"/>
  <c r="O253" i="22"/>
  <c r="Q136" i="22"/>
  <c r="Q354" i="22"/>
  <c r="Q355" i="22" s="1"/>
  <c r="Q120" i="22" s="1"/>
  <c r="P285" i="22"/>
  <c r="P269" i="22" s="1"/>
  <c r="P265" i="22" s="1"/>
  <c r="P258" i="22" s="1"/>
  <c r="S135" i="22"/>
  <c r="R135" i="22"/>
  <c r="Q283" i="22"/>
  <c r="Q284" i="22"/>
  <c r="Q243" i="22"/>
  <c r="P247" i="22"/>
  <c r="S108" i="22"/>
  <c r="S109" i="22" s="1"/>
  <c r="T9" i="17"/>
  <c r="D44" i="15"/>
  <c r="J3" i="19"/>
  <c r="I2" i="19"/>
  <c r="G9" i="15"/>
  <c r="G1" i="15" s="1"/>
  <c r="E22" i="15"/>
  <c r="V30" i="11" l="1"/>
  <c r="V72" i="11" s="1"/>
  <c r="V81" i="11" s="1"/>
  <c r="O122" i="22"/>
  <c r="O123" i="22" s="1"/>
  <c r="O117" i="22"/>
  <c r="O119" i="22"/>
  <c r="O142" i="22"/>
  <c r="O143" i="22" s="1"/>
  <c r="Q140" i="22"/>
  <c r="P139" i="22"/>
  <c r="P116" i="22" s="1"/>
  <c r="P115" i="22" s="1"/>
  <c r="R140" i="22"/>
  <c r="R139" i="22" s="1"/>
  <c r="R116" i="22" s="1"/>
  <c r="R115" i="22" s="1"/>
  <c r="BD176" i="6"/>
  <c r="BD177" i="6" s="1"/>
  <c r="P43" i="18"/>
  <c r="R199" i="6"/>
  <c r="S199" i="6" s="1"/>
  <c r="X163" i="6"/>
  <c r="Y163" i="6" s="1"/>
  <c r="Z163" i="6" s="1"/>
  <c r="N43" i="18"/>
  <c r="W341" i="6"/>
  <c r="X341" i="6" s="1"/>
  <c r="P47" i="6"/>
  <c r="P12" i="19"/>
  <c r="P12" i="8"/>
  <c r="T89" i="6"/>
  <c r="P46" i="15"/>
  <c r="O7" i="19"/>
  <c r="O7" i="8"/>
  <c r="O8" i="8" s="1"/>
  <c r="O26" i="18" s="1"/>
  <c r="O35" i="6"/>
  <c r="U287" i="6"/>
  <c r="V287" i="6" s="1"/>
  <c r="S188" i="6"/>
  <c r="S210" i="6"/>
  <c r="T210" i="6" s="1"/>
  <c r="N12" i="19"/>
  <c r="N12" i="8"/>
  <c r="N47" i="6"/>
  <c r="T335" i="22"/>
  <c r="T336" i="22" s="1"/>
  <c r="L28" i="19"/>
  <c r="L85" i="6"/>
  <c r="L94" i="6"/>
  <c r="L28" i="8"/>
  <c r="S99" i="6"/>
  <c r="Y186" i="6"/>
  <c r="Z186" i="6" s="1"/>
  <c r="T346" i="6"/>
  <c r="L19" i="8"/>
  <c r="L28" i="18" s="1"/>
  <c r="L67" i="18"/>
  <c r="L11" i="18"/>
  <c r="L31" i="18" s="1"/>
  <c r="S282" i="6"/>
  <c r="M12" i="19"/>
  <c r="M13" i="19" s="1"/>
  <c r="M47" i="6"/>
  <c r="M12" i="8"/>
  <c r="O41" i="18"/>
  <c r="O6" i="20"/>
  <c r="O7" i="20" s="1"/>
  <c r="O42" i="18"/>
  <c r="K18" i="19"/>
  <c r="K19" i="19" s="1"/>
  <c r="K86" i="6"/>
  <c r="K18" i="8"/>
  <c r="T292" i="6"/>
  <c r="T257" i="6"/>
  <c r="S218" i="6"/>
  <c r="T218" i="6" s="1"/>
  <c r="S356" i="6"/>
  <c r="T356" i="6" s="1"/>
  <c r="K13" i="8"/>
  <c r="K27" i="18" s="1"/>
  <c r="K11" i="20"/>
  <c r="K15" i="20" s="1"/>
  <c r="K21" i="20" s="1"/>
  <c r="K69" i="18"/>
  <c r="K65" i="18"/>
  <c r="K68" i="18"/>
  <c r="K64" i="18"/>
  <c r="K63" i="18"/>
  <c r="W184" i="6"/>
  <c r="T282" i="6"/>
  <c r="U33" i="11"/>
  <c r="U75" i="11" s="1"/>
  <c r="U84" i="11" s="1"/>
  <c r="W145" i="11"/>
  <c r="X145" i="11" s="1"/>
  <c r="Y145" i="11" s="1"/>
  <c r="N194" i="22"/>
  <c r="M9" i="22"/>
  <c r="V153" i="11"/>
  <c r="V151" i="11"/>
  <c r="W151" i="11" s="1"/>
  <c r="W147" i="11"/>
  <c r="O166" i="22"/>
  <c r="O165" i="22" s="1"/>
  <c r="V12" i="11"/>
  <c r="X9" i="11"/>
  <c r="U72" i="11"/>
  <c r="U81" i="11" s="1"/>
  <c r="U18" i="11"/>
  <c r="V18" i="11"/>
  <c r="U21" i="11"/>
  <c r="W18" i="11"/>
  <c r="Q163" i="22"/>
  <c r="P159" i="22"/>
  <c r="R8" i="22"/>
  <c r="R111" i="22" s="1"/>
  <c r="R112" i="22" s="1"/>
  <c r="S105" i="22"/>
  <c r="S99" i="22" s="1"/>
  <c r="S100" i="22" s="1"/>
  <c r="S136" i="22"/>
  <c r="S354" i="22"/>
  <c r="S355" i="22" s="1"/>
  <c r="S120" i="22" s="1"/>
  <c r="Q285" i="22"/>
  <c r="Q269" i="22" s="1"/>
  <c r="Q265" i="22" s="1"/>
  <c r="Q258" i="22" s="1"/>
  <c r="R136" i="22"/>
  <c r="R354" i="22"/>
  <c r="R355" i="22" s="1"/>
  <c r="R120" i="22" s="1"/>
  <c r="S284" i="22"/>
  <c r="R284" i="22"/>
  <c r="S283" i="22"/>
  <c r="R283" i="22"/>
  <c r="Q256" i="22"/>
  <c r="P253" i="22"/>
  <c r="R243" i="22"/>
  <c r="Q247" i="22"/>
  <c r="K3" i="19"/>
  <c r="J2" i="19"/>
  <c r="H9" i="15"/>
  <c r="H1" i="15" s="1"/>
  <c r="P122" i="22" l="1"/>
  <c r="P123" i="22" s="1"/>
  <c r="P142" i="22"/>
  <c r="P143" i="22" s="1"/>
  <c r="P119" i="22"/>
  <c r="W30" i="11"/>
  <c r="W72" i="11" s="1"/>
  <c r="W81" i="11" s="1"/>
  <c r="P117" i="22"/>
  <c r="Q139" i="22"/>
  <c r="Q116" i="22" s="1"/>
  <c r="Q115" i="22" s="1"/>
  <c r="S140" i="22"/>
  <c r="S139" i="22" s="1"/>
  <c r="S116" i="22" s="1"/>
  <c r="S115" i="22" s="1"/>
  <c r="S117" i="22" s="1"/>
  <c r="U210" i="6"/>
  <c r="V210" i="6" s="1"/>
  <c r="W210" i="6" s="1"/>
  <c r="T199" i="6"/>
  <c r="U199" i="6"/>
  <c r="V199" i="6" s="1"/>
  <c r="U257" i="6"/>
  <c r="Y341" i="6"/>
  <c r="Z341" i="6" s="1"/>
  <c r="U356" i="6"/>
  <c r="V356" i="6" s="1"/>
  <c r="W199" i="6"/>
  <c r="X199" i="6" s="1"/>
  <c r="Y199" i="6" s="1"/>
  <c r="M18" i="19"/>
  <c r="M19" i="19" s="1"/>
  <c r="M18" i="8"/>
  <c r="M86" i="6"/>
  <c r="U346" i="6"/>
  <c r="L128" i="19"/>
  <c r="L140" i="19" s="1"/>
  <c r="L154" i="19" s="1"/>
  <c r="L29" i="19"/>
  <c r="N18" i="19"/>
  <c r="N18" i="8"/>
  <c r="N86" i="6"/>
  <c r="K19" i="8"/>
  <c r="K28" i="18" s="1"/>
  <c r="K67" i="18"/>
  <c r="K11" i="18"/>
  <c r="K31" i="18" s="1"/>
  <c r="N13" i="8"/>
  <c r="N27" i="18" s="1"/>
  <c r="N69" i="18"/>
  <c r="N65" i="18"/>
  <c r="N68" i="18"/>
  <c r="N64" i="18"/>
  <c r="N11" i="20"/>
  <c r="N15" i="20" s="1"/>
  <c r="N21" i="20" s="1"/>
  <c r="N63" i="18"/>
  <c r="K28" i="19"/>
  <c r="K28" i="8"/>
  <c r="K85" i="6"/>
  <c r="K94" i="6"/>
  <c r="L95" i="6" s="1"/>
  <c r="U89" i="6"/>
  <c r="Q46" i="15"/>
  <c r="U218" i="6"/>
  <c r="U282" i="6"/>
  <c r="U292" i="6"/>
  <c r="T188" i="6"/>
  <c r="V346" i="6"/>
  <c r="W346" i="6" s="1"/>
  <c r="P13" i="8"/>
  <c r="P27" i="18" s="1"/>
  <c r="P63" i="18"/>
  <c r="P69" i="18"/>
  <c r="P65" i="18"/>
  <c r="P68" i="18"/>
  <c r="P64" i="18"/>
  <c r="P11" i="20"/>
  <c r="P15" i="20" s="1"/>
  <c r="P21" i="20" s="1"/>
  <c r="M13" i="8"/>
  <c r="M27" i="18" s="1"/>
  <c r="M68" i="18"/>
  <c r="M64" i="18"/>
  <c r="M11" i="20"/>
  <c r="M15" i="20" s="1"/>
  <c r="M21" i="20" s="1"/>
  <c r="M63" i="18"/>
  <c r="M65" i="18"/>
  <c r="M69" i="18"/>
  <c r="L29" i="8"/>
  <c r="L128" i="8"/>
  <c r="L141" i="8" s="1"/>
  <c r="L155" i="8" s="1"/>
  <c r="X184" i="6"/>
  <c r="Y184" i="6" s="1"/>
  <c r="Z184" i="6" s="1"/>
  <c r="O43" i="18"/>
  <c r="T99" i="6"/>
  <c r="U99" i="6" s="1"/>
  <c r="V99" i="6" s="1"/>
  <c r="L32" i="19"/>
  <c r="L96" i="6"/>
  <c r="L32" i="8"/>
  <c r="L4" i="5"/>
  <c r="L7" i="5" s="1"/>
  <c r="L6" i="5" s="1"/>
  <c r="L5" i="5" s="1"/>
  <c r="L17" i="5" s="1"/>
  <c r="O47" i="6"/>
  <c r="O12" i="19"/>
  <c r="O12" i="8"/>
  <c r="P18" i="19"/>
  <c r="P18" i="8"/>
  <c r="P86" i="6"/>
  <c r="W287" i="6"/>
  <c r="X287" i="6" s="1"/>
  <c r="Y287" i="6" s="1"/>
  <c r="Z287" i="6" s="1"/>
  <c r="V33" i="11"/>
  <c r="V75" i="11" s="1"/>
  <c r="V84" i="11" s="1"/>
  <c r="Y9" i="11"/>
  <c r="Y18" i="11" s="1"/>
  <c r="O194" i="22"/>
  <c r="N9" i="22"/>
  <c r="X151" i="11"/>
  <c r="Z145" i="11"/>
  <c r="X147" i="11"/>
  <c r="Y147" i="11" s="1"/>
  <c r="W153" i="11"/>
  <c r="X153" i="11" s="1"/>
  <c r="R163" i="22"/>
  <c r="Q159" i="22"/>
  <c r="P166" i="22"/>
  <c r="P165" i="22" s="1"/>
  <c r="W12" i="11"/>
  <c r="X18" i="11"/>
  <c r="R119" i="22"/>
  <c r="Y30" i="11"/>
  <c r="V21" i="11"/>
  <c r="S8" i="22"/>
  <c r="R117" i="22"/>
  <c r="R122" i="22"/>
  <c r="R123" i="22" s="1"/>
  <c r="R142" i="22"/>
  <c r="R143" i="22" s="1"/>
  <c r="R256" i="22"/>
  <c r="Q253" i="22"/>
  <c r="R285" i="22"/>
  <c r="R269" i="22" s="1"/>
  <c r="R265" i="22" s="1"/>
  <c r="R258" i="22" s="1"/>
  <c r="S285" i="22"/>
  <c r="S269" i="22" s="1"/>
  <c r="S265" i="22" s="1"/>
  <c r="S258" i="22" s="1"/>
  <c r="S243" i="22"/>
  <c r="S247" i="22" s="1"/>
  <c r="R247" i="22"/>
  <c r="L3" i="19"/>
  <c r="K2" i="19"/>
  <c r="I9" i="15"/>
  <c r="I1" i="15" s="1"/>
  <c r="X30" i="11" l="1"/>
  <c r="X72" i="11" s="1"/>
  <c r="X81" i="11" s="1"/>
  <c r="Q122" i="22"/>
  <c r="Q123" i="22" s="1"/>
  <c r="Q142" i="22"/>
  <c r="Q143" i="22" s="1"/>
  <c r="Q117" i="22"/>
  <c r="Q119" i="22"/>
  <c r="X210" i="6"/>
  <c r="Y210" i="6" s="1"/>
  <c r="Z210" i="6" s="1"/>
  <c r="V282" i="6"/>
  <c r="W282" i="6" s="1"/>
  <c r="V257" i="6"/>
  <c r="W257" i="6" s="1"/>
  <c r="X257" i="6" s="1"/>
  <c r="X346" i="6"/>
  <c r="Y346" i="6" s="1"/>
  <c r="Z346" i="6" s="1"/>
  <c r="O18" i="19"/>
  <c r="O18" i="8"/>
  <c r="O86" i="6"/>
  <c r="U188" i="6"/>
  <c r="V188" i="6" s="1"/>
  <c r="Z199" i="6"/>
  <c r="K32" i="19"/>
  <c r="K96" i="6"/>
  <c r="K32" i="8"/>
  <c r="K4" i="5"/>
  <c r="K7" i="5" s="1"/>
  <c r="K6" i="5" s="1"/>
  <c r="K5" i="5" s="1"/>
  <c r="K17" i="5" s="1"/>
  <c r="N28" i="19"/>
  <c r="N85" i="6"/>
  <c r="N94" i="6"/>
  <c r="N28" i="8"/>
  <c r="P28" i="19"/>
  <c r="P128" i="19" s="1"/>
  <c r="P140" i="19" s="1"/>
  <c r="P154" i="19" s="1"/>
  <c r="P28" i="8"/>
  <c r="P94" i="6"/>
  <c r="P85" i="6"/>
  <c r="L33" i="18"/>
  <c r="L29" i="18"/>
  <c r="L26" i="20"/>
  <c r="L30" i="20" s="1"/>
  <c r="L33" i="20" s="1"/>
  <c r="L32" i="18"/>
  <c r="L12" i="18"/>
  <c r="L44" i="8"/>
  <c r="L33" i="8"/>
  <c r="V218" i="6"/>
  <c r="W218" i="6" s="1"/>
  <c r="N19" i="8"/>
  <c r="N28" i="18" s="1"/>
  <c r="N67" i="18"/>
  <c r="N11" i="18"/>
  <c r="N31" i="18" s="1"/>
  <c r="P67" i="18"/>
  <c r="P11" i="18"/>
  <c r="P31" i="18" s="1"/>
  <c r="P19" i="8"/>
  <c r="P28" i="18" s="1"/>
  <c r="K128" i="8"/>
  <c r="K141" i="8" s="1"/>
  <c r="K155" i="8" s="1"/>
  <c r="K29" i="8"/>
  <c r="M28" i="19"/>
  <c r="M85" i="6"/>
  <c r="M28" i="8"/>
  <c r="M94" i="6"/>
  <c r="W356" i="6"/>
  <c r="X356" i="6" s="1"/>
  <c r="Y356" i="6" s="1"/>
  <c r="L44" i="19"/>
  <c r="L33" i="19"/>
  <c r="K128" i="19"/>
  <c r="K140" i="19" s="1"/>
  <c r="K154" i="19" s="1"/>
  <c r="K29" i="19"/>
  <c r="M19" i="8"/>
  <c r="M28" i="18" s="1"/>
  <c r="M67" i="18"/>
  <c r="M11" i="18"/>
  <c r="M31" i="18" s="1"/>
  <c r="O13" i="8"/>
  <c r="O27" i="18" s="1"/>
  <c r="O69" i="18"/>
  <c r="O65" i="18"/>
  <c r="O68" i="18"/>
  <c r="O64" i="18"/>
  <c r="O11" i="20"/>
  <c r="O15" i="20" s="1"/>
  <c r="O21" i="20" s="1"/>
  <c r="O63" i="18"/>
  <c r="L183" i="19"/>
  <c r="L186" i="19" s="1"/>
  <c r="L187" i="19" s="1"/>
  <c r="L155" i="19"/>
  <c r="L71" i="18"/>
  <c r="L73" i="18"/>
  <c r="L70" i="18"/>
  <c r="L72" i="18"/>
  <c r="L183" i="8"/>
  <c r="L186" i="8" s="1"/>
  <c r="L187" i="8" s="1"/>
  <c r="L156" i="8"/>
  <c r="V292" i="6"/>
  <c r="V89" i="6"/>
  <c r="R46" i="15"/>
  <c r="W99" i="6"/>
  <c r="X99" i="6" s="1"/>
  <c r="W33" i="11"/>
  <c r="W75" i="11" s="1"/>
  <c r="W84" i="11" s="1"/>
  <c r="Y72" i="11"/>
  <c r="Y81" i="11" s="1"/>
  <c r="P194" i="22"/>
  <c r="O9" i="22"/>
  <c r="Z147" i="11"/>
  <c r="Y151" i="11"/>
  <c r="Y153" i="11"/>
  <c r="Q166" i="22"/>
  <c r="Q165" i="22" s="1"/>
  <c r="X12" i="11"/>
  <c r="S163" i="22"/>
  <c r="S159" i="22" s="1"/>
  <c r="R159" i="22"/>
  <c r="W21" i="11"/>
  <c r="S119" i="22"/>
  <c r="Z30" i="11"/>
  <c r="S111" i="22"/>
  <c r="S112" i="22" s="1"/>
  <c r="S122" i="22"/>
  <c r="S123" i="22" s="1"/>
  <c r="S256" i="22"/>
  <c r="S253" i="22" s="1"/>
  <c r="R253" i="22"/>
  <c r="L2" i="19"/>
  <c r="M3" i="19"/>
  <c r="J9" i="15"/>
  <c r="J1" i="15" s="1"/>
  <c r="Y257" i="6" l="1"/>
  <c r="Z257" i="6" s="1"/>
  <c r="X282" i="6"/>
  <c r="Y99" i="6"/>
  <c r="Z99" i="6" s="1"/>
  <c r="K72" i="18"/>
  <c r="K71" i="18"/>
  <c r="K70" i="18"/>
  <c r="K73" i="18"/>
  <c r="K183" i="8"/>
  <c r="K186" i="8" s="1"/>
  <c r="K187" i="8" s="1"/>
  <c r="K156" i="8"/>
  <c r="N128" i="19"/>
  <c r="N140" i="19" s="1"/>
  <c r="N154" i="19" s="1"/>
  <c r="W188" i="6"/>
  <c r="X188" i="6"/>
  <c r="P32" i="19"/>
  <c r="P44" i="19" s="1"/>
  <c r="P32" i="8"/>
  <c r="P4" i="5"/>
  <c r="P7" i="5" s="1"/>
  <c r="P6" i="5" s="1"/>
  <c r="P5" i="5" s="1"/>
  <c r="P17" i="5" s="1"/>
  <c r="P96" i="6"/>
  <c r="K29" i="18"/>
  <c r="K26" i="20"/>
  <c r="K30" i="20" s="1"/>
  <c r="K33" i="20" s="1"/>
  <c r="K12" i="18"/>
  <c r="K13" i="18" s="1"/>
  <c r="K33" i="18"/>
  <c r="K32" i="18"/>
  <c r="K44" i="8"/>
  <c r="K33" i="8"/>
  <c r="O28" i="19"/>
  <c r="O128" i="19" s="1"/>
  <c r="O140" i="19" s="1"/>
  <c r="O154" i="19" s="1"/>
  <c r="O85" i="6"/>
  <c r="O28" i="8"/>
  <c r="O94" i="6"/>
  <c r="M29" i="8"/>
  <c r="M128" i="8"/>
  <c r="M141" i="8" s="1"/>
  <c r="M155" i="8" s="1"/>
  <c r="P29" i="8"/>
  <c r="P128" i="8"/>
  <c r="P141" i="8" s="1"/>
  <c r="P155" i="8" s="1"/>
  <c r="O11" i="18"/>
  <c r="O31" i="18" s="1"/>
  <c r="O19" i="8"/>
  <c r="O28" i="18" s="1"/>
  <c r="O67" i="18"/>
  <c r="K155" i="19"/>
  <c r="K183" i="19"/>
  <c r="K186" i="19" s="1"/>
  <c r="K187" i="19" s="1"/>
  <c r="Z356" i="6"/>
  <c r="P183" i="19"/>
  <c r="P186" i="19" s="1"/>
  <c r="P187" i="19" s="1"/>
  <c r="P155" i="19"/>
  <c r="K44" i="19"/>
  <c r="K33" i="19"/>
  <c r="W89" i="6"/>
  <c r="S46" i="15"/>
  <c r="M128" i="19"/>
  <c r="M140" i="19" s="1"/>
  <c r="M154" i="19" s="1"/>
  <c r="M29" i="19"/>
  <c r="N128" i="8"/>
  <c r="N141" i="8" s="1"/>
  <c r="N155" i="8" s="1"/>
  <c r="N29" i="8"/>
  <c r="N95" i="6"/>
  <c r="M32" i="19"/>
  <c r="M96" i="6"/>
  <c r="M95" i="6"/>
  <c r="M32" i="8"/>
  <c r="M4" i="5"/>
  <c r="M7" i="5" s="1"/>
  <c r="M6" i="5" s="1"/>
  <c r="M5" i="5" s="1"/>
  <c r="M17" i="5" s="1"/>
  <c r="X218" i="6"/>
  <c r="Y218" i="6" s="1"/>
  <c r="Z218" i="6" s="1"/>
  <c r="N32" i="19"/>
  <c r="N32" i="8"/>
  <c r="N96" i="6"/>
  <c r="N4" i="5"/>
  <c r="N7" i="5" s="1"/>
  <c r="N6" i="5" s="1"/>
  <c r="N5" i="5" s="1"/>
  <c r="N17" i="5" s="1"/>
  <c r="W292" i="6"/>
  <c r="X33" i="11"/>
  <c r="X75" i="11" s="1"/>
  <c r="X84" i="11" s="1"/>
  <c r="Q194" i="22"/>
  <c r="P9" i="22"/>
  <c r="Z153" i="11"/>
  <c r="Z151" i="11"/>
  <c r="R166" i="22"/>
  <c r="R165" i="22" s="1"/>
  <c r="Y12" i="11"/>
  <c r="X21" i="11"/>
  <c r="S142" i="22"/>
  <c r="S143" i="22" s="1"/>
  <c r="Z9" i="11"/>
  <c r="S166" i="22"/>
  <c r="S165" i="22" s="1"/>
  <c r="Z12" i="11"/>
  <c r="M2" i="19"/>
  <c r="N3" i="19"/>
  <c r="K9" i="15"/>
  <c r="K1" i="15" s="1"/>
  <c r="Y188" i="6" l="1"/>
  <c r="Z188" i="6" s="1"/>
  <c r="Y282" i="6"/>
  <c r="Z282" i="6" s="1"/>
  <c r="X292" i="6"/>
  <c r="Y292" i="6" s="1"/>
  <c r="O32" i="19"/>
  <c r="O44" i="19" s="1"/>
  <c r="O96" i="6"/>
  <c r="O4" i="5"/>
  <c r="O7" i="5" s="1"/>
  <c r="O6" i="5" s="1"/>
  <c r="O5" i="5" s="1"/>
  <c r="O17" i="5" s="1"/>
  <c r="O32" i="8"/>
  <c r="O95" i="6"/>
  <c r="N71" i="18"/>
  <c r="N73" i="18"/>
  <c r="N70" i="18"/>
  <c r="N72" i="18"/>
  <c r="N156" i="8"/>
  <c r="N183" i="8"/>
  <c r="N186" i="8" s="1"/>
  <c r="N187" i="8" s="1"/>
  <c r="O128" i="8"/>
  <c r="O141" i="8" s="1"/>
  <c r="O155" i="8" s="1"/>
  <c r="O29" i="8"/>
  <c r="N33" i="18"/>
  <c r="N29" i="18"/>
  <c r="N26" i="20"/>
  <c r="N30" i="20" s="1"/>
  <c r="N33" i="20" s="1"/>
  <c r="N32" i="18"/>
  <c r="N12" i="18"/>
  <c r="N44" i="8"/>
  <c r="N33" i="8"/>
  <c r="P26" i="20"/>
  <c r="P30" i="20" s="1"/>
  <c r="P33" i="20" s="1"/>
  <c r="P32" i="18"/>
  <c r="P12" i="18"/>
  <c r="P33" i="18"/>
  <c r="P29" i="18"/>
  <c r="P44" i="8"/>
  <c r="P33" i="8"/>
  <c r="X89" i="6"/>
  <c r="T46" i="15"/>
  <c r="M33" i="18"/>
  <c r="M29" i="18"/>
  <c r="M26" i="20"/>
  <c r="M30" i="20" s="1"/>
  <c r="M33" i="20" s="1"/>
  <c r="M32" i="18"/>
  <c r="M12" i="18"/>
  <c r="M13" i="18" s="1"/>
  <c r="M44" i="8"/>
  <c r="M33" i="8"/>
  <c r="M183" i="19"/>
  <c r="M186" i="19" s="1"/>
  <c r="M187" i="19" s="1"/>
  <c r="M155" i="19"/>
  <c r="O183" i="19"/>
  <c r="O186" i="19" s="1"/>
  <c r="O187" i="19" s="1"/>
  <c r="O155" i="19"/>
  <c r="P95" i="6"/>
  <c r="M71" i="18"/>
  <c r="M73" i="18"/>
  <c r="M70" i="18"/>
  <c r="M72" i="18"/>
  <c r="M183" i="8"/>
  <c r="M186" i="8" s="1"/>
  <c r="M187" i="8" s="1"/>
  <c r="M156" i="8"/>
  <c r="N44" i="19"/>
  <c r="P72" i="18"/>
  <c r="P71" i="18"/>
  <c r="P73" i="18"/>
  <c r="P70" i="18"/>
  <c r="P183" i="8"/>
  <c r="P186" i="8" s="1"/>
  <c r="P187" i="8" s="1"/>
  <c r="P156" i="8"/>
  <c r="M44" i="19"/>
  <c r="M33" i="19"/>
  <c r="L13" i="18"/>
  <c r="N183" i="19"/>
  <c r="N186" i="19" s="1"/>
  <c r="N187" i="19" s="1"/>
  <c r="N155" i="19"/>
  <c r="Z33" i="11"/>
  <c r="Z75" i="11" s="1"/>
  <c r="Z84" i="11" s="1"/>
  <c r="Y33" i="11"/>
  <c r="Y75" i="11" s="1"/>
  <c r="Y84" i="11" s="1"/>
  <c r="R194" i="22"/>
  <c r="Q9" i="22"/>
  <c r="Y21" i="11"/>
  <c r="Z21" i="11"/>
  <c r="Z72" i="11"/>
  <c r="Z81" i="11" s="1"/>
  <c r="Z18" i="11"/>
  <c r="N2" i="19"/>
  <c r="O3" i="19"/>
  <c r="L9" i="15"/>
  <c r="L1" i="15" s="1"/>
  <c r="Z292" i="6" l="1"/>
  <c r="Y89" i="6"/>
  <c r="U46" i="15"/>
  <c r="O72" i="18"/>
  <c r="O71" i="18"/>
  <c r="O73" i="18"/>
  <c r="O70" i="18"/>
  <c r="O156" i="8"/>
  <c r="O183" i="8"/>
  <c r="O186" i="8" s="1"/>
  <c r="O187" i="8" s="1"/>
  <c r="O33" i="18"/>
  <c r="O29" i="18"/>
  <c r="O26" i="20"/>
  <c r="O30" i="20" s="1"/>
  <c r="O33" i="20" s="1"/>
  <c r="O12" i="18"/>
  <c r="O13" i="18" s="1"/>
  <c r="O32" i="18"/>
  <c r="O44" i="8"/>
  <c r="O33" i="8"/>
  <c r="N13" i="18"/>
  <c r="S194" i="22"/>
  <c r="S9" i="22" s="1"/>
  <c r="R9" i="22"/>
  <c r="O2" i="19"/>
  <c r="P3" i="19"/>
  <c r="M9" i="15"/>
  <c r="M1" i="15" s="1"/>
  <c r="V46" i="15" l="1"/>
  <c r="Z89" i="6"/>
  <c r="W46" i="15" s="1"/>
  <c r="P13" i="18"/>
  <c r="Q3" i="19"/>
  <c r="P2" i="19"/>
  <c r="N9" i="15"/>
  <c r="N1" i="15" s="1"/>
  <c r="R3" i="19" l="1"/>
  <c r="Q2" i="19"/>
  <c r="O9" i="15"/>
  <c r="O1" i="15" s="1"/>
  <c r="N8" i="15"/>
  <c r="D5" i="15"/>
  <c r="N26" i="15" s="1"/>
  <c r="N72" i="15" s="1"/>
  <c r="O26" i="15" l="1"/>
  <c r="O72" i="15" s="1"/>
  <c r="S3" i="19"/>
  <c r="R2" i="19"/>
  <c r="P9" i="15"/>
  <c r="P1" i="15" s="1"/>
  <c r="O8" i="15"/>
  <c r="P26" i="15" l="1"/>
  <c r="P72" i="15" s="1"/>
  <c r="O19" i="15"/>
  <c r="T3" i="19"/>
  <c r="S2" i="19"/>
  <c r="Q9" i="15"/>
  <c r="Q1" i="15" s="1"/>
  <c r="P8" i="15"/>
  <c r="Q26" i="15" l="1"/>
  <c r="Q72" i="15" s="1"/>
  <c r="P19" i="15"/>
  <c r="T2" i="19"/>
  <c r="U3" i="19"/>
  <c r="R9" i="15"/>
  <c r="R1" i="15" s="1"/>
  <c r="Q8" i="15"/>
  <c r="R26" i="15" l="1"/>
  <c r="R72" i="15" s="1"/>
  <c r="Q19" i="15"/>
  <c r="U2" i="19"/>
  <c r="V3" i="19"/>
  <c r="S9" i="15"/>
  <c r="S1" i="15" s="1"/>
  <c r="R8" i="15"/>
  <c r="S26" i="15" l="1"/>
  <c r="S72" i="15" s="1"/>
  <c r="R19" i="15"/>
  <c r="V2" i="19"/>
  <c r="W3" i="19"/>
  <c r="T9" i="15"/>
  <c r="T1" i="15" s="1"/>
  <c r="S8" i="15"/>
  <c r="T26" i="15" l="1"/>
  <c r="T72" i="15" s="1"/>
  <c r="S19" i="15"/>
  <c r="W2" i="19"/>
  <c r="X3" i="19"/>
  <c r="T8" i="15"/>
  <c r="U9" i="15"/>
  <c r="U1" i="15" s="1"/>
  <c r="U26" i="15" l="1"/>
  <c r="U72" i="15" s="1"/>
  <c r="T19" i="15"/>
  <c r="Y3" i="19"/>
  <c r="X2" i="19"/>
  <c r="U8" i="15"/>
  <c r="V9" i="15"/>
  <c r="V1" i="15" s="1"/>
  <c r="V26" i="15" l="1"/>
  <c r="V72" i="15" s="1"/>
  <c r="U19" i="15"/>
  <c r="Z3" i="19"/>
  <c r="Y2" i="19"/>
  <c r="W9" i="15"/>
  <c r="W1" i="15" s="1"/>
  <c r="V8" i="15"/>
  <c r="W26" i="15" l="1"/>
  <c r="W72" i="15" s="1"/>
  <c r="V19" i="15"/>
  <c r="AA3" i="19"/>
  <c r="Z2" i="19"/>
  <c r="X9" i="15"/>
  <c r="W8" i="15"/>
  <c r="W19" i="15" l="1"/>
  <c r="AB3" i="19"/>
  <c r="AA2" i="19"/>
  <c r="Y9" i="15"/>
  <c r="X8" i="15"/>
  <c r="AB2" i="19" l="1"/>
  <c r="AC3" i="19"/>
  <c r="Z9" i="15"/>
  <c r="Y8" i="15"/>
  <c r="AC2" i="19" l="1"/>
  <c r="AD3" i="19"/>
  <c r="AA9" i="15"/>
  <c r="Z8" i="15"/>
  <c r="AE3" i="19" l="1"/>
  <c r="AD2" i="19"/>
  <c r="AB9" i="15"/>
  <c r="AA8" i="15"/>
  <c r="AF3" i="19" l="1"/>
  <c r="AE2" i="19"/>
  <c r="AB8" i="15"/>
  <c r="AC9" i="15"/>
  <c r="AG3" i="19" l="1"/>
  <c r="AF2" i="19"/>
  <c r="AC8" i="15"/>
  <c r="AD9" i="15"/>
  <c r="AH3" i="19" l="1"/>
  <c r="AG2" i="19"/>
  <c r="AE9" i="15"/>
  <c r="AD8" i="15"/>
  <c r="AI3" i="19" l="1"/>
  <c r="AH2" i="19"/>
  <c r="AF9" i="15"/>
  <c r="AE8" i="15"/>
  <c r="AJ3" i="19" l="1"/>
  <c r="AI2" i="19"/>
  <c r="AG9" i="15"/>
  <c r="AF8" i="15"/>
  <c r="AJ2" i="19" l="1"/>
  <c r="AK3" i="19"/>
  <c r="AH9" i="15"/>
  <c r="AG8" i="15"/>
  <c r="AK2" i="19" l="1"/>
  <c r="AL3" i="19"/>
  <c r="AI9" i="15"/>
  <c r="AH8" i="15"/>
  <c r="AL2" i="19" l="1"/>
  <c r="AM3" i="19"/>
  <c r="AJ9" i="15"/>
  <c r="AI8" i="15"/>
  <c r="AN3" i="19" l="1"/>
  <c r="AM2" i="19"/>
  <c r="AJ8" i="15"/>
  <c r="AK9" i="15"/>
  <c r="AO3" i="19" l="1"/>
  <c r="AN2" i="19"/>
  <c r="AK8" i="15"/>
  <c r="AL9" i="15"/>
  <c r="AP3" i="19" l="1"/>
  <c r="AO2" i="19"/>
  <c r="AM9" i="15"/>
  <c r="AL8" i="15"/>
  <c r="AQ3" i="19" l="1"/>
  <c r="AP2" i="19"/>
  <c r="AN9" i="15"/>
  <c r="AM8" i="15"/>
  <c r="AR3" i="19" l="1"/>
  <c r="AQ2" i="19"/>
  <c r="AO9" i="15"/>
  <c r="AN8" i="15"/>
  <c r="AR2" i="19" l="1"/>
  <c r="AS3" i="19"/>
  <c r="AP9" i="15"/>
  <c r="AO8" i="15"/>
  <c r="AS2" i="19" l="1"/>
  <c r="AT3" i="19"/>
  <c r="AQ9" i="15"/>
  <c r="AP8" i="15"/>
  <c r="AT2" i="19" l="1"/>
  <c r="AU3" i="19"/>
  <c r="AR9" i="15"/>
  <c r="AQ8" i="15"/>
  <c r="AV3" i="19" l="1"/>
  <c r="AU2" i="19"/>
  <c r="AR8" i="15"/>
  <c r="AS9" i="15"/>
  <c r="AW3" i="19" l="1"/>
  <c r="AV2" i="19"/>
  <c r="AS8" i="15"/>
  <c r="AT9" i="15"/>
  <c r="AW2" i="19" l="1"/>
  <c r="AX3" i="19"/>
  <c r="AU9" i="15"/>
  <c r="AT8" i="15"/>
  <c r="AY3" i="19" l="1"/>
  <c r="AX2" i="19"/>
  <c r="AV9" i="15"/>
  <c r="AU8" i="15"/>
  <c r="AZ3" i="19" l="1"/>
  <c r="AY2" i="19"/>
  <c r="AW9" i="15"/>
  <c r="AV8" i="15"/>
  <c r="AZ2" i="19" l="1"/>
  <c r="BA3" i="19"/>
  <c r="BA2" i="19" s="1"/>
  <c r="AX9" i="15"/>
  <c r="AW8" i="15"/>
  <c r="AY9" i="15" l="1"/>
  <c r="AX8" i="15"/>
  <c r="AZ9" i="15" l="1"/>
  <c r="AY8" i="15"/>
  <c r="AZ8" i="15" l="1"/>
  <c r="BA9" i="15"/>
  <c r="BA8" i="15" l="1"/>
  <c r="D20" i="17" l="1"/>
  <c r="AB35" i="12" l="1"/>
  <c r="AC35" i="12"/>
  <c r="AD35" i="12"/>
  <c r="AE35" i="12"/>
  <c r="AF35" i="12"/>
  <c r="AG35" i="12"/>
  <c r="AH35" i="12"/>
  <c r="AB14" i="12"/>
  <c r="AC14" i="12" s="1"/>
  <c r="AD14" i="12" s="1"/>
  <c r="AE14" i="12" s="1"/>
  <c r="AF14" i="12" s="1"/>
  <c r="AG14" i="12" s="1"/>
  <c r="AH14" i="12" s="1"/>
  <c r="AI14" i="12" s="1"/>
  <c r="AJ14" i="12" s="1"/>
  <c r="AK14" i="12" s="1"/>
  <c r="AL14" i="12" s="1"/>
  <c r="AM14" i="12" s="1"/>
  <c r="AN14" i="12" s="1"/>
  <c r="AO14" i="12" s="1"/>
  <c r="AP14" i="12" s="1"/>
  <c r="AQ14" i="12" s="1"/>
  <c r="AR14" i="12" s="1"/>
  <c r="AS14" i="12" s="1"/>
  <c r="AT14" i="12" s="1"/>
  <c r="AU14" i="12" s="1"/>
  <c r="AV14" i="12" s="1"/>
  <c r="AW14" i="12" s="1"/>
  <c r="AX14" i="12" s="1"/>
  <c r="AY14" i="12" s="1"/>
  <c r="AZ14" i="12" s="1"/>
  <c r="BA14" i="12" s="1"/>
  <c r="B1" i="12"/>
  <c r="E3" i="12"/>
  <c r="F3" i="12" s="1"/>
  <c r="AC162" i="11"/>
  <c r="AD162" i="11"/>
  <c r="AE162" i="11"/>
  <c r="AF162" i="11"/>
  <c r="AG162" i="11"/>
  <c r="AH162" i="11"/>
  <c r="AI162" i="11"/>
  <c r="AJ162" i="11"/>
  <c r="AK162" i="11"/>
  <c r="AL162" i="11"/>
  <c r="AM162" i="11"/>
  <c r="AN162" i="11"/>
  <c r="AO162" i="11"/>
  <c r="AP162" i="11"/>
  <c r="AQ162" i="11"/>
  <c r="AR162" i="11"/>
  <c r="AS162" i="11"/>
  <c r="AT162" i="11"/>
  <c r="AU162" i="11"/>
  <c r="AV162" i="11"/>
  <c r="AW162" i="11"/>
  <c r="AX162" i="11"/>
  <c r="AY162" i="11"/>
  <c r="AZ162" i="11"/>
  <c r="BA162" i="11"/>
  <c r="E2" i="12" l="1"/>
  <c r="L138" i="12"/>
  <c r="L8" i="12" s="1"/>
  <c r="N135" i="12"/>
  <c r="L128" i="12"/>
  <c r="M138" i="12"/>
  <c r="M8" i="12" s="1"/>
  <c r="O135" i="12"/>
  <c r="M128" i="12"/>
  <c r="N138" i="12"/>
  <c r="N8" i="12" s="1"/>
  <c r="P135" i="12"/>
  <c r="N128" i="12"/>
  <c r="O138" i="12"/>
  <c r="O8" i="12" s="1"/>
  <c r="K135" i="12"/>
  <c r="O128" i="12"/>
  <c r="P138" i="12"/>
  <c r="P8" i="12" s="1"/>
  <c r="P128" i="12"/>
  <c r="K138" i="12"/>
  <c r="K8" i="12" s="1"/>
  <c r="K128" i="12"/>
  <c r="L135" i="12"/>
  <c r="M135" i="12"/>
  <c r="N98" i="12"/>
  <c r="N65" i="12"/>
  <c r="O31" i="12"/>
  <c r="P98" i="12"/>
  <c r="L31" i="12"/>
  <c r="N31" i="12"/>
  <c r="M31" i="12"/>
  <c r="O98" i="12"/>
  <c r="P31" i="12"/>
  <c r="P65" i="12"/>
  <c r="K65" i="12"/>
  <c r="M98" i="12"/>
  <c r="M65" i="12"/>
  <c r="L65" i="12"/>
  <c r="O65" i="12"/>
  <c r="K98" i="12"/>
  <c r="N109" i="12"/>
  <c r="O76" i="12"/>
  <c r="L42" i="12"/>
  <c r="N42" i="12"/>
  <c r="O42" i="12"/>
  <c r="N76" i="12"/>
  <c r="L76" i="12"/>
  <c r="M109" i="12"/>
  <c r="O109" i="12"/>
  <c r="M76" i="12"/>
  <c r="K76" i="12"/>
  <c r="K31" i="12"/>
  <c r="L98" i="12"/>
  <c r="K109" i="12"/>
  <c r="P76" i="12"/>
  <c r="M42" i="12"/>
  <c r="P42" i="12"/>
  <c r="P109" i="12"/>
  <c r="K42" i="12"/>
  <c r="L109" i="12"/>
  <c r="F2" i="12"/>
  <c r="G3" i="12"/>
  <c r="H3" i="12" s="1"/>
  <c r="H2" i="12" s="1"/>
  <c r="P130" i="12" l="1"/>
  <c r="P9" i="12"/>
  <c r="M9" i="12"/>
  <c r="M130" i="12"/>
  <c r="O140" i="12"/>
  <c r="O141" i="12"/>
  <c r="K140" i="12"/>
  <c r="K141" i="12"/>
  <c r="L130" i="12"/>
  <c r="L9" i="12"/>
  <c r="O130" i="12"/>
  <c r="O9" i="12"/>
  <c r="M140" i="12"/>
  <c r="M141" i="12"/>
  <c r="N140" i="12"/>
  <c r="N141" i="12"/>
  <c r="L140" i="12"/>
  <c r="L141" i="12"/>
  <c r="N130" i="12"/>
  <c r="N9" i="12"/>
  <c r="N16" i="12" s="1"/>
  <c r="K130" i="12"/>
  <c r="K9" i="12"/>
  <c r="P140" i="12"/>
  <c r="Q135" i="12" s="1"/>
  <c r="P141" i="12"/>
  <c r="I3" i="12"/>
  <c r="I2" i="12" s="1"/>
  <c r="E221" i="12"/>
  <c r="F221" i="12" s="1"/>
  <c r="Q244" i="12" s="1"/>
  <c r="R244" i="12" s="1"/>
  <c r="S244" i="12" s="1"/>
  <c r="T244" i="12" s="1"/>
  <c r="U244" i="12" s="1"/>
  <c r="V244" i="12" s="1"/>
  <c r="W244" i="12" s="1"/>
  <c r="X244" i="12" s="1"/>
  <c r="Y244" i="12" s="1"/>
  <c r="Z244" i="12" s="1"/>
  <c r="AA244" i="12" s="1"/>
  <c r="E220" i="12"/>
  <c r="F220" i="12" s="1"/>
  <c r="Q229" i="12" s="1"/>
  <c r="L10" i="12" l="1"/>
  <c r="L15" i="12"/>
  <c r="L13" i="12"/>
  <c r="L17" i="12"/>
  <c r="L14" i="12"/>
  <c r="N142" i="12"/>
  <c r="N132" i="12"/>
  <c r="N6" i="12"/>
  <c r="M132" i="12"/>
  <c r="M142" i="12"/>
  <c r="M6" i="12"/>
  <c r="M10" i="12"/>
  <c r="M15" i="12"/>
  <c r="M17" i="12"/>
  <c r="M14" i="12"/>
  <c r="M13" i="12"/>
  <c r="L132" i="12"/>
  <c r="L142" i="12"/>
  <c r="L6" i="12"/>
  <c r="M16" i="12"/>
  <c r="O10" i="12"/>
  <c r="O14" i="12"/>
  <c r="O17" i="12"/>
  <c r="O13" i="12"/>
  <c r="O15" i="12"/>
  <c r="O142" i="12"/>
  <c r="O132" i="12"/>
  <c r="O6" i="12"/>
  <c r="O16" i="12"/>
  <c r="K10" i="12"/>
  <c r="K17" i="12"/>
  <c r="K13" i="12"/>
  <c r="K14" i="12"/>
  <c r="K15" i="12"/>
  <c r="J3" i="12"/>
  <c r="P10" i="12"/>
  <c r="P17" i="12"/>
  <c r="P15" i="12"/>
  <c r="P13" i="12"/>
  <c r="P14" i="12"/>
  <c r="K16" i="12"/>
  <c r="Q125" i="12"/>
  <c r="Q141" i="12" s="1"/>
  <c r="P132" i="12"/>
  <c r="P142" i="12"/>
  <c r="P6" i="12"/>
  <c r="R229" i="12"/>
  <c r="K132" i="12"/>
  <c r="K142" i="12"/>
  <c r="K6" i="12"/>
  <c r="L16" i="12"/>
  <c r="N10" i="12"/>
  <c r="N15" i="12"/>
  <c r="N17" i="12"/>
  <c r="N13" i="12"/>
  <c r="N14" i="12"/>
  <c r="P16" i="12"/>
  <c r="E222" i="12"/>
  <c r="F222" i="12" s="1"/>
  <c r="Q260" i="12" s="1"/>
  <c r="E223" i="12"/>
  <c r="F223" i="12" s="1"/>
  <c r="Q276" i="12" s="1"/>
  <c r="R276" i="12" s="1"/>
  <c r="S276" i="12" s="1"/>
  <c r="T276" i="12" s="1"/>
  <c r="U276" i="12" s="1"/>
  <c r="V276" i="12" s="1"/>
  <c r="W276" i="12" s="1"/>
  <c r="X276" i="12" s="1"/>
  <c r="Y276" i="12" s="1"/>
  <c r="Z276" i="12" s="1"/>
  <c r="K3" i="12"/>
  <c r="J2" i="12"/>
  <c r="K18" i="12" l="1"/>
  <c r="O18" i="12"/>
  <c r="M18" i="12"/>
  <c r="P18" i="12"/>
  <c r="N143" i="12"/>
  <c r="N7" i="12"/>
  <c r="N18" i="12"/>
  <c r="R260" i="12"/>
  <c r="P277" i="12"/>
  <c r="P143" i="12"/>
  <c r="P144" i="12"/>
  <c r="P7" i="12"/>
  <c r="L18" i="12"/>
  <c r="O143" i="12"/>
  <c r="O7" i="12"/>
  <c r="L143" i="12"/>
  <c r="L7" i="12"/>
  <c r="M143" i="12"/>
  <c r="M7" i="12"/>
  <c r="S229" i="12"/>
  <c r="K143" i="12"/>
  <c r="K7" i="12"/>
  <c r="Q16" i="12"/>
  <c r="Q14" i="12"/>
  <c r="L3" i="12"/>
  <c r="K2" i="12"/>
  <c r="Q277" i="12" l="1"/>
  <c r="P289" i="12"/>
  <c r="S260" i="12"/>
  <c r="R14" i="12"/>
  <c r="Q17" i="12"/>
  <c r="R16" i="12"/>
  <c r="Q144" i="12"/>
  <c r="R277" i="12" s="1"/>
  <c r="T229" i="12"/>
  <c r="M3" i="12"/>
  <c r="L2" i="12"/>
  <c r="Q18" i="12" l="1"/>
  <c r="R144" i="12"/>
  <c r="S277" i="12"/>
  <c r="S14" i="12"/>
  <c r="R17" i="12"/>
  <c r="U229" i="12"/>
  <c r="T260" i="12"/>
  <c r="S16" i="12"/>
  <c r="M2" i="12"/>
  <c r="N3" i="12"/>
  <c r="R18" i="12" l="1"/>
  <c r="T16" i="12"/>
  <c r="T14" i="12"/>
  <c r="S17" i="12"/>
  <c r="V229" i="12"/>
  <c r="S144" i="12"/>
  <c r="U260" i="12"/>
  <c r="V260" i="12" s="1"/>
  <c r="N2" i="12"/>
  <c r="O3" i="12"/>
  <c r="S18" i="12" l="1"/>
  <c r="U14" i="12"/>
  <c r="T17" i="12"/>
  <c r="W229" i="12"/>
  <c r="T277" i="12"/>
  <c r="W260" i="12"/>
  <c r="U16" i="12"/>
  <c r="P3" i="12"/>
  <c r="O2" i="12"/>
  <c r="T144" i="12" l="1"/>
  <c r="T18" i="12"/>
  <c r="X229" i="12"/>
  <c r="V16" i="12"/>
  <c r="U277" i="12"/>
  <c r="X260" i="12"/>
  <c r="V14" i="12"/>
  <c r="U17" i="12"/>
  <c r="B287" i="12"/>
  <c r="B282" i="12"/>
  <c r="B279" i="12"/>
  <c r="B269" i="12"/>
  <c r="B268" i="12"/>
  <c r="B285" i="12"/>
  <c r="B284" i="12"/>
  <c r="B270" i="12"/>
  <c r="B286" i="12"/>
  <c r="B283" i="12"/>
  <c r="B265" i="12"/>
  <c r="B278" i="12"/>
  <c r="B277" i="12"/>
  <c r="B263" i="12"/>
  <c r="B288" i="12"/>
  <c r="B281" i="12"/>
  <c r="B272" i="12"/>
  <c r="B280" i="12"/>
  <c r="B267" i="12"/>
  <c r="B271" i="12"/>
  <c r="B264" i="12"/>
  <c r="B266" i="12"/>
  <c r="B262" i="12"/>
  <c r="B253" i="12"/>
  <c r="B252" i="12"/>
  <c r="B241" i="12"/>
  <c r="B239" i="12"/>
  <c r="B255" i="12"/>
  <c r="B254" i="12"/>
  <c r="B251" i="12"/>
  <c r="B248" i="12"/>
  <c r="B250" i="12"/>
  <c r="B261" i="12"/>
  <c r="B256" i="12"/>
  <c r="B249" i="12"/>
  <c r="B237" i="12"/>
  <c r="B236" i="12"/>
  <c r="B233" i="12"/>
  <c r="B247" i="12"/>
  <c r="B235" i="12"/>
  <c r="B245" i="12"/>
  <c r="B230" i="12"/>
  <c r="B240" i="12"/>
  <c r="B238" i="12"/>
  <c r="B231" i="12"/>
  <c r="B234" i="12"/>
  <c r="B246" i="12"/>
  <c r="B232" i="12"/>
  <c r="B154" i="12"/>
  <c r="B149" i="12"/>
  <c r="B144" i="12"/>
  <c r="B145" i="12"/>
  <c r="B155" i="12"/>
  <c r="B148" i="12"/>
  <c r="B146" i="12"/>
  <c r="B152" i="12"/>
  <c r="B151" i="12"/>
  <c r="B147" i="12"/>
  <c r="B114" i="12"/>
  <c r="B112" i="12"/>
  <c r="B87" i="12"/>
  <c r="B150" i="12"/>
  <c r="B118" i="12"/>
  <c r="B117" i="12"/>
  <c r="B119" i="12"/>
  <c r="B116" i="12"/>
  <c r="B113" i="12"/>
  <c r="B88" i="12"/>
  <c r="B120" i="12"/>
  <c r="B115" i="12"/>
  <c r="B153" i="12"/>
  <c r="B110" i="12"/>
  <c r="B85" i="12"/>
  <c r="B84" i="12"/>
  <c r="B111" i="12"/>
  <c r="B77" i="12"/>
  <c r="B51" i="12"/>
  <c r="B50" i="12"/>
  <c r="B78" i="12"/>
  <c r="B52" i="12"/>
  <c r="B49" i="12"/>
  <c r="B86" i="12"/>
  <c r="B83" i="12"/>
  <c r="B81" i="12"/>
  <c r="B46" i="12"/>
  <c r="B79" i="12"/>
  <c r="B53" i="12"/>
  <c r="B48" i="12"/>
  <c r="B43" i="12"/>
  <c r="B82" i="12"/>
  <c r="B45" i="12"/>
  <c r="B44" i="12"/>
  <c r="P2" i="12"/>
  <c r="B121" i="12"/>
  <c r="B80" i="12"/>
  <c r="Q3" i="12"/>
  <c r="BD18" i="12" s="1"/>
  <c r="B54" i="12"/>
  <c r="B47" i="12"/>
  <c r="U18" i="12" l="1"/>
  <c r="W16" i="12"/>
  <c r="W14" i="12"/>
  <c r="V17" i="12"/>
  <c r="V18" i="12"/>
  <c r="Y229" i="12"/>
  <c r="Y260" i="12"/>
  <c r="U144" i="12"/>
  <c r="V277" i="12" s="1"/>
  <c r="R3" i="12"/>
  <c r="BE18" i="12" s="1"/>
  <c r="Q2" i="12"/>
  <c r="Z229" i="12" l="1"/>
  <c r="X16" i="12"/>
  <c r="Z260" i="12"/>
  <c r="X14" i="12"/>
  <c r="W17" i="12"/>
  <c r="V144" i="12"/>
  <c r="W277" i="12" s="1"/>
  <c r="S3" i="12"/>
  <c r="BF18" i="12" s="1"/>
  <c r="R2" i="12"/>
  <c r="W18" i="12" l="1"/>
  <c r="Y14" i="12"/>
  <c r="X17" i="12"/>
  <c r="W144" i="12"/>
  <c r="Y16" i="12"/>
  <c r="T3" i="12"/>
  <c r="BG18" i="12" s="1"/>
  <c r="S2" i="12"/>
  <c r="X18" i="12" l="1"/>
  <c r="Z14" i="12"/>
  <c r="Y17" i="12"/>
  <c r="Y18" i="12"/>
  <c r="X277" i="12"/>
  <c r="Z16" i="12"/>
  <c r="U3" i="12"/>
  <c r="BH18" i="12" s="1"/>
  <c r="T2" i="12"/>
  <c r="X144" i="12" l="1"/>
  <c r="Y277" i="12" s="1"/>
  <c r="Z17" i="12"/>
  <c r="U2" i="12"/>
  <c r="V3" i="12"/>
  <c r="BI18" i="12" s="1"/>
  <c r="Y144" i="12" l="1"/>
  <c r="Z277" i="12" s="1"/>
  <c r="Z18" i="12"/>
  <c r="V2" i="12"/>
  <c r="W3" i="12"/>
  <c r="BJ18" i="12" s="1"/>
  <c r="Z144" i="12" l="1"/>
  <c r="X3" i="12"/>
  <c r="BK18" i="12" s="1"/>
  <c r="W2" i="12"/>
  <c r="Y3" i="12" l="1"/>
  <c r="BL18" i="12" s="1"/>
  <c r="X2" i="12"/>
  <c r="Z3" i="12" l="1"/>
  <c r="BM18" i="12" s="1"/>
  <c r="Y2" i="12"/>
  <c r="AA3" i="12" l="1"/>
  <c r="Z2" i="12"/>
  <c r="AB3" i="12" l="1"/>
  <c r="AA2" i="12"/>
  <c r="AC3" i="12" l="1"/>
  <c r="AB2" i="12"/>
  <c r="AC2" i="12" l="1"/>
  <c r="AD3" i="12"/>
  <c r="AD2" i="12" l="1"/>
  <c r="AE3" i="12"/>
  <c r="AF3" i="12" l="1"/>
  <c r="AE2" i="12"/>
  <c r="AF2" i="12" l="1"/>
  <c r="AG3" i="12"/>
  <c r="AH3" i="12" l="1"/>
  <c r="AG2" i="12"/>
  <c r="AI3" i="12" l="1"/>
  <c r="AH2" i="12"/>
  <c r="AJ3" i="12" l="1"/>
  <c r="AI2" i="12"/>
  <c r="AK3" i="12" l="1"/>
  <c r="AJ2" i="12"/>
  <c r="AK2" i="12" l="1"/>
  <c r="AL3" i="12"/>
  <c r="AL2" i="12" l="1"/>
  <c r="AM3" i="12"/>
  <c r="AN3" i="12" l="1"/>
  <c r="AM2" i="12"/>
  <c r="AO3" i="12" l="1"/>
  <c r="AN2" i="12"/>
  <c r="AP3" i="12" l="1"/>
  <c r="AO2" i="12"/>
  <c r="AQ3" i="12" l="1"/>
  <c r="AP2" i="12"/>
  <c r="AR3" i="12" l="1"/>
  <c r="AQ2" i="12"/>
  <c r="AS3" i="12" l="1"/>
  <c r="AR2" i="12"/>
  <c r="AS2" i="12" l="1"/>
  <c r="AT3" i="12"/>
  <c r="AT2" i="12" l="1"/>
  <c r="AU3" i="12"/>
  <c r="AV3" i="12" l="1"/>
  <c r="AU2" i="12"/>
  <c r="AV2" i="12" l="1"/>
  <c r="AW3" i="12"/>
  <c r="AX3" i="12" l="1"/>
  <c r="AW2" i="12"/>
  <c r="AY3" i="12" l="1"/>
  <c r="AX2" i="12"/>
  <c r="AZ3" i="12" l="1"/>
  <c r="AY2" i="12"/>
  <c r="BA3" i="12" l="1"/>
  <c r="BA2" i="12" s="1"/>
  <c r="AZ2" i="12"/>
  <c r="AC37" i="11" l="1"/>
  <c r="AD37" i="11"/>
  <c r="AE37" i="11"/>
  <c r="AF37" i="11"/>
  <c r="AG37" i="11"/>
  <c r="AH37" i="11"/>
  <c r="AI37" i="11"/>
  <c r="AJ37" i="11"/>
  <c r="AK37" i="11"/>
  <c r="AL37" i="11"/>
  <c r="AM37" i="11"/>
  <c r="AN37" i="11"/>
  <c r="AO37" i="11"/>
  <c r="AP37" i="11"/>
  <c r="AQ37" i="11"/>
  <c r="AR37" i="11"/>
  <c r="AS37" i="11"/>
  <c r="AT37" i="11"/>
  <c r="AU37" i="11"/>
  <c r="AV37" i="11"/>
  <c r="AW37" i="11"/>
  <c r="AX37" i="11"/>
  <c r="AC29" i="11"/>
  <c r="AD29" i="11"/>
  <c r="AE29" i="11"/>
  <c r="AF29" i="11"/>
  <c r="AG29" i="11"/>
  <c r="AH29" i="11"/>
  <c r="AI29" i="11"/>
  <c r="AJ29" i="11"/>
  <c r="AK29" i="11"/>
  <c r="AL29" i="11"/>
  <c r="AM29" i="11"/>
  <c r="AN29" i="11"/>
  <c r="AO29" i="11"/>
  <c r="AP29" i="11"/>
  <c r="AQ29" i="11"/>
  <c r="AR29" i="11"/>
  <c r="AS29" i="11"/>
  <c r="AT29" i="11"/>
  <c r="AU29" i="11"/>
  <c r="AV29" i="11"/>
  <c r="AW29" i="11"/>
  <c r="AX29" i="11"/>
  <c r="AC30" i="11"/>
  <c r="AD30" i="11"/>
  <c r="AE30" i="11"/>
  <c r="AF30" i="11"/>
  <c r="AG30" i="11"/>
  <c r="AH30" i="11"/>
  <c r="AI30" i="11"/>
  <c r="AJ30" i="11"/>
  <c r="AK30" i="11"/>
  <c r="AL30" i="11"/>
  <c r="AM30" i="11"/>
  <c r="AN30" i="11"/>
  <c r="AO30" i="11"/>
  <c r="AP30" i="11"/>
  <c r="AQ30" i="11"/>
  <c r="AR30" i="11"/>
  <c r="AS30" i="11"/>
  <c r="AT30" i="11"/>
  <c r="AU30" i="11"/>
  <c r="AV30" i="11"/>
  <c r="AW30" i="11"/>
  <c r="AX30" i="11"/>
  <c r="AC10" i="11"/>
  <c r="AD10" i="11"/>
  <c r="AE10" i="11"/>
  <c r="AF10" i="11"/>
  <c r="AG10" i="11"/>
  <c r="AH10" i="11"/>
  <c r="AI10" i="11"/>
  <c r="AJ10" i="11"/>
  <c r="AK10" i="11"/>
  <c r="AL10" i="11"/>
  <c r="AM10" i="11"/>
  <c r="AN10" i="11"/>
  <c r="AO10" i="11"/>
  <c r="AP10" i="11"/>
  <c r="AQ10" i="11"/>
  <c r="AR10" i="11"/>
  <c r="AS10" i="11"/>
  <c r="AT10" i="11"/>
  <c r="AU10" i="11"/>
  <c r="AV10" i="11"/>
  <c r="AW10" i="11"/>
  <c r="AX10" i="11"/>
  <c r="I141" i="11"/>
  <c r="H141" i="11"/>
  <c r="G141" i="11"/>
  <c r="F141" i="11"/>
  <c r="E141" i="11"/>
  <c r="D141" i="11"/>
  <c r="D125" i="11"/>
  <c r="I123" i="11"/>
  <c r="H123" i="11"/>
  <c r="G123" i="11"/>
  <c r="F123" i="11"/>
  <c r="E123" i="11"/>
  <c r="D123" i="11"/>
  <c r="D100" i="11"/>
  <c r="H95" i="11"/>
  <c r="G95" i="11"/>
  <c r="F95" i="11"/>
  <c r="E95" i="11"/>
  <c r="D95" i="11"/>
  <c r="I96" i="11"/>
  <c r="G96" i="11"/>
  <c r="F96" i="11"/>
  <c r="E96" i="11"/>
  <c r="D96" i="11"/>
  <c r="I90" i="11"/>
  <c r="I91" i="11" s="1"/>
  <c r="I86" i="11"/>
  <c r="H86" i="11"/>
  <c r="G86" i="11"/>
  <c r="F86" i="11"/>
  <c r="E86" i="11"/>
  <c r="D86" i="11"/>
  <c r="I85" i="11"/>
  <c r="H85" i="11"/>
  <c r="G85" i="11"/>
  <c r="F85" i="11"/>
  <c r="E85" i="11"/>
  <c r="D85" i="11"/>
  <c r="I84" i="11"/>
  <c r="H84" i="11"/>
  <c r="G84" i="11"/>
  <c r="F84" i="11"/>
  <c r="E84" i="11"/>
  <c r="D84" i="11"/>
  <c r="I81" i="11"/>
  <c r="H81" i="11"/>
  <c r="G81" i="11"/>
  <c r="F81" i="11"/>
  <c r="E81" i="11"/>
  <c r="D81" i="11"/>
  <c r="I71" i="11"/>
  <c r="I62" i="11"/>
  <c r="I61" i="11"/>
  <c r="I60" i="11"/>
  <c r="I59" i="11"/>
  <c r="I58" i="11"/>
  <c r="I57" i="11"/>
  <c r="I56" i="11"/>
  <c r="G52" i="11"/>
  <c r="F52" i="11"/>
  <c r="E52" i="11"/>
  <c r="D52" i="11"/>
  <c r="E37" i="11"/>
  <c r="D37" i="11"/>
  <c r="I23" i="11"/>
  <c r="H23" i="11"/>
  <c r="G23" i="11"/>
  <c r="F23" i="11"/>
  <c r="E23" i="11"/>
  <c r="D23" i="11"/>
  <c r="I19" i="11"/>
  <c r="H19" i="11"/>
  <c r="G19" i="11"/>
  <c r="F19" i="11"/>
  <c r="E19" i="11"/>
  <c r="D19" i="11"/>
  <c r="I18" i="11"/>
  <c r="H18" i="11"/>
  <c r="G18" i="11"/>
  <c r="F18" i="11"/>
  <c r="E18" i="11"/>
  <c r="D18" i="11"/>
  <c r="I17" i="11"/>
  <c r="H17" i="11"/>
  <c r="G17" i="11"/>
  <c r="F17" i="11"/>
  <c r="E17" i="11"/>
  <c r="D17" i="11"/>
  <c r="E3" i="11"/>
  <c r="F3" i="11" s="1"/>
  <c r="D2" i="11"/>
  <c r="C2" i="11"/>
  <c r="P137" i="11" l="1"/>
  <c r="P138" i="11" s="1"/>
  <c r="O129" i="11"/>
  <c r="M135" i="11"/>
  <c r="N135" i="11"/>
  <c r="M133" i="11"/>
  <c r="P127" i="11"/>
  <c r="O133" i="11"/>
  <c r="P133" i="11"/>
  <c r="O127" i="11"/>
  <c r="M129" i="11"/>
  <c r="P129" i="11"/>
  <c r="N131" i="11"/>
  <c r="N132" i="11" s="1"/>
  <c r="M137" i="11"/>
  <c r="M138" i="11" s="1"/>
  <c r="N129" i="11"/>
  <c r="O135" i="11"/>
  <c r="N137" i="11"/>
  <c r="N138" i="11" s="1"/>
  <c r="P131" i="11"/>
  <c r="P132" i="11" s="1"/>
  <c r="O131" i="11"/>
  <c r="O132" i="11" s="1"/>
  <c r="N133" i="11"/>
  <c r="P135" i="11"/>
  <c r="O137" i="11"/>
  <c r="O138" i="11" s="1"/>
  <c r="N127" i="11"/>
  <c r="M127" i="11"/>
  <c r="M131" i="11"/>
  <c r="M132" i="11" s="1"/>
  <c r="K135" i="11"/>
  <c r="L131" i="11"/>
  <c r="L132" i="11" s="1"/>
  <c r="K133" i="11"/>
  <c r="L135" i="11"/>
  <c r="K129" i="11"/>
  <c r="L133" i="11"/>
  <c r="L129" i="11"/>
  <c r="K127" i="11"/>
  <c r="L127" i="11"/>
  <c r="P117" i="11"/>
  <c r="P118" i="11" s="1"/>
  <c r="O117" i="11"/>
  <c r="O118" i="11" s="1"/>
  <c r="N117" i="11"/>
  <c r="N118" i="11" s="1"/>
  <c r="Q118" i="11" s="1"/>
  <c r="O113" i="11"/>
  <c r="O114" i="11" s="1"/>
  <c r="P111" i="11"/>
  <c r="P112" i="11" s="1"/>
  <c r="O111" i="11"/>
  <c r="O112" i="11" s="1"/>
  <c r="P109" i="11"/>
  <c r="P110" i="11" s="1"/>
  <c r="O109" i="11"/>
  <c r="O110" i="11" s="1"/>
  <c r="P107" i="11"/>
  <c r="P108" i="11" s="1"/>
  <c r="O107" i="11"/>
  <c r="O108" i="11" s="1"/>
  <c r="O105" i="11"/>
  <c r="O106" i="11" s="1"/>
  <c r="P103" i="11"/>
  <c r="P104" i="11" s="1"/>
  <c r="P115" i="11"/>
  <c r="P116" i="11" s="1"/>
  <c r="O115" i="11"/>
  <c r="O116" i="11" s="1"/>
  <c r="N115" i="11"/>
  <c r="N116" i="11" s="1"/>
  <c r="P113" i="11"/>
  <c r="P114" i="11" s="1"/>
  <c r="O103" i="11"/>
  <c r="O104" i="11" s="1"/>
  <c r="P105" i="11"/>
  <c r="P106" i="11" s="1"/>
  <c r="N113" i="11"/>
  <c r="N114" i="11" s="1"/>
  <c r="M111" i="11"/>
  <c r="M112" i="11" s="1"/>
  <c r="L109" i="11"/>
  <c r="L110" i="11" s="1"/>
  <c r="K107" i="11"/>
  <c r="K108" i="11" s="1"/>
  <c r="N111" i="11"/>
  <c r="N112" i="11" s="1"/>
  <c r="M103" i="11"/>
  <c r="M104" i="11" s="1"/>
  <c r="K105" i="11"/>
  <c r="K106" i="11" s="1"/>
  <c r="N109" i="11"/>
  <c r="N110" i="11" s="1"/>
  <c r="M109" i="11"/>
  <c r="M110" i="11" s="1"/>
  <c r="L105" i="11"/>
  <c r="L106" i="11" s="1"/>
  <c r="K103" i="11"/>
  <c r="K104" i="11" s="1"/>
  <c r="L103" i="11"/>
  <c r="L104" i="11" s="1"/>
  <c r="M107" i="11"/>
  <c r="M108" i="11" s="1"/>
  <c r="N103" i="11"/>
  <c r="N104" i="11" s="1"/>
  <c r="K113" i="11"/>
  <c r="K114" i="11" s="1"/>
  <c r="N107" i="11"/>
  <c r="N108" i="11" s="1"/>
  <c r="M105" i="11"/>
  <c r="M106" i="11" s="1"/>
  <c r="N105" i="11"/>
  <c r="N106" i="11" s="1"/>
  <c r="K115" i="11"/>
  <c r="K116" i="11" s="1"/>
  <c r="M115" i="11"/>
  <c r="M116" i="11" s="1"/>
  <c r="K111" i="11"/>
  <c r="K112" i="11" s="1"/>
  <c r="M113" i="11"/>
  <c r="M114" i="11" s="1"/>
  <c r="L111" i="11"/>
  <c r="L112" i="11" s="1"/>
  <c r="K109" i="11"/>
  <c r="K110" i="11" s="1"/>
  <c r="L107" i="11"/>
  <c r="L108" i="11" s="1"/>
  <c r="L115" i="11"/>
  <c r="L116" i="11" s="1"/>
  <c r="L113" i="11"/>
  <c r="L114" i="11" s="1"/>
  <c r="I95" i="11"/>
  <c r="G3" i="11"/>
  <c r="F2" i="11"/>
  <c r="H96" i="11"/>
  <c r="P134" i="11" l="1"/>
  <c r="P47" i="11"/>
  <c r="L130" i="11"/>
  <c r="L46" i="11"/>
  <c r="O136" i="11"/>
  <c r="O48" i="11"/>
  <c r="O134" i="11"/>
  <c r="O47" i="11"/>
  <c r="L134" i="11"/>
  <c r="L47" i="11"/>
  <c r="N128" i="11"/>
  <c r="N45" i="11"/>
  <c r="N130" i="11"/>
  <c r="N46" i="11"/>
  <c r="P128" i="11"/>
  <c r="P45" i="11"/>
  <c r="K128" i="11"/>
  <c r="K45" i="11"/>
  <c r="Q138" i="11"/>
  <c r="R138" i="11" s="1"/>
  <c r="M134" i="11"/>
  <c r="M47" i="11"/>
  <c r="M128" i="11"/>
  <c r="M45" i="11"/>
  <c r="L136" i="11"/>
  <c r="L48" i="11"/>
  <c r="P136" i="11"/>
  <c r="P48" i="11"/>
  <c r="N136" i="11"/>
  <c r="N48" i="11"/>
  <c r="K134" i="11"/>
  <c r="K47" i="11"/>
  <c r="N134" i="11"/>
  <c r="N47" i="11"/>
  <c r="P130" i="11"/>
  <c r="P46" i="11"/>
  <c r="P58" i="11" s="1"/>
  <c r="M136" i="11"/>
  <c r="M48" i="11"/>
  <c r="Q132" i="11"/>
  <c r="M130" i="11"/>
  <c r="M46" i="11"/>
  <c r="O130" i="11"/>
  <c r="O46" i="11"/>
  <c r="K130" i="11"/>
  <c r="K46" i="11"/>
  <c r="L128" i="11"/>
  <c r="L45" i="11"/>
  <c r="K136" i="11"/>
  <c r="K48" i="11"/>
  <c r="O128" i="11"/>
  <c r="O45" i="11"/>
  <c r="Q112" i="11"/>
  <c r="R112" i="11" s="1"/>
  <c r="Q108" i="11"/>
  <c r="Q104" i="11"/>
  <c r="R104" i="11" s="1"/>
  <c r="R106" i="11"/>
  <c r="Q116" i="11"/>
  <c r="Q110" i="11"/>
  <c r="R118" i="11"/>
  <c r="S118" i="11" s="1"/>
  <c r="Q114" i="11"/>
  <c r="R114" i="11" s="1"/>
  <c r="S114" i="11" s="1"/>
  <c r="Q106" i="11"/>
  <c r="G2" i="11"/>
  <c r="H3" i="11"/>
  <c r="Q134" i="11" l="1"/>
  <c r="R134" i="11" s="1"/>
  <c r="S134" i="11" s="1"/>
  <c r="S138" i="11"/>
  <c r="T138" i="11" s="1"/>
  <c r="N42" i="11"/>
  <c r="N43" i="11" s="1"/>
  <c r="O42" i="11"/>
  <c r="O43" i="11" s="1"/>
  <c r="S112" i="11"/>
  <c r="T112" i="11" s="1"/>
  <c r="K42" i="11"/>
  <c r="K43" i="11" s="1"/>
  <c r="R130" i="11"/>
  <c r="S130" i="11" s="1"/>
  <c r="Q128" i="11"/>
  <c r="R128" i="11" s="1"/>
  <c r="S128" i="11" s="1"/>
  <c r="Q130" i="11"/>
  <c r="Q136" i="11"/>
  <c r="R136" i="11" s="1"/>
  <c r="P42" i="11"/>
  <c r="R132" i="11"/>
  <c r="L42" i="11"/>
  <c r="L43" i="11" s="1"/>
  <c r="M42" i="11"/>
  <c r="M43" i="11" s="1"/>
  <c r="S106" i="11"/>
  <c r="T106" i="11" s="1"/>
  <c r="R116" i="11"/>
  <c r="S116" i="11" s="1"/>
  <c r="T118" i="11"/>
  <c r="U118" i="11" s="1"/>
  <c r="T114" i="11"/>
  <c r="U114" i="11" s="1"/>
  <c r="V114" i="11" s="1"/>
  <c r="R110" i="11"/>
  <c r="S110" i="11" s="1"/>
  <c r="T110" i="11" s="1"/>
  <c r="R108" i="11"/>
  <c r="S108" i="11" s="1"/>
  <c r="T108" i="11" s="1"/>
  <c r="S104" i="11"/>
  <c r="T104" i="11" s="1"/>
  <c r="U104" i="11" s="1"/>
  <c r="H2" i="11"/>
  <c r="I3" i="11"/>
  <c r="P43" i="11" l="1"/>
  <c r="P41" i="11"/>
  <c r="U138" i="11"/>
  <c r="S136" i="11"/>
  <c r="T136" i="11" s="1"/>
  <c r="T134" i="11"/>
  <c r="T130" i="11"/>
  <c r="U130" i="11" s="1"/>
  <c r="S132" i="11"/>
  <c r="T128" i="11"/>
  <c r="W114" i="11"/>
  <c r="X114" i="11" s="1"/>
  <c r="V118" i="11"/>
  <c r="W118" i="11" s="1"/>
  <c r="X118" i="11" s="1"/>
  <c r="U108" i="11"/>
  <c r="V108" i="11" s="1"/>
  <c r="W108" i="11" s="1"/>
  <c r="X108" i="11" s="1"/>
  <c r="Y108" i="11" s="1"/>
  <c r="Z108" i="11" s="1"/>
  <c r="T116" i="11"/>
  <c r="U112" i="11"/>
  <c r="V112" i="11" s="1"/>
  <c r="U106" i="11"/>
  <c r="V106" i="11" s="1"/>
  <c r="W106" i="11" s="1"/>
  <c r="X106" i="11" s="1"/>
  <c r="Y106" i="11" s="1"/>
  <c r="U110" i="11"/>
  <c r="V110" i="11" s="1"/>
  <c r="V104" i="11"/>
  <c r="W104" i="11" s="1"/>
  <c r="J3" i="11"/>
  <c r="I2" i="11"/>
  <c r="P62" i="11" l="1"/>
  <c r="P40" i="11"/>
  <c r="Y118" i="11"/>
  <c r="Z118" i="11" s="1"/>
  <c r="U134" i="11"/>
  <c r="T132" i="11"/>
  <c r="Y114" i="11"/>
  <c r="Z114" i="11" s="1"/>
  <c r="V130" i="11"/>
  <c r="W130" i="11" s="1"/>
  <c r="V138" i="11"/>
  <c r="U128" i="11"/>
  <c r="V128" i="11" s="1"/>
  <c r="Z106" i="11"/>
  <c r="U136" i="11"/>
  <c r="V136" i="11" s="1"/>
  <c r="U116" i="11"/>
  <c r="V116" i="11" s="1"/>
  <c r="W112" i="11"/>
  <c r="X112" i="11" s="1"/>
  <c r="Y112" i="11" s="1"/>
  <c r="Z112" i="11" s="1"/>
  <c r="X104" i="11"/>
  <c r="Y104" i="11" s="1"/>
  <c r="Z104" i="11" s="1"/>
  <c r="W110" i="11"/>
  <c r="X110" i="11" s="1"/>
  <c r="Y110" i="11" s="1"/>
  <c r="Z110" i="11" s="1"/>
  <c r="K3" i="11"/>
  <c r="J2" i="11"/>
  <c r="W136" i="11" l="1"/>
  <c r="X136" i="11" s="1"/>
  <c r="W128" i="11"/>
  <c r="X128" i="11" s="1"/>
  <c r="Y128" i="11" s="1"/>
  <c r="Z128" i="11" s="1"/>
  <c r="U132" i="11"/>
  <c r="V132" i="11"/>
  <c r="Y136" i="11"/>
  <c r="Z136" i="11" s="1"/>
  <c r="W138" i="11"/>
  <c r="X138" i="11" s="1"/>
  <c r="Y138" i="11" s="1"/>
  <c r="Z138" i="11" s="1"/>
  <c r="X130" i="11"/>
  <c r="Y130" i="11" s="1"/>
  <c r="V134" i="11"/>
  <c r="W134" i="11" s="1"/>
  <c r="W116" i="11"/>
  <c r="L3" i="11"/>
  <c r="K2" i="11"/>
  <c r="Z130" i="11" l="1"/>
  <c r="W132" i="11"/>
  <c r="X132" i="11" s="1"/>
  <c r="X134" i="11"/>
  <c r="X116" i="11"/>
  <c r="Y116" i="11" s="1"/>
  <c r="Z116" i="11" s="1"/>
  <c r="M3" i="11"/>
  <c r="L2" i="11"/>
  <c r="Y134" i="11" l="1"/>
  <c r="Z134" i="11" s="1"/>
  <c r="Y132" i="11"/>
  <c r="Z132" i="11" s="1"/>
  <c r="N3" i="11"/>
  <c r="M2" i="11"/>
  <c r="O3" i="11" l="1"/>
  <c r="N2" i="11"/>
  <c r="O2" i="11" l="1"/>
  <c r="P3" i="11"/>
  <c r="P2" i="11" l="1"/>
  <c r="Q3" i="11"/>
  <c r="Q2" i="11" l="1"/>
  <c r="R3" i="11"/>
  <c r="S3" i="11" l="1"/>
  <c r="R2" i="11"/>
  <c r="T3" i="11" l="1"/>
  <c r="S2" i="11"/>
  <c r="U3" i="11" l="1"/>
  <c r="T2" i="11"/>
  <c r="V3" i="11" l="1"/>
  <c r="U2" i="11"/>
  <c r="W3" i="11" l="1"/>
  <c r="V2" i="11"/>
  <c r="W2" i="11" l="1"/>
  <c r="X3" i="11"/>
  <c r="X2" i="11" l="1"/>
  <c r="Y3" i="11"/>
  <c r="Z3" i="11" l="1"/>
  <c r="Y2" i="11"/>
  <c r="AA3" i="11" l="1"/>
  <c r="Z2" i="11"/>
  <c r="AB3" i="11" l="1"/>
  <c r="AA2" i="11"/>
  <c r="AC3" i="11" l="1"/>
  <c r="AB2" i="11"/>
  <c r="AD3" i="11" l="1"/>
  <c r="AC2" i="11"/>
  <c r="AE3" i="11" l="1"/>
  <c r="AD2" i="11"/>
  <c r="AE2" i="11" l="1"/>
  <c r="AF3" i="11"/>
  <c r="AF2" i="11" l="1"/>
  <c r="AG3" i="11"/>
  <c r="AG2" i="11" l="1"/>
  <c r="AH3" i="11"/>
  <c r="AI3" i="11" l="1"/>
  <c r="AH2" i="11"/>
  <c r="AJ3" i="11" l="1"/>
  <c r="AI2" i="11"/>
  <c r="AJ2" i="11" l="1"/>
  <c r="AK3" i="11"/>
  <c r="AL3" i="11" l="1"/>
  <c r="AK2" i="11"/>
  <c r="AM3" i="11" l="1"/>
  <c r="AL2" i="11"/>
  <c r="AM2" i="11" l="1"/>
  <c r="AN3" i="11"/>
  <c r="AN2" i="11" l="1"/>
  <c r="AO3" i="11"/>
  <c r="AO2" i="11" l="1"/>
  <c r="AP3" i="11"/>
  <c r="AQ3" i="11" l="1"/>
  <c r="AP2" i="11"/>
  <c r="AR3" i="11" l="1"/>
  <c r="AQ2" i="11"/>
  <c r="AS3" i="11" l="1"/>
  <c r="AR2" i="11"/>
  <c r="AT3" i="11" l="1"/>
  <c r="AS2" i="11"/>
  <c r="AU3" i="11" l="1"/>
  <c r="AT2" i="11"/>
  <c r="AU2" i="11" l="1"/>
  <c r="AV3" i="11"/>
  <c r="AV2" i="11" l="1"/>
  <c r="AW3" i="11"/>
  <c r="AX3" i="11" l="1"/>
  <c r="AW2" i="11"/>
  <c r="AY3" i="11" l="1"/>
  <c r="AX2" i="11"/>
  <c r="AZ3" i="11" l="1"/>
  <c r="AY2" i="11"/>
  <c r="BA3" i="11" l="1"/>
  <c r="BA2" i="11" s="1"/>
  <c r="AZ2" i="11"/>
  <c r="B1" i="5" l="1"/>
  <c r="B1" i="6"/>
  <c r="D34" i="15" l="1"/>
  <c r="D80" i="15" s="1"/>
  <c r="D33" i="15"/>
  <c r="E3" i="8"/>
  <c r="E3" i="6"/>
  <c r="E2" i="6" s="1"/>
  <c r="E3" i="5"/>
  <c r="F3" i="5" s="1"/>
  <c r="G3" i="5" s="1"/>
  <c r="H3" i="5" s="1"/>
  <c r="I3" i="5" s="1"/>
  <c r="J3" i="5" s="1"/>
  <c r="K3" i="5" s="1"/>
  <c r="L3" i="5" s="1"/>
  <c r="M3" i="5" s="1"/>
  <c r="N3" i="5" s="1"/>
  <c r="F3" i="8" l="1"/>
  <c r="F126" i="8" s="1"/>
  <c r="E126" i="8"/>
  <c r="N10" i="17"/>
  <c r="O10" i="17" s="1"/>
  <c r="F3" i="6"/>
  <c r="G3" i="6" s="1"/>
  <c r="F2" i="8"/>
  <c r="H3" i="6"/>
  <c r="I3" i="6" s="1"/>
  <c r="J3" i="6" s="1"/>
  <c r="K3" i="6" s="1"/>
  <c r="G2" i="6"/>
  <c r="F2" i="6"/>
  <c r="O3" i="5"/>
  <c r="N2" i="5"/>
  <c r="G3" i="8" l="1"/>
  <c r="G126" i="8" s="1"/>
  <c r="L3" i="6"/>
  <c r="K2" i="6"/>
  <c r="O2" i="5"/>
  <c r="P3" i="5"/>
  <c r="H3" i="8" l="1"/>
  <c r="H126" i="8" s="1"/>
  <c r="G2" i="8"/>
  <c r="L2" i="6"/>
  <c r="M3" i="6"/>
  <c r="Q3" i="5"/>
  <c r="P2" i="5"/>
  <c r="I3" i="8" l="1"/>
  <c r="I126" i="8" s="1"/>
  <c r="H2" i="8"/>
  <c r="Q23" i="14"/>
  <c r="D81" i="15"/>
  <c r="N12" i="17" s="1"/>
  <c r="N3" i="6"/>
  <c r="N3" i="20" s="1"/>
  <c r="M2" i="6"/>
  <c r="Q2" i="5"/>
  <c r="R3" i="5"/>
  <c r="I2" i="8" l="1"/>
  <c r="J3" i="8"/>
  <c r="J126" i="8" s="1"/>
  <c r="N2" i="6"/>
  <c r="O3" i="6"/>
  <c r="O3" i="20" s="1"/>
  <c r="R2" i="5"/>
  <c r="S3" i="5"/>
  <c r="K3" i="8" l="1"/>
  <c r="K126" i="8" s="1"/>
  <c r="J2" i="8"/>
  <c r="L3" i="8"/>
  <c r="L126" i="8" s="1"/>
  <c r="K2" i="8"/>
  <c r="P3" i="6"/>
  <c r="P3" i="20" s="1"/>
  <c r="O2" i="6"/>
  <c r="S2" i="5"/>
  <c r="T3" i="5"/>
  <c r="M3" i="8" l="1"/>
  <c r="M126" i="8" s="1"/>
  <c r="L2" i="8"/>
  <c r="P2" i="6"/>
  <c r="Q3" i="6"/>
  <c r="Q3" i="20" s="1"/>
  <c r="T2" i="5"/>
  <c r="U3" i="5"/>
  <c r="N3" i="8" l="1"/>
  <c r="N126" i="8" s="1"/>
  <c r="M2" i="8"/>
  <c r="Q2" i="6"/>
  <c r="R3" i="6"/>
  <c r="R3" i="20" s="1"/>
  <c r="U2" i="5"/>
  <c r="V3" i="5"/>
  <c r="O3" i="8" l="1"/>
  <c r="O126" i="8" s="1"/>
  <c r="N2" i="8"/>
  <c r="S3" i="6"/>
  <c r="S3" i="20" s="1"/>
  <c r="R2" i="6"/>
  <c r="W3" i="5"/>
  <c r="V2" i="5"/>
  <c r="O2" i="8" l="1"/>
  <c r="P3" i="8"/>
  <c r="P126" i="8" s="1"/>
  <c r="S2" i="6"/>
  <c r="T3" i="6"/>
  <c r="T3" i="20" s="1"/>
  <c r="W2" i="5"/>
  <c r="X3" i="5"/>
  <c r="P2" i="8" l="1"/>
  <c r="Q3" i="8"/>
  <c r="Q126" i="8" s="1"/>
  <c r="U3" i="6"/>
  <c r="U3" i="20" s="1"/>
  <c r="T2" i="6"/>
  <c r="T2" i="20" s="1"/>
  <c r="X2" i="5"/>
  <c r="Y3" i="5"/>
  <c r="R3" i="8" l="1"/>
  <c r="R126" i="8" s="1"/>
  <c r="Q2" i="8"/>
  <c r="U2" i="6"/>
  <c r="U2" i="20" s="1"/>
  <c r="V3" i="6"/>
  <c r="V3" i="20" s="1"/>
  <c r="Y2" i="5"/>
  <c r="Z3" i="5"/>
  <c r="Z2" i="5" s="1"/>
  <c r="S3" i="8" l="1"/>
  <c r="S126" i="8" s="1"/>
  <c r="R2" i="8"/>
  <c r="W3" i="6"/>
  <c r="W3" i="20" s="1"/>
  <c r="V2" i="6"/>
  <c r="V2" i="20" s="1"/>
  <c r="T3" i="8" l="1"/>
  <c r="T126" i="8" s="1"/>
  <c r="S2" i="8"/>
  <c r="X3" i="6"/>
  <c r="X3" i="20" s="1"/>
  <c r="W2" i="6"/>
  <c r="W2" i="20" s="1"/>
  <c r="U3" i="8" l="1"/>
  <c r="U126" i="8" s="1"/>
  <c r="T2" i="8"/>
  <c r="X2" i="6"/>
  <c r="X2" i="20" s="1"/>
  <c r="Y3" i="6"/>
  <c r="Y3" i="20" s="1"/>
  <c r="V3" i="8" l="1"/>
  <c r="V126" i="8" s="1"/>
  <c r="U2" i="8"/>
  <c r="Z3" i="6"/>
  <c r="Z3" i="20" s="1"/>
  <c r="Y2" i="6"/>
  <c r="Y2" i="20" s="1"/>
  <c r="W3" i="8" l="1"/>
  <c r="W126" i="8" s="1"/>
  <c r="V2" i="8"/>
  <c r="AA3" i="6"/>
  <c r="AA3" i="20" s="1"/>
  <c r="Z2" i="6"/>
  <c r="Z2" i="20" s="1"/>
  <c r="W2" i="8" l="1"/>
  <c r="X3" i="8"/>
  <c r="X126" i="8" s="1"/>
  <c r="AA2" i="6"/>
  <c r="AA2" i="20" s="1"/>
  <c r="AB3" i="6"/>
  <c r="X2" i="8" l="1"/>
  <c r="Y3" i="8"/>
  <c r="Y126" i="8" s="1"/>
  <c r="AB2" i="6"/>
  <c r="AC3" i="6"/>
  <c r="Z3" i="8" l="1"/>
  <c r="Z126" i="8" s="1"/>
  <c r="Y2" i="8"/>
  <c r="AD3" i="6"/>
  <c r="AC2" i="6"/>
  <c r="AA3" i="8" l="1"/>
  <c r="AA126" i="8" s="1"/>
  <c r="Z2" i="8"/>
  <c r="AE3" i="6"/>
  <c r="AD2" i="6"/>
  <c r="AB3" i="8" l="1"/>
  <c r="AB126" i="8" s="1"/>
  <c r="AA2" i="8"/>
  <c r="AF3" i="6"/>
  <c r="AE2" i="6"/>
  <c r="AC3" i="8" l="1"/>
  <c r="AC126" i="8" s="1"/>
  <c r="AB2" i="8"/>
  <c r="AF2" i="6"/>
  <c r="AG3" i="6"/>
  <c r="AD3" i="8" l="1"/>
  <c r="AD126" i="8" s="1"/>
  <c r="AC2" i="8"/>
  <c r="AG2" i="6"/>
  <c r="AH3" i="6"/>
  <c r="AE3" i="8" l="1"/>
  <c r="AE126" i="8" s="1"/>
  <c r="AD2" i="8"/>
  <c r="AI3" i="6"/>
  <c r="AH2" i="6"/>
  <c r="AE2" i="8" l="1"/>
  <c r="AF3" i="8"/>
  <c r="AF126" i="8" s="1"/>
  <c r="AJ3" i="6"/>
  <c r="AI2" i="6"/>
  <c r="AF2" i="8" l="1"/>
  <c r="AG3" i="8"/>
  <c r="AG126" i="8" s="1"/>
  <c r="AK3" i="6"/>
  <c r="AJ2" i="6"/>
  <c r="AH3" i="8" l="1"/>
  <c r="AH126" i="8" s="1"/>
  <c r="AG2" i="8"/>
  <c r="AL3" i="6"/>
  <c r="AK2" i="6"/>
  <c r="AH2" i="8" l="1"/>
  <c r="AI3" i="8"/>
  <c r="AI126" i="8" s="1"/>
  <c r="AM3" i="6"/>
  <c r="AL2" i="6"/>
  <c r="AJ3" i="8" l="1"/>
  <c r="AJ126" i="8" s="1"/>
  <c r="AI2" i="8"/>
  <c r="AN3" i="6"/>
  <c r="AM2" i="6"/>
  <c r="AK3" i="8" l="1"/>
  <c r="AK126" i="8" s="1"/>
  <c r="AJ2" i="8"/>
  <c r="AO3" i="6"/>
  <c r="AN2" i="6"/>
  <c r="AL3" i="8" l="1"/>
  <c r="AL126" i="8" s="1"/>
  <c r="AK2" i="8"/>
  <c r="AO2" i="6"/>
  <c r="AP3" i="6"/>
  <c r="AM3" i="8" l="1"/>
  <c r="AM126" i="8" s="1"/>
  <c r="AL2" i="8"/>
  <c r="AQ3" i="6"/>
  <c r="AP2" i="6"/>
  <c r="AM2" i="8" l="1"/>
  <c r="AN3" i="8"/>
  <c r="AN126" i="8" s="1"/>
  <c r="AQ2" i="6"/>
  <c r="AR3" i="6"/>
  <c r="AN2" i="8" l="1"/>
  <c r="AO3" i="8"/>
  <c r="AO126" i="8" s="1"/>
  <c r="AS3" i="6"/>
  <c r="AR2" i="6"/>
  <c r="AP3" i="8" l="1"/>
  <c r="AP126" i="8" s="1"/>
  <c r="AO2" i="8"/>
  <c r="AS2" i="6"/>
  <c r="AT3" i="6"/>
  <c r="AP2" i="8" l="1"/>
  <c r="AQ3" i="8"/>
  <c r="AQ126" i="8" s="1"/>
  <c r="AU3" i="6"/>
  <c r="AT2" i="6"/>
  <c r="AR3" i="8" l="1"/>
  <c r="AR126" i="8" s="1"/>
  <c r="AQ2" i="8"/>
  <c r="AV3" i="6"/>
  <c r="AU2" i="6"/>
  <c r="AS3" i="8" l="1"/>
  <c r="AR2" i="8"/>
  <c r="AW3" i="6"/>
  <c r="AV2" i="6"/>
  <c r="AT3" i="8" l="1"/>
  <c r="AS2" i="8"/>
  <c r="AX3" i="6"/>
  <c r="AW2" i="6"/>
  <c r="AU3" i="8" l="1"/>
  <c r="AT2" i="8"/>
  <c r="AY3" i="6"/>
  <c r="AX2" i="6"/>
  <c r="AU2" i="8" l="1"/>
  <c r="AV3" i="8"/>
  <c r="AY2" i="6"/>
  <c r="AZ3" i="6"/>
  <c r="AV2" i="8" l="1"/>
  <c r="AW3" i="8"/>
  <c r="BA3" i="6"/>
  <c r="BA2" i="6" s="1"/>
  <c r="AZ2" i="6"/>
  <c r="AX3" i="8" l="1"/>
  <c r="AW2" i="8"/>
  <c r="AY3" i="8" l="1"/>
  <c r="AX2" i="8"/>
  <c r="AZ3" i="8" l="1"/>
  <c r="AY2" i="8"/>
  <c r="BA3" i="8" l="1"/>
  <c r="BA2" i="8" s="1"/>
  <c r="AZ2" i="8"/>
  <c r="AB49" i="12" l="1"/>
  <c r="AC49" i="12" s="1"/>
  <c r="AD49" i="12" s="1"/>
  <c r="AE49" i="12" s="1"/>
  <c r="AF49" i="12" s="1"/>
  <c r="AG49" i="12" s="1"/>
  <c r="AH49" i="12" s="1"/>
  <c r="C10" i="21" l="1"/>
  <c r="Q24" i="14"/>
  <c r="D21" i="17" s="1"/>
  <c r="W11" i="17" s="1"/>
  <c r="Q25" i="14" l="1"/>
  <c r="D10" i="17" l="1"/>
  <c r="T8" i="17" s="1"/>
  <c r="D43" i="15" l="1"/>
  <c r="S197" i="22"/>
  <c r="Z34" i="11" s="1"/>
  <c r="Z13" i="11"/>
  <c r="Z14" i="11" s="1"/>
  <c r="Z7" i="6" s="1"/>
  <c r="Y13" i="11"/>
  <c r="Y14" i="11" s="1"/>
  <c r="Y7" i="6" s="1"/>
  <c r="R197" i="22"/>
  <c r="Y34" i="11" s="1"/>
  <c r="X13" i="11"/>
  <c r="X14" i="11" s="1"/>
  <c r="X7" i="6" s="1"/>
  <c r="Q197" i="22"/>
  <c r="W13" i="11"/>
  <c r="W14" i="11" s="1"/>
  <c r="W7" i="6" s="1"/>
  <c r="V13" i="11"/>
  <c r="V14" i="11" s="1"/>
  <c r="V7" i="6" s="1"/>
  <c r="P197" i="22"/>
  <c r="W34" i="11" s="1"/>
  <c r="O197" i="22"/>
  <c r="U13" i="11"/>
  <c r="U14" i="11" s="1"/>
  <c r="U7" i="6" s="1"/>
  <c r="N197" i="22"/>
  <c r="M197" i="22"/>
  <c r="T13" i="11"/>
  <c r="T14" i="11" s="1"/>
  <c r="T7" i="6" s="1"/>
  <c r="S13" i="11"/>
  <c r="S14" i="11" s="1"/>
  <c r="S7" i="6" s="1"/>
  <c r="R13" i="11"/>
  <c r="L197" i="22"/>
  <c r="J197" i="22"/>
  <c r="J198" i="22" s="1"/>
  <c r="K197" i="22"/>
  <c r="Q13" i="11"/>
  <c r="Q14" i="11" s="1"/>
  <c r="Q7" i="6" s="1"/>
  <c r="S8" i="11"/>
  <c r="S5" i="6" s="1"/>
  <c r="Q5" i="19" l="1"/>
  <c r="N5" i="19"/>
  <c r="Q5" i="8"/>
  <c r="Q80" i="6"/>
  <c r="Q209" i="6"/>
  <c r="Q211" i="6" s="1"/>
  <c r="Q187" i="6"/>
  <c r="T5" i="19"/>
  <c r="T5" i="8"/>
  <c r="T80" i="6"/>
  <c r="T187" i="6"/>
  <c r="T209" i="6"/>
  <c r="T211" i="6" s="1"/>
  <c r="S116" i="6"/>
  <c r="S54" i="6"/>
  <c r="S56" i="6" s="1"/>
  <c r="S291" i="6"/>
  <c r="S293" i="6" s="1"/>
  <c r="S345" i="6"/>
  <c r="S347" i="6" s="1"/>
  <c r="S340" i="6"/>
  <c r="S343" i="6" s="1"/>
  <c r="S281" i="6"/>
  <c r="S284" i="6" s="1"/>
  <c r="S183" i="6"/>
  <c r="S189" i="6" s="1"/>
  <c r="S160" i="6"/>
  <c r="S166" i="6" s="1"/>
  <c r="S286" i="6"/>
  <c r="S289" i="6" s="1"/>
  <c r="S217" i="6"/>
  <c r="S220" i="6" s="1"/>
  <c r="S256" i="6"/>
  <c r="X5" i="19"/>
  <c r="X5" i="8"/>
  <c r="S5" i="19"/>
  <c r="P5" i="19"/>
  <c r="S5" i="8"/>
  <c r="S80" i="6"/>
  <c r="S209" i="6"/>
  <c r="S211" i="6" s="1"/>
  <c r="S187" i="6"/>
  <c r="U5" i="19"/>
  <c r="U5" i="8"/>
  <c r="W5" i="19"/>
  <c r="W5" i="8"/>
  <c r="Y5" i="19"/>
  <c r="Y5" i="8"/>
  <c r="V5" i="19"/>
  <c r="V5" i="8"/>
  <c r="Z5" i="19"/>
  <c r="Z5" i="8"/>
  <c r="U80" i="6"/>
  <c r="U187" i="6"/>
  <c r="U209" i="6"/>
  <c r="U211" i="6" s="1"/>
  <c r="Z80" i="6"/>
  <c r="Z187" i="6"/>
  <c r="Z209" i="6"/>
  <c r="Z211" i="6" s="1"/>
  <c r="V80" i="6"/>
  <c r="V187" i="6"/>
  <c r="V209" i="6"/>
  <c r="V211" i="6" s="1"/>
  <c r="X80" i="6"/>
  <c r="X187" i="6"/>
  <c r="X209" i="6"/>
  <c r="X211" i="6" s="1"/>
  <c r="Y80" i="6"/>
  <c r="Y187" i="6"/>
  <c r="Y209" i="6"/>
  <c r="Y211" i="6" s="1"/>
  <c r="W80" i="6"/>
  <c r="W187" i="6"/>
  <c r="W209" i="6"/>
  <c r="W211" i="6" s="1"/>
  <c r="Z137" i="11"/>
  <c r="Z129" i="11"/>
  <c r="Z135" i="11"/>
  <c r="Z127" i="11"/>
  <c r="Z133" i="11"/>
  <c r="Z131" i="11"/>
  <c r="T131" i="11"/>
  <c r="T137" i="11"/>
  <c r="T129" i="11"/>
  <c r="T135" i="11"/>
  <c r="T127" i="11"/>
  <c r="T133" i="11"/>
  <c r="U131" i="11"/>
  <c r="U137" i="11"/>
  <c r="U129" i="11"/>
  <c r="U133" i="11"/>
  <c r="U135" i="11"/>
  <c r="U127" i="11"/>
  <c r="X135" i="11"/>
  <c r="X127" i="11"/>
  <c r="X133" i="11"/>
  <c r="X131" i="11"/>
  <c r="X137" i="11"/>
  <c r="X129" i="11"/>
  <c r="V133" i="11"/>
  <c r="V131" i="11"/>
  <c r="V137" i="11"/>
  <c r="V129" i="11"/>
  <c r="V135" i="11"/>
  <c r="V127" i="11"/>
  <c r="Q137" i="11"/>
  <c r="Q129" i="11"/>
  <c r="Q131" i="11"/>
  <c r="Q135" i="11"/>
  <c r="Q127" i="11"/>
  <c r="Q133" i="11"/>
  <c r="Y135" i="11"/>
  <c r="Y127" i="11"/>
  <c r="Y137" i="11"/>
  <c r="Y133" i="11"/>
  <c r="Y131" i="11"/>
  <c r="Y129" i="11"/>
  <c r="S137" i="11"/>
  <c r="S129" i="11"/>
  <c r="S135" i="11"/>
  <c r="S127" i="11"/>
  <c r="S131" i="11"/>
  <c r="S133" i="11"/>
  <c r="W133" i="11"/>
  <c r="W131" i="11"/>
  <c r="W127" i="11"/>
  <c r="W137" i="11"/>
  <c r="W129" i="11"/>
  <c r="W135" i="11"/>
  <c r="S15" i="11"/>
  <c r="X115" i="11"/>
  <c r="X107" i="11"/>
  <c r="X103" i="11"/>
  <c r="X113" i="11"/>
  <c r="X105" i="11"/>
  <c r="X117" i="11"/>
  <c r="X109" i="11"/>
  <c r="X119" i="11"/>
  <c r="X111" i="11"/>
  <c r="Z113" i="11"/>
  <c r="Z117" i="11"/>
  <c r="Z109" i="11"/>
  <c r="Z115" i="11"/>
  <c r="Z107" i="11"/>
  <c r="Z119" i="11"/>
  <c r="Z111" i="11"/>
  <c r="Z103" i="11"/>
  <c r="Z105" i="11"/>
  <c r="U113" i="11"/>
  <c r="U105" i="11"/>
  <c r="U119" i="11"/>
  <c r="U111" i="11"/>
  <c r="U103" i="11"/>
  <c r="U115" i="11"/>
  <c r="U117" i="11"/>
  <c r="U109" i="11"/>
  <c r="U107" i="11"/>
  <c r="Q119" i="11"/>
  <c r="Q111" i="11"/>
  <c r="Q103" i="11"/>
  <c r="Q105" i="11"/>
  <c r="Q117" i="11"/>
  <c r="Q109" i="11"/>
  <c r="Q115" i="11"/>
  <c r="Q107" i="11"/>
  <c r="Q113" i="11"/>
  <c r="V113" i="11"/>
  <c r="V105" i="11"/>
  <c r="V117" i="11"/>
  <c r="V119" i="11"/>
  <c r="V111" i="11"/>
  <c r="V103" i="11"/>
  <c r="V115" i="11"/>
  <c r="V107" i="11"/>
  <c r="V109" i="11"/>
  <c r="Y117" i="11"/>
  <c r="Y109" i="11"/>
  <c r="Y119" i="11"/>
  <c r="Y111" i="11"/>
  <c r="Y103" i="11"/>
  <c r="Y115" i="11"/>
  <c r="Y107" i="11"/>
  <c r="Y113" i="11"/>
  <c r="Y105" i="11"/>
  <c r="S119" i="11"/>
  <c r="S111" i="11"/>
  <c r="S103" i="11"/>
  <c r="S113" i="11"/>
  <c r="S117" i="11"/>
  <c r="S109" i="11"/>
  <c r="S105" i="11"/>
  <c r="S115" i="11"/>
  <c r="S107" i="11"/>
  <c r="W115" i="11"/>
  <c r="W107" i="11"/>
  <c r="W113" i="11"/>
  <c r="W105" i="11"/>
  <c r="W119" i="11"/>
  <c r="W111" i="11"/>
  <c r="W103" i="11"/>
  <c r="W117" i="11"/>
  <c r="W109" i="11"/>
  <c r="T119" i="11"/>
  <c r="T111" i="11"/>
  <c r="T103" i="11"/>
  <c r="T115" i="11"/>
  <c r="T117" i="11"/>
  <c r="T109" i="11"/>
  <c r="T113" i="11"/>
  <c r="T105" i="11"/>
  <c r="T107" i="11"/>
  <c r="Z154" i="11"/>
  <c r="Z144" i="11"/>
  <c r="Z146" i="11"/>
  <c r="Z150" i="11"/>
  <c r="Z152" i="11"/>
  <c r="X154" i="11"/>
  <c r="X144" i="11"/>
  <c r="X150" i="11"/>
  <c r="X146" i="11"/>
  <c r="X152" i="11"/>
  <c r="V154" i="11"/>
  <c r="V146" i="11"/>
  <c r="V144" i="11"/>
  <c r="V152" i="11"/>
  <c r="V150" i="11"/>
  <c r="Q23" i="11"/>
  <c r="Q154" i="11"/>
  <c r="Q144" i="11"/>
  <c r="Q152" i="11"/>
  <c r="Q150" i="11"/>
  <c r="Q146" i="11"/>
  <c r="U154" i="11"/>
  <c r="U146" i="11"/>
  <c r="U150" i="11"/>
  <c r="U152" i="11"/>
  <c r="U144" i="11"/>
  <c r="S154" i="11"/>
  <c r="S144" i="11"/>
  <c r="S152" i="11"/>
  <c r="S146" i="11"/>
  <c r="S150" i="11"/>
  <c r="W154" i="11"/>
  <c r="W144" i="11"/>
  <c r="W146" i="11"/>
  <c r="W150" i="11"/>
  <c r="W152" i="11"/>
  <c r="Y154" i="11"/>
  <c r="Y144" i="11"/>
  <c r="Y146" i="11"/>
  <c r="Y152" i="11"/>
  <c r="Y150" i="11"/>
  <c r="T154" i="11"/>
  <c r="T146" i="11"/>
  <c r="T152" i="11"/>
  <c r="T144" i="11"/>
  <c r="T150" i="11"/>
  <c r="O6" i="22"/>
  <c r="O7" i="22" s="1"/>
  <c r="Q240" i="22" s="1"/>
  <c r="Q239" i="22" s="1"/>
  <c r="V8" i="11"/>
  <c r="V5" i="6" s="1"/>
  <c r="V116" i="6" s="1"/>
  <c r="Q6" i="22"/>
  <c r="Q7" i="22" s="1"/>
  <c r="S240" i="22" s="1"/>
  <c r="S239" i="22" s="1"/>
  <c r="X8" i="11"/>
  <c r="X5" i="6" s="1"/>
  <c r="X116" i="6" s="1"/>
  <c r="R6" i="22"/>
  <c r="R7" i="22" s="1"/>
  <c r="Y8" i="11"/>
  <c r="Y5" i="6" s="1"/>
  <c r="Y116" i="6" s="1"/>
  <c r="K6" i="22"/>
  <c r="K7" i="22" s="1"/>
  <c r="M240" i="22" s="1"/>
  <c r="M239" i="22" s="1"/>
  <c r="R8" i="11"/>
  <c r="R5" i="6" s="1"/>
  <c r="J10" i="22"/>
  <c r="Q8" i="11"/>
  <c r="Q5" i="6" s="1"/>
  <c r="S6" i="22"/>
  <c r="S7" i="22" s="1"/>
  <c r="Z8" i="11"/>
  <c r="Z5" i="6" s="1"/>
  <c r="Z116" i="6" s="1"/>
  <c r="P6" i="22"/>
  <c r="P7" i="22" s="1"/>
  <c r="R240" i="22" s="1"/>
  <c r="R239" i="22" s="1"/>
  <c r="W8" i="11"/>
  <c r="W5" i="6" s="1"/>
  <c r="W116" i="6" s="1"/>
  <c r="N6" i="22"/>
  <c r="U8" i="11"/>
  <c r="U5" i="6" s="1"/>
  <c r="U116" i="6" s="1"/>
  <c r="M6" i="22"/>
  <c r="M7" i="22" s="1"/>
  <c r="O240" i="22" s="1"/>
  <c r="O239" i="22" s="1"/>
  <c r="T8" i="11"/>
  <c r="T5" i="6" s="1"/>
  <c r="Z76" i="11"/>
  <c r="Z85" i="11" s="1"/>
  <c r="R198" i="22"/>
  <c r="X23" i="11"/>
  <c r="Y23" i="11"/>
  <c r="Z23" i="11"/>
  <c r="U23" i="11"/>
  <c r="L10" i="22"/>
  <c r="W22" i="11"/>
  <c r="K198" i="22"/>
  <c r="R34" i="11"/>
  <c r="V23" i="11"/>
  <c r="K10" i="22"/>
  <c r="Q22" i="11"/>
  <c r="L6" i="22"/>
  <c r="U22" i="11"/>
  <c r="V34" i="11"/>
  <c r="P198" i="22"/>
  <c r="W23" i="11"/>
  <c r="X22" i="11"/>
  <c r="L198" i="22"/>
  <c r="U34" i="11"/>
  <c r="S198" i="22"/>
  <c r="R22" i="11"/>
  <c r="S10" i="22"/>
  <c r="T23" i="11"/>
  <c r="Y76" i="11"/>
  <c r="O10" i="22"/>
  <c r="N10" i="22"/>
  <c r="R10" i="22"/>
  <c r="M10" i="22"/>
  <c r="M198" i="22"/>
  <c r="T22" i="11"/>
  <c r="N198" i="22"/>
  <c r="V22" i="11"/>
  <c r="R14" i="11"/>
  <c r="R7" i="6" s="1"/>
  <c r="S22" i="11"/>
  <c r="J6" i="22"/>
  <c r="Q34" i="11"/>
  <c r="T34" i="11"/>
  <c r="X34" i="11"/>
  <c r="P10" i="22"/>
  <c r="S34" i="11"/>
  <c r="Q198" i="22"/>
  <c r="W76" i="11"/>
  <c r="Z22" i="11"/>
  <c r="Q10" i="22"/>
  <c r="Y22" i="11"/>
  <c r="O198" i="22"/>
  <c r="Z5" i="20" l="1"/>
  <c r="Z18" i="20"/>
  <c r="Z9" i="18"/>
  <c r="Z32" i="20"/>
  <c r="Z24" i="20"/>
  <c r="Z29" i="20"/>
  <c r="Z28" i="20"/>
  <c r="U32" i="20"/>
  <c r="U24" i="20"/>
  <c r="U29" i="20"/>
  <c r="U28" i="20"/>
  <c r="U5" i="20"/>
  <c r="U18" i="20"/>
  <c r="U9" i="18"/>
  <c r="X5" i="20"/>
  <c r="X18" i="20"/>
  <c r="X9" i="18"/>
  <c r="X32" i="20"/>
  <c r="X24" i="20"/>
  <c r="X29" i="20"/>
  <c r="X28" i="20"/>
  <c r="T24" i="20"/>
  <c r="T29" i="20"/>
  <c r="T28" i="20"/>
  <c r="T5" i="20"/>
  <c r="T32" i="20"/>
  <c r="T18" i="20"/>
  <c r="T9" i="18"/>
  <c r="S28" i="20"/>
  <c r="S5" i="20"/>
  <c r="S18" i="20"/>
  <c r="S9" i="18"/>
  <c r="S29" i="20"/>
  <c r="S32" i="20"/>
  <c r="S24" i="20"/>
  <c r="V18" i="20"/>
  <c r="V9" i="18"/>
  <c r="V32" i="20"/>
  <c r="V24" i="20"/>
  <c r="V29" i="20"/>
  <c r="V28" i="20"/>
  <c r="V5" i="20"/>
  <c r="Q65" i="19"/>
  <c r="Q65" i="8"/>
  <c r="Y5" i="20"/>
  <c r="Y18" i="20"/>
  <c r="Y9" i="18"/>
  <c r="Y32" i="20"/>
  <c r="Y24" i="20"/>
  <c r="Y29" i="20"/>
  <c r="Y28" i="20"/>
  <c r="Q5" i="20"/>
  <c r="Q18" i="20"/>
  <c r="Q9" i="18"/>
  <c r="Q32" i="20"/>
  <c r="Q24" i="20"/>
  <c r="Q29" i="20"/>
  <c r="Q28" i="20"/>
  <c r="Q6" i="6"/>
  <c r="Q116" i="6"/>
  <c r="Q291" i="6"/>
  <c r="Q293" i="6" s="1"/>
  <c r="Q340" i="6"/>
  <c r="Q343" i="6" s="1"/>
  <c r="Q286" i="6"/>
  <c r="Q289" i="6" s="1"/>
  <c r="Q160" i="6"/>
  <c r="Q166" i="6" s="1"/>
  <c r="Q183" i="6"/>
  <c r="Q189" i="6" s="1"/>
  <c r="Q54" i="6"/>
  <c r="Q56" i="6" s="1"/>
  <c r="Q345" i="6"/>
  <c r="Q347" i="6" s="1"/>
  <c r="Q281" i="6"/>
  <c r="Q284" i="6" s="1"/>
  <c r="Q217" i="6"/>
  <c r="Q220" i="6" s="1"/>
  <c r="Q256" i="6"/>
  <c r="W9" i="18"/>
  <c r="W18" i="20"/>
  <c r="W32" i="20"/>
  <c r="W24" i="20"/>
  <c r="W29" i="20"/>
  <c r="W28" i="20"/>
  <c r="W5" i="20"/>
  <c r="N8" i="19"/>
  <c r="N13" i="19"/>
  <c r="N19" i="19"/>
  <c r="N29" i="19"/>
  <c r="N33" i="19"/>
  <c r="R5" i="19"/>
  <c r="O5" i="19"/>
  <c r="R5" i="8"/>
  <c r="R80" i="6"/>
  <c r="R187" i="6"/>
  <c r="R209" i="6"/>
  <c r="R211" i="6" s="1"/>
  <c r="S65" i="19"/>
  <c r="S65" i="8"/>
  <c r="S69" i="19"/>
  <c r="S69" i="8"/>
  <c r="S27" i="19"/>
  <c r="S25" i="19" s="1"/>
  <c r="S135" i="19" s="1"/>
  <c r="S158" i="19" s="1"/>
  <c r="S27" i="8"/>
  <c r="X65" i="19"/>
  <c r="X65" i="8"/>
  <c r="S86" i="19"/>
  <c r="S86" i="8"/>
  <c r="S87" i="19"/>
  <c r="S87" i="8"/>
  <c r="U65" i="19"/>
  <c r="U65" i="8"/>
  <c r="S61" i="19"/>
  <c r="S61" i="8"/>
  <c r="T65" i="19"/>
  <c r="T65" i="8"/>
  <c r="S259" i="6"/>
  <c r="T6" i="6"/>
  <c r="T116" i="6"/>
  <c r="T54" i="6"/>
  <c r="T56" i="6" s="1"/>
  <c r="T291" i="6"/>
  <c r="T293" i="6" s="1"/>
  <c r="T345" i="6"/>
  <c r="T347" i="6" s="1"/>
  <c r="T340" i="6"/>
  <c r="T343" i="6" s="1"/>
  <c r="T281" i="6"/>
  <c r="T284" i="6" s="1"/>
  <c r="T183" i="6"/>
  <c r="T189" i="6" s="1"/>
  <c r="T286" i="6"/>
  <c r="T289" i="6" s="1"/>
  <c r="T160" i="6"/>
  <c r="T166" i="6" s="1"/>
  <c r="T165" i="6" s="1"/>
  <c r="T217" i="6"/>
  <c r="T220" i="6" s="1"/>
  <c r="T256" i="6"/>
  <c r="W65" i="19"/>
  <c r="W65" i="8"/>
  <c r="P8" i="19"/>
  <c r="P29" i="19"/>
  <c r="P33" i="19"/>
  <c r="P19" i="19"/>
  <c r="P13" i="19"/>
  <c r="Z65" i="19"/>
  <c r="Z65" i="8"/>
  <c r="V65" i="19"/>
  <c r="V65" i="8"/>
  <c r="S85" i="19"/>
  <c r="S85" i="8"/>
  <c r="R116" i="6"/>
  <c r="R54" i="6"/>
  <c r="R56" i="6" s="1"/>
  <c r="R291" i="6"/>
  <c r="R293" i="6" s="1"/>
  <c r="R345" i="6"/>
  <c r="R347" i="6" s="1"/>
  <c r="R340" i="6"/>
  <c r="R343" i="6" s="1"/>
  <c r="R286" i="6"/>
  <c r="R289" i="6" s="1"/>
  <c r="R160" i="6"/>
  <c r="R166" i="6" s="1"/>
  <c r="R281" i="6"/>
  <c r="R284" i="6" s="1"/>
  <c r="R183" i="6"/>
  <c r="R189" i="6" s="1"/>
  <c r="R256" i="6"/>
  <c r="R217" i="6"/>
  <c r="R220" i="6" s="1"/>
  <c r="S91" i="19"/>
  <c r="S91" i="8"/>
  <c r="Y65" i="19"/>
  <c r="Y65" i="8"/>
  <c r="S97" i="19"/>
  <c r="S97" i="8"/>
  <c r="U54" i="6"/>
  <c r="U56" i="6" s="1"/>
  <c r="U345" i="6"/>
  <c r="U347" i="6" s="1"/>
  <c r="U291" i="6"/>
  <c r="U293" i="6" s="1"/>
  <c r="U340" i="6"/>
  <c r="U343" i="6" s="1"/>
  <c r="U183" i="6"/>
  <c r="U189" i="6" s="1"/>
  <c r="U160" i="6"/>
  <c r="U166" i="6" s="1"/>
  <c r="U281" i="6"/>
  <c r="U284" i="6" s="1"/>
  <c r="U286" i="6"/>
  <c r="U289" i="6" s="1"/>
  <c r="U217" i="6"/>
  <c r="U220" i="6" s="1"/>
  <c r="U256" i="6"/>
  <c r="Y54" i="6"/>
  <c r="Y56" i="6" s="1"/>
  <c r="Y291" i="6"/>
  <c r="Y293" i="6" s="1"/>
  <c r="Y340" i="6"/>
  <c r="Y343" i="6" s="1"/>
  <c r="Y345" i="6"/>
  <c r="Y347" i="6" s="1"/>
  <c r="Y183" i="6"/>
  <c r="Y189" i="6" s="1"/>
  <c r="Y217" i="6"/>
  <c r="Y220" i="6" s="1"/>
  <c r="Y281" i="6"/>
  <c r="Y284" i="6" s="1"/>
  <c r="Y160" i="6"/>
  <c r="Y166" i="6" s="1"/>
  <c r="Y286" i="6"/>
  <c r="Y289" i="6" s="1"/>
  <c r="Y256" i="6"/>
  <c r="Z54" i="6"/>
  <c r="Z56" i="6" s="1"/>
  <c r="Z291" i="6"/>
  <c r="Z293" i="6" s="1"/>
  <c r="Z340" i="6"/>
  <c r="Z343" i="6" s="1"/>
  <c r="Z183" i="6"/>
  <c r="Z189" i="6" s="1"/>
  <c r="Z345" i="6"/>
  <c r="Z347" i="6" s="1"/>
  <c r="Z281" i="6"/>
  <c r="Z284" i="6" s="1"/>
  <c r="Z160" i="6"/>
  <c r="Z166" i="6" s="1"/>
  <c r="Z217" i="6"/>
  <c r="Z220" i="6" s="1"/>
  <c r="Z286" i="6"/>
  <c r="Z289" i="6" s="1"/>
  <c r="Z256" i="6"/>
  <c r="X54" i="6"/>
  <c r="X56" i="6" s="1"/>
  <c r="X291" i="6"/>
  <c r="X293" i="6" s="1"/>
  <c r="X340" i="6"/>
  <c r="X343" i="6" s="1"/>
  <c r="X345" i="6"/>
  <c r="X347" i="6" s="1"/>
  <c r="X183" i="6"/>
  <c r="X189" i="6" s="1"/>
  <c r="X281" i="6"/>
  <c r="X284" i="6" s="1"/>
  <c r="X286" i="6"/>
  <c r="X289" i="6" s="1"/>
  <c r="X217" i="6"/>
  <c r="X220" i="6" s="1"/>
  <c r="X160" i="6"/>
  <c r="X166" i="6" s="1"/>
  <c r="X256" i="6"/>
  <c r="W54" i="6"/>
  <c r="W56" i="6" s="1"/>
  <c r="W291" i="6"/>
  <c r="W293" i="6" s="1"/>
  <c r="W340" i="6"/>
  <c r="W343" i="6" s="1"/>
  <c r="W345" i="6"/>
  <c r="W347" i="6" s="1"/>
  <c r="W183" i="6"/>
  <c r="W189" i="6" s="1"/>
  <c r="W281" i="6"/>
  <c r="W284" i="6" s="1"/>
  <c r="W286" i="6"/>
  <c r="W289" i="6" s="1"/>
  <c r="W217" i="6"/>
  <c r="W220" i="6" s="1"/>
  <c r="W160" i="6"/>
  <c r="W166" i="6" s="1"/>
  <c r="W256" i="6"/>
  <c r="V54" i="6"/>
  <c r="V56" i="6" s="1"/>
  <c r="V291" i="6"/>
  <c r="V293" i="6" s="1"/>
  <c r="V345" i="6"/>
  <c r="V347" i="6" s="1"/>
  <c r="V340" i="6"/>
  <c r="V343" i="6" s="1"/>
  <c r="V183" i="6"/>
  <c r="V189" i="6" s="1"/>
  <c r="V281" i="6"/>
  <c r="V284" i="6" s="1"/>
  <c r="V217" i="6"/>
  <c r="V220" i="6" s="1"/>
  <c r="V160" i="6"/>
  <c r="V166" i="6" s="1"/>
  <c r="V286" i="6"/>
  <c r="V289" i="6" s="1"/>
  <c r="V256" i="6"/>
  <c r="R6" i="6"/>
  <c r="Q101" i="11"/>
  <c r="Q125" i="11"/>
  <c r="S125" i="11"/>
  <c r="S25" i="6" s="1"/>
  <c r="T125" i="11"/>
  <c r="T101" i="11"/>
  <c r="U125" i="11"/>
  <c r="U126" i="11" s="1"/>
  <c r="S101" i="11"/>
  <c r="S6" i="6"/>
  <c r="X101" i="11"/>
  <c r="X21" i="6" s="1"/>
  <c r="Y101" i="11"/>
  <c r="Y102" i="11" s="1"/>
  <c r="V6" i="6"/>
  <c r="V101" i="11"/>
  <c r="Z101" i="11"/>
  <c r="U6" i="6"/>
  <c r="U101" i="11"/>
  <c r="Y125" i="11"/>
  <c r="V125" i="11"/>
  <c r="W6" i="6"/>
  <c r="Y6" i="6"/>
  <c r="W101" i="11"/>
  <c r="X125" i="11"/>
  <c r="Z125" i="11"/>
  <c r="Z6" i="6"/>
  <c r="X6" i="6"/>
  <c r="W125" i="11"/>
  <c r="J298" i="22"/>
  <c r="Q47" i="11"/>
  <c r="Q59" i="11" s="1"/>
  <c r="O299" i="22"/>
  <c r="V48" i="11"/>
  <c r="V60" i="11" s="1"/>
  <c r="Q294" i="22"/>
  <c r="Q295" i="22" s="1"/>
  <c r="X44" i="11"/>
  <c r="X56" i="11" s="1"/>
  <c r="P294" i="22"/>
  <c r="P357" i="22" s="1"/>
  <c r="W44" i="11"/>
  <c r="W56" i="11" s="1"/>
  <c r="P296" i="22"/>
  <c r="P260" i="22" s="1"/>
  <c r="W45" i="11"/>
  <c r="W57" i="11" s="1"/>
  <c r="R296" i="22"/>
  <c r="R260" i="22" s="1"/>
  <c r="Y45" i="11"/>
  <c r="Y57" i="11" s="1"/>
  <c r="O296" i="22"/>
  <c r="O260" i="22" s="1"/>
  <c r="V45" i="11"/>
  <c r="V57" i="11" s="1"/>
  <c r="S299" i="22"/>
  <c r="Z48" i="11"/>
  <c r="Z60" i="11" s="1"/>
  <c r="M294" i="22"/>
  <c r="M295" i="22" s="1"/>
  <c r="T44" i="11"/>
  <c r="T56" i="11" s="1"/>
  <c r="N299" i="22"/>
  <c r="U48" i="11"/>
  <c r="U60" i="11" s="1"/>
  <c r="J294" i="22"/>
  <c r="J295" i="22" s="1"/>
  <c r="Q44" i="11"/>
  <c r="Q56" i="11" s="1"/>
  <c r="S298" i="22"/>
  <c r="Z47" i="11"/>
  <c r="Z59" i="11" s="1"/>
  <c r="R299" i="22"/>
  <c r="Y48" i="11"/>
  <c r="Y60" i="11" s="1"/>
  <c r="J299" i="22"/>
  <c r="Q48" i="11"/>
  <c r="Q60" i="11" s="1"/>
  <c r="M299" i="22"/>
  <c r="T48" i="11"/>
  <c r="T60" i="11" s="1"/>
  <c r="N298" i="22"/>
  <c r="U47" i="11"/>
  <c r="U59" i="11" s="1"/>
  <c r="Q299" i="22"/>
  <c r="X48" i="11"/>
  <c r="X60" i="11" s="1"/>
  <c r="M298" i="22"/>
  <c r="T47" i="11"/>
  <c r="T59" i="11" s="1"/>
  <c r="N294" i="22"/>
  <c r="N295" i="22" s="1"/>
  <c r="U44" i="11"/>
  <c r="U56" i="11" s="1"/>
  <c r="L298" i="22"/>
  <c r="S47" i="11"/>
  <c r="S59" i="11" s="1"/>
  <c r="M296" i="22"/>
  <c r="M260" i="22" s="1"/>
  <c r="T45" i="11"/>
  <c r="T57" i="11" s="1"/>
  <c r="L296" i="22"/>
  <c r="L260" i="22" s="1"/>
  <c r="S45" i="11"/>
  <c r="S57" i="11" s="1"/>
  <c r="N296" i="22"/>
  <c r="N260" i="22" s="1"/>
  <c r="U45" i="11"/>
  <c r="U57" i="11" s="1"/>
  <c r="Q296" i="22"/>
  <c r="Q260" i="22" s="1"/>
  <c r="X45" i="11"/>
  <c r="X57" i="11" s="1"/>
  <c r="S296" i="22"/>
  <c r="S260" i="22" s="1"/>
  <c r="Z45" i="11"/>
  <c r="Z57" i="11" s="1"/>
  <c r="R294" i="22"/>
  <c r="R295" i="22" s="1"/>
  <c r="Y44" i="11"/>
  <c r="Y56" i="11" s="1"/>
  <c r="P299" i="22"/>
  <c r="W48" i="11"/>
  <c r="W60" i="11" s="1"/>
  <c r="L299" i="22"/>
  <c r="S48" i="11"/>
  <c r="S60" i="11" s="1"/>
  <c r="Q298" i="22"/>
  <c r="Q261" i="22" s="1"/>
  <c r="X47" i="11"/>
  <c r="X59" i="11" s="1"/>
  <c r="S294" i="22"/>
  <c r="S295" i="22" s="1"/>
  <c r="Z44" i="11"/>
  <c r="Z56" i="11" s="1"/>
  <c r="O294" i="22"/>
  <c r="O295" i="22" s="1"/>
  <c r="V44" i="11"/>
  <c r="V56" i="11" s="1"/>
  <c r="R137" i="11"/>
  <c r="R129" i="11"/>
  <c r="R135" i="11"/>
  <c r="R127" i="11"/>
  <c r="R133" i="11"/>
  <c r="R131" i="11"/>
  <c r="R298" i="22"/>
  <c r="Y47" i="11"/>
  <c r="Y59" i="11" s="1"/>
  <c r="P298" i="22"/>
  <c r="W47" i="11"/>
  <c r="W59" i="11" s="1"/>
  <c r="L294" i="22"/>
  <c r="L357" i="22" s="1"/>
  <c r="S44" i="11"/>
  <c r="S56" i="11" s="1"/>
  <c r="J296" i="22"/>
  <c r="J260" i="22" s="1"/>
  <c r="Q45" i="11"/>
  <c r="Q57" i="11" s="1"/>
  <c r="O298" i="22"/>
  <c r="V47" i="11"/>
  <c r="V59" i="11" s="1"/>
  <c r="Y15" i="11"/>
  <c r="Y4" i="11"/>
  <c r="Y4" i="12" s="1"/>
  <c r="Z15" i="11"/>
  <c r="Z4" i="11"/>
  <c r="Z4" i="12" s="1"/>
  <c r="X15" i="11"/>
  <c r="X4" i="11"/>
  <c r="X4" i="12" s="1"/>
  <c r="T15" i="11"/>
  <c r="T4" i="11"/>
  <c r="T4" i="12" s="1"/>
  <c r="Q15" i="11"/>
  <c r="Q4" i="11"/>
  <c r="Q4" i="12" s="1"/>
  <c r="V15" i="11"/>
  <c r="V4" i="11"/>
  <c r="V4" i="12" s="1"/>
  <c r="W15" i="11"/>
  <c r="W4" i="11"/>
  <c r="W4" i="12" s="1"/>
  <c r="U4" i="11"/>
  <c r="U4" i="12" s="1"/>
  <c r="R4" i="11"/>
  <c r="R4" i="12" s="1"/>
  <c r="S4" i="11"/>
  <c r="S4" i="12" s="1"/>
  <c r="R117" i="11"/>
  <c r="R109" i="11"/>
  <c r="R105" i="11"/>
  <c r="R115" i="11"/>
  <c r="R107" i="11"/>
  <c r="R113" i="11"/>
  <c r="R119" i="11"/>
  <c r="R111" i="11"/>
  <c r="R103" i="11"/>
  <c r="R15" i="11"/>
  <c r="R23" i="11"/>
  <c r="R154" i="11"/>
  <c r="R152" i="11"/>
  <c r="R144" i="11"/>
  <c r="R146" i="11"/>
  <c r="R150" i="11"/>
  <c r="U15" i="11"/>
  <c r="N7" i="22"/>
  <c r="P240" i="22" s="1"/>
  <c r="P239" i="22" s="1"/>
  <c r="R76" i="11"/>
  <c r="R85" i="11" s="1"/>
  <c r="L7" i="22"/>
  <c r="N240" i="22" s="1"/>
  <c r="N239" i="22" s="1"/>
  <c r="V76" i="11"/>
  <c r="U76" i="11"/>
  <c r="U85" i="11" s="1"/>
  <c r="S23" i="11"/>
  <c r="X76" i="11"/>
  <c r="Q76" i="11"/>
  <c r="T76" i="11"/>
  <c r="J7" i="22"/>
  <c r="L240" i="22" s="1"/>
  <c r="L239" i="22" s="1"/>
  <c r="Y85" i="11"/>
  <c r="W85" i="11"/>
  <c r="S76" i="11"/>
  <c r="J261" i="22" l="1"/>
  <c r="S25" i="8"/>
  <c r="S136" i="8" s="1"/>
  <c r="S159" i="8" s="1"/>
  <c r="S17" i="20"/>
  <c r="Q61" i="19"/>
  <c r="Q61" i="8"/>
  <c r="Q165" i="6"/>
  <c r="Q61" i="6" s="1"/>
  <c r="V10" i="18"/>
  <c r="R5" i="20"/>
  <c r="R18" i="20"/>
  <c r="R9" i="18"/>
  <c r="R32" i="20"/>
  <c r="R28" i="20"/>
  <c r="R24" i="20"/>
  <c r="R29" i="20"/>
  <c r="W10" i="18"/>
  <c r="Q86" i="19"/>
  <c r="Q86" i="8"/>
  <c r="Q259" i="6"/>
  <c r="Q258" i="6"/>
  <c r="Q91" i="19"/>
  <c r="Q91" i="8"/>
  <c r="Q10" i="18"/>
  <c r="X10" i="18"/>
  <c r="Q69" i="19"/>
  <c r="Q69" i="8"/>
  <c r="Q87" i="19"/>
  <c r="Q87" i="8"/>
  <c r="Y10" i="18"/>
  <c r="Z10" i="18"/>
  <c r="Q85" i="19"/>
  <c r="Q85" i="8"/>
  <c r="T10" i="18"/>
  <c r="Q97" i="19"/>
  <c r="Q97" i="8"/>
  <c r="Q27" i="19"/>
  <c r="Q25" i="19" s="1"/>
  <c r="Q135" i="19" s="1"/>
  <c r="Q158" i="19" s="1"/>
  <c r="Q27" i="8"/>
  <c r="U10" i="18"/>
  <c r="S261" i="22"/>
  <c r="W87" i="19"/>
  <c r="W87" i="8"/>
  <c r="V86" i="19"/>
  <c r="V86" i="8"/>
  <c r="V27" i="19"/>
  <c r="V25" i="19" s="1"/>
  <c r="V135" i="19" s="1"/>
  <c r="V158" i="19" s="1"/>
  <c r="V27" i="8"/>
  <c r="W91" i="19"/>
  <c r="W91" i="8"/>
  <c r="Z61" i="19"/>
  <c r="Z61" i="8"/>
  <c r="Y86" i="19"/>
  <c r="Y86" i="8"/>
  <c r="Y27" i="19"/>
  <c r="Y25" i="19" s="1"/>
  <c r="Y135" i="19" s="1"/>
  <c r="Y158" i="19" s="1"/>
  <c r="Y27" i="8"/>
  <c r="U87" i="19"/>
  <c r="U87" i="8"/>
  <c r="R97" i="19"/>
  <c r="R97" i="8"/>
  <c r="T97" i="19"/>
  <c r="T97" i="8"/>
  <c r="R87" i="19"/>
  <c r="R87" i="8"/>
  <c r="V69" i="19"/>
  <c r="V69" i="8"/>
  <c r="W61" i="19"/>
  <c r="W61" i="8"/>
  <c r="W27" i="19"/>
  <c r="W25" i="19" s="1"/>
  <c r="W135" i="19" s="1"/>
  <c r="W158" i="19" s="1"/>
  <c r="W27" i="8"/>
  <c r="X91" i="19"/>
  <c r="X91" i="8"/>
  <c r="Z97" i="19"/>
  <c r="Z97" i="8"/>
  <c r="Y85" i="19"/>
  <c r="Y85" i="8"/>
  <c r="U69" i="19"/>
  <c r="U69" i="8"/>
  <c r="U27" i="19"/>
  <c r="U25" i="19" s="1"/>
  <c r="U135" i="19" s="1"/>
  <c r="U158" i="19" s="1"/>
  <c r="U27" i="8"/>
  <c r="R259" i="6"/>
  <c r="R258" i="6"/>
  <c r="R27" i="19"/>
  <c r="R25" i="19" s="1"/>
  <c r="R135" i="19" s="1"/>
  <c r="R158" i="19" s="1"/>
  <c r="R27" i="8"/>
  <c r="T69" i="19"/>
  <c r="T69" i="8"/>
  <c r="T27" i="19"/>
  <c r="T25" i="19" s="1"/>
  <c r="T135" i="19" s="1"/>
  <c r="T158" i="19" s="1"/>
  <c r="T27" i="8"/>
  <c r="R65" i="19"/>
  <c r="R65" i="8"/>
  <c r="V61" i="19"/>
  <c r="V61" i="8"/>
  <c r="Z85" i="19"/>
  <c r="Z85" i="8"/>
  <c r="R69" i="19"/>
  <c r="R69" i="8"/>
  <c r="T258" i="6"/>
  <c r="T259" i="6"/>
  <c r="V85" i="19"/>
  <c r="V85" i="8"/>
  <c r="W69" i="19"/>
  <c r="W69" i="8"/>
  <c r="X87" i="19"/>
  <c r="X87" i="8"/>
  <c r="Y69" i="19"/>
  <c r="Y69" i="8"/>
  <c r="U86" i="19"/>
  <c r="U86" i="8"/>
  <c r="T61" i="19"/>
  <c r="T61" i="8"/>
  <c r="Y61" i="19"/>
  <c r="Y61" i="8"/>
  <c r="U97" i="19"/>
  <c r="U97" i="8"/>
  <c r="T87" i="19"/>
  <c r="T87" i="8"/>
  <c r="W86" i="19"/>
  <c r="W86" i="8"/>
  <c r="Y165" i="6"/>
  <c r="X61" i="19"/>
  <c r="X61" i="8"/>
  <c r="X27" i="19"/>
  <c r="X25" i="19" s="1"/>
  <c r="X135" i="19" s="1"/>
  <c r="X158" i="19" s="1"/>
  <c r="X27" i="8"/>
  <c r="Z91" i="19"/>
  <c r="Z91" i="8"/>
  <c r="U85" i="19"/>
  <c r="U85" i="8"/>
  <c r="R85" i="19"/>
  <c r="R85" i="8"/>
  <c r="T86" i="19"/>
  <c r="T86" i="8"/>
  <c r="V91" i="19"/>
  <c r="V91" i="8"/>
  <c r="W85" i="19"/>
  <c r="W85" i="8"/>
  <c r="X69" i="19"/>
  <c r="X69" i="8"/>
  <c r="Z87" i="19"/>
  <c r="Z87" i="8"/>
  <c r="Y97" i="19"/>
  <c r="Y97" i="8"/>
  <c r="U61" i="19"/>
  <c r="U61" i="8"/>
  <c r="R61" i="19"/>
  <c r="R61" i="8"/>
  <c r="R165" i="6"/>
  <c r="S165" i="6"/>
  <c r="S258" i="6"/>
  <c r="V97" i="19"/>
  <c r="V97" i="8"/>
  <c r="X86" i="19"/>
  <c r="X86" i="8"/>
  <c r="Z86" i="19"/>
  <c r="Z86" i="8"/>
  <c r="Z27" i="19"/>
  <c r="Z25" i="19" s="1"/>
  <c r="Z135" i="19" s="1"/>
  <c r="Z158" i="19" s="1"/>
  <c r="Z27" i="8"/>
  <c r="Y91" i="19"/>
  <c r="Y91" i="8"/>
  <c r="R86" i="19"/>
  <c r="R86" i="8"/>
  <c r="T85" i="19"/>
  <c r="T85" i="8"/>
  <c r="S76" i="19"/>
  <c r="S76" i="8"/>
  <c r="O8" i="19"/>
  <c r="O33" i="19"/>
  <c r="O19" i="19"/>
  <c r="O13" i="19"/>
  <c r="O29" i="19"/>
  <c r="X97" i="19"/>
  <c r="X97" i="8"/>
  <c r="V87" i="19"/>
  <c r="V87" i="8"/>
  <c r="W97" i="19"/>
  <c r="W97" i="8"/>
  <c r="X85" i="19"/>
  <c r="X85" i="8"/>
  <c r="Z69" i="19"/>
  <c r="Z69" i="8"/>
  <c r="Y87" i="19"/>
  <c r="Y87" i="8"/>
  <c r="U91" i="19"/>
  <c r="U91" i="8"/>
  <c r="R91" i="19"/>
  <c r="R91" i="8"/>
  <c r="T91" i="19"/>
  <c r="T91" i="8"/>
  <c r="X259" i="6"/>
  <c r="X258" i="6"/>
  <c r="Z259" i="6"/>
  <c r="Z258" i="6"/>
  <c r="U165" i="6"/>
  <c r="V165" i="6"/>
  <c r="V258" i="6"/>
  <c r="V259" i="6"/>
  <c r="Y258" i="6"/>
  <c r="Y259" i="6"/>
  <c r="W258" i="6"/>
  <c r="W259" i="6"/>
  <c r="Z165" i="6"/>
  <c r="U259" i="6"/>
  <c r="U258" i="6"/>
  <c r="W165" i="6"/>
  <c r="X165" i="6"/>
  <c r="Y21" i="6"/>
  <c r="Y23" i="6" s="1"/>
  <c r="X102" i="11"/>
  <c r="R125" i="11"/>
  <c r="R126" i="11" s="1"/>
  <c r="S126" i="11"/>
  <c r="Q126" i="11"/>
  <c r="Q25" i="6"/>
  <c r="Q21" i="6"/>
  <c r="Q102" i="11"/>
  <c r="N261" i="22"/>
  <c r="N257" i="22" s="1"/>
  <c r="N255" i="22" s="1"/>
  <c r="N11" i="22" s="1"/>
  <c r="L295" i="22"/>
  <c r="U25" i="6"/>
  <c r="U26" i="6" s="1"/>
  <c r="P295" i="22"/>
  <c r="M357" i="22"/>
  <c r="T102" i="11"/>
  <c r="T21" i="6"/>
  <c r="S102" i="11"/>
  <c r="S21" i="6"/>
  <c r="S17" i="6" s="1"/>
  <c r="T126" i="11"/>
  <c r="T25" i="6"/>
  <c r="S26" i="6"/>
  <c r="S27" i="6"/>
  <c r="R101" i="11"/>
  <c r="S357" i="22"/>
  <c r="R261" i="22"/>
  <c r="R257" i="22" s="1"/>
  <c r="R255" i="22" s="1"/>
  <c r="R11" i="22" s="1"/>
  <c r="P261" i="22"/>
  <c r="P257" i="22" s="1"/>
  <c r="P255" i="22" s="1"/>
  <c r="P11" i="22" s="1"/>
  <c r="O261" i="22"/>
  <c r="O257" i="22" s="1"/>
  <c r="O255" i="22" s="1"/>
  <c r="O262" i="22" s="1"/>
  <c r="O263" i="22" s="1"/>
  <c r="V59" i="10" s="1"/>
  <c r="V54" i="10" s="1"/>
  <c r="V55" i="10" s="1"/>
  <c r="V60" i="10" s="1"/>
  <c r="O357" i="22"/>
  <c r="X25" i="6"/>
  <c r="X17" i="6" s="1"/>
  <c r="X126" i="11"/>
  <c r="W25" i="6"/>
  <c r="W126" i="11"/>
  <c r="V102" i="11"/>
  <c r="V21" i="6"/>
  <c r="V25" i="6"/>
  <c r="V126" i="11"/>
  <c r="Y126" i="11"/>
  <c r="Y25" i="6"/>
  <c r="X23" i="6"/>
  <c r="X22" i="6"/>
  <c r="R357" i="22"/>
  <c r="W21" i="6"/>
  <c r="W102" i="11"/>
  <c r="U102" i="11"/>
  <c r="U21" i="6"/>
  <c r="Z126" i="11"/>
  <c r="Z25" i="6"/>
  <c r="Z21" i="6"/>
  <c r="Z102" i="11"/>
  <c r="J357" i="22"/>
  <c r="Q357" i="22"/>
  <c r="L261" i="22"/>
  <c r="L257" i="22" s="1"/>
  <c r="L255" i="22" s="1"/>
  <c r="L262" i="22" s="1"/>
  <c r="L263" i="22" s="1"/>
  <c r="S59" i="10" s="1"/>
  <c r="S54" i="10" s="1"/>
  <c r="S39" i="10" s="1"/>
  <c r="S31" i="11" s="1"/>
  <c r="S257" i="22"/>
  <c r="S255" i="22" s="1"/>
  <c r="S262" i="22" s="1"/>
  <c r="S263" i="22" s="1"/>
  <c r="K296" i="22"/>
  <c r="K260" i="22" s="1"/>
  <c r="R45" i="11"/>
  <c r="R57" i="11" s="1"/>
  <c r="K298" i="22"/>
  <c r="R47" i="11"/>
  <c r="R59" i="11" s="1"/>
  <c r="Q257" i="22"/>
  <c r="Q255" i="22" s="1"/>
  <c r="Q262" i="22" s="1"/>
  <c r="Q263" i="22" s="1"/>
  <c r="X59" i="10" s="1"/>
  <c r="X54" i="10" s="1"/>
  <c r="X55" i="10" s="1"/>
  <c r="X60" i="10" s="1"/>
  <c r="M261" i="22"/>
  <c r="M257" i="22" s="1"/>
  <c r="M255" i="22" s="1"/>
  <c r="M262" i="22" s="1"/>
  <c r="M263" i="22" s="1"/>
  <c r="T59" i="10" s="1"/>
  <c r="T54" i="10" s="1"/>
  <c r="T39" i="10" s="1"/>
  <c r="T31" i="11" s="1"/>
  <c r="K299" i="22"/>
  <c r="R48" i="11"/>
  <c r="R60" i="11" s="1"/>
  <c r="J257" i="22"/>
  <c r="J255" i="22" s="1"/>
  <c r="J262" i="22" s="1"/>
  <c r="J263" i="22" s="1"/>
  <c r="Q59" i="10" s="1"/>
  <c r="Q54" i="10" s="1"/>
  <c r="K294" i="22"/>
  <c r="K295" i="22" s="1"/>
  <c r="R44" i="11"/>
  <c r="R56" i="11" s="1"/>
  <c r="N357" i="22"/>
  <c r="V85" i="11"/>
  <c r="X85" i="11"/>
  <c r="S85" i="11"/>
  <c r="T85" i="11"/>
  <c r="Q85" i="11"/>
  <c r="Q144" i="19" l="1"/>
  <c r="X25" i="8"/>
  <c r="X136" i="8" s="1"/>
  <c r="X159" i="8" s="1"/>
  <c r="X17" i="20"/>
  <c r="Q76" i="19"/>
  <c r="Q76" i="8"/>
  <c r="T25" i="8"/>
  <c r="T136" i="8" s="1"/>
  <c r="T159" i="8" s="1"/>
  <c r="T17" i="20"/>
  <c r="U25" i="8"/>
  <c r="U136" i="8" s="1"/>
  <c r="U159" i="8" s="1"/>
  <c r="U17" i="20"/>
  <c r="Y25" i="8"/>
  <c r="Y136" i="8" s="1"/>
  <c r="Y159" i="8" s="1"/>
  <c r="Y17" i="20"/>
  <c r="V25" i="8"/>
  <c r="V136" i="8" s="1"/>
  <c r="V159" i="8" s="1"/>
  <c r="V17" i="20"/>
  <c r="R10" i="18"/>
  <c r="W25" i="8"/>
  <c r="W136" i="8" s="1"/>
  <c r="W159" i="8" s="1"/>
  <c r="W17" i="20"/>
  <c r="S10" i="18"/>
  <c r="Q145" i="8"/>
  <c r="Z25" i="8"/>
  <c r="Z136" i="8" s="1"/>
  <c r="Z159" i="8" s="1"/>
  <c r="Z17" i="20"/>
  <c r="R25" i="8"/>
  <c r="R136" i="8" s="1"/>
  <c r="R159" i="8" s="1"/>
  <c r="R17" i="20"/>
  <c r="Q17" i="20"/>
  <c r="Q25" i="8"/>
  <c r="Q136" i="8" s="1"/>
  <c r="Q159" i="8" s="1"/>
  <c r="T145" i="8"/>
  <c r="R145" i="8"/>
  <c r="T144" i="19"/>
  <c r="P262" i="22"/>
  <c r="P263" i="22" s="1"/>
  <c r="W59" i="10" s="1"/>
  <c r="W54" i="10" s="1"/>
  <c r="W55" i="10" s="1"/>
  <c r="W60" i="10" s="1"/>
  <c r="U27" i="6"/>
  <c r="X144" i="19"/>
  <c r="S145" i="8"/>
  <c r="T76" i="19"/>
  <c r="T76" i="8"/>
  <c r="W76" i="19"/>
  <c r="W76" i="8"/>
  <c r="Z76" i="19"/>
  <c r="Z76" i="8"/>
  <c r="W145" i="8"/>
  <c r="R144" i="19"/>
  <c r="Y76" i="19"/>
  <c r="Y76" i="8"/>
  <c r="W144" i="19"/>
  <c r="U145" i="8"/>
  <c r="Y17" i="6"/>
  <c r="Y18" i="6" s="1"/>
  <c r="X76" i="19"/>
  <c r="X76" i="8"/>
  <c r="U144" i="19"/>
  <c r="Z145" i="8"/>
  <c r="R25" i="6"/>
  <c r="T17" i="6"/>
  <c r="T18" i="6" s="1"/>
  <c r="V76" i="19"/>
  <c r="V76" i="8"/>
  <c r="S144" i="19"/>
  <c r="Z144" i="19"/>
  <c r="R76" i="19"/>
  <c r="R76" i="8"/>
  <c r="V145" i="8"/>
  <c r="Y145" i="8"/>
  <c r="U76" i="19"/>
  <c r="U76" i="8"/>
  <c r="X145" i="8"/>
  <c r="V144" i="19"/>
  <c r="Y144" i="19"/>
  <c r="Y22" i="6"/>
  <c r="R262" i="22"/>
  <c r="R263" i="22" s="1"/>
  <c r="Y59" i="10" s="1"/>
  <c r="Y54" i="10" s="1"/>
  <c r="N12" i="22"/>
  <c r="N13" i="22" s="1"/>
  <c r="P12" i="22"/>
  <c r="P13" i="22" s="1"/>
  <c r="R12" i="22"/>
  <c r="R13" i="22" s="1"/>
  <c r="W17" i="6"/>
  <c r="W19" i="6" s="1"/>
  <c r="V17" i="6"/>
  <c r="V19" i="6" s="1"/>
  <c r="X18" i="6"/>
  <c r="X19" i="6"/>
  <c r="Q17" i="6"/>
  <c r="Q22" i="6"/>
  <c r="Q23" i="6"/>
  <c r="Z17" i="6"/>
  <c r="S19" i="6"/>
  <c r="S18" i="6"/>
  <c r="Q27" i="6"/>
  <c r="Q26" i="6"/>
  <c r="U17" i="6"/>
  <c r="R102" i="11"/>
  <c r="R21" i="6"/>
  <c r="T26" i="6"/>
  <c r="T27" i="6"/>
  <c r="R27" i="6"/>
  <c r="R26" i="6"/>
  <c r="S22" i="6"/>
  <c r="S23" i="6"/>
  <c r="T22" i="6"/>
  <c r="T23" i="6"/>
  <c r="M11" i="22"/>
  <c r="S11" i="22"/>
  <c r="L11" i="22"/>
  <c r="O11" i="22"/>
  <c r="J11" i="22"/>
  <c r="Y26" i="6"/>
  <c r="Y27" i="6"/>
  <c r="V22" i="6"/>
  <c r="V23" i="6"/>
  <c r="U22" i="6"/>
  <c r="U23" i="6"/>
  <c r="W22" i="6"/>
  <c r="W23" i="6"/>
  <c r="W26" i="6"/>
  <c r="W27" i="6"/>
  <c r="N262" i="22"/>
  <c r="N263" i="22" s="1"/>
  <c r="U59" i="10" s="1"/>
  <c r="U54" i="10" s="1"/>
  <c r="U55" i="10" s="1"/>
  <c r="U60" i="10" s="1"/>
  <c r="V26" i="6"/>
  <c r="V27" i="6"/>
  <c r="Z23" i="6"/>
  <c r="Z22" i="6"/>
  <c r="X26" i="6"/>
  <c r="X27" i="6"/>
  <c r="Z27" i="6"/>
  <c r="Z26" i="6"/>
  <c r="K261" i="22"/>
  <c r="K257" i="22" s="1"/>
  <c r="K255" i="22" s="1"/>
  <c r="K262" i="22" s="1"/>
  <c r="K263" i="22" s="1"/>
  <c r="Q11" i="22"/>
  <c r="K357" i="22"/>
  <c r="Q39" i="10"/>
  <c r="Q31" i="11" s="1"/>
  <c r="Q55" i="10"/>
  <c r="Q60" i="10" s="1"/>
  <c r="Z59" i="10"/>
  <c r="Z54" i="10" s="1"/>
  <c r="S55" i="10"/>
  <c r="S60" i="10" s="1"/>
  <c r="X39" i="10"/>
  <c r="X31" i="11" s="1"/>
  <c r="T55" i="10"/>
  <c r="T60" i="10" s="1"/>
  <c r="W39" i="10"/>
  <c r="W31" i="11" s="1"/>
  <c r="V39" i="10"/>
  <c r="V31" i="11" s="1"/>
  <c r="S44" i="10"/>
  <c r="S40" i="10"/>
  <c r="S41" i="10" s="1"/>
  <c r="T48" i="10"/>
  <c r="T44" i="10"/>
  <c r="T40" i="10"/>
  <c r="T41" i="10" s="1"/>
  <c r="Q29" i="11" l="1"/>
  <c r="Y19" i="6"/>
  <c r="Y10" i="19" s="1"/>
  <c r="T19" i="6"/>
  <c r="R17" i="6"/>
  <c r="R18" i="6" s="1"/>
  <c r="V10" i="19"/>
  <c r="V10" i="8"/>
  <c r="V9" i="20" s="1"/>
  <c r="W10" i="19"/>
  <c r="W10" i="8"/>
  <c r="W9" i="20" s="1"/>
  <c r="X10" i="19"/>
  <c r="X10" i="8"/>
  <c r="X9" i="20" s="1"/>
  <c r="S10" i="19"/>
  <c r="S10" i="8"/>
  <c r="S9" i="20" s="1"/>
  <c r="S12" i="22"/>
  <c r="S13" i="22" s="1"/>
  <c r="M12" i="22"/>
  <c r="M13" i="22" s="1"/>
  <c r="L12" i="22"/>
  <c r="L13" i="22" s="1"/>
  <c r="V18" i="6"/>
  <c r="W18" i="6"/>
  <c r="J12" i="22"/>
  <c r="J13" i="22" s="1"/>
  <c r="Q12" i="22"/>
  <c r="Q13" i="22" s="1"/>
  <c r="O12" i="22"/>
  <c r="O13" i="22" s="1"/>
  <c r="Z19" i="6"/>
  <c r="Z18" i="6"/>
  <c r="Q18" i="6"/>
  <c r="Q19" i="6"/>
  <c r="T29" i="11"/>
  <c r="T70" i="11" s="1"/>
  <c r="U18" i="6"/>
  <c r="U19" i="6"/>
  <c r="S29" i="11"/>
  <c r="S9" i="6" s="1"/>
  <c r="S197" i="6" s="1"/>
  <c r="R23" i="6"/>
  <c r="R22" i="6"/>
  <c r="U39" i="10"/>
  <c r="U31" i="11" s="1"/>
  <c r="U73" i="11" s="1"/>
  <c r="Q40" i="10"/>
  <c r="Q41" i="10" s="1"/>
  <c r="Q48" i="10"/>
  <c r="K11" i="22"/>
  <c r="Q9" i="6"/>
  <c r="Q197" i="6" s="1"/>
  <c r="Q44" i="10"/>
  <c r="V44" i="10"/>
  <c r="Q70" i="11"/>
  <c r="Q71" i="11" s="1"/>
  <c r="Y39" i="10"/>
  <c r="Y48" i="10" s="1"/>
  <c r="Y55" i="10"/>
  <c r="Y60" i="10" s="1"/>
  <c r="Z39" i="10"/>
  <c r="Z55" i="10"/>
  <c r="Z60" i="10" s="1"/>
  <c r="V40" i="10"/>
  <c r="V41" i="10" s="1"/>
  <c r="R59" i="10"/>
  <c r="R54" i="10" s="1"/>
  <c r="W29" i="11"/>
  <c r="W40" i="10"/>
  <c r="W41" i="10" s="1"/>
  <c r="X29" i="11"/>
  <c r="X48" i="10"/>
  <c r="X40" i="10"/>
  <c r="X41" i="10" s="1"/>
  <c r="X44" i="10"/>
  <c r="W48" i="10"/>
  <c r="W44" i="10"/>
  <c r="V29" i="11"/>
  <c r="W73" i="11"/>
  <c r="W35" i="11"/>
  <c r="T73" i="11"/>
  <c r="T35" i="11"/>
  <c r="X73" i="11"/>
  <c r="X35" i="11"/>
  <c r="Q73" i="11"/>
  <c r="Q35" i="11"/>
  <c r="V73" i="11"/>
  <c r="V35" i="11"/>
  <c r="S73" i="11"/>
  <c r="S35" i="11"/>
  <c r="Q10" i="19" l="1"/>
  <c r="Q10" i="8"/>
  <c r="Q9" i="20" s="1"/>
  <c r="Y10" i="8"/>
  <c r="Y9" i="20" s="1"/>
  <c r="U10" i="19"/>
  <c r="U10" i="8"/>
  <c r="U9" i="20" s="1"/>
  <c r="Z10" i="19"/>
  <c r="Z10" i="8"/>
  <c r="Z9" i="20" s="1"/>
  <c r="R19" i="6"/>
  <c r="T10" i="19"/>
  <c r="T10" i="8"/>
  <c r="T9" i="20" s="1"/>
  <c r="S207" i="6"/>
  <c r="Q185" i="6"/>
  <c r="Q182" i="6" s="1"/>
  <c r="Q195" i="6" s="1"/>
  <c r="Q207" i="6"/>
  <c r="K12" i="22"/>
  <c r="K13" i="22" s="1"/>
  <c r="T9" i="6"/>
  <c r="S70" i="11"/>
  <c r="T71" i="11" s="1"/>
  <c r="U40" i="10"/>
  <c r="U41" i="10" s="1"/>
  <c r="U48" i="10"/>
  <c r="U29" i="11"/>
  <c r="U70" i="11" s="1"/>
  <c r="U71" i="11" s="1"/>
  <c r="U44" i="10"/>
  <c r="U35" i="11"/>
  <c r="V48" i="10"/>
  <c r="Q29" i="6"/>
  <c r="Q30" i="6" s="1"/>
  <c r="Q10" i="6"/>
  <c r="Q13" i="6"/>
  <c r="S37" i="11"/>
  <c r="S11" i="6"/>
  <c r="Q37" i="11"/>
  <c r="Q11" i="6"/>
  <c r="T37" i="11"/>
  <c r="T11" i="6"/>
  <c r="S10" i="6"/>
  <c r="S29" i="6"/>
  <c r="S30" i="6" s="1"/>
  <c r="S13" i="6"/>
  <c r="X37" i="11"/>
  <c r="X11" i="6"/>
  <c r="W37" i="11"/>
  <c r="W11" i="6"/>
  <c r="W9" i="6"/>
  <c r="W197" i="6" s="1"/>
  <c r="V37" i="11"/>
  <c r="V11" i="6"/>
  <c r="X9" i="6"/>
  <c r="X197" i="6" s="1"/>
  <c r="V9" i="6"/>
  <c r="V197" i="6" s="1"/>
  <c r="Q36" i="11"/>
  <c r="T36" i="11"/>
  <c r="W70" i="11"/>
  <c r="W36" i="11"/>
  <c r="X70" i="11"/>
  <c r="X36" i="11"/>
  <c r="S36" i="11"/>
  <c r="V70" i="11"/>
  <c r="V36" i="11"/>
  <c r="R55" i="10"/>
  <c r="R60" i="10" s="1"/>
  <c r="R39" i="10"/>
  <c r="Z31" i="11"/>
  <c r="Z44" i="10"/>
  <c r="Z40" i="10"/>
  <c r="Z41" i="10" s="1"/>
  <c r="Z48" i="10"/>
  <c r="Z29" i="11"/>
  <c r="Y31" i="11"/>
  <c r="Y29" i="11"/>
  <c r="Y40" i="10"/>
  <c r="Y41" i="10" s="1"/>
  <c r="Y44" i="10"/>
  <c r="U82" i="11"/>
  <c r="U77" i="11"/>
  <c r="V82" i="11"/>
  <c r="V77" i="11"/>
  <c r="Q82" i="11"/>
  <c r="Q77" i="11"/>
  <c r="T82" i="11"/>
  <c r="T77" i="11"/>
  <c r="S82" i="11"/>
  <c r="S77" i="11"/>
  <c r="X82" i="11"/>
  <c r="X77" i="11"/>
  <c r="W82" i="11"/>
  <c r="W77" i="11"/>
  <c r="R10" i="19" l="1"/>
  <c r="R10" i="8"/>
  <c r="R9" i="20" s="1"/>
  <c r="T29" i="6"/>
  <c r="T30" i="6" s="1"/>
  <c r="T197" i="6"/>
  <c r="W6" i="19"/>
  <c r="W6" i="8"/>
  <c r="Q6" i="19"/>
  <c r="Q6" i="8"/>
  <c r="Q198" i="6"/>
  <c r="X198" i="6"/>
  <c r="X6" i="19"/>
  <c r="X6" i="8"/>
  <c r="Q288" i="6"/>
  <c r="Q64" i="19"/>
  <c r="Q64" i="8"/>
  <c r="T10" i="6"/>
  <c r="Q275" i="6"/>
  <c r="Q279" i="6" s="1"/>
  <c r="Q63" i="8"/>
  <c r="Q63" i="19"/>
  <c r="T6" i="19"/>
  <c r="T6" i="8"/>
  <c r="T198" i="6"/>
  <c r="S6" i="19"/>
  <c r="S6" i="8"/>
  <c r="V6" i="19"/>
  <c r="V6" i="8"/>
  <c r="S64" i="19"/>
  <c r="S64" i="8"/>
  <c r="V207" i="6"/>
  <c r="X207" i="6"/>
  <c r="X185" i="6"/>
  <c r="X182" i="6" s="1"/>
  <c r="X195" i="6" s="1"/>
  <c r="W207" i="6"/>
  <c r="W185" i="6"/>
  <c r="W182" i="6" s="1"/>
  <c r="W195" i="6" s="1"/>
  <c r="W198" i="6"/>
  <c r="T13" i="6"/>
  <c r="T45" i="6" s="1"/>
  <c r="U9" i="6"/>
  <c r="U197" i="6" s="1"/>
  <c r="V185" i="6" s="1"/>
  <c r="V182" i="6" s="1"/>
  <c r="V195" i="6" s="1"/>
  <c r="U36" i="11"/>
  <c r="Q14" i="6"/>
  <c r="Q45" i="6"/>
  <c r="U11" i="6"/>
  <c r="S14" i="6"/>
  <c r="S45" i="6"/>
  <c r="T14" i="6"/>
  <c r="U37" i="11"/>
  <c r="X71" i="11"/>
  <c r="Q15" i="6"/>
  <c r="Q31" i="6"/>
  <c r="Q10" i="20" s="1"/>
  <c r="S15" i="6"/>
  <c r="S31" i="6"/>
  <c r="S10" i="20" s="1"/>
  <c r="W71" i="11"/>
  <c r="T31" i="6"/>
  <c r="T10" i="20" s="1"/>
  <c r="T15" i="6"/>
  <c r="W29" i="6"/>
  <c r="W30" i="6" s="1"/>
  <c r="W10" i="6"/>
  <c r="W13" i="6"/>
  <c r="W31" i="6"/>
  <c r="W10" i="20" s="1"/>
  <c r="W15" i="6"/>
  <c r="Y9" i="6"/>
  <c r="Y197" i="6" s="1"/>
  <c r="X29" i="6"/>
  <c r="X30" i="6" s="1"/>
  <c r="X10" i="6"/>
  <c r="X13" i="6"/>
  <c r="Z9" i="6"/>
  <c r="Z197" i="6" s="1"/>
  <c r="X31" i="6"/>
  <c r="X10" i="20" s="1"/>
  <c r="X15" i="6"/>
  <c r="V29" i="6"/>
  <c r="V30" i="6" s="1"/>
  <c r="V10" i="6"/>
  <c r="V13" i="6"/>
  <c r="V31" i="6"/>
  <c r="V10" i="20" s="1"/>
  <c r="V15" i="6"/>
  <c r="U29" i="6"/>
  <c r="U30" i="6" s="1"/>
  <c r="U10" i="6"/>
  <c r="Y70" i="11"/>
  <c r="Y71" i="11" s="1"/>
  <c r="V71" i="11"/>
  <c r="Z70" i="11"/>
  <c r="Z35" i="11"/>
  <c r="Z73" i="11"/>
  <c r="S48" i="10"/>
  <c r="R44" i="10"/>
  <c r="R31" i="11"/>
  <c r="R29" i="11"/>
  <c r="R48" i="10"/>
  <c r="R40" i="10"/>
  <c r="R41" i="10" s="1"/>
  <c r="Y35" i="11"/>
  <c r="Y73" i="11"/>
  <c r="S6" i="20" l="1"/>
  <c r="S7" i="20" s="1"/>
  <c r="Q6" i="20"/>
  <c r="Q7" i="20" s="1"/>
  <c r="Q41" i="18"/>
  <c r="Q42" i="18"/>
  <c r="Q40" i="18"/>
  <c r="W6" i="20"/>
  <c r="W7" i="20" s="1"/>
  <c r="T6" i="20"/>
  <c r="T7" i="20" s="1"/>
  <c r="X6" i="20"/>
  <c r="X7" i="20" s="1"/>
  <c r="V6" i="20"/>
  <c r="V7" i="20" s="1"/>
  <c r="Q7" i="19"/>
  <c r="Q8" i="19" s="1"/>
  <c r="Q7" i="8"/>
  <c r="Q8" i="8" s="1"/>
  <c r="Q26" i="18" s="1"/>
  <c r="W288" i="6"/>
  <c r="W64" i="19"/>
  <c r="W64" i="8"/>
  <c r="Q143" i="8"/>
  <c r="N16" i="15"/>
  <c r="X64" i="19"/>
  <c r="X64" i="8"/>
  <c r="X275" i="6"/>
  <c r="X279" i="6" s="1"/>
  <c r="X63" i="19"/>
  <c r="X63" i="8"/>
  <c r="T7" i="19"/>
  <c r="T8" i="19" s="1"/>
  <c r="T7" i="8"/>
  <c r="T8" i="8" s="1"/>
  <c r="T26" i="18" s="1"/>
  <c r="V275" i="6"/>
  <c r="V279" i="6" s="1"/>
  <c r="V63" i="19"/>
  <c r="V63" i="8"/>
  <c r="V64" i="19"/>
  <c r="V64" i="8"/>
  <c r="Q144" i="8"/>
  <c r="Q143" i="19"/>
  <c r="Q84" i="19"/>
  <c r="Q84" i="8"/>
  <c r="Q277" i="6"/>
  <c r="Q71" i="6" s="1"/>
  <c r="S46" i="13"/>
  <c r="W7" i="19"/>
  <c r="W8" i="19" s="1"/>
  <c r="W7" i="8"/>
  <c r="W8" i="8" s="1"/>
  <c r="W26" i="18" s="1"/>
  <c r="V198" i="6"/>
  <c r="T207" i="6"/>
  <c r="T185" i="6"/>
  <c r="T182" i="6" s="1"/>
  <c r="T195" i="6" s="1"/>
  <c r="V7" i="19"/>
  <c r="V8" i="19" s="1"/>
  <c r="V7" i="8"/>
  <c r="V8" i="8" s="1"/>
  <c r="V26" i="18" s="1"/>
  <c r="U13" i="6"/>
  <c r="U45" i="6" s="1"/>
  <c r="X7" i="19"/>
  <c r="X8" i="19" s="1"/>
  <c r="X7" i="8"/>
  <c r="X8" i="8" s="1"/>
  <c r="X26" i="18" s="1"/>
  <c r="S7" i="19"/>
  <c r="S8" i="19" s="1"/>
  <c r="S7" i="8"/>
  <c r="S8" i="8" s="1"/>
  <c r="S26" i="18" s="1"/>
  <c r="U6" i="19"/>
  <c r="U6" i="8"/>
  <c r="W63" i="19"/>
  <c r="W63" i="8"/>
  <c r="Q142" i="19"/>
  <c r="W275" i="6"/>
  <c r="W279" i="6" s="1"/>
  <c r="U31" i="6"/>
  <c r="U10" i="20" s="1"/>
  <c r="U198" i="6"/>
  <c r="X288" i="6"/>
  <c r="Z207" i="6"/>
  <c r="Z185" i="6"/>
  <c r="Z182" i="6" s="1"/>
  <c r="Z195" i="6" s="1"/>
  <c r="U185" i="6"/>
  <c r="U182" i="6" s="1"/>
  <c r="U195" i="6" s="1"/>
  <c r="U207" i="6"/>
  <c r="Y207" i="6"/>
  <c r="Y185" i="6"/>
  <c r="Y182" i="6" s="1"/>
  <c r="Y195" i="6" s="1"/>
  <c r="W14" i="6"/>
  <c r="W45" i="6"/>
  <c r="S9" i="12"/>
  <c r="S46" i="6"/>
  <c r="U14" i="6"/>
  <c r="X14" i="6"/>
  <c r="X45" i="6"/>
  <c r="Q9" i="12"/>
  <c r="Q46" i="6"/>
  <c r="T9" i="12"/>
  <c r="T46" i="6"/>
  <c r="U15" i="6"/>
  <c r="V14" i="6"/>
  <c r="V45" i="6"/>
  <c r="R9" i="6"/>
  <c r="R197" i="6" s="1"/>
  <c r="Y37" i="11"/>
  <c r="Y11" i="6"/>
  <c r="Y198" i="6" s="1"/>
  <c r="Y29" i="6"/>
  <c r="Y30" i="6" s="1"/>
  <c r="Y10" i="6"/>
  <c r="Y13" i="6"/>
  <c r="Z37" i="11"/>
  <c r="Z11" i="6"/>
  <c r="Z10" i="6"/>
  <c r="Z29" i="6"/>
  <c r="Z30" i="6" s="1"/>
  <c r="Z13" i="6"/>
  <c r="Z71" i="11"/>
  <c r="Z36" i="11"/>
  <c r="R70" i="11"/>
  <c r="S71" i="11" s="1"/>
  <c r="Y36" i="11"/>
  <c r="R35" i="11"/>
  <c r="R73" i="11"/>
  <c r="Y82" i="11"/>
  <c r="Y77" i="11"/>
  <c r="Z77" i="11"/>
  <c r="Z82" i="11"/>
  <c r="W41" i="18" l="1"/>
  <c r="X142" i="19"/>
  <c r="X144" i="8"/>
  <c r="W42" i="18"/>
  <c r="X40" i="18"/>
  <c r="X41" i="18"/>
  <c r="W40" i="18"/>
  <c r="W43" i="18" s="1"/>
  <c r="Q43" i="18"/>
  <c r="X42" i="18"/>
  <c r="U6" i="20"/>
  <c r="U7" i="20" s="1"/>
  <c r="N63" i="15"/>
  <c r="Q16" i="18"/>
  <c r="Q51" i="18"/>
  <c r="W144" i="8"/>
  <c r="W143" i="19"/>
  <c r="X143" i="19"/>
  <c r="U16" i="15"/>
  <c r="X143" i="8"/>
  <c r="Z275" i="6"/>
  <c r="Z279" i="6" s="1"/>
  <c r="Z63" i="19"/>
  <c r="Z63" i="8"/>
  <c r="U288" i="6"/>
  <c r="U64" i="19"/>
  <c r="V143" i="19" s="1"/>
  <c r="U64" i="8"/>
  <c r="V42" i="18" s="1"/>
  <c r="Y6" i="19"/>
  <c r="Y6" i="8"/>
  <c r="Z64" i="19"/>
  <c r="Z64" i="8"/>
  <c r="T275" i="6"/>
  <c r="T279" i="6" s="1"/>
  <c r="T63" i="19"/>
  <c r="T63" i="8"/>
  <c r="Z46" i="13"/>
  <c r="X84" i="19"/>
  <c r="X84" i="8"/>
  <c r="U7" i="19"/>
  <c r="U8" i="19" s="1"/>
  <c r="U7" i="8"/>
  <c r="U8" i="8" s="1"/>
  <c r="U26" i="18" s="1"/>
  <c r="S157" i="19"/>
  <c r="S158" i="8"/>
  <c r="P15" i="15" s="1"/>
  <c r="Q157" i="19"/>
  <c r="Q158" i="8"/>
  <c r="N15" i="15" s="1"/>
  <c r="T288" i="6"/>
  <c r="T64" i="19"/>
  <c r="T64" i="8"/>
  <c r="T16" i="15"/>
  <c r="W143" i="8"/>
  <c r="U63" i="19"/>
  <c r="V142" i="19" s="1"/>
  <c r="U63" i="8"/>
  <c r="T157" i="19"/>
  <c r="T158" i="8"/>
  <c r="Q15" i="15" s="1"/>
  <c r="R185" i="6"/>
  <c r="R182" i="6" s="1"/>
  <c r="R195" i="6" s="1"/>
  <c r="R207" i="6"/>
  <c r="S185" i="6"/>
  <c r="S182" i="6" s="1"/>
  <c r="S195" i="6" s="1"/>
  <c r="S198" i="6"/>
  <c r="Y63" i="19"/>
  <c r="Y63" i="8"/>
  <c r="Y46" i="13"/>
  <c r="W84" i="19"/>
  <c r="W84" i="8"/>
  <c r="W142" i="19"/>
  <c r="S20" i="13"/>
  <c r="T43" i="13"/>
  <c r="T17" i="13" s="1"/>
  <c r="Z6" i="19"/>
  <c r="Z6" i="8"/>
  <c r="Y288" i="6"/>
  <c r="Y64" i="19"/>
  <c r="Y143" i="19" s="1"/>
  <c r="Y64" i="8"/>
  <c r="X46" i="13"/>
  <c r="V84" i="19"/>
  <c r="V84" i="8"/>
  <c r="Y275" i="6"/>
  <c r="Y279" i="6" s="1"/>
  <c r="Z198" i="6"/>
  <c r="Z288" i="6"/>
  <c r="U275" i="6"/>
  <c r="U279" i="6" s="1"/>
  <c r="V288" i="6"/>
  <c r="BD20" i="12"/>
  <c r="BD19" i="12"/>
  <c r="Q24" i="12"/>
  <c r="Q223" i="6" s="1"/>
  <c r="Q224" i="6" s="1"/>
  <c r="Q92" i="12"/>
  <c r="Q229" i="6" s="1"/>
  <c r="Q230" i="6" s="1"/>
  <c r="Q59" i="12"/>
  <c r="Q126" i="12"/>
  <c r="Q161" i="12"/>
  <c r="Q164" i="12" s="1"/>
  <c r="BG20" i="12"/>
  <c r="C172" i="13" s="1"/>
  <c r="BG19" i="12"/>
  <c r="T168" i="6" s="1"/>
  <c r="T169" i="6" s="1"/>
  <c r="T92" i="12"/>
  <c r="T24" i="12"/>
  <c r="T59" i="12"/>
  <c r="T126" i="12"/>
  <c r="T161" i="12"/>
  <c r="Y14" i="6"/>
  <c r="Y45" i="6"/>
  <c r="Z14" i="6"/>
  <c r="Z45" i="6"/>
  <c r="V46" i="6"/>
  <c r="V9" i="12"/>
  <c r="X46" i="6"/>
  <c r="X9" i="12"/>
  <c r="W9" i="12"/>
  <c r="W46" i="6"/>
  <c r="U46" i="6"/>
  <c r="U9" i="12"/>
  <c r="BF20" i="12"/>
  <c r="C161" i="13" s="1"/>
  <c r="BF19" i="12"/>
  <c r="S168" i="6" s="1"/>
  <c r="S169" i="6" s="1"/>
  <c r="S24" i="12"/>
  <c r="S92" i="12"/>
  <c r="S59" i="12"/>
  <c r="S126" i="12"/>
  <c r="S161" i="12"/>
  <c r="R71" i="11"/>
  <c r="R37" i="11"/>
  <c r="R11" i="6"/>
  <c r="R10" i="6"/>
  <c r="R29" i="6"/>
  <c r="R30" i="6" s="1"/>
  <c r="R13" i="6"/>
  <c r="Y31" i="6"/>
  <c r="Y10" i="20" s="1"/>
  <c r="Y15" i="6"/>
  <c r="Z31" i="6"/>
  <c r="Z10" i="20" s="1"/>
  <c r="Z15" i="6"/>
  <c r="R36" i="11"/>
  <c r="R77" i="11"/>
  <c r="R82" i="11"/>
  <c r="T63" i="15" l="1"/>
  <c r="W51" i="18"/>
  <c r="W16" i="18"/>
  <c r="Z42" i="18"/>
  <c r="T42" i="18"/>
  <c r="U40" i="18"/>
  <c r="T41" i="18"/>
  <c r="T40" i="18"/>
  <c r="Y42" i="18"/>
  <c r="Z40" i="18"/>
  <c r="Y6" i="20"/>
  <c r="Y7" i="20" s="1"/>
  <c r="Y41" i="18"/>
  <c r="U41" i="18"/>
  <c r="Q62" i="15"/>
  <c r="T15" i="18"/>
  <c r="U63" i="15"/>
  <c r="X51" i="18"/>
  <c r="X16" i="18"/>
  <c r="N62" i="15"/>
  <c r="Q15" i="18"/>
  <c r="V144" i="8"/>
  <c r="U42" i="18"/>
  <c r="V40" i="18"/>
  <c r="V41" i="18"/>
  <c r="Y40" i="18"/>
  <c r="Z6" i="20"/>
  <c r="Z7" i="20" s="1"/>
  <c r="Z41" i="18"/>
  <c r="Y143" i="8"/>
  <c r="X43" i="18"/>
  <c r="P62" i="15"/>
  <c r="S15" i="18"/>
  <c r="Z144" i="8"/>
  <c r="Z142" i="19"/>
  <c r="Z143" i="19"/>
  <c r="Y7" i="19"/>
  <c r="Y8" i="19" s="1"/>
  <c r="Y7" i="8"/>
  <c r="Y8" i="8" s="1"/>
  <c r="Y26" i="18" s="1"/>
  <c r="W157" i="19"/>
  <c r="W158" i="8"/>
  <c r="T15" i="15" s="1"/>
  <c r="W46" i="13"/>
  <c r="X43" i="13" s="1"/>
  <c r="X17" i="13" s="1"/>
  <c r="U84" i="19"/>
  <c r="U84" i="8"/>
  <c r="Y43" i="13"/>
  <c r="Y17" i="13" s="1"/>
  <c r="X20" i="13"/>
  <c r="S275" i="6"/>
  <c r="S279" i="6" s="1"/>
  <c r="S63" i="19"/>
  <c r="T142" i="19" s="1"/>
  <c r="S63" i="8"/>
  <c r="V46" i="13"/>
  <c r="T84" i="19"/>
  <c r="T84" i="8"/>
  <c r="Y142" i="19"/>
  <c r="X157" i="19"/>
  <c r="X158" i="8"/>
  <c r="U15" i="15" s="1"/>
  <c r="R63" i="19"/>
  <c r="R63" i="8"/>
  <c r="R275" i="6"/>
  <c r="R279" i="6" s="1"/>
  <c r="U144" i="8"/>
  <c r="T144" i="8"/>
  <c r="V157" i="19"/>
  <c r="V158" i="8"/>
  <c r="S15" i="15" s="1"/>
  <c r="U143" i="19"/>
  <c r="T143" i="19"/>
  <c r="AB46" i="13"/>
  <c r="AB20" i="13" s="1"/>
  <c r="Z84" i="19"/>
  <c r="Z84" i="8"/>
  <c r="R288" i="6"/>
  <c r="R64" i="19"/>
  <c r="R64" i="8"/>
  <c r="S288" i="6"/>
  <c r="R6" i="19"/>
  <c r="R6" i="8"/>
  <c r="R198" i="6"/>
  <c r="Y20" i="13"/>
  <c r="Z43" i="13"/>
  <c r="Z17" i="13" s="1"/>
  <c r="Z7" i="19"/>
  <c r="Z8" i="19" s="1"/>
  <c r="Z7" i="8"/>
  <c r="Z8" i="8" s="1"/>
  <c r="Z26" i="18" s="1"/>
  <c r="U157" i="19"/>
  <c r="U158" i="8"/>
  <c r="R15" i="15" s="1"/>
  <c r="Q168" i="6"/>
  <c r="Q169" i="6" s="1"/>
  <c r="Q170" i="6" s="1"/>
  <c r="AA46" i="13"/>
  <c r="Y84" i="19"/>
  <c r="Y84" i="8"/>
  <c r="W16" i="15"/>
  <c r="Z143" i="8"/>
  <c r="S16" i="15"/>
  <c r="V143" i="8"/>
  <c r="AA43" i="13"/>
  <c r="AA17" i="13" s="1"/>
  <c r="Z20" i="13"/>
  <c r="V16" i="15"/>
  <c r="C103" i="13"/>
  <c r="R16" i="15"/>
  <c r="U143" i="8"/>
  <c r="Y144" i="8"/>
  <c r="U142" i="19"/>
  <c r="Q128" i="12"/>
  <c r="Q278" i="12" s="1"/>
  <c r="Q145" i="12" s="1"/>
  <c r="Q241" i="6"/>
  <c r="S26" i="12"/>
  <c r="S233" i="12" s="1"/>
  <c r="S46" i="12" s="1"/>
  <c r="S223" i="6"/>
  <c r="S224" i="6" s="1"/>
  <c r="T128" i="12"/>
  <c r="T281" i="12" s="1"/>
  <c r="T241" i="6"/>
  <c r="Q61" i="12"/>
  <c r="Q246" i="12" s="1"/>
  <c r="Q235" i="6"/>
  <c r="S94" i="12"/>
  <c r="S264" i="12" s="1"/>
  <c r="S113" i="12" s="1"/>
  <c r="S229" i="6"/>
  <c r="S230" i="6" s="1"/>
  <c r="S175" i="13"/>
  <c r="T175" i="13" s="1"/>
  <c r="T176" i="13" s="1"/>
  <c r="U175" i="13" s="1"/>
  <c r="V174" i="13"/>
  <c r="V26" i="13" s="1"/>
  <c r="T300" i="6" s="1"/>
  <c r="S61" i="12"/>
  <c r="S248" i="12" s="1"/>
  <c r="S235" i="6"/>
  <c r="T61" i="12"/>
  <c r="T249" i="12" s="1"/>
  <c r="T81" i="12" s="1"/>
  <c r="T235" i="6"/>
  <c r="T26" i="12"/>
  <c r="T234" i="12" s="1"/>
  <c r="T47" i="12" s="1"/>
  <c r="T223" i="6"/>
  <c r="T224" i="6" s="1"/>
  <c r="S176" i="6"/>
  <c r="S62" i="19" s="1"/>
  <c r="U163" i="13"/>
  <c r="U26" i="13" s="1"/>
  <c r="S300" i="6" s="1"/>
  <c r="S164" i="13"/>
  <c r="T164" i="13" s="1"/>
  <c r="T94" i="12"/>
  <c r="T265" i="12" s="1"/>
  <c r="T114" i="12" s="1"/>
  <c r="T229" i="6"/>
  <c r="T230" i="6" s="1"/>
  <c r="S128" i="12"/>
  <c r="S280" i="12" s="1"/>
  <c r="S241" i="6"/>
  <c r="T170" i="6"/>
  <c r="T176" i="6"/>
  <c r="T62" i="19" s="1"/>
  <c r="S105" i="13"/>
  <c r="Q216" i="12"/>
  <c r="Q246" i="6" s="1"/>
  <c r="Q249" i="6" s="1"/>
  <c r="R160" i="12"/>
  <c r="R215" i="12" s="1"/>
  <c r="BH20" i="12"/>
  <c r="C183" i="13" s="1"/>
  <c r="BH19" i="12"/>
  <c r="U168" i="6" s="1"/>
  <c r="U169" i="6" s="1"/>
  <c r="U24" i="12"/>
  <c r="U92" i="12"/>
  <c r="U126" i="12"/>
  <c r="U59" i="12"/>
  <c r="U161" i="12"/>
  <c r="Q94" i="12"/>
  <c r="BI20" i="12"/>
  <c r="C194" i="13" s="1"/>
  <c r="BI19" i="12"/>
  <c r="V168" i="6" s="1"/>
  <c r="V169" i="6" s="1"/>
  <c r="V24" i="12"/>
  <c r="V92" i="12"/>
  <c r="V126" i="12"/>
  <c r="V59" i="12"/>
  <c r="V161" i="12"/>
  <c r="Z9" i="12"/>
  <c r="Z46" i="6"/>
  <c r="Q26" i="12"/>
  <c r="BJ19" i="12"/>
  <c r="W168" i="6" s="1"/>
  <c r="W169" i="6" s="1"/>
  <c r="BJ20" i="12"/>
  <c r="C205" i="13" s="1"/>
  <c r="W24" i="12"/>
  <c r="W92" i="12"/>
  <c r="W59" i="12"/>
  <c r="W126" i="12"/>
  <c r="W161" i="12"/>
  <c r="R14" i="6"/>
  <c r="R45" i="6"/>
  <c r="BK19" i="12"/>
  <c r="X168" i="6" s="1"/>
  <c r="X169" i="6" s="1"/>
  <c r="BK20" i="12"/>
  <c r="C216" i="13" s="1"/>
  <c r="X92" i="12"/>
  <c r="X24" i="12"/>
  <c r="X126" i="12"/>
  <c r="X59" i="12"/>
  <c r="X161" i="12"/>
  <c r="Y46" i="6"/>
  <c r="Y9" i="12"/>
  <c r="R15" i="6"/>
  <c r="R31" i="6"/>
  <c r="R10" i="20" s="1"/>
  <c r="Q130" i="12" l="1"/>
  <c r="S63" i="15"/>
  <c r="V51" i="18"/>
  <c r="V16" i="18"/>
  <c r="U62" i="15"/>
  <c r="X15" i="18"/>
  <c r="R42" i="18"/>
  <c r="S40" i="18"/>
  <c r="S41" i="18"/>
  <c r="S42" i="18"/>
  <c r="R40" i="18"/>
  <c r="S62" i="15"/>
  <c r="V15" i="18"/>
  <c r="V43" i="18"/>
  <c r="R63" i="15"/>
  <c r="U51" i="18"/>
  <c r="U16" i="18"/>
  <c r="W63" i="15"/>
  <c r="Z51" i="18"/>
  <c r="Z16" i="18"/>
  <c r="U43" i="18"/>
  <c r="T43" i="18"/>
  <c r="V63" i="15"/>
  <c r="Y16" i="18"/>
  <c r="Y51" i="18"/>
  <c r="R6" i="20"/>
  <c r="R7" i="20" s="1"/>
  <c r="R41" i="18"/>
  <c r="T62" i="15"/>
  <c r="W15" i="18"/>
  <c r="Z43" i="18"/>
  <c r="R62" i="15"/>
  <c r="U15" i="18"/>
  <c r="Y43" i="18"/>
  <c r="Q63" i="12"/>
  <c r="Q176" i="6"/>
  <c r="Q177" i="6" s="1"/>
  <c r="T160" i="19"/>
  <c r="W20" i="13"/>
  <c r="Q74" i="19"/>
  <c r="Q74" i="8"/>
  <c r="S143" i="19"/>
  <c r="R143" i="19"/>
  <c r="Z157" i="19"/>
  <c r="Z158" i="8"/>
  <c r="W15" i="15" s="1"/>
  <c r="Y157" i="19"/>
  <c r="Y158" i="8"/>
  <c r="V15" i="15" s="1"/>
  <c r="AA20" i="13"/>
  <c r="AB43" i="13"/>
  <c r="AB17" i="13" s="1"/>
  <c r="T46" i="13"/>
  <c r="R84" i="19"/>
  <c r="R84" i="8"/>
  <c r="W43" i="13"/>
  <c r="W17" i="13" s="1"/>
  <c r="V20" i="13"/>
  <c r="P16" i="15"/>
  <c r="S143" i="8"/>
  <c r="R143" i="8"/>
  <c r="O16" i="15"/>
  <c r="Q16" i="15"/>
  <c r="T143" i="8"/>
  <c r="S142" i="19"/>
  <c r="R142" i="19"/>
  <c r="R7" i="19"/>
  <c r="R8" i="19" s="1"/>
  <c r="R7" i="8"/>
  <c r="R8" i="8" s="1"/>
  <c r="R26" i="18" s="1"/>
  <c r="U46" i="13"/>
  <c r="S84" i="19"/>
  <c r="S84" i="8"/>
  <c r="S144" i="8"/>
  <c r="R144" i="8"/>
  <c r="T62" i="8"/>
  <c r="S62" i="8"/>
  <c r="Q62" i="19"/>
  <c r="Q62" i="8"/>
  <c r="V175" i="13"/>
  <c r="T177" i="6"/>
  <c r="S186" i="13"/>
  <c r="T186" i="13" s="1"/>
  <c r="T187" i="13" s="1"/>
  <c r="U186" i="13" s="1"/>
  <c r="W185" i="13"/>
  <c r="W26" i="13" s="1"/>
  <c r="U300" i="6" s="1"/>
  <c r="S106" i="13"/>
  <c r="S107" i="13" s="1"/>
  <c r="S26" i="13"/>
  <c r="Q300" i="6" s="1"/>
  <c r="U164" i="13"/>
  <c r="U165" i="13" s="1"/>
  <c r="W128" i="12"/>
  <c r="W284" i="12" s="1"/>
  <c r="W151" i="12" s="1"/>
  <c r="W241" i="6"/>
  <c r="V94" i="12"/>
  <c r="V229" i="6"/>
  <c r="V230" i="6" s="1"/>
  <c r="V61" i="12"/>
  <c r="V235" i="6"/>
  <c r="X26" i="12"/>
  <c r="X238" i="12" s="1"/>
  <c r="X51" i="12" s="1"/>
  <c r="X223" i="6"/>
  <c r="X224" i="6" s="1"/>
  <c r="V128" i="12"/>
  <c r="V283" i="12" s="1"/>
  <c r="V150" i="12" s="1"/>
  <c r="V241" i="6"/>
  <c r="S219" i="13"/>
  <c r="T219" i="13" s="1"/>
  <c r="T220" i="13" s="1"/>
  <c r="U219" i="13" s="1"/>
  <c r="Z218" i="13"/>
  <c r="W94" i="12"/>
  <c r="W268" i="12" s="1"/>
  <c r="W117" i="12" s="1"/>
  <c r="W229" i="6"/>
  <c r="W230" i="6" s="1"/>
  <c r="V26" i="12"/>
  <c r="V236" i="12" s="1"/>
  <c r="V49" i="12" s="1"/>
  <c r="V223" i="6"/>
  <c r="V224" i="6" s="1"/>
  <c r="U128" i="12"/>
  <c r="U282" i="12" s="1"/>
  <c r="U241" i="6"/>
  <c r="U173" i="13"/>
  <c r="U176" i="13" s="1"/>
  <c r="V173" i="13" s="1"/>
  <c r="T178" i="13"/>
  <c r="X128" i="12"/>
  <c r="X285" i="12" s="1"/>
  <c r="X241" i="6"/>
  <c r="W61" i="12"/>
  <c r="W252" i="12" s="1"/>
  <c r="W84" i="12" s="1"/>
  <c r="W235" i="6"/>
  <c r="V176" i="6"/>
  <c r="V62" i="19" s="1"/>
  <c r="V170" i="6"/>
  <c r="U94" i="12"/>
  <c r="U266" i="12" s="1"/>
  <c r="U229" i="6"/>
  <c r="U230" i="6" s="1"/>
  <c r="X61" i="12"/>
  <c r="X253" i="12" s="1"/>
  <c r="X85" i="12" s="1"/>
  <c r="X235" i="6"/>
  <c r="X176" i="6"/>
  <c r="X62" i="19" s="1"/>
  <c r="X170" i="6"/>
  <c r="S208" i="13"/>
  <c r="Y207" i="13"/>
  <c r="S197" i="13"/>
  <c r="T197" i="13" s="1"/>
  <c r="T198" i="13" s="1"/>
  <c r="U197" i="13" s="1"/>
  <c r="X196" i="13"/>
  <c r="U26" i="12"/>
  <c r="U235" i="12" s="1"/>
  <c r="U48" i="12" s="1"/>
  <c r="U223" i="6"/>
  <c r="U224" i="6" s="1"/>
  <c r="X94" i="12"/>
  <c r="X269" i="12" s="1"/>
  <c r="X118" i="12" s="1"/>
  <c r="Y269" i="12" s="1"/>
  <c r="X229" i="6"/>
  <c r="X230" i="6" s="1"/>
  <c r="U61" i="12"/>
  <c r="U250" i="12" s="1"/>
  <c r="U235" i="6"/>
  <c r="W26" i="12"/>
  <c r="W237" i="12" s="1"/>
  <c r="W50" i="12" s="1"/>
  <c r="W223" i="6"/>
  <c r="W224" i="6" s="1"/>
  <c r="W176" i="6"/>
  <c r="W62" i="19" s="1"/>
  <c r="W170" i="6"/>
  <c r="U176" i="6"/>
  <c r="U62" i="19" s="1"/>
  <c r="U160" i="19" s="1"/>
  <c r="U170" i="6"/>
  <c r="T233" i="12"/>
  <c r="T46" i="12" s="1"/>
  <c r="U233" i="12" s="1"/>
  <c r="U249" i="12"/>
  <c r="U81" i="12" s="1"/>
  <c r="V267" i="12"/>
  <c r="V116" i="12" s="1"/>
  <c r="R58" i="12"/>
  <c r="BL20" i="12"/>
  <c r="C227" i="13" s="1"/>
  <c r="BL19" i="12"/>
  <c r="Y168" i="6" s="1"/>
  <c r="Y169" i="6" s="1"/>
  <c r="Y24" i="12"/>
  <c r="Y92" i="12"/>
  <c r="Y59" i="12"/>
  <c r="Y126" i="12"/>
  <c r="Y161" i="12"/>
  <c r="Q78" i="12"/>
  <c r="R246" i="12" s="1"/>
  <c r="Q257" i="12"/>
  <c r="Q69" i="12" s="1"/>
  <c r="Q71" i="12" s="1"/>
  <c r="Q73" i="12" s="1"/>
  <c r="R68" i="12" s="1"/>
  <c r="T148" i="12"/>
  <c r="U281" i="12" s="1"/>
  <c r="Q28" i="12"/>
  <c r="Q231" i="12"/>
  <c r="Q44" i="12" s="1"/>
  <c r="BM20" i="12"/>
  <c r="C238" i="13" s="1"/>
  <c r="BM19" i="12"/>
  <c r="Z168" i="6" s="1"/>
  <c r="Z169" i="6" s="1"/>
  <c r="Z24" i="12"/>
  <c r="Z92" i="12"/>
  <c r="Z59" i="12"/>
  <c r="Z126" i="12"/>
  <c r="Z161" i="12"/>
  <c r="Q289" i="12"/>
  <c r="Q136" i="12" s="1"/>
  <c r="R278" i="12"/>
  <c r="R145" i="12" s="1"/>
  <c r="R125" i="12"/>
  <c r="R9" i="12"/>
  <c r="R46" i="6"/>
  <c r="V251" i="12"/>
  <c r="V83" i="12" s="1"/>
  <c r="U234" i="12"/>
  <c r="U47" i="12" s="1"/>
  <c r="T264" i="12"/>
  <c r="T113" i="12" s="1"/>
  <c r="U265" i="12"/>
  <c r="U114" i="12" s="1"/>
  <c r="S80" i="12"/>
  <c r="S147" i="12"/>
  <c r="T280" i="12" s="1"/>
  <c r="Q96" i="12"/>
  <c r="Q262" i="12"/>
  <c r="Q111" i="12" s="1"/>
  <c r="S43" i="18" l="1"/>
  <c r="P63" i="15"/>
  <c r="S51" i="18"/>
  <c r="S16" i="18"/>
  <c r="V62" i="15"/>
  <c r="Y15" i="18"/>
  <c r="W62" i="15"/>
  <c r="Z15" i="18"/>
  <c r="Q63" i="15"/>
  <c r="T51" i="18"/>
  <c r="T16" i="18"/>
  <c r="R43" i="18"/>
  <c r="O63" i="15"/>
  <c r="R51" i="18"/>
  <c r="R16" i="18"/>
  <c r="U149" i="12"/>
  <c r="V282" i="12" s="1"/>
  <c r="X160" i="19"/>
  <c r="T161" i="8"/>
  <c r="T20" i="13"/>
  <c r="U43" i="13"/>
  <c r="U17" i="13" s="1"/>
  <c r="Q160" i="19"/>
  <c r="U20" i="13"/>
  <c r="V43" i="13"/>
  <c r="V17" i="13" s="1"/>
  <c r="R157" i="19"/>
  <c r="R158" i="8"/>
  <c r="O15" i="15" s="1"/>
  <c r="W160" i="19"/>
  <c r="V160" i="19"/>
  <c r="Q161" i="8"/>
  <c r="V62" i="8"/>
  <c r="X62" i="8"/>
  <c r="W62" i="8"/>
  <c r="U62" i="8"/>
  <c r="X152" i="12"/>
  <c r="Y285" i="12" s="1"/>
  <c r="U115" i="12"/>
  <c r="V266" i="12" s="1"/>
  <c r="U177" i="6"/>
  <c r="V177" i="6"/>
  <c r="W177" i="6"/>
  <c r="X177" i="6"/>
  <c r="S230" i="13"/>
  <c r="T230" i="13" s="1"/>
  <c r="T231" i="13" s="1"/>
  <c r="U230" i="13" s="1"/>
  <c r="AA229" i="13"/>
  <c r="U195" i="13"/>
  <c r="T200" i="13"/>
  <c r="V176" i="13"/>
  <c r="V162" i="13"/>
  <c r="U167" i="13"/>
  <c r="V164" i="13"/>
  <c r="Y128" i="12"/>
  <c r="Y286" i="12" s="1"/>
  <c r="Y241" i="6"/>
  <c r="W186" i="13"/>
  <c r="S241" i="13"/>
  <c r="T241" i="13" s="1"/>
  <c r="T242" i="13" s="1"/>
  <c r="U241" i="13" s="1"/>
  <c r="AB240" i="13"/>
  <c r="U217" i="13"/>
  <c r="T222" i="13"/>
  <c r="T104" i="13"/>
  <c r="S109" i="13"/>
  <c r="S28" i="13" s="1"/>
  <c r="Q307" i="6" s="1"/>
  <c r="Q72" i="6" s="1"/>
  <c r="S27" i="13"/>
  <c r="N49" i="15" s="1"/>
  <c r="T106" i="13"/>
  <c r="Q138" i="12"/>
  <c r="Q140" i="12" s="1"/>
  <c r="R135" i="12" s="1"/>
  <c r="R141" i="12" s="1"/>
  <c r="Q243" i="6"/>
  <c r="Z94" i="12"/>
  <c r="Z271" i="12" s="1"/>
  <c r="Z120" i="12" s="1"/>
  <c r="Z229" i="6"/>
  <c r="Z230" i="6" s="1"/>
  <c r="Y94" i="12"/>
  <c r="Y270" i="12" s="1"/>
  <c r="Y119" i="12" s="1"/>
  <c r="Z270" i="12" s="1"/>
  <c r="Y229" i="6"/>
  <c r="Y230" i="6" s="1"/>
  <c r="Y26" i="13"/>
  <c r="W300" i="6" s="1"/>
  <c r="U178" i="13"/>
  <c r="Z128" i="12"/>
  <c r="Z287" i="12" s="1"/>
  <c r="Z154" i="12" s="1"/>
  <c r="Z241" i="6"/>
  <c r="Z26" i="12"/>
  <c r="Z240" i="12" s="1"/>
  <c r="Z53" i="12" s="1"/>
  <c r="Z223" i="6"/>
  <c r="Z224" i="6" s="1"/>
  <c r="U82" i="12"/>
  <c r="V250" i="12" s="1"/>
  <c r="Y26" i="12"/>
  <c r="Y239" i="12" s="1"/>
  <c r="Y52" i="12" s="1"/>
  <c r="Y223" i="6"/>
  <c r="Y224" i="6" s="1"/>
  <c r="X197" i="13"/>
  <c r="X26" i="13"/>
  <c r="V300" i="6" s="1"/>
  <c r="Z61" i="12"/>
  <c r="Z255" i="12" s="1"/>
  <c r="Z87" i="12" s="1"/>
  <c r="Z235" i="6"/>
  <c r="Y61" i="12"/>
  <c r="Y254" i="12" s="1"/>
  <c r="Y235" i="6"/>
  <c r="Z176" i="6"/>
  <c r="Z62" i="19" s="1"/>
  <c r="Z170" i="6"/>
  <c r="Y176" i="6"/>
  <c r="Y62" i="19" s="1"/>
  <c r="Y170" i="6"/>
  <c r="Y208" i="13"/>
  <c r="Y209" i="13" s="1"/>
  <c r="Z219" i="13"/>
  <c r="Z26" i="13"/>
  <c r="X300" i="6" s="1"/>
  <c r="U184" i="13"/>
  <c r="T189" i="13"/>
  <c r="Q75" i="12"/>
  <c r="Q234" i="6" s="1"/>
  <c r="Q238" i="6" s="1"/>
  <c r="V235" i="12"/>
  <c r="V48" i="12" s="1"/>
  <c r="V115" i="12"/>
  <c r="W266" i="12" s="1"/>
  <c r="T147" i="12"/>
  <c r="U280" i="12" s="1"/>
  <c r="U148" i="12"/>
  <c r="V281" i="12" s="1"/>
  <c r="Y238" i="12"/>
  <c r="Y51" i="12" s="1"/>
  <c r="Q242" i="12"/>
  <c r="Q35" i="12" s="1"/>
  <c r="R231" i="12"/>
  <c r="R74" i="12"/>
  <c r="X268" i="12"/>
  <c r="X117" i="12" s="1"/>
  <c r="R91" i="12"/>
  <c r="X252" i="12"/>
  <c r="X84" i="12" s="1"/>
  <c r="R23" i="12"/>
  <c r="Q29" i="12"/>
  <c r="Q6" i="12"/>
  <c r="W267" i="12"/>
  <c r="W116" i="12" s="1"/>
  <c r="X284" i="12"/>
  <c r="W236" i="12"/>
  <c r="Q273" i="12"/>
  <c r="Q102" i="12" s="1"/>
  <c r="R262" i="12"/>
  <c r="R111" i="12" s="1"/>
  <c r="V265" i="12"/>
  <c r="BE20" i="12"/>
  <c r="BE19" i="12"/>
  <c r="R24" i="12"/>
  <c r="R223" i="6" s="1"/>
  <c r="R224" i="6" s="1"/>
  <c r="R92" i="12"/>
  <c r="R229" i="6" s="1"/>
  <c r="R230" i="6" s="1"/>
  <c r="R59" i="12"/>
  <c r="R126" i="12"/>
  <c r="R161" i="12"/>
  <c r="R164" i="12" s="1"/>
  <c r="BC9" i="12"/>
  <c r="S278" i="12"/>
  <c r="S145" i="12" s="1"/>
  <c r="Y152" i="12"/>
  <c r="Z285" i="12" s="1"/>
  <c r="W251" i="12"/>
  <c r="X237" i="12"/>
  <c r="U264" i="12"/>
  <c r="U113" i="12" s="1"/>
  <c r="R78" i="12"/>
  <c r="S246" i="12" s="1"/>
  <c r="W283" i="12"/>
  <c r="W150" i="12" s="1"/>
  <c r="V234" i="12"/>
  <c r="Y253" i="12"/>
  <c r="Y85" i="12" s="1"/>
  <c r="U46" i="12"/>
  <c r="Y118" i="12"/>
  <c r="Z269" i="12" s="1"/>
  <c r="Z118" i="12" s="1"/>
  <c r="T248" i="12"/>
  <c r="T80" i="12" s="1"/>
  <c r="V249" i="12"/>
  <c r="V81" i="12" s="1"/>
  <c r="V149" i="12" l="1"/>
  <c r="W282" i="12" s="1"/>
  <c r="O62" i="15"/>
  <c r="R15" i="18"/>
  <c r="Z160" i="19"/>
  <c r="R168" i="6"/>
  <c r="R169" i="6" s="1"/>
  <c r="R170" i="6" s="1"/>
  <c r="BN19" i="12"/>
  <c r="V161" i="8"/>
  <c r="Q72" i="19"/>
  <c r="Q72" i="8"/>
  <c r="C150" i="13"/>
  <c r="S153" i="13" s="1"/>
  <c r="S25" i="13" s="1"/>
  <c r="Q301" i="6" s="1"/>
  <c r="BN20" i="12"/>
  <c r="X161" i="8"/>
  <c r="Y160" i="19"/>
  <c r="U161" i="8"/>
  <c r="Y62" i="8"/>
  <c r="Y161" i="8" s="1"/>
  <c r="W161" i="8"/>
  <c r="BD173" i="6"/>
  <c r="BD178" i="6" s="1"/>
  <c r="Z62" i="8"/>
  <c r="Y177" i="6"/>
  <c r="Z177" i="6"/>
  <c r="S47" i="13"/>
  <c r="S48" i="13" s="1"/>
  <c r="S21" i="13" s="1"/>
  <c r="Q302" i="6"/>
  <c r="R61" i="12"/>
  <c r="R247" i="12" s="1"/>
  <c r="R257" i="12" s="1"/>
  <c r="R69" i="12" s="1"/>
  <c r="R71" i="12" s="1"/>
  <c r="R73" i="12" s="1"/>
  <c r="S68" i="12" s="1"/>
  <c r="R235" i="6"/>
  <c r="U220" i="13"/>
  <c r="U222" i="13" s="1"/>
  <c r="Q37" i="12"/>
  <c r="Q39" i="12" s="1"/>
  <c r="Q225" i="6"/>
  <c r="AB241" i="13"/>
  <c r="AB26" i="13"/>
  <c r="Z300" i="6" s="1"/>
  <c r="U239" i="13"/>
  <c r="T244" i="13"/>
  <c r="W173" i="13"/>
  <c r="W175" i="13"/>
  <c r="Z208" i="13"/>
  <c r="Y211" i="13"/>
  <c r="U198" i="13"/>
  <c r="U200" i="13" s="1"/>
  <c r="Z206" i="13"/>
  <c r="V178" i="13"/>
  <c r="U228" i="13"/>
  <c r="T233" i="13"/>
  <c r="T107" i="13"/>
  <c r="T24" i="13"/>
  <c r="V165" i="13"/>
  <c r="V167" i="13" s="1"/>
  <c r="R128" i="12"/>
  <c r="R130" i="12" s="1"/>
  <c r="R241" i="6"/>
  <c r="Q104" i="12"/>
  <c r="Q106" i="12" s="1"/>
  <c r="R101" i="12" s="1"/>
  <c r="R107" i="12" s="1"/>
  <c r="Q231" i="6"/>
  <c r="V82" i="12"/>
  <c r="W250" i="12" s="1"/>
  <c r="Q142" i="12"/>
  <c r="Q240" i="6" s="1"/>
  <c r="Q244" i="6" s="1"/>
  <c r="AA230" i="13"/>
  <c r="AA26" i="13"/>
  <c r="Y300" i="6" s="1"/>
  <c r="U187" i="13"/>
  <c r="U189" i="13" s="1"/>
  <c r="S262" i="12"/>
  <c r="S111" i="12" s="1"/>
  <c r="V148" i="12"/>
  <c r="S160" i="12"/>
  <c r="R216" i="12"/>
  <c r="R246" i="6" s="1"/>
  <c r="R249" i="6" s="1"/>
  <c r="Z253" i="12"/>
  <c r="Z85" i="12" s="1"/>
  <c r="U248" i="12"/>
  <c r="U80" i="12" s="1"/>
  <c r="W149" i="12"/>
  <c r="X151" i="12"/>
  <c r="R26" i="12"/>
  <c r="R28" i="12" s="1"/>
  <c r="BC24" i="12"/>
  <c r="U147" i="12"/>
  <c r="V280" i="12" s="1"/>
  <c r="W249" i="12"/>
  <c r="Z152" i="12"/>
  <c r="R94" i="12"/>
  <c r="BC92" i="12"/>
  <c r="S78" i="12"/>
  <c r="T246" i="12" s="1"/>
  <c r="W49" i="12"/>
  <c r="X236" i="12" s="1"/>
  <c r="Z238" i="12"/>
  <c r="Z51" i="12" s="1"/>
  <c r="Y268" i="12"/>
  <c r="Y117" i="12" s="1"/>
  <c r="Z268" i="12" s="1"/>
  <c r="Z117" i="12" s="1"/>
  <c r="Z239" i="12"/>
  <c r="Z52" i="12" s="1"/>
  <c r="Z119" i="12"/>
  <c r="X283" i="12"/>
  <c r="X150" i="12" s="1"/>
  <c r="W235" i="12"/>
  <c r="X267" i="12"/>
  <c r="X116" i="12" s="1"/>
  <c r="V233" i="12"/>
  <c r="V46" i="12" s="1"/>
  <c r="T278" i="12"/>
  <c r="T145" i="12" s="1"/>
  <c r="V264" i="12"/>
  <c r="V47" i="12"/>
  <c r="W234" i="12" s="1"/>
  <c r="W83" i="12"/>
  <c r="X251" i="12" s="1"/>
  <c r="X50" i="12"/>
  <c r="Y237" i="12" s="1"/>
  <c r="BD15" i="12"/>
  <c r="BE10" i="12"/>
  <c r="BC15" i="12"/>
  <c r="BD10" i="12"/>
  <c r="V114" i="12"/>
  <c r="Y86" i="12"/>
  <c r="Z254" i="12" s="1"/>
  <c r="Z86" i="12" s="1"/>
  <c r="Y252" i="12"/>
  <c r="Y84" i="12" s="1"/>
  <c r="Y153" i="12"/>
  <c r="R44" i="12"/>
  <c r="S231" i="12" s="1"/>
  <c r="W115" i="12"/>
  <c r="X266" i="12" s="1"/>
  <c r="S170" i="6" l="1"/>
  <c r="R79" i="12"/>
  <c r="S247" i="12" s="1"/>
  <c r="S257" i="12" s="1"/>
  <c r="S69" i="12" s="1"/>
  <c r="S71" i="12" s="1"/>
  <c r="S73" i="12" s="1"/>
  <c r="T68" i="12" s="1"/>
  <c r="R176" i="6"/>
  <c r="R62" i="19" s="1"/>
  <c r="R276" i="6"/>
  <c r="R156" i="6" s="1"/>
  <c r="R63" i="12"/>
  <c r="T152" i="13"/>
  <c r="T26" i="13" s="1"/>
  <c r="R300" i="6" s="1"/>
  <c r="R279" i="12"/>
  <c r="R146" i="12" s="1"/>
  <c r="R174" i="6"/>
  <c r="Q108" i="12"/>
  <c r="Q228" i="6" s="1"/>
  <c r="Q232" i="6" s="1"/>
  <c r="BN21" i="12"/>
  <c r="Q400" i="6"/>
  <c r="Q405" i="6" s="1"/>
  <c r="Z161" i="8"/>
  <c r="S160" i="19"/>
  <c r="R160" i="19"/>
  <c r="R74" i="19"/>
  <c r="R74" i="8"/>
  <c r="Q73" i="19"/>
  <c r="Q73" i="8"/>
  <c r="R62" i="8"/>
  <c r="R177" i="6"/>
  <c r="S177" i="6"/>
  <c r="R277" i="6"/>
  <c r="R71" i="6" s="1"/>
  <c r="R175" i="6"/>
  <c r="R61" i="6" s="1"/>
  <c r="W176" i="13"/>
  <c r="X175" i="13" s="1"/>
  <c r="Z209" i="13"/>
  <c r="Z211" i="13" s="1"/>
  <c r="Q8" i="12"/>
  <c r="Q37" i="6" s="1"/>
  <c r="V184" i="13"/>
  <c r="V186" i="13"/>
  <c r="U231" i="13"/>
  <c r="W162" i="13"/>
  <c r="W164" i="13"/>
  <c r="V195" i="13"/>
  <c r="V197" i="13"/>
  <c r="V217" i="13"/>
  <c r="V219" i="13"/>
  <c r="T8" i="13"/>
  <c r="T11" i="13"/>
  <c r="U242" i="13"/>
  <c r="U244" i="13" s="1"/>
  <c r="W82" i="12"/>
  <c r="X250" i="12" s="1"/>
  <c r="X82" i="12" s="1"/>
  <c r="T109" i="13"/>
  <c r="U104" i="13"/>
  <c r="U106" i="13"/>
  <c r="V248" i="12"/>
  <c r="V80" i="12" s="1"/>
  <c r="S44" i="12"/>
  <c r="T231" i="12" s="1"/>
  <c r="X115" i="12"/>
  <c r="Y266" i="12" s="1"/>
  <c r="Y267" i="12"/>
  <c r="Y116" i="12" s="1"/>
  <c r="R263" i="12"/>
  <c r="R112" i="12" s="1"/>
  <c r="Q148" i="11"/>
  <c r="V113" i="12"/>
  <c r="S79" i="12"/>
  <c r="S125" i="12"/>
  <c r="S215" i="12"/>
  <c r="S164" i="12"/>
  <c r="W48" i="12"/>
  <c r="S23" i="12"/>
  <c r="S28" i="12" s="1"/>
  <c r="R29" i="12"/>
  <c r="W47" i="12"/>
  <c r="X234" i="12" s="1"/>
  <c r="W81" i="12"/>
  <c r="X49" i="12"/>
  <c r="R232" i="12"/>
  <c r="R45" i="12" s="1"/>
  <c r="R96" i="12"/>
  <c r="R6" i="12" s="1"/>
  <c r="Y50" i="12"/>
  <c r="T78" i="12"/>
  <c r="U246" i="12" s="1"/>
  <c r="V147" i="12"/>
  <c r="W280" i="12" s="1"/>
  <c r="S58" i="12"/>
  <c r="R75" i="12"/>
  <c r="R234" i="6" s="1"/>
  <c r="R238" i="6" s="1"/>
  <c r="R34" i="12"/>
  <c r="Q41" i="12"/>
  <c r="Y283" i="12"/>
  <c r="Y150" i="12" s="1"/>
  <c r="Z283" i="12" s="1"/>
  <c r="Z150" i="12" s="1"/>
  <c r="U278" i="12"/>
  <c r="W281" i="12"/>
  <c r="W148" i="12" s="1"/>
  <c r="W233" i="12"/>
  <c r="W46" i="12" s="1"/>
  <c r="Z252" i="12"/>
  <c r="Z84" i="12" s="1"/>
  <c r="X83" i="12"/>
  <c r="Y251" i="12" s="1"/>
  <c r="Z286" i="12"/>
  <c r="Z153" i="12" s="1"/>
  <c r="W265" i="12"/>
  <c r="W114" i="12" s="1"/>
  <c r="Y284" i="12"/>
  <c r="X282" i="12"/>
  <c r="X149" i="12" s="1"/>
  <c r="S279" i="12"/>
  <c r="R289" i="12"/>
  <c r="R136" i="12" s="1"/>
  <c r="T262" i="12"/>
  <c r="T111" i="12" s="1"/>
  <c r="R271" i="6" l="1"/>
  <c r="T153" i="13"/>
  <c r="T25" i="13" s="1"/>
  <c r="R301" i="6" s="1"/>
  <c r="V187" i="13"/>
  <c r="W184" i="13" s="1"/>
  <c r="V198" i="13"/>
  <c r="W195" i="13" s="1"/>
  <c r="W178" i="13"/>
  <c r="Q71" i="19"/>
  <c r="Q71" i="8"/>
  <c r="Q406" i="6"/>
  <c r="Q407" i="6" s="1"/>
  <c r="Q409" i="6" s="1"/>
  <c r="Q303" i="6"/>
  <c r="Q304" i="6" s="1"/>
  <c r="R72" i="19"/>
  <c r="R72" i="8"/>
  <c r="S161" i="8"/>
  <c r="R161" i="8"/>
  <c r="X173" i="13"/>
  <c r="X176" i="13" s="1"/>
  <c r="W165" i="13"/>
  <c r="X162" i="13" s="1"/>
  <c r="V220" i="13"/>
  <c r="V222" i="13" s="1"/>
  <c r="V228" i="13"/>
  <c r="V230" i="13"/>
  <c r="W187" i="13"/>
  <c r="W189" i="13" s="1"/>
  <c r="Q7" i="12"/>
  <c r="Q222" i="6"/>
  <c r="V200" i="13"/>
  <c r="V189" i="13"/>
  <c r="T154" i="13"/>
  <c r="V239" i="13"/>
  <c r="V241" i="13"/>
  <c r="U107" i="13"/>
  <c r="R138" i="12"/>
  <c r="R140" i="12" s="1"/>
  <c r="S135" i="12" s="1"/>
  <c r="S141" i="12" s="1"/>
  <c r="R243" i="6"/>
  <c r="U233" i="13"/>
  <c r="AA206" i="13"/>
  <c r="AA208" i="13"/>
  <c r="W248" i="12"/>
  <c r="X265" i="12"/>
  <c r="X114" i="12" s="1"/>
  <c r="S63" i="12"/>
  <c r="S74" i="12"/>
  <c r="W264" i="12"/>
  <c r="W113" i="12" s="1"/>
  <c r="Z267" i="12"/>
  <c r="Z116" i="12" s="1"/>
  <c r="X47" i="12"/>
  <c r="Z237" i="12"/>
  <c r="Z50" i="12" s="1"/>
  <c r="S91" i="12"/>
  <c r="T160" i="12"/>
  <c r="S216" i="12"/>
  <c r="S246" i="6" s="1"/>
  <c r="S249" i="6" s="1"/>
  <c r="Y250" i="12"/>
  <c r="Y115" i="12"/>
  <c r="Z266" i="12" s="1"/>
  <c r="Z115" i="12" s="1"/>
  <c r="Y83" i="12"/>
  <c r="Z251" i="12" s="1"/>
  <c r="Z83" i="12" s="1"/>
  <c r="S232" i="12"/>
  <c r="R242" i="12"/>
  <c r="R35" i="12" s="1"/>
  <c r="X281" i="12"/>
  <c r="X148" i="12" s="1"/>
  <c r="Y151" i="12"/>
  <c r="Z284" i="12" s="1"/>
  <c r="Z151" i="12" s="1"/>
  <c r="U262" i="12"/>
  <c r="U111" i="12" s="1"/>
  <c r="X235" i="12"/>
  <c r="X48" i="12" s="1"/>
  <c r="Q38" i="6"/>
  <c r="Q40" i="6"/>
  <c r="Q33" i="6"/>
  <c r="Q34" i="6" s="1"/>
  <c r="W147" i="12"/>
  <c r="X280" i="12" s="1"/>
  <c r="Y236" i="12"/>
  <c r="Y49" i="12" s="1"/>
  <c r="Z236" i="12" s="1"/>
  <c r="Z49" i="12" s="1"/>
  <c r="S130" i="12"/>
  <c r="S263" i="12"/>
  <c r="R273" i="12"/>
  <c r="R102" i="12" s="1"/>
  <c r="J297" i="22"/>
  <c r="Q149" i="11"/>
  <c r="Q143" i="11"/>
  <c r="Q161" i="11"/>
  <c r="Q160" i="11"/>
  <c r="Q46" i="11"/>
  <c r="U78" i="12"/>
  <c r="V246" i="12" s="1"/>
  <c r="S146" i="12"/>
  <c r="T279" i="12" s="1"/>
  <c r="T289" i="12" s="1"/>
  <c r="T136" i="12" s="1"/>
  <c r="S289" i="12"/>
  <c r="S136" i="12" s="1"/>
  <c r="X233" i="12"/>
  <c r="R40" i="12"/>
  <c r="Y282" i="12"/>
  <c r="Y149" i="12" s="1"/>
  <c r="X249" i="12"/>
  <c r="T23" i="12"/>
  <c r="T28" i="12" s="1"/>
  <c r="S29" i="12"/>
  <c r="T247" i="12"/>
  <c r="T79" i="12" s="1"/>
  <c r="U145" i="12"/>
  <c r="V278" i="12" s="1"/>
  <c r="T44" i="12"/>
  <c r="W167" i="13" l="1"/>
  <c r="W197" i="13"/>
  <c r="W198" i="13" s="1"/>
  <c r="X195" i="13" s="1"/>
  <c r="R142" i="12"/>
  <c r="R240" i="6" s="1"/>
  <c r="R244" i="6" s="1"/>
  <c r="X164" i="13"/>
  <c r="Q305" i="6"/>
  <c r="R299" i="6" s="1"/>
  <c r="Q329" i="6"/>
  <c r="Q226" i="6"/>
  <c r="Q261" i="6"/>
  <c r="Q408" i="6"/>
  <c r="Q35" i="6"/>
  <c r="Q15" i="19"/>
  <c r="Q131" i="19" s="1"/>
  <c r="Q15" i="8"/>
  <c r="Q13" i="20" s="1"/>
  <c r="R73" i="19"/>
  <c r="R73" i="8"/>
  <c r="S74" i="19"/>
  <c r="S74" i="8"/>
  <c r="X178" i="13"/>
  <c r="Y173" i="13"/>
  <c r="Y175" i="13"/>
  <c r="AA209" i="13"/>
  <c r="AA211" i="13" s="1"/>
  <c r="U151" i="13"/>
  <c r="T156" i="13"/>
  <c r="T28" i="13" s="1"/>
  <c r="R307" i="6" s="1"/>
  <c r="R72" i="6" s="1"/>
  <c r="U153" i="13"/>
  <c r="U25" i="13" s="1"/>
  <c r="S301" i="6" s="1"/>
  <c r="T27" i="13"/>
  <c r="O49" i="15" s="1"/>
  <c r="R37" i="12"/>
  <c r="R39" i="12" s="1"/>
  <c r="R41" i="12" s="1"/>
  <c r="R222" i="6" s="1"/>
  <c r="R225" i="6"/>
  <c r="V242" i="13"/>
  <c r="V244" i="13" s="1"/>
  <c r="V231" i="13"/>
  <c r="V233" i="13" s="1"/>
  <c r="W217" i="13"/>
  <c r="W219" i="13"/>
  <c r="S138" i="12"/>
  <c r="S140" i="12" s="1"/>
  <c r="T135" i="12" s="1"/>
  <c r="S243" i="6"/>
  <c r="T138" i="12"/>
  <c r="T243" i="6"/>
  <c r="R104" i="12"/>
  <c r="R106" i="12" s="1"/>
  <c r="S101" i="12" s="1"/>
  <c r="S107" i="12" s="1"/>
  <c r="R231" i="6"/>
  <c r="U109" i="13"/>
  <c r="V104" i="13"/>
  <c r="V106" i="13"/>
  <c r="X165" i="13"/>
  <c r="X184" i="13"/>
  <c r="X186" i="13"/>
  <c r="Q159" i="11"/>
  <c r="Q162" i="11" s="1"/>
  <c r="W80" i="12"/>
  <c r="X248" i="12" s="1"/>
  <c r="X264" i="12"/>
  <c r="X113" i="12" s="1"/>
  <c r="S45" i="12"/>
  <c r="S242" i="12"/>
  <c r="S35" i="12" s="1"/>
  <c r="Y235" i="12"/>
  <c r="Y48" i="12" s="1"/>
  <c r="Z235" i="12" s="1"/>
  <c r="Z48" i="12" s="1"/>
  <c r="V262" i="12"/>
  <c r="S96" i="12"/>
  <c r="S6" i="12" s="1"/>
  <c r="Y281" i="12"/>
  <c r="Y148" i="12" s="1"/>
  <c r="Z281" i="12" s="1"/>
  <c r="Z148" i="12" s="1"/>
  <c r="T29" i="12"/>
  <c r="U23" i="12"/>
  <c r="U28" i="12" s="1"/>
  <c r="Q58" i="11"/>
  <c r="Q42" i="11"/>
  <c r="T146" i="12"/>
  <c r="Y82" i="12"/>
  <c r="Z250" i="12" s="1"/>
  <c r="Z82" i="12" s="1"/>
  <c r="Y234" i="12"/>
  <c r="Y47" i="12" s="1"/>
  <c r="Z234" i="12" s="1"/>
  <c r="Z47" i="12" s="1"/>
  <c r="T58" i="12"/>
  <c r="S75" i="12"/>
  <c r="S234" i="6" s="1"/>
  <c r="S238" i="6" s="1"/>
  <c r="S112" i="12"/>
  <c r="T263" i="12" s="1"/>
  <c r="S273" i="12"/>
  <c r="S102" i="12" s="1"/>
  <c r="U231" i="12"/>
  <c r="U44" i="12" s="1"/>
  <c r="T215" i="12"/>
  <c r="T164" i="12"/>
  <c r="X81" i="12"/>
  <c r="Y249" i="12" s="1"/>
  <c r="T125" i="12"/>
  <c r="Z282" i="12"/>
  <c r="Z149" i="12" s="1"/>
  <c r="V145" i="12"/>
  <c r="W278" i="12" s="1"/>
  <c r="U247" i="12"/>
  <c r="T257" i="12"/>
  <c r="T69" i="12" s="1"/>
  <c r="T71" i="12" s="1"/>
  <c r="T73" i="12" s="1"/>
  <c r="U68" i="12" s="1"/>
  <c r="X46" i="12"/>
  <c r="Y233" i="12" s="1"/>
  <c r="V78" i="12"/>
  <c r="W246" i="12" s="1"/>
  <c r="X147" i="12"/>
  <c r="Y280" i="12" s="1"/>
  <c r="Y265" i="12"/>
  <c r="T140" i="12" l="1"/>
  <c r="U135" i="12" s="1"/>
  <c r="S34" i="12"/>
  <c r="N13" i="15"/>
  <c r="Q132" i="8"/>
  <c r="Q47" i="6"/>
  <c r="Q12" i="19"/>
  <c r="Q13" i="19" s="1"/>
  <c r="Q12" i="8"/>
  <c r="Q70" i="19"/>
  <c r="Q77" i="19" s="1"/>
  <c r="Q70" i="8"/>
  <c r="Q262" i="6"/>
  <c r="Q393" i="6"/>
  <c r="Q330" i="6"/>
  <c r="Q349" i="6"/>
  <c r="R226" i="6"/>
  <c r="S72" i="19"/>
  <c r="S72" i="8"/>
  <c r="Y176" i="13"/>
  <c r="S142" i="12"/>
  <c r="S240" i="6" s="1"/>
  <c r="S244" i="6" s="1"/>
  <c r="T47" i="13"/>
  <c r="T48" i="13" s="1"/>
  <c r="T21" i="13" s="1"/>
  <c r="R302" i="6"/>
  <c r="R108" i="12"/>
  <c r="R228" i="6" s="1"/>
  <c r="R232" i="6" s="1"/>
  <c r="R8" i="12"/>
  <c r="R148" i="11" s="1"/>
  <c r="X198" i="13"/>
  <c r="X200" i="13" s="1"/>
  <c r="S37" i="12"/>
  <c r="S225" i="6"/>
  <c r="W228" i="13"/>
  <c r="W230" i="13"/>
  <c r="W239" i="13"/>
  <c r="W241" i="13"/>
  <c r="U154" i="13"/>
  <c r="U24" i="13"/>
  <c r="S104" i="12"/>
  <c r="S106" i="12" s="1"/>
  <c r="T101" i="12" s="1"/>
  <c r="S231" i="6"/>
  <c r="W220" i="13"/>
  <c r="W222" i="13"/>
  <c r="AB206" i="13"/>
  <c r="AB208" i="13"/>
  <c r="Y162" i="13"/>
  <c r="Y164" i="13"/>
  <c r="V107" i="13"/>
  <c r="X187" i="13"/>
  <c r="X189" i="13" s="1"/>
  <c r="W200" i="13"/>
  <c r="X167" i="13"/>
  <c r="X80" i="12"/>
  <c r="Y81" i="12"/>
  <c r="Z249" i="12" s="1"/>
  <c r="Z81" i="12" s="1"/>
  <c r="Y46" i="12"/>
  <c r="Z233" i="12" s="1"/>
  <c r="Z46" i="12" s="1"/>
  <c r="U257" i="12"/>
  <c r="U69" i="12" s="1"/>
  <c r="U71" i="12" s="1"/>
  <c r="U73" i="12" s="1"/>
  <c r="V68" i="12" s="1"/>
  <c r="Y114" i="12"/>
  <c r="Z265" i="12" s="1"/>
  <c r="Z114" i="12" s="1"/>
  <c r="T216" i="12"/>
  <c r="T246" i="6" s="1"/>
  <c r="T249" i="6" s="1"/>
  <c r="U160" i="12"/>
  <c r="U79" i="12"/>
  <c r="T112" i="12"/>
  <c r="U263" i="12"/>
  <c r="U273" i="12" s="1"/>
  <c r="U102" i="12" s="1"/>
  <c r="T273" i="12"/>
  <c r="T102" i="12" s="1"/>
  <c r="W145" i="12"/>
  <c r="Y147" i="12"/>
  <c r="W78" i="12"/>
  <c r="T141" i="12"/>
  <c r="T130" i="12"/>
  <c r="S40" i="12"/>
  <c r="U279" i="12"/>
  <c r="U146" i="12" s="1"/>
  <c r="Y264" i="12"/>
  <c r="Y113" i="12" s="1"/>
  <c r="Z264" i="12" s="1"/>
  <c r="Z113" i="12" s="1"/>
  <c r="V23" i="12"/>
  <c r="V28" i="12" s="1"/>
  <c r="U29" i="12"/>
  <c r="V231" i="12"/>
  <c r="T63" i="12"/>
  <c r="T74" i="12"/>
  <c r="Q43" i="11"/>
  <c r="Q41" i="11"/>
  <c r="T91" i="12"/>
  <c r="T232" i="12"/>
  <c r="T45" i="12" s="1"/>
  <c r="V111" i="12"/>
  <c r="Q13" i="8" l="1"/>
  <c r="Q27" i="18" s="1"/>
  <c r="Q11" i="20"/>
  <c r="Q15" i="20" s="1"/>
  <c r="N60" i="15"/>
  <c r="Q14" i="18"/>
  <c r="Q77" i="8"/>
  <c r="Q45" i="18" s="1"/>
  <c r="Q30" i="18"/>
  <c r="S39" i="12"/>
  <c r="R261" i="6"/>
  <c r="R7" i="12"/>
  <c r="R71" i="19"/>
  <c r="R71" i="8"/>
  <c r="R70" i="19"/>
  <c r="R77" i="19" s="1"/>
  <c r="R70" i="8"/>
  <c r="R262" i="6"/>
  <c r="R393" i="6"/>
  <c r="T74" i="19"/>
  <c r="T74" i="8"/>
  <c r="Q18" i="19"/>
  <c r="Q19" i="19" s="1"/>
  <c r="Q18" i="8"/>
  <c r="R37" i="6"/>
  <c r="R40" i="6" s="1"/>
  <c r="Q92" i="19"/>
  <c r="Q92" i="8"/>
  <c r="Q350" i="6"/>
  <c r="S73" i="19"/>
  <c r="S73" i="8"/>
  <c r="R400" i="6"/>
  <c r="R405" i="6" s="1"/>
  <c r="Z173" i="13"/>
  <c r="Z175" i="13"/>
  <c r="Y178" i="13"/>
  <c r="Y165" i="13"/>
  <c r="Y167" i="13" s="1"/>
  <c r="S108" i="12"/>
  <c r="S228" i="6" s="1"/>
  <c r="S232" i="6" s="1"/>
  <c r="S276" i="6"/>
  <c r="S156" i="6" s="1"/>
  <c r="T104" i="12"/>
  <c r="T106" i="12" s="1"/>
  <c r="U101" i="12" s="1"/>
  <c r="T231" i="6"/>
  <c r="U156" i="13"/>
  <c r="U28" i="13" s="1"/>
  <c r="S307" i="6" s="1"/>
  <c r="S72" i="6" s="1"/>
  <c r="V151" i="13"/>
  <c r="V153" i="13"/>
  <c r="V25" i="13" s="1"/>
  <c r="T301" i="6" s="1"/>
  <c r="U27" i="13"/>
  <c r="S302" i="6" s="1"/>
  <c r="U11" i="13"/>
  <c r="U8" i="13"/>
  <c r="U104" i="12"/>
  <c r="U231" i="6"/>
  <c r="W231" i="13"/>
  <c r="W233" i="13" s="1"/>
  <c r="AB209" i="13"/>
  <c r="AB211" i="13" s="1"/>
  <c r="V109" i="13"/>
  <c r="W104" i="13"/>
  <c r="W106" i="13"/>
  <c r="W242" i="13"/>
  <c r="W244" i="13" s="1"/>
  <c r="S8" i="12"/>
  <c r="S148" i="11" s="1"/>
  <c r="Y184" i="13"/>
  <c r="Y186" i="13"/>
  <c r="X217" i="13"/>
  <c r="X219" i="13"/>
  <c r="Y195" i="13"/>
  <c r="Y197" i="13"/>
  <c r="Y248" i="12"/>
  <c r="Y80" i="12" s="1"/>
  <c r="Z248" i="12" s="1"/>
  <c r="Z80" i="12" s="1"/>
  <c r="W262" i="12"/>
  <c r="W111" i="12" s="1"/>
  <c r="X278" i="12"/>
  <c r="X145" i="12" s="1"/>
  <c r="R33" i="6"/>
  <c r="R34" i="6" s="1"/>
  <c r="T96" i="12"/>
  <c r="T6" i="12" s="1"/>
  <c r="T107" i="12"/>
  <c r="T34" i="12"/>
  <c r="S41" i="12"/>
  <c r="K297" i="22"/>
  <c r="R149" i="11"/>
  <c r="R46" i="11"/>
  <c r="R143" i="11"/>
  <c r="R161" i="11"/>
  <c r="R160" i="11"/>
  <c r="U164" i="12"/>
  <c r="U215" i="12"/>
  <c r="Q62" i="11"/>
  <c r="Q40" i="11"/>
  <c r="V44" i="12"/>
  <c r="U112" i="12"/>
  <c r="Z280" i="12"/>
  <c r="Z147" i="12" s="1"/>
  <c r="U232" i="12"/>
  <c r="U242" i="12" s="1"/>
  <c r="U35" i="12" s="1"/>
  <c r="T242" i="12"/>
  <c r="T35" i="12" s="1"/>
  <c r="V279" i="12"/>
  <c r="U289" i="12"/>
  <c r="U136" i="12" s="1"/>
  <c r="W23" i="12"/>
  <c r="W28" i="12" s="1"/>
  <c r="V29" i="12"/>
  <c r="U125" i="12"/>
  <c r="T142" i="12"/>
  <c r="T240" i="6" s="1"/>
  <c r="T244" i="6" s="1"/>
  <c r="X246" i="12"/>
  <c r="U58" i="12"/>
  <c r="T75" i="12"/>
  <c r="T234" i="6" s="1"/>
  <c r="T238" i="6" s="1"/>
  <c r="V247" i="12"/>
  <c r="R77" i="8" l="1"/>
  <c r="R45" i="18" s="1"/>
  <c r="R30" i="18"/>
  <c r="Q19" i="8"/>
  <c r="Q28" i="18" s="1"/>
  <c r="Q11" i="18"/>
  <c r="R38" i="6"/>
  <c r="S37" i="6"/>
  <c r="S40" i="6" s="1"/>
  <c r="R35" i="6"/>
  <c r="R15" i="19"/>
  <c r="R131" i="19" s="1"/>
  <c r="R15" i="8"/>
  <c r="R13" i="20" s="1"/>
  <c r="Z164" i="13"/>
  <c r="Q98" i="19"/>
  <c r="Q167" i="19"/>
  <c r="Z162" i="13"/>
  <c r="S71" i="19"/>
  <c r="S71" i="8"/>
  <c r="Q167" i="8"/>
  <c r="Q98" i="8"/>
  <c r="Q64" i="20" s="1"/>
  <c r="T72" i="19"/>
  <c r="T72" i="8"/>
  <c r="T73" i="19"/>
  <c r="T73" i="8"/>
  <c r="P49" i="15"/>
  <c r="X220" i="13"/>
  <c r="Y219" i="13" s="1"/>
  <c r="Z176" i="13"/>
  <c r="R406" i="6"/>
  <c r="R407" i="6" s="1"/>
  <c r="R408" i="6" s="1"/>
  <c r="R303" i="6"/>
  <c r="R304" i="6" s="1"/>
  <c r="S400" i="6"/>
  <c r="S405" i="6" s="1"/>
  <c r="S174" i="6"/>
  <c r="S175" i="6" s="1"/>
  <c r="S61" i="6" s="1"/>
  <c r="S271" i="6"/>
  <c r="S277" i="6"/>
  <c r="S71" i="6" s="1"/>
  <c r="U47" i="13"/>
  <c r="T276" i="6" s="1"/>
  <c r="Y187" i="13"/>
  <c r="Z184" i="13" s="1"/>
  <c r="U106" i="12"/>
  <c r="V101" i="12" s="1"/>
  <c r="T37" i="12"/>
  <c r="T8" i="12" s="1"/>
  <c r="T37" i="6" s="1"/>
  <c r="T225" i="6"/>
  <c r="W107" i="13"/>
  <c r="U138" i="12"/>
  <c r="U140" i="12" s="1"/>
  <c r="V135" i="12" s="1"/>
  <c r="U243" i="6"/>
  <c r="V154" i="13"/>
  <c r="V24" i="13"/>
  <c r="S7" i="12"/>
  <c r="S222" i="6"/>
  <c r="U37" i="12"/>
  <c r="U225" i="6"/>
  <c r="Y198" i="13"/>
  <c r="Y200" i="13" s="1"/>
  <c r="X239" i="13"/>
  <c r="X241" i="13"/>
  <c r="X228" i="13"/>
  <c r="X230" i="13"/>
  <c r="R159" i="11"/>
  <c r="R162" i="11" s="1"/>
  <c r="Y278" i="12"/>
  <c r="Y145" i="12" s="1"/>
  <c r="T40" i="12"/>
  <c r="V257" i="12"/>
  <c r="V69" i="12" s="1"/>
  <c r="V71" i="12" s="1"/>
  <c r="V73" i="12" s="1"/>
  <c r="W68" i="12" s="1"/>
  <c r="S38" i="6"/>
  <c r="S33" i="6"/>
  <c r="S34" i="6" s="1"/>
  <c r="V160" i="12"/>
  <c r="U216" i="12"/>
  <c r="U246" i="6" s="1"/>
  <c r="U249" i="6" s="1"/>
  <c r="X262" i="12"/>
  <c r="V146" i="12"/>
  <c r="W279" i="12" s="1"/>
  <c r="V289" i="12"/>
  <c r="V136" i="12" s="1"/>
  <c r="U63" i="12"/>
  <c r="U74" i="12"/>
  <c r="V263" i="12"/>
  <c r="V273" i="12" s="1"/>
  <c r="V102" i="12" s="1"/>
  <c r="L297" i="22"/>
  <c r="S149" i="11"/>
  <c r="S46" i="11"/>
  <c r="S143" i="11"/>
  <c r="S160" i="11"/>
  <c r="S161" i="11"/>
  <c r="X23" i="12"/>
  <c r="X28" i="12" s="1"/>
  <c r="W29" i="12"/>
  <c r="W231" i="12"/>
  <c r="U91" i="12"/>
  <c r="T108" i="12"/>
  <c r="T228" i="6" s="1"/>
  <c r="T232" i="6" s="1"/>
  <c r="U45" i="12"/>
  <c r="V79" i="12"/>
  <c r="U130" i="12"/>
  <c r="U141" i="12"/>
  <c r="X78" i="12"/>
  <c r="R58" i="11"/>
  <c r="R42" i="11"/>
  <c r="U8" i="12" l="1"/>
  <c r="U37" i="6" s="1"/>
  <c r="Y217" i="13"/>
  <c r="X222" i="13"/>
  <c r="Z165" i="13"/>
  <c r="Z167" i="13" s="1"/>
  <c r="Y189" i="13"/>
  <c r="S35" i="6"/>
  <c r="S15" i="19"/>
  <c r="S131" i="19" s="1"/>
  <c r="S15" i="8"/>
  <c r="S13" i="20" s="1"/>
  <c r="T71" i="19"/>
  <c r="T71" i="8"/>
  <c r="U74" i="19"/>
  <c r="U74" i="8"/>
  <c r="O13" i="15"/>
  <c r="R132" i="8"/>
  <c r="R47" i="6"/>
  <c r="R12" i="19"/>
  <c r="R13" i="19" s="1"/>
  <c r="R12" i="8"/>
  <c r="Z186" i="13"/>
  <c r="Z187" i="13" s="1"/>
  <c r="Z189" i="13" s="1"/>
  <c r="X242" i="13"/>
  <c r="Y239" i="13" s="1"/>
  <c r="R329" i="6"/>
  <c r="R305" i="6"/>
  <c r="S299" i="6" s="1"/>
  <c r="R409" i="6"/>
  <c r="Z178" i="13"/>
  <c r="AA173" i="13"/>
  <c r="AA175" i="13"/>
  <c r="S226" i="6"/>
  <c r="S261" i="6"/>
  <c r="S406" i="6"/>
  <c r="S407" i="6" s="1"/>
  <c r="S303" i="6"/>
  <c r="S304" i="6" s="1"/>
  <c r="U48" i="13"/>
  <c r="U21" i="13" s="1"/>
  <c r="T156" i="6"/>
  <c r="T271" i="6"/>
  <c r="T277" i="6"/>
  <c r="T71" i="6" s="1"/>
  <c r="T174" i="6"/>
  <c r="T175" i="6" s="1"/>
  <c r="T61" i="6" s="1"/>
  <c r="T148" i="11"/>
  <c r="T161" i="11" s="1"/>
  <c r="T39" i="12"/>
  <c r="U34" i="12" s="1"/>
  <c r="V8" i="13"/>
  <c r="V11" i="13"/>
  <c r="V156" i="13"/>
  <c r="V28" i="13" s="1"/>
  <c r="T307" i="6" s="1"/>
  <c r="T72" i="6" s="1"/>
  <c r="W151" i="13"/>
  <c r="W153" i="13"/>
  <c r="W25" i="13" s="1"/>
  <c r="U301" i="6" s="1"/>
  <c r="V27" i="13"/>
  <c r="Q49" i="15" s="1"/>
  <c r="Z195" i="13"/>
  <c r="Z197" i="13"/>
  <c r="Y220" i="13"/>
  <c r="Z217" i="13" s="1"/>
  <c r="W109" i="13"/>
  <c r="X104" i="13"/>
  <c r="X106" i="13"/>
  <c r="V104" i="12"/>
  <c r="V106" i="12" s="1"/>
  <c r="W101" i="12" s="1"/>
  <c r="V231" i="6"/>
  <c r="AA162" i="13"/>
  <c r="AA164" i="13"/>
  <c r="V138" i="12"/>
  <c r="V140" i="12" s="1"/>
  <c r="W135" i="12" s="1"/>
  <c r="V243" i="6"/>
  <c r="X231" i="13"/>
  <c r="U148" i="11"/>
  <c r="U46" i="11" s="1"/>
  <c r="S159" i="11"/>
  <c r="S162" i="11" s="1"/>
  <c r="V58" i="12"/>
  <c r="U75" i="12"/>
  <c r="U234" i="6" s="1"/>
  <c r="U238" i="6" s="1"/>
  <c r="V215" i="12"/>
  <c r="V164" i="12"/>
  <c r="Z278" i="12"/>
  <c r="Z145" i="12" s="1"/>
  <c r="U96" i="12"/>
  <c r="U107" i="12"/>
  <c r="Y246" i="12"/>
  <c r="Y78" i="12" s="1"/>
  <c r="W44" i="12"/>
  <c r="X231" i="12" s="1"/>
  <c r="S58" i="11"/>
  <c r="S42" i="11"/>
  <c r="T40" i="6"/>
  <c r="T38" i="6"/>
  <c r="T33" i="6"/>
  <c r="T34" i="6" s="1"/>
  <c r="U38" i="6"/>
  <c r="U40" i="6"/>
  <c r="U33" i="6"/>
  <c r="U34" i="6" s="1"/>
  <c r="V125" i="12"/>
  <c r="U142" i="12"/>
  <c r="U240" i="6" s="1"/>
  <c r="U244" i="6" s="1"/>
  <c r="W146" i="12"/>
  <c r="X279" i="12" s="1"/>
  <c r="W289" i="12"/>
  <c r="W136" i="12" s="1"/>
  <c r="R43" i="11"/>
  <c r="R41" i="11"/>
  <c r="V232" i="12"/>
  <c r="V45" i="12" s="1"/>
  <c r="X29" i="12"/>
  <c r="Y23" i="12"/>
  <c r="Y28" i="12" s="1"/>
  <c r="V112" i="12"/>
  <c r="X111" i="12"/>
  <c r="W247" i="12"/>
  <c r="W257" i="12" s="1"/>
  <c r="W69" i="12" s="1"/>
  <c r="W71" i="12" s="1"/>
  <c r="W73" i="12" s="1"/>
  <c r="X68" i="12" s="1"/>
  <c r="R13" i="8" l="1"/>
  <c r="R27" i="18" s="1"/>
  <c r="R11" i="20"/>
  <c r="R15" i="20" s="1"/>
  <c r="O60" i="15"/>
  <c r="R14" i="18"/>
  <c r="T160" i="11"/>
  <c r="T143" i="11"/>
  <c r="T149" i="11"/>
  <c r="T35" i="6"/>
  <c r="T15" i="19"/>
  <c r="T131" i="19" s="1"/>
  <c r="T15" i="8"/>
  <c r="T13" i="20" s="1"/>
  <c r="S70" i="19"/>
  <c r="S77" i="19" s="1"/>
  <c r="S70" i="8"/>
  <c r="U73" i="19"/>
  <c r="U73" i="8"/>
  <c r="U72" i="19"/>
  <c r="U72" i="8"/>
  <c r="P13" i="15"/>
  <c r="S132" i="8"/>
  <c r="Y241" i="13"/>
  <c r="Y242" i="13" s="1"/>
  <c r="Y244" i="13" s="1"/>
  <c r="X244" i="13"/>
  <c r="R18" i="19"/>
  <c r="R19" i="19" s="1"/>
  <c r="R18" i="8"/>
  <c r="S47" i="6"/>
  <c r="S12" i="19"/>
  <c r="S13" i="19" s="1"/>
  <c r="S12" i="8"/>
  <c r="U35" i="6"/>
  <c r="U15" i="19"/>
  <c r="U131" i="19" s="1"/>
  <c r="U15" i="8"/>
  <c r="U13" i="20" s="1"/>
  <c r="T46" i="11"/>
  <c r="T58" i="11" s="1"/>
  <c r="AA186" i="13"/>
  <c r="AA184" i="13"/>
  <c r="AA176" i="13"/>
  <c r="AA178" i="13" s="1"/>
  <c r="R330" i="6"/>
  <c r="R349" i="6"/>
  <c r="U161" i="11"/>
  <c r="N297" i="22"/>
  <c r="U149" i="11"/>
  <c r="T41" i="12"/>
  <c r="T222" i="6" s="1"/>
  <c r="S408" i="6"/>
  <c r="S409" i="6"/>
  <c r="S329" i="6"/>
  <c r="S305" i="6"/>
  <c r="T299" i="6" s="1"/>
  <c r="M297" i="22"/>
  <c r="S262" i="6"/>
  <c r="S393" i="6"/>
  <c r="V47" i="13"/>
  <c r="V48" i="13" s="1"/>
  <c r="V21" i="13" s="1"/>
  <c r="T302" i="6"/>
  <c r="AA165" i="13"/>
  <c r="AB162" i="13" s="1"/>
  <c r="Y222" i="13"/>
  <c r="U160" i="11"/>
  <c r="U143" i="11"/>
  <c r="W138" i="12"/>
  <c r="W140" i="12" s="1"/>
  <c r="X135" i="12" s="1"/>
  <c r="W243" i="6"/>
  <c r="X107" i="13"/>
  <c r="X109" i="13" s="1"/>
  <c r="Y228" i="13"/>
  <c r="Y230" i="13"/>
  <c r="W154" i="13"/>
  <c r="W24" i="13"/>
  <c r="Z220" i="13"/>
  <c r="Z222" i="13" s="1"/>
  <c r="Z198" i="13"/>
  <c r="Z200" i="13" s="1"/>
  <c r="X233" i="13"/>
  <c r="T159" i="11"/>
  <c r="T162" i="11" s="1"/>
  <c r="W160" i="12"/>
  <c r="V216" i="12"/>
  <c r="V246" i="6" s="1"/>
  <c r="V249" i="6" s="1"/>
  <c r="W263" i="12"/>
  <c r="W273" i="12" s="1"/>
  <c r="W102" i="12" s="1"/>
  <c r="V141" i="12"/>
  <c r="V130" i="12"/>
  <c r="V91" i="12"/>
  <c r="U108" i="12"/>
  <c r="U228" i="6" s="1"/>
  <c r="U232" i="6" s="1"/>
  <c r="S43" i="11"/>
  <c r="S41" i="11"/>
  <c r="V63" i="12"/>
  <c r="V74" i="12"/>
  <c r="Y29" i="12"/>
  <c r="Z23" i="12"/>
  <c r="Z28" i="12" s="1"/>
  <c r="X146" i="12"/>
  <c r="Y279" i="12" s="1"/>
  <c r="Z246" i="12"/>
  <c r="Z78" i="12" s="1"/>
  <c r="U6" i="12"/>
  <c r="W79" i="12"/>
  <c r="X289" i="12"/>
  <c r="X136" i="12" s="1"/>
  <c r="W232" i="12"/>
  <c r="W242" i="12" s="1"/>
  <c r="W35" i="12" s="1"/>
  <c r="V242" i="12"/>
  <c r="V35" i="12" s="1"/>
  <c r="X44" i="12"/>
  <c r="R40" i="11"/>
  <c r="R62" i="11"/>
  <c r="U58" i="11"/>
  <c r="U42" i="11"/>
  <c r="Y262" i="12"/>
  <c r="U40" i="12"/>
  <c r="U39" i="12"/>
  <c r="T42" i="11" l="1"/>
  <c r="R19" i="8"/>
  <c r="R28" i="18" s="1"/>
  <c r="R11" i="18"/>
  <c r="S77" i="8"/>
  <c r="S45" i="18" s="1"/>
  <c r="S30" i="18"/>
  <c r="S13" i="8"/>
  <c r="S27" i="18" s="1"/>
  <c r="S11" i="20"/>
  <c r="S15" i="20" s="1"/>
  <c r="P60" i="15"/>
  <c r="S14" i="18"/>
  <c r="AA167" i="13"/>
  <c r="AA187" i="13"/>
  <c r="AA189" i="13" s="1"/>
  <c r="S18" i="19"/>
  <c r="S19" i="19" s="1"/>
  <c r="S18" i="8"/>
  <c r="R13" i="15"/>
  <c r="U132" i="8"/>
  <c r="U159" i="11"/>
  <c r="U162" i="11" s="1"/>
  <c r="R350" i="6"/>
  <c r="R92" i="19"/>
  <c r="R92" i="8"/>
  <c r="U47" i="6"/>
  <c r="U12" i="19"/>
  <c r="U13" i="19" s="1"/>
  <c r="U12" i="8"/>
  <c r="Q13" i="15"/>
  <c r="T132" i="8"/>
  <c r="V74" i="19"/>
  <c r="V74" i="8"/>
  <c r="U71" i="19"/>
  <c r="U71" i="8"/>
  <c r="T47" i="6"/>
  <c r="T12" i="19"/>
  <c r="T13" i="19" s="1"/>
  <c r="T12" i="8"/>
  <c r="AB184" i="13"/>
  <c r="T7" i="12"/>
  <c r="AB173" i="13"/>
  <c r="AB175" i="13"/>
  <c r="AB164" i="13"/>
  <c r="AB165" i="13" s="1"/>
  <c r="AB167" i="13" s="1"/>
  <c r="T226" i="6"/>
  <c r="T261" i="6"/>
  <c r="S330" i="6"/>
  <c r="S349" i="6"/>
  <c r="T400" i="6"/>
  <c r="T405" i="6" s="1"/>
  <c r="U276" i="6"/>
  <c r="U277" i="6" s="1"/>
  <c r="U71" i="6" s="1"/>
  <c r="W11" i="13"/>
  <c r="W8" i="13"/>
  <c r="W156" i="13"/>
  <c r="W28" i="13" s="1"/>
  <c r="U307" i="6" s="1"/>
  <c r="U72" i="6" s="1"/>
  <c r="X151" i="13"/>
  <c r="X153" i="13"/>
  <c r="X25" i="13" s="1"/>
  <c r="V301" i="6" s="1"/>
  <c r="W27" i="13"/>
  <c r="U302" i="6" s="1"/>
  <c r="Z239" i="13"/>
  <c r="Z241" i="13"/>
  <c r="AA217" i="13"/>
  <c r="AA219" i="13"/>
  <c r="V37" i="12"/>
  <c r="V8" i="12" s="1"/>
  <c r="V37" i="6" s="1"/>
  <c r="V225" i="6"/>
  <c r="W37" i="12"/>
  <c r="W225" i="6"/>
  <c r="AA195" i="13"/>
  <c r="AA197" i="13"/>
  <c r="X138" i="12"/>
  <c r="X140" i="12" s="1"/>
  <c r="Y135" i="12" s="1"/>
  <c r="X243" i="6"/>
  <c r="Y104" i="13"/>
  <c r="Y106" i="13"/>
  <c r="W104" i="12"/>
  <c r="W106" i="12" s="1"/>
  <c r="X101" i="12" s="1"/>
  <c r="W231" i="6"/>
  <c r="Y231" i="13"/>
  <c r="W112" i="12"/>
  <c r="X263" i="12" s="1"/>
  <c r="W45" i="12"/>
  <c r="X232" i="12" s="1"/>
  <c r="X45" i="12" s="1"/>
  <c r="Y146" i="12"/>
  <c r="Z279" i="12" s="1"/>
  <c r="Y289" i="12"/>
  <c r="Y136" i="12" s="1"/>
  <c r="Y231" i="12"/>
  <c r="Y44" i="12" s="1"/>
  <c r="W125" i="12"/>
  <c r="V142" i="12"/>
  <c r="V240" i="6" s="1"/>
  <c r="V244" i="6" s="1"/>
  <c r="V34" i="12"/>
  <c r="U41" i="12"/>
  <c r="T43" i="11"/>
  <c r="T41" i="11"/>
  <c r="U43" i="11"/>
  <c r="U41" i="11"/>
  <c r="W215" i="12"/>
  <c r="W164" i="12"/>
  <c r="W58" i="12"/>
  <c r="V75" i="12"/>
  <c r="V234" i="6" s="1"/>
  <c r="V238" i="6" s="1"/>
  <c r="S40" i="11"/>
  <c r="S62" i="11"/>
  <c r="V96" i="12"/>
  <c r="V6" i="12" s="1"/>
  <c r="V107" i="12"/>
  <c r="Y111" i="12"/>
  <c r="X247" i="12"/>
  <c r="X257" i="12" s="1"/>
  <c r="X69" i="12" s="1"/>
  <c r="X71" i="12" s="1"/>
  <c r="X73" i="12" s="1"/>
  <c r="Y68" i="12" s="1"/>
  <c r="Z29" i="12"/>
  <c r="T13" i="8" l="1"/>
  <c r="T27" i="18" s="1"/>
  <c r="T11" i="20"/>
  <c r="T15" i="20" s="1"/>
  <c r="Q60" i="15"/>
  <c r="T14" i="18"/>
  <c r="U13" i="8"/>
  <c r="U27" i="18" s="1"/>
  <c r="U11" i="20"/>
  <c r="U15" i="20" s="1"/>
  <c r="R60" i="15"/>
  <c r="U14" i="18"/>
  <c r="S19" i="8"/>
  <c r="S28" i="18" s="1"/>
  <c r="S11" i="18"/>
  <c r="AB186" i="13"/>
  <c r="AA198" i="13"/>
  <c r="AB195" i="13" s="1"/>
  <c r="Z242" i="13"/>
  <c r="Z244" i="13" s="1"/>
  <c r="AB187" i="13"/>
  <c r="AB189" i="13" s="1"/>
  <c r="S350" i="6"/>
  <c r="S92" i="19"/>
  <c r="S92" i="8"/>
  <c r="T70" i="19"/>
  <c r="T77" i="19" s="1"/>
  <c r="T70" i="8"/>
  <c r="V73" i="19"/>
  <c r="V73" i="8"/>
  <c r="T18" i="19"/>
  <c r="T19" i="19" s="1"/>
  <c r="T18" i="8"/>
  <c r="R49" i="15"/>
  <c r="W8" i="12"/>
  <c r="W148" i="11" s="1"/>
  <c r="P297" i="22" s="1"/>
  <c r="U18" i="19"/>
  <c r="U19" i="19" s="1"/>
  <c r="U18" i="8"/>
  <c r="R167" i="8"/>
  <c r="R98" i="8"/>
  <c r="R64" i="20" s="1"/>
  <c r="V72" i="19"/>
  <c r="V72" i="8"/>
  <c r="R167" i="19"/>
  <c r="R98" i="19"/>
  <c r="AB176" i="13"/>
  <c r="AB178" i="13" s="1"/>
  <c r="T406" i="6"/>
  <c r="T407" i="6" s="1"/>
  <c r="T409" i="6" s="1"/>
  <c r="T303" i="6"/>
  <c r="T304" i="6" s="1"/>
  <c r="U400" i="6"/>
  <c r="U405" i="6" s="1"/>
  <c r="T262" i="6"/>
  <c r="T393" i="6"/>
  <c r="U174" i="6"/>
  <c r="U175" i="6" s="1"/>
  <c r="U61" i="6" s="1"/>
  <c r="U156" i="6"/>
  <c r="U271" i="6"/>
  <c r="W47" i="13"/>
  <c r="V276" i="6" s="1"/>
  <c r="Y107" i="13"/>
  <c r="X154" i="13"/>
  <c r="X24" i="13"/>
  <c r="Z228" i="13"/>
  <c r="Z230" i="13"/>
  <c r="Y233" i="13"/>
  <c r="AB197" i="13"/>
  <c r="Y138" i="12"/>
  <c r="Y140" i="12" s="1"/>
  <c r="Z135" i="12" s="1"/>
  <c r="Y243" i="6"/>
  <c r="AA200" i="13"/>
  <c r="AA239" i="13"/>
  <c r="AA241" i="13"/>
  <c r="AA220" i="13"/>
  <c r="AA222" i="13" s="1"/>
  <c r="V148" i="11"/>
  <c r="V46" i="11" s="1"/>
  <c r="U7" i="12"/>
  <c r="U222" i="6"/>
  <c r="X79" i="12"/>
  <c r="Y247" i="12" s="1"/>
  <c r="Y257" i="12" s="1"/>
  <c r="Y69" i="12" s="1"/>
  <c r="Y71" i="12" s="1"/>
  <c r="Y73" i="12" s="1"/>
  <c r="Z68" i="12" s="1"/>
  <c r="Z231" i="12"/>
  <c r="Z44" i="12" s="1"/>
  <c r="X273" i="12"/>
  <c r="X102" i="12" s="1"/>
  <c r="V40" i="6"/>
  <c r="V38" i="6"/>
  <c r="V33" i="6"/>
  <c r="V34" i="6" s="1"/>
  <c r="W141" i="12"/>
  <c r="W130" i="12"/>
  <c r="X242" i="12"/>
  <c r="X35" i="12" s="1"/>
  <c r="Y232" i="12"/>
  <c r="Y45" i="12" s="1"/>
  <c r="Z262" i="12"/>
  <c r="Z111" i="12" s="1"/>
  <c r="T40" i="11"/>
  <c r="T62" i="11"/>
  <c r="U40" i="11"/>
  <c r="U62" i="11"/>
  <c r="V40" i="12"/>
  <c r="V39" i="12"/>
  <c r="Z146" i="12"/>
  <c r="Z289" i="12"/>
  <c r="Z136" i="12" s="1"/>
  <c r="W91" i="12"/>
  <c r="V108" i="12"/>
  <c r="V228" i="6" s="1"/>
  <c r="V232" i="6" s="1"/>
  <c r="X160" i="12"/>
  <c r="W216" i="12"/>
  <c r="W246" i="6" s="1"/>
  <c r="W249" i="6" s="1"/>
  <c r="W63" i="12"/>
  <c r="W74" i="12"/>
  <c r="X112" i="12"/>
  <c r="Y263" i="12" s="1"/>
  <c r="Z231" i="13" l="1"/>
  <c r="AA228" i="13" s="1"/>
  <c r="T19" i="8"/>
  <c r="T28" i="18" s="1"/>
  <c r="T11" i="18"/>
  <c r="U19" i="8"/>
  <c r="U28" i="18" s="1"/>
  <c r="U11" i="18"/>
  <c r="T77" i="8"/>
  <c r="T45" i="18" s="1"/>
  <c r="T30" i="18"/>
  <c r="AB198" i="13"/>
  <c r="AB200" i="13" s="1"/>
  <c r="W46" i="11"/>
  <c r="W37" i="6"/>
  <c r="W33" i="6" s="1"/>
  <c r="W34" i="6" s="1"/>
  <c r="W143" i="11"/>
  <c r="W161" i="11"/>
  <c r="W160" i="11"/>
  <c r="W159" i="11" s="1"/>
  <c r="W162" i="11" s="1"/>
  <c r="W149" i="11"/>
  <c r="W74" i="19"/>
  <c r="W74" i="8"/>
  <c r="V71" i="19"/>
  <c r="V71" i="8"/>
  <c r="S167" i="8"/>
  <c r="S98" i="8"/>
  <c r="S64" i="20" s="1"/>
  <c r="V35" i="6"/>
  <c r="V15" i="19"/>
  <c r="V131" i="19" s="1"/>
  <c r="V15" i="8"/>
  <c r="V13" i="20" s="1"/>
  <c r="S98" i="19"/>
  <c r="S167" i="19"/>
  <c r="T408" i="6"/>
  <c r="U406" i="6"/>
  <c r="U407" i="6" s="1"/>
  <c r="U409" i="6" s="1"/>
  <c r="U303" i="6"/>
  <c r="U304" i="6" s="1"/>
  <c r="T305" i="6"/>
  <c r="U299" i="6" s="1"/>
  <c r="T329" i="6"/>
  <c r="U226" i="6"/>
  <c r="U261" i="6"/>
  <c r="V271" i="6"/>
  <c r="V156" i="6"/>
  <c r="W48" i="13"/>
  <c r="W21" i="13" s="1"/>
  <c r="O297" i="22"/>
  <c r="V161" i="11"/>
  <c r="V160" i="11"/>
  <c r="V277" i="6"/>
  <c r="V71" i="6" s="1"/>
  <c r="V174" i="6"/>
  <c r="V175" i="6" s="1"/>
  <c r="V61" i="6" s="1"/>
  <c r="V143" i="11"/>
  <c r="V149" i="11"/>
  <c r="AA231" i="13"/>
  <c r="AA233" i="13" s="1"/>
  <c r="X37" i="12"/>
  <c r="X225" i="6"/>
  <c r="AA242" i="13"/>
  <c r="AB239" i="13" s="1"/>
  <c r="Z233" i="13"/>
  <c r="Z138" i="12"/>
  <c r="Z140" i="12" s="1"/>
  <c r="Z243" i="6"/>
  <c r="X8" i="13"/>
  <c r="X11" i="13"/>
  <c r="X104" i="12"/>
  <c r="X106" i="12" s="1"/>
  <c r="Y101" i="12" s="1"/>
  <c r="X231" i="6"/>
  <c r="X156" i="13"/>
  <c r="X28" i="13" s="1"/>
  <c r="V307" i="6" s="1"/>
  <c r="V72" i="6" s="1"/>
  <c r="Y151" i="13"/>
  <c r="Y153" i="13"/>
  <c r="Y25" i="13" s="1"/>
  <c r="W301" i="6" s="1"/>
  <c r="X27" i="13"/>
  <c r="V302" i="6" s="1"/>
  <c r="AB217" i="13"/>
  <c r="AB219" i="13"/>
  <c r="Y109" i="13"/>
  <c r="Z104" i="13"/>
  <c r="Z106" i="13"/>
  <c r="Y242" i="12"/>
  <c r="Y35" i="12" s="1"/>
  <c r="Y79" i="12"/>
  <c r="Z247" i="12" s="1"/>
  <c r="Z257" i="12" s="1"/>
  <c r="Z69" i="12" s="1"/>
  <c r="Z71" i="12" s="1"/>
  <c r="Z73" i="12" s="1"/>
  <c r="Y273" i="12"/>
  <c r="Y102" i="12" s="1"/>
  <c r="X125" i="12"/>
  <c r="W142" i="12"/>
  <c r="W240" i="6" s="1"/>
  <c r="W244" i="6" s="1"/>
  <c r="W34" i="12"/>
  <c r="V41" i="12"/>
  <c r="W75" i="12"/>
  <c r="W234" i="6" s="1"/>
  <c r="W238" i="6" s="1"/>
  <c r="X58" i="12"/>
  <c r="V58" i="11"/>
  <c r="V42" i="11"/>
  <c r="Z232" i="12"/>
  <c r="Z242" i="12" s="1"/>
  <c r="Z35" i="12" s="1"/>
  <c r="X215" i="12"/>
  <c r="X164" i="12"/>
  <c r="W58" i="11"/>
  <c r="W42" i="11"/>
  <c r="Y112" i="12"/>
  <c r="Z263" i="12" s="1"/>
  <c r="W96" i="12"/>
  <c r="W6" i="12" s="1"/>
  <c r="W107" i="12"/>
  <c r="W40" i="6" l="1"/>
  <c r="W38" i="6"/>
  <c r="V47" i="6"/>
  <c r="V12" i="19"/>
  <c r="V13" i="19" s="1"/>
  <c r="V12" i="8"/>
  <c r="W35" i="6"/>
  <c r="W15" i="19"/>
  <c r="W131" i="19" s="1"/>
  <c r="W15" i="8"/>
  <c r="W13" i="20" s="1"/>
  <c r="AA244" i="13"/>
  <c r="S49" i="15"/>
  <c r="U70" i="19"/>
  <c r="U77" i="19" s="1"/>
  <c r="U70" i="8"/>
  <c r="W72" i="19"/>
  <c r="W72" i="8"/>
  <c r="W73" i="19"/>
  <c r="W73" i="8"/>
  <c r="S13" i="15"/>
  <c r="V132" i="8"/>
  <c r="U408" i="6"/>
  <c r="V159" i="11"/>
  <c r="V162" i="11" s="1"/>
  <c r="U262" i="6"/>
  <c r="U393" i="6"/>
  <c r="T330" i="6"/>
  <c r="T349" i="6"/>
  <c r="U305" i="6"/>
  <c r="V299" i="6" s="1"/>
  <c r="U329" i="6"/>
  <c r="V400" i="6"/>
  <c r="V405" i="6" s="1"/>
  <c r="X47" i="13"/>
  <c r="X48" i="13" s="1"/>
  <c r="X21" i="13" s="1"/>
  <c r="X8" i="12"/>
  <c r="X148" i="11" s="1"/>
  <c r="Y154" i="13"/>
  <c r="Y24" i="13"/>
  <c r="Z107" i="13"/>
  <c r="AB242" i="13"/>
  <c r="AB244" i="13" s="1"/>
  <c r="Y104" i="12"/>
  <c r="Y106" i="12" s="1"/>
  <c r="Z101" i="12" s="1"/>
  <c r="Y231" i="6"/>
  <c r="Z37" i="12"/>
  <c r="Z225" i="6"/>
  <c r="V7" i="12"/>
  <c r="V222" i="6"/>
  <c r="AB220" i="13"/>
  <c r="AB222" i="13" s="1"/>
  <c r="Y37" i="12"/>
  <c r="Y225" i="6"/>
  <c r="AB228" i="13"/>
  <c r="AB230" i="13"/>
  <c r="Z79" i="12"/>
  <c r="Z45" i="12"/>
  <c r="Z112" i="12"/>
  <c r="Z273" i="12"/>
  <c r="Z102" i="12" s="1"/>
  <c r="W43" i="11"/>
  <c r="W41" i="11"/>
  <c r="X216" i="12"/>
  <c r="X246" i="6" s="1"/>
  <c r="X249" i="6" s="1"/>
  <c r="Y160" i="12"/>
  <c r="X141" i="12"/>
  <c r="X130" i="12"/>
  <c r="W40" i="12"/>
  <c r="W39" i="12"/>
  <c r="X91" i="12"/>
  <c r="W108" i="12"/>
  <c r="W228" i="6" s="1"/>
  <c r="W232" i="6" s="1"/>
  <c r="X63" i="12"/>
  <c r="X74" i="12"/>
  <c r="V43" i="11"/>
  <c r="V41" i="11"/>
  <c r="V13" i="8" l="1"/>
  <c r="V27" i="18" s="1"/>
  <c r="V11" i="20"/>
  <c r="V15" i="20" s="1"/>
  <c r="U77" i="8"/>
  <c r="U45" i="18" s="1"/>
  <c r="U30" i="18"/>
  <c r="S60" i="15"/>
  <c r="V14" i="18"/>
  <c r="X37" i="6"/>
  <c r="X40" i="6" s="1"/>
  <c r="Y8" i="12"/>
  <c r="Y148" i="11" s="1"/>
  <c r="Y149" i="11" s="1"/>
  <c r="T13" i="15"/>
  <c r="W132" i="8"/>
  <c r="T350" i="6"/>
  <c r="T92" i="19"/>
  <c r="T92" i="8"/>
  <c r="W47" i="6"/>
  <c r="W12" i="19"/>
  <c r="W13" i="19" s="1"/>
  <c r="W12" i="8"/>
  <c r="X74" i="19"/>
  <c r="X74" i="8"/>
  <c r="W71" i="19"/>
  <c r="W71" i="8"/>
  <c r="V18" i="19"/>
  <c r="V19" i="19" s="1"/>
  <c r="V18" i="8"/>
  <c r="V406" i="6"/>
  <c r="V407" i="6" s="1"/>
  <c r="V409" i="6" s="1"/>
  <c r="V303" i="6"/>
  <c r="V304" i="6" s="1"/>
  <c r="V226" i="6"/>
  <c r="V261" i="6"/>
  <c r="U330" i="6"/>
  <c r="U349" i="6"/>
  <c r="W276" i="6"/>
  <c r="W271" i="6" s="1"/>
  <c r="AB231" i="13"/>
  <c r="AB233" i="13" s="1"/>
  <c r="Z109" i="13"/>
  <c r="AA104" i="13"/>
  <c r="AA106" i="13"/>
  <c r="Y8" i="13"/>
  <c r="Y11" i="13"/>
  <c r="Z104" i="12"/>
  <c r="Z8" i="12" s="1"/>
  <c r="Z37" i="6" s="1"/>
  <c r="Z231" i="6"/>
  <c r="Y156" i="13"/>
  <c r="Y28" i="13" s="1"/>
  <c r="W307" i="6" s="1"/>
  <c r="W72" i="6" s="1"/>
  <c r="Z151" i="13"/>
  <c r="Z153" i="13"/>
  <c r="Z25" i="13" s="1"/>
  <c r="X301" i="6" s="1"/>
  <c r="Y27" i="13"/>
  <c r="T49" i="15" s="1"/>
  <c r="Y58" i="12"/>
  <c r="X75" i="12"/>
  <c r="X234" i="6" s="1"/>
  <c r="X238" i="6" s="1"/>
  <c r="Y125" i="12"/>
  <c r="X142" i="12"/>
  <c r="X240" i="6" s="1"/>
  <c r="X244" i="6" s="1"/>
  <c r="Y215" i="12"/>
  <c r="Y164" i="12"/>
  <c r="V40" i="11"/>
  <c r="V62" i="11"/>
  <c r="X96" i="12"/>
  <c r="X6" i="12" s="1"/>
  <c r="X107" i="12"/>
  <c r="X34" i="12"/>
  <c r="W41" i="12"/>
  <c r="W62" i="11"/>
  <c r="W40" i="11"/>
  <c r="Q297" i="22"/>
  <c r="X149" i="11"/>
  <c r="X143" i="11"/>
  <c r="X160" i="11"/>
  <c r="X161" i="11"/>
  <c r="X46" i="11"/>
  <c r="Y37" i="6" l="1"/>
  <c r="Y40" i="6" s="1"/>
  <c r="X33" i="6"/>
  <c r="X34" i="6" s="1"/>
  <c r="X38" i="6"/>
  <c r="W13" i="8"/>
  <c r="W27" i="18" s="1"/>
  <c r="W11" i="20"/>
  <c r="W15" i="20" s="1"/>
  <c r="V19" i="8"/>
  <c r="V28" i="18" s="1"/>
  <c r="V11" i="18"/>
  <c r="T60" i="15"/>
  <c r="W14" i="18"/>
  <c r="Y143" i="11"/>
  <c r="Y35" i="6"/>
  <c r="Y15" i="19"/>
  <c r="Y131" i="19" s="1"/>
  <c r="Y15" i="8"/>
  <c r="Y13" i="20" s="1"/>
  <c r="W18" i="19"/>
  <c r="W19" i="19" s="1"/>
  <c r="W18" i="8"/>
  <c r="X35" i="6"/>
  <c r="X15" i="19"/>
  <c r="X131" i="19" s="1"/>
  <c r="X15" i="8"/>
  <c r="X13" i="20" s="1"/>
  <c r="Y161" i="11"/>
  <c r="Y46" i="11"/>
  <c r="Y58" i="11" s="1"/>
  <c r="T167" i="8"/>
  <c r="T98" i="8"/>
  <c r="T64" i="20" s="1"/>
  <c r="T98" i="19"/>
  <c r="T167" i="19"/>
  <c r="X73" i="19"/>
  <c r="X73" i="8"/>
  <c r="U350" i="6"/>
  <c r="U92" i="19"/>
  <c r="U92" i="8"/>
  <c r="R297" i="22"/>
  <c r="X72" i="19"/>
  <c r="X72" i="8"/>
  <c r="V70" i="19"/>
  <c r="V77" i="19" s="1"/>
  <c r="V70" i="8"/>
  <c r="Y160" i="11"/>
  <c r="Y159" i="11" s="1"/>
  <c r="Y162" i="11" s="1"/>
  <c r="Y33" i="6"/>
  <c r="Y34" i="6" s="1"/>
  <c r="Z148" i="11"/>
  <c r="Z46" i="11" s="1"/>
  <c r="Y38" i="6"/>
  <c r="W174" i="6"/>
  <c r="W175" i="6" s="1"/>
  <c r="W61" i="6" s="1"/>
  <c r="W277" i="6"/>
  <c r="W71" i="6" s="1"/>
  <c r="V262" i="6"/>
  <c r="V393" i="6"/>
  <c r="V305" i="6"/>
  <c r="W299" i="6" s="1"/>
  <c r="V329" i="6"/>
  <c r="V408" i="6"/>
  <c r="W156" i="6"/>
  <c r="Y47" i="13"/>
  <c r="Y48" i="13" s="1"/>
  <c r="Y21" i="13" s="1"/>
  <c r="W302" i="6"/>
  <c r="Z106" i="12"/>
  <c r="Z154" i="13"/>
  <c r="Z24" i="13"/>
  <c r="AA107" i="13"/>
  <c r="AA109" i="13" s="1"/>
  <c r="W7" i="12"/>
  <c r="W222" i="6"/>
  <c r="Z40" i="6"/>
  <c r="Z38" i="6"/>
  <c r="Z33" i="6"/>
  <c r="Z34" i="6" s="1"/>
  <c r="Y141" i="12"/>
  <c r="Y130" i="12"/>
  <c r="Y91" i="12"/>
  <c r="X108" i="12"/>
  <c r="X228" i="6" s="1"/>
  <c r="X232" i="6" s="1"/>
  <c r="Y42" i="11"/>
  <c r="Y63" i="12"/>
  <c r="Y74" i="12"/>
  <c r="X58" i="11"/>
  <c r="X42" i="11"/>
  <c r="Z160" i="12"/>
  <c r="Y216" i="12"/>
  <c r="Y246" i="6" s="1"/>
  <c r="Y249" i="6" s="1"/>
  <c r="X40" i="12"/>
  <c r="X39" i="12"/>
  <c r="X159" i="11"/>
  <c r="X162" i="11" s="1"/>
  <c r="V77" i="8" l="1"/>
  <c r="V45" i="18" s="1"/>
  <c r="V30" i="18"/>
  <c r="W11" i="18"/>
  <c r="W19" i="8"/>
  <c r="W28" i="18" s="1"/>
  <c r="Z161" i="11"/>
  <c r="Z143" i="11"/>
  <c r="S297" i="22"/>
  <c r="Z149" i="11"/>
  <c r="Z160" i="11"/>
  <c r="X47" i="6"/>
  <c r="X12" i="19"/>
  <c r="X13" i="19" s="1"/>
  <c r="X12" i="8"/>
  <c r="U167" i="8"/>
  <c r="U98" i="8"/>
  <c r="U64" i="20" s="1"/>
  <c r="V13" i="15"/>
  <c r="Y132" i="8"/>
  <c r="Y74" i="19"/>
  <c r="Y74" i="8"/>
  <c r="U167" i="19"/>
  <c r="U98" i="19"/>
  <c r="Y47" i="6"/>
  <c r="Y12" i="19"/>
  <c r="Y13" i="19" s="1"/>
  <c r="Y12" i="8"/>
  <c r="Z35" i="6"/>
  <c r="Z15" i="19"/>
  <c r="Z131" i="19" s="1"/>
  <c r="Z15" i="8"/>
  <c r="Z13" i="20" s="1"/>
  <c r="X71" i="19"/>
  <c r="X71" i="8"/>
  <c r="U13" i="15"/>
  <c r="X132" i="8"/>
  <c r="W400" i="6"/>
  <c r="W405" i="6" s="1"/>
  <c r="W226" i="6"/>
  <c r="W261" i="6"/>
  <c r="V330" i="6"/>
  <c r="V349" i="6"/>
  <c r="X276" i="6"/>
  <c r="X156" i="6" s="1"/>
  <c r="AB104" i="13"/>
  <c r="AB106" i="13"/>
  <c r="Z8" i="13"/>
  <c r="Z11" i="13"/>
  <c r="Z156" i="13"/>
  <c r="Z28" i="13" s="1"/>
  <c r="X307" i="6" s="1"/>
  <c r="X72" i="6" s="1"/>
  <c r="AA151" i="13"/>
  <c r="AA153" i="13"/>
  <c r="AA25" i="13" s="1"/>
  <c r="Y301" i="6" s="1"/>
  <c r="Z27" i="13"/>
  <c r="X302" i="6" s="1"/>
  <c r="Z215" i="12"/>
  <c r="Z164" i="12"/>
  <c r="Z216" i="12" s="1"/>
  <c r="Z246" i="6" s="1"/>
  <c r="Z249" i="6" s="1"/>
  <c r="Y96" i="12"/>
  <c r="Y107" i="12"/>
  <c r="X43" i="11"/>
  <c r="X41" i="11"/>
  <c r="Z125" i="12"/>
  <c r="Y142" i="12"/>
  <c r="Y240" i="6" s="1"/>
  <c r="Y244" i="6" s="1"/>
  <c r="Z58" i="11"/>
  <c r="Z42" i="11"/>
  <c r="Z58" i="12"/>
  <c r="Y75" i="12"/>
  <c r="Y234" i="6" s="1"/>
  <c r="Y238" i="6" s="1"/>
  <c r="X41" i="12"/>
  <c r="Y34" i="12"/>
  <c r="Y43" i="11"/>
  <c r="Y41" i="11"/>
  <c r="U60" i="15" l="1"/>
  <c r="X14" i="18"/>
  <c r="X13" i="8"/>
  <c r="X27" i="18" s="1"/>
  <c r="X11" i="20"/>
  <c r="X15" i="20" s="1"/>
  <c r="Z159" i="11"/>
  <c r="Z162" i="11" s="1"/>
  <c r="Y13" i="8"/>
  <c r="Y27" i="18" s="1"/>
  <c r="Y11" i="20"/>
  <c r="Y15" i="20" s="1"/>
  <c r="V60" i="15"/>
  <c r="Y14" i="18"/>
  <c r="W70" i="19"/>
  <c r="W77" i="19" s="1"/>
  <c r="W70" i="8"/>
  <c r="Z47" i="6"/>
  <c r="Z12" i="19"/>
  <c r="Z13" i="19" s="1"/>
  <c r="Z12" i="8"/>
  <c r="Y72" i="19"/>
  <c r="Y72" i="8"/>
  <c r="Y18" i="19"/>
  <c r="Y19" i="19" s="1"/>
  <c r="Y18" i="8"/>
  <c r="U49" i="15"/>
  <c r="Y73" i="19"/>
  <c r="Y73" i="8"/>
  <c r="V350" i="6"/>
  <c r="V92" i="19"/>
  <c r="V92" i="8"/>
  <c r="W13" i="15"/>
  <c r="Z132" i="8"/>
  <c r="Z74" i="19"/>
  <c r="Z74" i="8"/>
  <c r="X18" i="19"/>
  <c r="X19" i="19" s="1"/>
  <c r="X18" i="8"/>
  <c r="W262" i="6"/>
  <c r="W393" i="6"/>
  <c r="W406" i="6"/>
  <c r="W303" i="6"/>
  <c r="W304" i="6" s="1"/>
  <c r="X400" i="6"/>
  <c r="X405" i="6" s="1"/>
  <c r="X174" i="6"/>
  <c r="X175" i="6" s="1"/>
  <c r="X61" i="6" s="1"/>
  <c r="X277" i="6"/>
  <c r="X71" i="6" s="1"/>
  <c r="X271" i="6"/>
  <c r="Z47" i="13"/>
  <c r="Z48" i="13" s="1"/>
  <c r="Z21" i="13" s="1"/>
  <c r="X7" i="12"/>
  <c r="X222" i="6"/>
  <c r="AB107" i="13"/>
  <c r="AB109" i="13"/>
  <c r="AA154" i="13"/>
  <c r="AA24" i="13"/>
  <c r="X40" i="11"/>
  <c r="X62" i="11"/>
  <c r="Z91" i="12"/>
  <c r="Y108" i="12"/>
  <c r="Y228" i="6" s="1"/>
  <c r="Y232" i="6" s="1"/>
  <c r="Z63" i="12"/>
  <c r="Z74" i="12"/>
  <c r="Y40" i="12"/>
  <c r="Y39" i="12"/>
  <c r="Z130" i="12"/>
  <c r="Z142" i="12" s="1"/>
  <c r="Z240" i="6" s="1"/>
  <c r="Z244" i="6" s="1"/>
  <c r="Z141" i="12"/>
  <c r="Y6" i="12"/>
  <c r="Z43" i="11"/>
  <c r="Z41" i="11"/>
  <c r="Y40" i="11"/>
  <c r="Y62" i="11"/>
  <c r="X11" i="18" l="1"/>
  <c r="X19" i="8"/>
  <c r="X28" i="18" s="1"/>
  <c r="W77" i="8"/>
  <c r="W45" i="18" s="1"/>
  <c r="W30" i="18"/>
  <c r="Y19" i="8"/>
  <c r="Y28" i="18" s="1"/>
  <c r="Y11" i="18"/>
  <c r="W60" i="15"/>
  <c r="Z14" i="18"/>
  <c r="Z13" i="8"/>
  <c r="Z27" i="18" s="1"/>
  <c r="Z11" i="20"/>
  <c r="Z15" i="20" s="1"/>
  <c r="V167" i="8"/>
  <c r="V98" i="8"/>
  <c r="V64" i="20" s="1"/>
  <c r="Z73" i="19"/>
  <c r="Z73" i="8"/>
  <c r="Z18" i="19"/>
  <c r="Z19" i="19" s="1"/>
  <c r="Z18" i="8"/>
  <c r="V98" i="19"/>
  <c r="V167" i="19"/>
  <c r="Y71" i="19"/>
  <c r="Y71" i="8"/>
  <c r="X406" i="6"/>
  <c r="X407" i="6" s="1"/>
  <c r="X409" i="6" s="1"/>
  <c r="X303" i="6"/>
  <c r="X304" i="6" s="1"/>
  <c r="W407" i="6"/>
  <c r="W408" i="6" s="1"/>
  <c r="X226" i="6"/>
  <c r="X261" i="6"/>
  <c r="W305" i="6"/>
  <c r="X299" i="6" s="1"/>
  <c r="W329" i="6"/>
  <c r="Y276" i="6"/>
  <c r="Y277" i="6" s="1"/>
  <c r="Y71" i="6" s="1"/>
  <c r="AA11" i="13"/>
  <c r="AA8" i="13"/>
  <c r="AB151" i="13"/>
  <c r="AB153" i="13"/>
  <c r="AB25" i="13" s="1"/>
  <c r="Z301" i="6" s="1"/>
  <c r="AA27" i="13"/>
  <c r="V49" i="15" s="1"/>
  <c r="AA156" i="13"/>
  <c r="AA28" i="13" s="1"/>
  <c r="Y307" i="6" s="1"/>
  <c r="Y72" i="6" s="1"/>
  <c r="Z62" i="11"/>
  <c r="Z40" i="11"/>
  <c r="Z75" i="12"/>
  <c r="Z234" i="6" s="1"/>
  <c r="Z238" i="6" s="1"/>
  <c r="Z34" i="12"/>
  <c r="Y41" i="12"/>
  <c r="Z96" i="12"/>
  <c r="Z108" i="12" s="1"/>
  <c r="Z228" i="6" s="1"/>
  <c r="Z232" i="6" s="1"/>
  <c r="Z107" i="12"/>
  <c r="Z19" i="8" l="1"/>
  <c r="Z28" i="18" s="1"/>
  <c r="Z11" i="18"/>
  <c r="X408" i="6"/>
  <c r="Z72" i="19"/>
  <c r="Z72" i="8"/>
  <c r="Z71" i="19"/>
  <c r="Z71" i="8"/>
  <c r="X70" i="19"/>
  <c r="X77" i="19" s="1"/>
  <c r="X70" i="8"/>
  <c r="W409" i="6"/>
  <c r="X305" i="6"/>
  <c r="Y299" i="6" s="1"/>
  <c r="X329" i="6"/>
  <c r="X262" i="6"/>
  <c r="X393" i="6"/>
  <c r="W330" i="6"/>
  <c r="W349" i="6"/>
  <c r="Y174" i="6"/>
  <c r="Y175" i="6" s="1"/>
  <c r="Y61" i="6" s="1"/>
  <c r="Y156" i="6"/>
  <c r="Y271" i="6"/>
  <c r="AA47" i="13"/>
  <c r="AA48" i="13" s="1"/>
  <c r="AA21" i="13" s="1"/>
  <c r="Y302" i="6"/>
  <c r="Y7" i="12"/>
  <c r="Y222" i="6"/>
  <c r="AB154" i="13"/>
  <c r="AB24" i="13"/>
  <c r="Z6" i="12"/>
  <c r="Z40" i="12"/>
  <c r="Z39" i="12"/>
  <c r="Z41" i="12" s="1"/>
  <c r="X77" i="8" l="1"/>
  <c r="X45" i="18" s="1"/>
  <c r="X30" i="18"/>
  <c r="W350" i="6"/>
  <c r="W92" i="19"/>
  <c r="W92" i="8"/>
  <c r="Y400" i="6"/>
  <c r="Y405" i="6" s="1"/>
  <c r="Y226" i="6"/>
  <c r="Y261" i="6"/>
  <c r="X330" i="6"/>
  <c r="X349" i="6"/>
  <c r="Z276" i="6"/>
  <c r="Z156" i="6" s="1"/>
  <c r="AB11" i="13"/>
  <c r="AB8" i="13"/>
  <c r="AB156" i="13"/>
  <c r="AB28" i="13" s="1"/>
  <c r="Z307" i="6" s="1"/>
  <c r="Z72" i="6" s="1"/>
  <c r="AB27" i="13"/>
  <c r="W49" i="15" s="1"/>
  <c r="Z7" i="12"/>
  <c r="Z222" i="6"/>
  <c r="Y70" i="19" l="1"/>
  <c r="Y77" i="19" s="1"/>
  <c r="Y70" i="8"/>
  <c r="W167" i="8"/>
  <c r="W98" i="8"/>
  <c r="W64" i="20" s="1"/>
  <c r="W98" i="19"/>
  <c r="W167" i="19"/>
  <c r="X350" i="6"/>
  <c r="X92" i="19"/>
  <c r="X92" i="8"/>
  <c r="Z226" i="6"/>
  <c r="Z261" i="6"/>
  <c r="Y262" i="6"/>
  <c r="Y393" i="6"/>
  <c r="Y406" i="6"/>
  <c r="Y407" i="6" s="1"/>
  <c r="Y303" i="6"/>
  <c r="Y304" i="6" s="1"/>
  <c r="Z174" i="6"/>
  <c r="Z175" i="6" s="1"/>
  <c r="Z61" i="6" s="1"/>
  <c r="Z277" i="6"/>
  <c r="Z71" i="6" s="1"/>
  <c r="Z271" i="6"/>
  <c r="AB47" i="13"/>
  <c r="AB48" i="13" s="1"/>
  <c r="AB21" i="13" s="1"/>
  <c r="Z302" i="6"/>
  <c r="Y77" i="8" l="1"/>
  <c r="Y45" i="18" s="1"/>
  <c r="Y30" i="18"/>
  <c r="X167" i="19"/>
  <c r="X98" i="19"/>
  <c r="Z70" i="19"/>
  <c r="Z77" i="19" s="1"/>
  <c r="Z70" i="8"/>
  <c r="X167" i="8"/>
  <c r="X98" i="8"/>
  <c r="X64" i="20" s="1"/>
  <c r="Y408" i="6"/>
  <c r="Y409" i="6"/>
  <c r="Z400" i="6"/>
  <c r="Z405" i="6" s="1"/>
  <c r="Y329" i="6"/>
  <c r="Y305" i="6"/>
  <c r="Z299" i="6" s="1"/>
  <c r="Z262" i="6"/>
  <c r="Z393" i="6"/>
  <c r="Z77" i="8" l="1"/>
  <c r="Z45" i="18" s="1"/>
  <c r="Z30" i="18"/>
  <c r="Y330" i="6"/>
  <c r="Y349" i="6"/>
  <c r="Z406" i="6"/>
  <c r="Z407" i="6" s="1"/>
  <c r="Z408" i="6" s="1"/>
  <c r="Z303" i="6"/>
  <c r="Z304" i="6" s="1"/>
  <c r="Y350" i="6" l="1"/>
  <c r="Y92" i="19"/>
  <c r="Y92" i="8"/>
  <c r="Z329" i="6"/>
  <c r="Z305" i="6"/>
  <c r="Z409" i="6"/>
  <c r="Y167" i="8" l="1"/>
  <c r="Y98" i="8"/>
  <c r="Y64" i="20" s="1"/>
  <c r="Y167" i="19"/>
  <c r="Y98" i="19"/>
  <c r="Z330" i="6"/>
  <c r="Z349" i="6"/>
  <c r="Z350" i="6" l="1"/>
  <c r="Z92" i="19"/>
  <c r="Z92" i="8"/>
  <c r="Q118" i="6"/>
  <c r="Q37" i="8" s="1"/>
  <c r="Q152" i="8" s="1"/>
  <c r="Q37" i="19"/>
  <c r="Q151" i="19" s="1"/>
  <c r="R118" i="6"/>
  <c r="R37" i="19" s="1"/>
  <c r="R151" i="19" s="1"/>
  <c r="S118" i="6"/>
  <c r="S37" i="19" s="1"/>
  <c r="S151" i="19" s="1"/>
  <c r="T118" i="6"/>
  <c r="T37" i="19" s="1"/>
  <c r="T151" i="19" s="1"/>
  <c r="U118" i="6"/>
  <c r="U37" i="19" s="1"/>
  <c r="U151" i="19" s="1"/>
  <c r="V118" i="6"/>
  <c r="V37" i="19" s="1"/>
  <c r="V151" i="19" s="1"/>
  <c r="W118" i="6"/>
  <c r="W37" i="19" s="1"/>
  <c r="W151" i="19" s="1"/>
  <c r="X118" i="6"/>
  <c r="X37" i="19" s="1"/>
  <c r="X151" i="19" s="1"/>
  <c r="Y118" i="6"/>
  <c r="Y37" i="19" s="1"/>
  <c r="Y151" i="19" s="1"/>
  <c r="Z118" i="6"/>
  <c r="Z37" i="19" s="1"/>
  <c r="Z151" i="19" s="1"/>
  <c r="O66" i="15"/>
  <c r="P66" i="15"/>
  <c r="Q66" i="15"/>
  <c r="R66" i="15"/>
  <c r="S66" i="15"/>
  <c r="T66" i="15"/>
  <c r="U66" i="15"/>
  <c r="V66" i="15"/>
  <c r="W66" i="15"/>
  <c r="S37" i="8" l="1"/>
  <c r="S152" i="8" s="1"/>
  <c r="T37" i="8"/>
  <c r="T152" i="8" s="1"/>
  <c r="V37" i="8"/>
  <c r="V152" i="8" s="1"/>
  <c r="X37" i="8"/>
  <c r="X152" i="8" s="1"/>
  <c r="W37" i="8"/>
  <c r="W152" i="8" s="1"/>
  <c r="U37" i="8"/>
  <c r="U152" i="8" s="1"/>
  <c r="Y37" i="8"/>
  <c r="Y152" i="8" s="1"/>
  <c r="Z37" i="8"/>
  <c r="Z152" i="8" s="1"/>
  <c r="R37" i="8"/>
  <c r="R152" i="8" s="1"/>
  <c r="Z167" i="8"/>
  <c r="Z98" i="8"/>
  <c r="Z64" i="20" s="1"/>
  <c r="Z167" i="19"/>
  <c r="Z98" i="19"/>
  <c r="N7" i="17"/>
  <c r="O7" i="17"/>
  <c r="W7" i="17"/>
  <c r="N8" i="17"/>
  <c r="O8" i="17"/>
  <c r="W8" i="17"/>
  <c r="N9" i="17"/>
  <c r="O9" i="17"/>
  <c r="N11" i="17"/>
  <c r="N13" i="17"/>
  <c r="O13" i="17"/>
  <c r="N15" i="17"/>
  <c r="O15" i="17"/>
  <c r="D16" i="17"/>
  <c r="D17" i="17"/>
  <c r="N17" i="17"/>
  <c r="O17" i="17"/>
  <c r="D18" i="17"/>
  <c r="M21" i="17"/>
  <c r="O21" i="17"/>
  <c r="M22" i="17"/>
  <c r="O22" i="17"/>
  <c r="D24" i="17"/>
  <c r="D25" i="17"/>
  <c r="O25" i="17"/>
  <c r="O30" i="17"/>
  <c r="O31" i="17"/>
  <c r="O33" i="17"/>
  <c r="Q19" i="20"/>
  <c r="R19" i="20"/>
  <c r="S19" i="20"/>
  <c r="T19" i="20"/>
  <c r="U19" i="20"/>
  <c r="V19" i="20"/>
  <c r="W19" i="20"/>
  <c r="X19" i="20"/>
  <c r="Y19" i="20"/>
  <c r="Z19" i="20"/>
  <c r="Q20" i="20"/>
  <c r="R20" i="20"/>
  <c r="S20" i="20"/>
  <c r="T20" i="20"/>
  <c r="U20" i="20"/>
  <c r="V20" i="20"/>
  <c r="W20" i="20"/>
  <c r="X20" i="20"/>
  <c r="Y20" i="20"/>
  <c r="Z20" i="20"/>
  <c r="Q21" i="20"/>
  <c r="R21" i="20"/>
  <c r="S21" i="20"/>
  <c r="T21" i="20"/>
  <c r="U21" i="20"/>
  <c r="V21" i="20"/>
  <c r="W21" i="20"/>
  <c r="X21" i="20"/>
  <c r="Y21" i="20"/>
  <c r="Z21" i="20"/>
  <c r="Q23" i="20"/>
  <c r="R23" i="20"/>
  <c r="S23" i="20"/>
  <c r="T23" i="20"/>
  <c r="U23" i="20"/>
  <c r="V23" i="20"/>
  <c r="W23" i="20"/>
  <c r="X23" i="20"/>
  <c r="Y23" i="20"/>
  <c r="Z23" i="20"/>
  <c r="Q25" i="20"/>
  <c r="R25" i="20"/>
  <c r="S25" i="20"/>
  <c r="T25" i="20"/>
  <c r="U25" i="20"/>
  <c r="V25" i="20"/>
  <c r="W25" i="20"/>
  <c r="X25" i="20"/>
  <c r="Y25" i="20"/>
  <c r="Z25" i="20"/>
  <c r="Q26" i="20"/>
  <c r="R26" i="20"/>
  <c r="S26" i="20"/>
  <c r="T26" i="20"/>
  <c r="U26" i="20"/>
  <c r="V26" i="20"/>
  <c r="W26" i="20"/>
  <c r="X26" i="20"/>
  <c r="Y26" i="20"/>
  <c r="Z26" i="20"/>
  <c r="Q30" i="20"/>
  <c r="R30" i="20"/>
  <c r="S30" i="20"/>
  <c r="T30" i="20"/>
  <c r="U30" i="20"/>
  <c r="V30" i="20"/>
  <c r="W30" i="20"/>
  <c r="X30" i="20"/>
  <c r="Y30" i="20"/>
  <c r="Z30" i="20"/>
  <c r="Q33" i="20"/>
  <c r="R33" i="20"/>
  <c r="S33" i="20"/>
  <c r="T33" i="20"/>
  <c r="U33" i="20"/>
  <c r="V33" i="20"/>
  <c r="W33" i="20"/>
  <c r="X33" i="20"/>
  <c r="Y33" i="20"/>
  <c r="Z33" i="20"/>
  <c r="Q40" i="20"/>
  <c r="R40" i="20"/>
  <c r="S40" i="20"/>
  <c r="T40" i="20"/>
  <c r="U40" i="20"/>
  <c r="V40" i="20"/>
  <c r="W40" i="20"/>
  <c r="X40" i="20"/>
  <c r="Y40" i="20"/>
  <c r="Z40" i="20"/>
  <c r="Q41" i="20"/>
  <c r="R41" i="20"/>
  <c r="S41" i="20"/>
  <c r="T41" i="20"/>
  <c r="U41" i="20"/>
  <c r="V41" i="20"/>
  <c r="W41" i="20"/>
  <c r="X41" i="20"/>
  <c r="Y41" i="20"/>
  <c r="Z41" i="20"/>
  <c r="Q42" i="20"/>
  <c r="R42" i="20"/>
  <c r="S42" i="20"/>
  <c r="T42" i="20"/>
  <c r="U42" i="20"/>
  <c r="V42" i="20"/>
  <c r="W42" i="20"/>
  <c r="X42" i="20"/>
  <c r="Y42" i="20"/>
  <c r="Z42" i="20"/>
  <c r="Q43" i="20"/>
  <c r="R43" i="20"/>
  <c r="S43" i="20"/>
  <c r="T43" i="20"/>
  <c r="U43" i="20"/>
  <c r="V43" i="20"/>
  <c r="W43" i="20"/>
  <c r="X43" i="20"/>
  <c r="Y43" i="20"/>
  <c r="Z43" i="20"/>
  <c r="Q44" i="20"/>
  <c r="R44" i="20"/>
  <c r="S44" i="20"/>
  <c r="T44" i="20"/>
  <c r="U44" i="20"/>
  <c r="V44" i="20"/>
  <c r="W44" i="20"/>
  <c r="X44" i="20"/>
  <c r="Y44" i="20"/>
  <c r="Z44" i="20"/>
  <c r="Q45" i="20"/>
  <c r="R45" i="20"/>
  <c r="S45" i="20"/>
  <c r="T45" i="20"/>
  <c r="U45" i="20"/>
  <c r="V45" i="20"/>
  <c r="W45" i="20"/>
  <c r="X45" i="20"/>
  <c r="Y45" i="20"/>
  <c r="Z45" i="20"/>
  <c r="Q46" i="20"/>
  <c r="R46" i="20"/>
  <c r="S46" i="20"/>
  <c r="T46" i="20"/>
  <c r="U46" i="20"/>
  <c r="V46" i="20"/>
  <c r="W46" i="20"/>
  <c r="X46" i="20"/>
  <c r="Y46" i="20"/>
  <c r="Z46" i="20"/>
  <c r="Q48" i="20"/>
  <c r="R48" i="20"/>
  <c r="S48" i="20"/>
  <c r="T48" i="20"/>
  <c r="U48" i="20"/>
  <c r="V48" i="20"/>
  <c r="W48" i="20"/>
  <c r="X48" i="20"/>
  <c r="Y48" i="20"/>
  <c r="Z48" i="20"/>
  <c r="Q49" i="20"/>
  <c r="R49" i="20"/>
  <c r="S49" i="20"/>
  <c r="T49" i="20"/>
  <c r="U49" i="20"/>
  <c r="V49" i="20"/>
  <c r="W49" i="20"/>
  <c r="X49" i="20"/>
  <c r="Y49" i="20"/>
  <c r="Z49" i="20"/>
  <c r="Q50" i="20"/>
  <c r="R50" i="20"/>
  <c r="S50" i="20"/>
  <c r="T50" i="20"/>
  <c r="U50" i="20"/>
  <c r="V50" i="20"/>
  <c r="W50" i="20"/>
  <c r="X50" i="20"/>
  <c r="Y50" i="20"/>
  <c r="Z50" i="20"/>
  <c r="Q51" i="20"/>
  <c r="R51" i="20"/>
  <c r="S51" i="20"/>
  <c r="T51" i="20"/>
  <c r="U51" i="20"/>
  <c r="V51" i="20"/>
  <c r="W51" i="20"/>
  <c r="X51" i="20"/>
  <c r="Y51" i="20"/>
  <c r="Z51" i="20"/>
  <c r="Q52" i="20"/>
  <c r="R52" i="20"/>
  <c r="S52" i="20"/>
  <c r="T52" i="20"/>
  <c r="U52" i="20"/>
  <c r="V52" i="20"/>
  <c r="W52" i="20"/>
  <c r="X52" i="20"/>
  <c r="Y52" i="20"/>
  <c r="Z52" i="20"/>
  <c r="Q55" i="20"/>
  <c r="R55" i="20"/>
  <c r="S55" i="20"/>
  <c r="T55" i="20"/>
  <c r="U55" i="20"/>
  <c r="V55" i="20"/>
  <c r="W55" i="20"/>
  <c r="X55" i="20"/>
  <c r="Y55" i="20"/>
  <c r="Z55" i="20"/>
  <c r="Q56" i="20"/>
  <c r="R56" i="20"/>
  <c r="S56" i="20"/>
  <c r="T56" i="20"/>
  <c r="U56" i="20"/>
  <c r="V56" i="20"/>
  <c r="W56" i="20"/>
  <c r="X56" i="20"/>
  <c r="Y56" i="20"/>
  <c r="Z56" i="20"/>
  <c r="Q57" i="20"/>
  <c r="R57" i="20"/>
  <c r="S57" i="20"/>
  <c r="T57" i="20"/>
  <c r="U57" i="20"/>
  <c r="V57" i="20"/>
  <c r="W57" i="20"/>
  <c r="X57" i="20"/>
  <c r="Y57" i="20"/>
  <c r="Z57" i="20"/>
  <c r="Q58" i="20"/>
  <c r="R58" i="20"/>
  <c r="S58" i="20"/>
  <c r="T58" i="20"/>
  <c r="U58" i="20"/>
  <c r="V58" i="20"/>
  <c r="W58" i="20"/>
  <c r="X58" i="20"/>
  <c r="Y58" i="20"/>
  <c r="Z58" i="20"/>
  <c r="Q59" i="20"/>
  <c r="R59" i="20"/>
  <c r="S59" i="20"/>
  <c r="T59" i="20"/>
  <c r="U59" i="20"/>
  <c r="V59" i="20"/>
  <c r="W59" i="20"/>
  <c r="X59" i="20"/>
  <c r="Y59" i="20"/>
  <c r="Z59" i="20"/>
  <c r="Q61" i="20"/>
  <c r="R61" i="20"/>
  <c r="S61" i="20"/>
  <c r="T61" i="20"/>
  <c r="U61" i="20"/>
  <c r="V61" i="20"/>
  <c r="W61" i="20"/>
  <c r="X61" i="20"/>
  <c r="Y61" i="20"/>
  <c r="Z61" i="20"/>
  <c r="Q62" i="20"/>
  <c r="R62" i="20"/>
  <c r="S62" i="20"/>
  <c r="T62" i="20"/>
  <c r="U62" i="20"/>
  <c r="V62" i="20"/>
  <c r="W62" i="20"/>
  <c r="X62" i="20"/>
  <c r="Y62" i="20"/>
  <c r="Z62" i="20"/>
  <c r="Q63" i="20"/>
  <c r="R63" i="20"/>
  <c r="S63" i="20"/>
  <c r="T63" i="20"/>
  <c r="U63" i="20"/>
  <c r="V63" i="20"/>
  <c r="W63" i="20"/>
  <c r="X63" i="20"/>
  <c r="Y63" i="20"/>
  <c r="Z63" i="20"/>
  <c r="Q65" i="20"/>
  <c r="R65" i="20"/>
  <c r="S65" i="20"/>
  <c r="T65" i="20"/>
  <c r="U65" i="20"/>
  <c r="V65" i="20"/>
  <c r="W65" i="20"/>
  <c r="X65" i="20"/>
  <c r="Y65" i="20"/>
  <c r="Z65" i="20"/>
  <c r="Q66" i="20"/>
  <c r="R66" i="20"/>
  <c r="S66" i="20"/>
  <c r="T66" i="20"/>
  <c r="U66" i="20"/>
  <c r="V66" i="20"/>
  <c r="W66" i="20"/>
  <c r="X66" i="20"/>
  <c r="Y66" i="20"/>
  <c r="Z66" i="20"/>
  <c r="Q67" i="20"/>
  <c r="R67" i="20"/>
  <c r="S67" i="20"/>
  <c r="T67" i="20"/>
  <c r="U67" i="20"/>
  <c r="V67" i="20"/>
  <c r="W67" i="20"/>
  <c r="X67" i="20"/>
  <c r="Y67" i="20"/>
  <c r="Z67" i="20"/>
  <c r="Q70" i="20"/>
  <c r="R70" i="20"/>
  <c r="S70" i="20"/>
  <c r="T70" i="20"/>
  <c r="U70" i="20"/>
  <c r="V70" i="20"/>
  <c r="W70" i="20"/>
  <c r="X70" i="20"/>
  <c r="Y70" i="20"/>
  <c r="Z70" i="20"/>
  <c r="Q73" i="20"/>
  <c r="R73" i="20"/>
  <c r="S73" i="20"/>
  <c r="T73" i="20"/>
  <c r="U73" i="20"/>
  <c r="V73" i="20"/>
  <c r="W73" i="20"/>
  <c r="X73" i="20"/>
  <c r="Y73" i="20"/>
  <c r="Z73" i="20"/>
  <c r="Q74" i="20"/>
  <c r="R74" i="20"/>
  <c r="S74" i="20"/>
  <c r="T74" i="20"/>
  <c r="U74" i="20"/>
  <c r="V74" i="20"/>
  <c r="W74" i="20"/>
  <c r="X74" i="20"/>
  <c r="Y74" i="20"/>
  <c r="Z74" i="20"/>
  <c r="Q75" i="20"/>
  <c r="R75" i="20"/>
  <c r="S75" i="20"/>
  <c r="T75" i="20"/>
  <c r="U75" i="20"/>
  <c r="V75" i="20"/>
  <c r="W75" i="20"/>
  <c r="X75" i="20"/>
  <c r="Y75" i="20"/>
  <c r="Z75" i="20"/>
  <c r="Q76" i="20"/>
  <c r="R76" i="20"/>
  <c r="S76" i="20"/>
  <c r="T76" i="20"/>
  <c r="U76" i="20"/>
  <c r="V76" i="20"/>
  <c r="W76" i="20"/>
  <c r="X76" i="20"/>
  <c r="Y76" i="20"/>
  <c r="Z76" i="20"/>
  <c r="Q77" i="20"/>
  <c r="R77" i="20"/>
  <c r="S77" i="20"/>
  <c r="T77" i="20"/>
  <c r="U77" i="20"/>
  <c r="V77" i="20"/>
  <c r="W77" i="20"/>
  <c r="X77" i="20"/>
  <c r="Y77" i="20"/>
  <c r="Z77" i="20"/>
  <c r="Q78" i="20"/>
  <c r="R78" i="20"/>
  <c r="S78" i="20"/>
  <c r="T78" i="20"/>
  <c r="U78" i="20"/>
  <c r="V78" i="20"/>
  <c r="W78" i="20"/>
  <c r="X78" i="20"/>
  <c r="Y78" i="20"/>
  <c r="Z78" i="20"/>
  <c r="N10" i="15"/>
  <c r="O10" i="15"/>
  <c r="P10" i="15"/>
  <c r="Q10" i="15"/>
  <c r="R10" i="15"/>
  <c r="S10" i="15"/>
  <c r="T10" i="15"/>
  <c r="U10" i="15"/>
  <c r="V10" i="15"/>
  <c r="W10" i="15"/>
  <c r="N11" i="15"/>
  <c r="O11" i="15"/>
  <c r="P11" i="15"/>
  <c r="Q11" i="15"/>
  <c r="R11" i="15"/>
  <c r="S11" i="15"/>
  <c r="T11" i="15"/>
  <c r="U11" i="15"/>
  <c r="V11" i="15"/>
  <c r="W11" i="15"/>
  <c r="BD12" i="15"/>
  <c r="N17" i="15"/>
  <c r="O17" i="15"/>
  <c r="P17" i="15"/>
  <c r="Q17" i="15"/>
  <c r="R17" i="15"/>
  <c r="S17" i="15"/>
  <c r="T17" i="15"/>
  <c r="U17" i="15"/>
  <c r="V17" i="15"/>
  <c r="W17" i="15"/>
  <c r="N18" i="15"/>
  <c r="O18" i="15"/>
  <c r="P18" i="15"/>
  <c r="Q18" i="15"/>
  <c r="R18" i="15"/>
  <c r="S18" i="15"/>
  <c r="T18" i="15"/>
  <c r="U18" i="15"/>
  <c r="V18" i="15"/>
  <c r="W18" i="15"/>
  <c r="N19" i="15"/>
  <c r="N20" i="15"/>
  <c r="O20" i="15"/>
  <c r="P20" i="15"/>
  <c r="Q20" i="15"/>
  <c r="R20" i="15"/>
  <c r="S20" i="15"/>
  <c r="T20" i="15"/>
  <c r="U20" i="15"/>
  <c r="V20" i="15"/>
  <c r="W20" i="15"/>
  <c r="D24" i="15"/>
  <c r="N27" i="15"/>
  <c r="O27" i="15"/>
  <c r="P27" i="15"/>
  <c r="Q27" i="15"/>
  <c r="R27" i="15"/>
  <c r="S27" i="15"/>
  <c r="T27" i="15"/>
  <c r="U27" i="15"/>
  <c r="V27" i="15"/>
  <c r="W27" i="15"/>
  <c r="N28" i="15"/>
  <c r="O28" i="15"/>
  <c r="P28" i="15"/>
  <c r="Q28" i="15"/>
  <c r="R28" i="15"/>
  <c r="S28" i="15"/>
  <c r="T28" i="15"/>
  <c r="U28" i="15"/>
  <c r="V28" i="15"/>
  <c r="W28" i="15"/>
  <c r="D29" i="15"/>
  <c r="D30" i="15"/>
  <c r="D31" i="15"/>
  <c r="D35" i="15"/>
  <c r="D37" i="15"/>
  <c r="N45" i="15"/>
  <c r="O45" i="15"/>
  <c r="P45" i="15"/>
  <c r="Q45" i="15"/>
  <c r="R45" i="15"/>
  <c r="S45" i="15"/>
  <c r="T45" i="15"/>
  <c r="U45" i="15"/>
  <c r="V45" i="15"/>
  <c r="W45" i="15"/>
  <c r="N47" i="15"/>
  <c r="O47" i="15"/>
  <c r="P47" i="15"/>
  <c r="Q47" i="15"/>
  <c r="R47" i="15"/>
  <c r="S47" i="15"/>
  <c r="T47" i="15"/>
  <c r="U47" i="15"/>
  <c r="V47" i="15"/>
  <c r="W47" i="15"/>
  <c r="N48" i="15"/>
  <c r="O48" i="15"/>
  <c r="P48" i="15"/>
  <c r="Q48" i="15"/>
  <c r="R48" i="15"/>
  <c r="S48" i="15"/>
  <c r="T48" i="15"/>
  <c r="U48" i="15"/>
  <c r="V48" i="15"/>
  <c r="W48" i="15"/>
  <c r="N50" i="15"/>
  <c r="O50" i="15"/>
  <c r="P50" i="15"/>
  <c r="Q50" i="15"/>
  <c r="R50" i="15"/>
  <c r="S50" i="15"/>
  <c r="T50" i="15"/>
  <c r="U50" i="15"/>
  <c r="V50" i="15"/>
  <c r="W50" i="15"/>
  <c r="N51" i="15"/>
  <c r="O51" i="15"/>
  <c r="P51" i="15"/>
  <c r="Q51" i="15"/>
  <c r="R51" i="15"/>
  <c r="S51" i="15"/>
  <c r="T51" i="15"/>
  <c r="U51" i="15"/>
  <c r="V51" i="15"/>
  <c r="W51" i="15"/>
  <c r="N57" i="15"/>
  <c r="O57" i="15"/>
  <c r="P57" i="15"/>
  <c r="Q57" i="15"/>
  <c r="R57" i="15"/>
  <c r="S57" i="15"/>
  <c r="T57" i="15"/>
  <c r="U57" i="15"/>
  <c r="V57" i="15"/>
  <c r="W57" i="15"/>
  <c r="N58" i="15"/>
  <c r="O58" i="15"/>
  <c r="P58" i="15"/>
  <c r="Q58" i="15"/>
  <c r="R58" i="15"/>
  <c r="S58" i="15"/>
  <c r="T58" i="15"/>
  <c r="U58" i="15"/>
  <c r="V58" i="15"/>
  <c r="W58" i="15"/>
  <c r="BD58" i="15"/>
  <c r="N64" i="15"/>
  <c r="O64" i="15"/>
  <c r="P64" i="15"/>
  <c r="Q64" i="15"/>
  <c r="R64" i="15"/>
  <c r="S64" i="15"/>
  <c r="T64" i="15"/>
  <c r="U64" i="15"/>
  <c r="V64" i="15"/>
  <c r="W64" i="15"/>
  <c r="N65" i="15"/>
  <c r="O65" i="15"/>
  <c r="P65" i="15"/>
  <c r="Q65" i="15"/>
  <c r="R65" i="15"/>
  <c r="S65" i="15"/>
  <c r="T65" i="15"/>
  <c r="U65" i="15"/>
  <c r="V65" i="15"/>
  <c r="W65" i="15"/>
  <c r="N66" i="15"/>
  <c r="N67" i="15"/>
  <c r="O67" i="15"/>
  <c r="P67" i="15"/>
  <c r="Q67" i="15"/>
  <c r="R67" i="15"/>
  <c r="S67" i="15"/>
  <c r="T67" i="15"/>
  <c r="U67" i="15"/>
  <c r="V67" i="15"/>
  <c r="W67" i="15"/>
  <c r="D70" i="15"/>
  <c r="N73" i="15"/>
  <c r="O73" i="15"/>
  <c r="P73" i="15"/>
  <c r="Q73" i="15"/>
  <c r="R73" i="15"/>
  <c r="S73" i="15"/>
  <c r="T73" i="15"/>
  <c r="U73" i="15"/>
  <c r="V73" i="15"/>
  <c r="W73" i="15"/>
  <c r="N74" i="15"/>
  <c r="O74" i="15"/>
  <c r="P74" i="15"/>
  <c r="Q74" i="15"/>
  <c r="R74" i="15"/>
  <c r="S74" i="15"/>
  <c r="T74" i="15"/>
  <c r="U74" i="15"/>
  <c r="V74" i="15"/>
  <c r="W74" i="15"/>
  <c r="D75" i="15"/>
  <c r="D76" i="15"/>
  <c r="D77" i="15"/>
  <c r="D82" i="15"/>
  <c r="D84" i="15"/>
  <c r="Q4" i="6"/>
  <c r="R4" i="6"/>
  <c r="S4" i="6"/>
  <c r="T4" i="6"/>
  <c r="U4" i="6"/>
  <c r="V4" i="6"/>
  <c r="W4" i="6"/>
  <c r="X4" i="6"/>
  <c r="Y4" i="6"/>
  <c r="Z4" i="6"/>
  <c r="Q58" i="6"/>
  <c r="R58" i="6"/>
  <c r="S58" i="6"/>
  <c r="T58" i="6"/>
  <c r="U58" i="6"/>
  <c r="V58" i="6"/>
  <c r="W58" i="6"/>
  <c r="X58" i="6"/>
  <c r="Y58" i="6"/>
  <c r="Z58" i="6"/>
  <c r="Q59" i="6"/>
  <c r="R59" i="6"/>
  <c r="S59" i="6"/>
  <c r="T59" i="6"/>
  <c r="U59" i="6"/>
  <c r="V59" i="6"/>
  <c r="W59" i="6"/>
  <c r="X59" i="6"/>
  <c r="Y59" i="6"/>
  <c r="Z59" i="6"/>
  <c r="Q60" i="6"/>
  <c r="R60" i="6"/>
  <c r="S60" i="6"/>
  <c r="T60" i="6"/>
  <c r="U60" i="6"/>
  <c r="V60" i="6"/>
  <c r="W60" i="6"/>
  <c r="X60" i="6"/>
  <c r="Y60" i="6"/>
  <c r="Z60" i="6"/>
  <c r="Q66" i="6"/>
  <c r="R66" i="6"/>
  <c r="S66" i="6"/>
  <c r="T66" i="6"/>
  <c r="U66" i="6"/>
  <c r="V66" i="6"/>
  <c r="W66" i="6"/>
  <c r="X66" i="6"/>
  <c r="Y66" i="6"/>
  <c r="Z66" i="6"/>
  <c r="Q68" i="6"/>
  <c r="R68" i="6"/>
  <c r="S68" i="6"/>
  <c r="T68" i="6"/>
  <c r="U68" i="6"/>
  <c r="V68" i="6"/>
  <c r="W68" i="6"/>
  <c r="X68" i="6"/>
  <c r="Y68" i="6"/>
  <c r="Z68" i="6"/>
  <c r="Q69" i="6"/>
  <c r="R69" i="6"/>
  <c r="S69" i="6"/>
  <c r="T69" i="6"/>
  <c r="U69" i="6"/>
  <c r="V69" i="6"/>
  <c r="W69" i="6"/>
  <c r="X69" i="6"/>
  <c r="Y69" i="6"/>
  <c r="Z69" i="6"/>
  <c r="Q70" i="6"/>
  <c r="R70" i="6"/>
  <c r="S70" i="6"/>
  <c r="T70" i="6"/>
  <c r="U70" i="6"/>
  <c r="V70" i="6"/>
  <c r="W70" i="6"/>
  <c r="X70" i="6"/>
  <c r="Y70" i="6"/>
  <c r="Z70" i="6"/>
  <c r="Q77" i="6"/>
  <c r="R77" i="6"/>
  <c r="S77" i="6"/>
  <c r="T77" i="6"/>
  <c r="U77" i="6"/>
  <c r="V77" i="6"/>
  <c r="W77" i="6"/>
  <c r="X77" i="6"/>
  <c r="Y77" i="6"/>
  <c r="Z77" i="6"/>
  <c r="Q84" i="6"/>
  <c r="R84" i="6"/>
  <c r="S84" i="6"/>
  <c r="T84" i="6"/>
  <c r="U84" i="6"/>
  <c r="V84" i="6"/>
  <c r="W84" i="6"/>
  <c r="X84" i="6"/>
  <c r="Y84" i="6"/>
  <c r="Z84" i="6"/>
  <c r="Q85" i="6"/>
  <c r="R85" i="6"/>
  <c r="S85" i="6"/>
  <c r="T85" i="6"/>
  <c r="U85" i="6"/>
  <c r="V85" i="6"/>
  <c r="W85" i="6"/>
  <c r="X85" i="6"/>
  <c r="Y85" i="6"/>
  <c r="Z85" i="6"/>
  <c r="Q86" i="6"/>
  <c r="R86" i="6"/>
  <c r="S86" i="6"/>
  <c r="T86" i="6"/>
  <c r="U86" i="6"/>
  <c r="V86" i="6"/>
  <c r="W86" i="6"/>
  <c r="X86" i="6"/>
  <c r="Y86" i="6"/>
  <c r="Z86" i="6"/>
  <c r="Q88" i="6"/>
  <c r="R88" i="6"/>
  <c r="S88" i="6"/>
  <c r="T88" i="6"/>
  <c r="U88" i="6"/>
  <c r="V88" i="6"/>
  <c r="W88" i="6"/>
  <c r="X88" i="6"/>
  <c r="Y88" i="6"/>
  <c r="Z88" i="6"/>
  <c r="Q90" i="6"/>
  <c r="R90" i="6"/>
  <c r="S90" i="6"/>
  <c r="T90" i="6"/>
  <c r="U90" i="6"/>
  <c r="V90" i="6"/>
  <c r="W90" i="6"/>
  <c r="X90" i="6"/>
  <c r="Y90" i="6"/>
  <c r="Z90" i="6"/>
  <c r="Q92" i="6"/>
  <c r="R92" i="6"/>
  <c r="S92" i="6"/>
  <c r="T92" i="6"/>
  <c r="U92" i="6"/>
  <c r="V92" i="6"/>
  <c r="W92" i="6"/>
  <c r="X92" i="6"/>
  <c r="Y92" i="6"/>
  <c r="Z92" i="6"/>
  <c r="Q93" i="6"/>
  <c r="R93" i="6"/>
  <c r="S93" i="6"/>
  <c r="T93" i="6"/>
  <c r="U93" i="6"/>
  <c r="V93" i="6"/>
  <c r="W93" i="6"/>
  <c r="X93" i="6"/>
  <c r="Y93" i="6"/>
  <c r="Z93" i="6"/>
  <c r="Q94" i="6"/>
  <c r="R94" i="6"/>
  <c r="S94" i="6"/>
  <c r="T94" i="6"/>
  <c r="U94" i="6"/>
  <c r="V94" i="6"/>
  <c r="W94" i="6"/>
  <c r="X94" i="6"/>
  <c r="Y94" i="6"/>
  <c r="Z94" i="6"/>
  <c r="Q95" i="6"/>
  <c r="R95" i="6"/>
  <c r="S95" i="6"/>
  <c r="T95" i="6"/>
  <c r="U95" i="6"/>
  <c r="V95" i="6"/>
  <c r="W95" i="6"/>
  <c r="X95" i="6"/>
  <c r="Y95" i="6"/>
  <c r="Z95" i="6"/>
  <c r="Q98" i="6"/>
  <c r="R98" i="6"/>
  <c r="S98" i="6"/>
  <c r="T98" i="6"/>
  <c r="U98" i="6"/>
  <c r="V98" i="6"/>
  <c r="W98" i="6"/>
  <c r="X98" i="6"/>
  <c r="Y98" i="6"/>
  <c r="Z98" i="6"/>
  <c r="Q100" i="6"/>
  <c r="R100" i="6"/>
  <c r="S100" i="6"/>
  <c r="T100" i="6"/>
  <c r="U100" i="6"/>
  <c r="V100" i="6"/>
  <c r="W100" i="6"/>
  <c r="X100" i="6"/>
  <c r="Y100" i="6"/>
  <c r="Z100" i="6"/>
  <c r="Q102" i="6"/>
  <c r="R102" i="6"/>
  <c r="S102" i="6"/>
  <c r="T102" i="6"/>
  <c r="U102" i="6"/>
  <c r="V102" i="6"/>
  <c r="W102" i="6"/>
  <c r="X102" i="6"/>
  <c r="Y102" i="6"/>
  <c r="Z102" i="6"/>
  <c r="Q106" i="6"/>
  <c r="R106" i="6"/>
  <c r="S106" i="6"/>
  <c r="T106" i="6"/>
  <c r="U106" i="6"/>
  <c r="V106" i="6"/>
  <c r="W106" i="6"/>
  <c r="X106" i="6"/>
  <c r="Y106" i="6"/>
  <c r="Z106" i="6"/>
  <c r="Q107" i="6"/>
  <c r="R107" i="6"/>
  <c r="S107" i="6"/>
  <c r="T107" i="6"/>
  <c r="U107" i="6"/>
  <c r="V107" i="6"/>
  <c r="W107" i="6"/>
  <c r="X107" i="6"/>
  <c r="Y107" i="6"/>
  <c r="Z107" i="6"/>
  <c r="Q109" i="6"/>
  <c r="R109" i="6"/>
  <c r="S109" i="6"/>
  <c r="T109" i="6"/>
  <c r="U109" i="6"/>
  <c r="V109" i="6"/>
  <c r="W109" i="6"/>
  <c r="X109" i="6"/>
  <c r="Y109" i="6"/>
  <c r="Z109" i="6"/>
  <c r="Q110" i="6"/>
  <c r="R110" i="6"/>
  <c r="S110" i="6"/>
  <c r="T110" i="6"/>
  <c r="U110" i="6"/>
  <c r="V110" i="6"/>
  <c r="W110" i="6"/>
  <c r="X110" i="6"/>
  <c r="Y110" i="6"/>
  <c r="Z110" i="6"/>
  <c r="Q112" i="6"/>
  <c r="R112" i="6"/>
  <c r="S112" i="6"/>
  <c r="T112" i="6"/>
  <c r="U112" i="6"/>
  <c r="V112" i="6"/>
  <c r="W112" i="6"/>
  <c r="X112" i="6"/>
  <c r="Y112" i="6"/>
  <c r="Z112" i="6"/>
  <c r="Q113" i="6"/>
  <c r="R113" i="6"/>
  <c r="S113" i="6"/>
  <c r="T113" i="6"/>
  <c r="U113" i="6"/>
  <c r="V113" i="6"/>
  <c r="W113" i="6"/>
  <c r="X113" i="6"/>
  <c r="Y113" i="6"/>
  <c r="Z113" i="6"/>
  <c r="Q114" i="6"/>
  <c r="R114" i="6"/>
  <c r="S114" i="6"/>
  <c r="T114" i="6"/>
  <c r="U114" i="6"/>
  <c r="V114" i="6"/>
  <c r="W114" i="6"/>
  <c r="X114" i="6"/>
  <c r="Y114" i="6"/>
  <c r="Z114" i="6"/>
  <c r="Q127" i="6"/>
  <c r="R127" i="6"/>
  <c r="S127" i="6"/>
  <c r="T127" i="6"/>
  <c r="U127" i="6"/>
  <c r="V127" i="6"/>
  <c r="W127" i="6"/>
  <c r="X127" i="6"/>
  <c r="Y127" i="6"/>
  <c r="Z127" i="6"/>
  <c r="Q128" i="6"/>
  <c r="R128" i="6"/>
  <c r="S128" i="6"/>
  <c r="T128" i="6"/>
  <c r="U128" i="6"/>
  <c r="V128" i="6"/>
  <c r="W128" i="6"/>
  <c r="X128" i="6"/>
  <c r="Y128" i="6"/>
  <c r="Z128" i="6"/>
  <c r="Q131" i="6"/>
  <c r="R131" i="6"/>
  <c r="S131" i="6"/>
  <c r="T131" i="6"/>
  <c r="U131" i="6"/>
  <c r="V131" i="6"/>
  <c r="W131" i="6"/>
  <c r="X131" i="6"/>
  <c r="Y131" i="6"/>
  <c r="Z131" i="6"/>
  <c r="Q135" i="6"/>
  <c r="R135" i="6"/>
  <c r="S135" i="6"/>
  <c r="T135" i="6"/>
  <c r="U135" i="6"/>
  <c r="V135" i="6"/>
  <c r="W135" i="6"/>
  <c r="X135" i="6"/>
  <c r="Y135" i="6"/>
  <c r="Z135" i="6"/>
  <c r="Q136" i="6"/>
  <c r="R136" i="6"/>
  <c r="S136" i="6"/>
  <c r="T136" i="6"/>
  <c r="U136" i="6"/>
  <c r="V136" i="6"/>
  <c r="W136" i="6"/>
  <c r="X136" i="6"/>
  <c r="Y136" i="6"/>
  <c r="Z136" i="6"/>
  <c r="Q142" i="6"/>
  <c r="R142" i="6"/>
  <c r="S142" i="6"/>
  <c r="T142" i="6"/>
  <c r="U142" i="6"/>
  <c r="V142" i="6"/>
  <c r="W142" i="6"/>
  <c r="X142" i="6"/>
  <c r="Y142" i="6"/>
  <c r="Z142" i="6"/>
  <c r="Q143" i="6"/>
  <c r="R143" i="6"/>
  <c r="S143" i="6"/>
  <c r="T143" i="6"/>
  <c r="U143" i="6"/>
  <c r="V143" i="6"/>
  <c r="W143" i="6"/>
  <c r="X143" i="6"/>
  <c r="Y143" i="6"/>
  <c r="Z143" i="6"/>
  <c r="Q145" i="6"/>
  <c r="R145" i="6"/>
  <c r="S145" i="6"/>
  <c r="T145" i="6"/>
  <c r="U145" i="6"/>
  <c r="V145" i="6"/>
  <c r="W145" i="6"/>
  <c r="X145" i="6"/>
  <c r="Y145" i="6"/>
  <c r="Z145" i="6"/>
  <c r="Q146" i="6"/>
  <c r="R146" i="6"/>
  <c r="S146" i="6"/>
  <c r="T146" i="6"/>
  <c r="U146" i="6"/>
  <c r="V146" i="6"/>
  <c r="W146" i="6"/>
  <c r="X146" i="6"/>
  <c r="Y146" i="6"/>
  <c r="Z146" i="6"/>
  <c r="Q147" i="6"/>
  <c r="R147" i="6"/>
  <c r="S147" i="6"/>
  <c r="T147" i="6"/>
  <c r="U147" i="6"/>
  <c r="V147" i="6"/>
  <c r="W147" i="6"/>
  <c r="X147" i="6"/>
  <c r="Y147" i="6"/>
  <c r="Z147" i="6"/>
  <c r="Q155" i="6"/>
  <c r="R155" i="6"/>
  <c r="S155" i="6"/>
  <c r="T155" i="6"/>
  <c r="U155" i="6"/>
  <c r="V155" i="6"/>
  <c r="W155" i="6"/>
  <c r="X155" i="6"/>
  <c r="Y155" i="6"/>
  <c r="Z155" i="6"/>
  <c r="Q157" i="6"/>
  <c r="R157" i="6"/>
  <c r="S157" i="6"/>
  <c r="T157" i="6"/>
  <c r="U157" i="6"/>
  <c r="V157" i="6"/>
  <c r="W157" i="6"/>
  <c r="X157" i="6"/>
  <c r="Y157" i="6"/>
  <c r="Z157" i="6"/>
  <c r="Q158" i="6"/>
  <c r="R158" i="6"/>
  <c r="S158" i="6"/>
  <c r="T158" i="6"/>
  <c r="U158" i="6"/>
  <c r="V158" i="6"/>
  <c r="W158" i="6"/>
  <c r="X158" i="6"/>
  <c r="Y158" i="6"/>
  <c r="Z158" i="6"/>
  <c r="BE177" i="6"/>
  <c r="Q178" i="6"/>
  <c r="R178" i="6"/>
  <c r="S178" i="6"/>
  <c r="T178" i="6"/>
  <c r="U178" i="6"/>
  <c r="V178" i="6"/>
  <c r="W178" i="6"/>
  <c r="X178" i="6"/>
  <c r="Y178" i="6"/>
  <c r="Z178" i="6"/>
  <c r="BE178" i="6"/>
  <c r="Q179" i="6"/>
  <c r="R179" i="6"/>
  <c r="S179" i="6"/>
  <c r="T179" i="6"/>
  <c r="U179" i="6"/>
  <c r="V179" i="6"/>
  <c r="W179" i="6"/>
  <c r="X179" i="6"/>
  <c r="Y179" i="6"/>
  <c r="Z179" i="6"/>
  <c r="Q180" i="6"/>
  <c r="R180" i="6"/>
  <c r="S180" i="6"/>
  <c r="T180" i="6"/>
  <c r="U180" i="6"/>
  <c r="V180" i="6"/>
  <c r="W180" i="6"/>
  <c r="X180" i="6"/>
  <c r="Y180" i="6"/>
  <c r="Z180" i="6"/>
  <c r="Q213" i="6"/>
  <c r="R213" i="6"/>
  <c r="S213" i="6"/>
  <c r="T213" i="6"/>
  <c r="U213" i="6"/>
  <c r="V213" i="6"/>
  <c r="W213" i="6"/>
  <c r="X213" i="6"/>
  <c r="Y213" i="6"/>
  <c r="Z213" i="6"/>
  <c r="Q214" i="6"/>
  <c r="R214" i="6"/>
  <c r="S214" i="6"/>
  <c r="T214" i="6"/>
  <c r="U214" i="6"/>
  <c r="V214" i="6"/>
  <c r="W214" i="6"/>
  <c r="X214" i="6"/>
  <c r="Y214" i="6"/>
  <c r="Z214" i="6"/>
  <c r="Q264" i="6"/>
  <c r="R264" i="6"/>
  <c r="S264" i="6"/>
  <c r="T264" i="6"/>
  <c r="U264" i="6"/>
  <c r="V264" i="6"/>
  <c r="W264" i="6"/>
  <c r="X264" i="6"/>
  <c r="Y264" i="6"/>
  <c r="Z264" i="6"/>
  <c r="Q265" i="6"/>
  <c r="R265" i="6"/>
  <c r="S265" i="6"/>
  <c r="T265" i="6"/>
  <c r="U265" i="6"/>
  <c r="V265" i="6"/>
  <c r="W265" i="6"/>
  <c r="X265" i="6"/>
  <c r="Y265" i="6"/>
  <c r="Z265" i="6"/>
  <c r="Q267" i="6"/>
  <c r="R267" i="6"/>
  <c r="S267" i="6"/>
  <c r="T267" i="6"/>
  <c r="U267" i="6"/>
  <c r="V267" i="6"/>
  <c r="W267" i="6"/>
  <c r="X267" i="6"/>
  <c r="Y267" i="6"/>
  <c r="Z267" i="6"/>
  <c r="Q270" i="6"/>
  <c r="R270" i="6"/>
  <c r="S270" i="6"/>
  <c r="T270" i="6"/>
  <c r="U270" i="6"/>
  <c r="V270" i="6"/>
  <c r="W270" i="6"/>
  <c r="X270" i="6"/>
  <c r="Y270" i="6"/>
  <c r="Z270" i="6"/>
  <c r="Q272" i="6"/>
  <c r="R272" i="6"/>
  <c r="S272" i="6"/>
  <c r="T272" i="6"/>
  <c r="U272" i="6"/>
  <c r="V272" i="6"/>
  <c r="W272" i="6"/>
  <c r="X272" i="6"/>
  <c r="Y272" i="6"/>
  <c r="Z272" i="6"/>
  <c r="Q273" i="6"/>
  <c r="R273" i="6"/>
  <c r="S273" i="6"/>
  <c r="T273" i="6"/>
  <c r="U273" i="6"/>
  <c r="V273" i="6"/>
  <c r="W273" i="6"/>
  <c r="X273" i="6"/>
  <c r="Y273" i="6"/>
  <c r="Z273" i="6"/>
  <c r="Q295" i="6"/>
  <c r="R295" i="6"/>
  <c r="S295" i="6"/>
  <c r="T295" i="6"/>
  <c r="U295" i="6"/>
  <c r="V295" i="6"/>
  <c r="W295" i="6"/>
  <c r="X295" i="6"/>
  <c r="Y295" i="6"/>
  <c r="Z295" i="6"/>
  <c r="Q296" i="6"/>
  <c r="R296" i="6"/>
  <c r="S296" i="6"/>
  <c r="T296" i="6"/>
  <c r="U296" i="6"/>
  <c r="V296" i="6"/>
  <c r="W296" i="6"/>
  <c r="X296" i="6"/>
  <c r="Y296" i="6"/>
  <c r="Z296" i="6"/>
  <c r="Q352" i="6"/>
  <c r="R352" i="6"/>
  <c r="S352" i="6"/>
  <c r="T352" i="6"/>
  <c r="U352" i="6"/>
  <c r="V352" i="6"/>
  <c r="W352" i="6"/>
  <c r="X352" i="6"/>
  <c r="Y352" i="6"/>
  <c r="Z352" i="6"/>
  <c r="Q353" i="6"/>
  <c r="R353" i="6"/>
  <c r="S353" i="6"/>
  <c r="T353" i="6"/>
  <c r="U353" i="6"/>
  <c r="V353" i="6"/>
  <c r="W353" i="6"/>
  <c r="X353" i="6"/>
  <c r="Y353" i="6"/>
  <c r="Z353" i="6"/>
  <c r="Q357" i="6"/>
  <c r="R357" i="6"/>
  <c r="S357" i="6"/>
  <c r="T357" i="6"/>
  <c r="U357" i="6"/>
  <c r="V357" i="6"/>
  <c r="W357" i="6"/>
  <c r="X357" i="6"/>
  <c r="Y357" i="6"/>
  <c r="Z357" i="6"/>
  <c r="Q359" i="6"/>
  <c r="R359" i="6"/>
  <c r="S359" i="6"/>
  <c r="T359" i="6"/>
  <c r="U359" i="6"/>
  <c r="V359" i="6"/>
  <c r="W359" i="6"/>
  <c r="X359" i="6"/>
  <c r="Y359" i="6"/>
  <c r="Z359" i="6"/>
  <c r="Q376" i="6"/>
  <c r="R376" i="6"/>
  <c r="S376" i="6"/>
  <c r="T376" i="6"/>
  <c r="U376" i="6"/>
  <c r="V376" i="6"/>
  <c r="W376" i="6"/>
  <c r="X376" i="6"/>
  <c r="Y376" i="6"/>
  <c r="Z376" i="6"/>
  <c r="Q377" i="6"/>
  <c r="R377" i="6"/>
  <c r="S377" i="6"/>
  <c r="T377" i="6"/>
  <c r="U377" i="6"/>
  <c r="V377" i="6"/>
  <c r="W377" i="6"/>
  <c r="X377" i="6"/>
  <c r="Y377" i="6"/>
  <c r="Z377" i="6"/>
  <c r="Q378" i="6"/>
  <c r="R378" i="6"/>
  <c r="S378" i="6"/>
  <c r="T378" i="6"/>
  <c r="U378" i="6"/>
  <c r="V378" i="6"/>
  <c r="W378" i="6"/>
  <c r="X378" i="6"/>
  <c r="Y378" i="6"/>
  <c r="Z378" i="6"/>
  <c r="Q381" i="6"/>
  <c r="R381" i="6"/>
  <c r="S381" i="6"/>
  <c r="T381" i="6"/>
  <c r="U381" i="6"/>
  <c r="V381" i="6"/>
  <c r="W381" i="6"/>
  <c r="X381" i="6"/>
  <c r="Y381" i="6"/>
  <c r="Z381" i="6"/>
  <c r="Q384" i="6"/>
  <c r="R384" i="6"/>
  <c r="S384" i="6"/>
  <c r="T384" i="6"/>
  <c r="U384" i="6"/>
  <c r="V384" i="6"/>
  <c r="W384" i="6"/>
  <c r="X384" i="6"/>
  <c r="Y384" i="6"/>
  <c r="Z384" i="6"/>
  <c r="Q385" i="6"/>
  <c r="R385" i="6"/>
  <c r="S385" i="6"/>
  <c r="T385" i="6"/>
  <c r="U385" i="6"/>
  <c r="V385" i="6"/>
  <c r="W385" i="6"/>
  <c r="X385" i="6"/>
  <c r="Y385" i="6"/>
  <c r="Z385" i="6"/>
  <c r="Q387" i="6"/>
  <c r="R387" i="6"/>
  <c r="S387" i="6"/>
  <c r="T387" i="6"/>
  <c r="U387" i="6"/>
  <c r="V387" i="6"/>
  <c r="W387" i="6"/>
  <c r="X387" i="6"/>
  <c r="Y387" i="6"/>
  <c r="Z387" i="6"/>
  <c r="Q388" i="6"/>
  <c r="R388" i="6"/>
  <c r="S388" i="6"/>
  <c r="T388" i="6"/>
  <c r="U388" i="6"/>
  <c r="V388" i="6"/>
  <c r="W388" i="6"/>
  <c r="X388" i="6"/>
  <c r="Y388" i="6"/>
  <c r="Z388" i="6"/>
  <c r="Q390" i="6"/>
  <c r="R390" i="6"/>
  <c r="S390" i="6"/>
  <c r="T390" i="6"/>
  <c r="U390" i="6"/>
  <c r="V390" i="6"/>
  <c r="W390" i="6"/>
  <c r="X390" i="6"/>
  <c r="Y390" i="6"/>
  <c r="Z390" i="6"/>
  <c r="Q394" i="6"/>
  <c r="R394" i="6"/>
  <c r="S394" i="6"/>
  <c r="T394" i="6"/>
  <c r="U394" i="6"/>
  <c r="V394" i="6"/>
  <c r="W394" i="6"/>
  <c r="X394" i="6"/>
  <c r="Y394" i="6"/>
  <c r="Z394" i="6"/>
  <c r="Q396" i="6"/>
  <c r="R396" i="6"/>
  <c r="S396" i="6"/>
  <c r="T396" i="6"/>
  <c r="U396" i="6"/>
  <c r="V396" i="6"/>
  <c r="W396" i="6"/>
  <c r="X396" i="6"/>
  <c r="Y396" i="6"/>
  <c r="Z396" i="6"/>
  <c r="Q411" i="6"/>
  <c r="R411" i="6"/>
  <c r="S411" i="6"/>
  <c r="T411" i="6"/>
  <c r="U411" i="6"/>
  <c r="V411" i="6"/>
  <c r="W411" i="6"/>
  <c r="X411" i="6"/>
  <c r="Y411" i="6"/>
  <c r="Z411" i="6"/>
  <c r="Q21" i="19"/>
  <c r="R21" i="19"/>
  <c r="S21" i="19"/>
  <c r="T21" i="19"/>
  <c r="U21" i="19"/>
  <c r="V21" i="19"/>
  <c r="W21" i="19"/>
  <c r="X21" i="19"/>
  <c r="Y21" i="19"/>
  <c r="Z21" i="19"/>
  <c r="Q22" i="19"/>
  <c r="R22" i="19"/>
  <c r="S22" i="19"/>
  <c r="T22" i="19"/>
  <c r="U22" i="19"/>
  <c r="V22" i="19"/>
  <c r="W22" i="19"/>
  <c r="X22" i="19"/>
  <c r="Y22" i="19"/>
  <c r="Z22" i="19"/>
  <c r="Q23" i="19"/>
  <c r="R23" i="19"/>
  <c r="S23" i="19"/>
  <c r="T23" i="19"/>
  <c r="U23" i="19"/>
  <c r="V23" i="19"/>
  <c r="W23" i="19"/>
  <c r="X23" i="19"/>
  <c r="Y23" i="19"/>
  <c r="Z23" i="19"/>
  <c r="Q28" i="19"/>
  <c r="R28" i="19"/>
  <c r="S28" i="19"/>
  <c r="T28" i="19"/>
  <c r="U28" i="19"/>
  <c r="V28" i="19"/>
  <c r="W28" i="19"/>
  <c r="X28" i="19"/>
  <c r="Y28" i="19"/>
  <c r="Z28" i="19"/>
  <c r="Q29" i="19"/>
  <c r="R29" i="19"/>
  <c r="S29" i="19"/>
  <c r="T29" i="19"/>
  <c r="U29" i="19"/>
  <c r="V29" i="19"/>
  <c r="W29" i="19"/>
  <c r="X29" i="19"/>
  <c r="Y29" i="19"/>
  <c r="Z29" i="19"/>
  <c r="Q31" i="19"/>
  <c r="R31" i="19"/>
  <c r="S31" i="19"/>
  <c r="T31" i="19"/>
  <c r="U31" i="19"/>
  <c r="V31" i="19"/>
  <c r="W31" i="19"/>
  <c r="X31" i="19"/>
  <c r="Y31" i="19"/>
  <c r="Z31" i="19"/>
  <c r="Q32" i="19"/>
  <c r="R32" i="19"/>
  <c r="S32" i="19"/>
  <c r="T32" i="19"/>
  <c r="U32" i="19"/>
  <c r="V32" i="19"/>
  <c r="W32" i="19"/>
  <c r="X32" i="19"/>
  <c r="Y32" i="19"/>
  <c r="Z32" i="19"/>
  <c r="Q33" i="19"/>
  <c r="R33" i="19"/>
  <c r="S33" i="19"/>
  <c r="T33" i="19"/>
  <c r="U33" i="19"/>
  <c r="V33" i="19"/>
  <c r="W33" i="19"/>
  <c r="X33" i="19"/>
  <c r="Y33" i="19"/>
  <c r="Z33" i="19"/>
  <c r="Q34" i="19"/>
  <c r="R34" i="19"/>
  <c r="S34" i="19"/>
  <c r="T34" i="19"/>
  <c r="U34" i="19"/>
  <c r="V34" i="19"/>
  <c r="W34" i="19"/>
  <c r="X34" i="19"/>
  <c r="Y34" i="19"/>
  <c r="Z34" i="19"/>
  <c r="Q35" i="19"/>
  <c r="R35" i="19"/>
  <c r="S35" i="19"/>
  <c r="T35" i="19"/>
  <c r="U35" i="19"/>
  <c r="V35" i="19"/>
  <c r="W35" i="19"/>
  <c r="X35" i="19"/>
  <c r="Y35" i="19"/>
  <c r="Z35" i="19"/>
  <c r="Q40" i="19"/>
  <c r="R40" i="19"/>
  <c r="S40" i="19"/>
  <c r="T40" i="19"/>
  <c r="U40" i="19"/>
  <c r="V40" i="19"/>
  <c r="W40" i="19"/>
  <c r="X40" i="19"/>
  <c r="Y40" i="19"/>
  <c r="Z40" i="19"/>
  <c r="Q43" i="19"/>
  <c r="R43" i="19"/>
  <c r="S43" i="19"/>
  <c r="T43" i="19"/>
  <c r="U43" i="19"/>
  <c r="V43" i="19"/>
  <c r="W43" i="19"/>
  <c r="X43" i="19"/>
  <c r="Y43" i="19"/>
  <c r="Z43" i="19"/>
  <c r="Q44" i="19"/>
  <c r="R44" i="19"/>
  <c r="S44" i="19"/>
  <c r="T44" i="19"/>
  <c r="U44" i="19"/>
  <c r="V44" i="19"/>
  <c r="W44" i="19"/>
  <c r="X44" i="19"/>
  <c r="Y44" i="19"/>
  <c r="Z44" i="19"/>
  <c r="Q59" i="19"/>
  <c r="R59" i="19"/>
  <c r="S59" i="19"/>
  <c r="T59" i="19"/>
  <c r="U59" i="19"/>
  <c r="V59" i="19"/>
  <c r="W59" i="19"/>
  <c r="X59" i="19"/>
  <c r="Y59" i="19"/>
  <c r="Z59" i="19"/>
  <c r="Q60" i="19"/>
  <c r="R60" i="19"/>
  <c r="S60" i="19"/>
  <c r="T60" i="19"/>
  <c r="U60" i="19"/>
  <c r="V60" i="19"/>
  <c r="W60" i="19"/>
  <c r="X60" i="19"/>
  <c r="Y60" i="19"/>
  <c r="Z60" i="19"/>
  <c r="Q66" i="19"/>
  <c r="R66" i="19"/>
  <c r="S66" i="19"/>
  <c r="T66" i="19"/>
  <c r="U66" i="19"/>
  <c r="V66" i="19"/>
  <c r="W66" i="19"/>
  <c r="X66" i="19"/>
  <c r="Y66" i="19"/>
  <c r="Z66" i="19"/>
  <c r="Q67" i="19"/>
  <c r="R67" i="19"/>
  <c r="S67" i="19"/>
  <c r="T67" i="19"/>
  <c r="U67" i="19"/>
  <c r="V67" i="19"/>
  <c r="W67" i="19"/>
  <c r="X67" i="19"/>
  <c r="Y67" i="19"/>
  <c r="Z67" i="19"/>
  <c r="Q78" i="19"/>
  <c r="R78" i="19"/>
  <c r="S78" i="19"/>
  <c r="T78" i="19"/>
  <c r="U78" i="19"/>
  <c r="V78" i="19"/>
  <c r="W78" i="19"/>
  <c r="X78" i="19"/>
  <c r="Y78" i="19"/>
  <c r="Z78" i="19"/>
  <c r="Q79" i="19"/>
  <c r="R79" i="19"/>
  <c r="S79" i="19"/>
  <c r="T79" i="19"/>
  <c r="U79" i="19"/>
  <c r="V79" i="19"/>
  <c r="W79" i="19"/>
  <c r="X79" i="19"/>
  <c r="Y79" i="19"/>
  <c r="Z79" i="19"/>
  <c r="Q82" i="19"/>
  <c r="R82" i="19"/>
  <c r="S82" i="19"/>
  <c r="T82" i="19"/>
  <c r="U82" i="19"/>
  <c r="V82" i="19"/>
  <c r="W82" i="19"/>
  <c r="X82" i="19"/>
  <c r="Y82" i="19"/>
  <c r="Z82" i="19"/>
  <c r="Q83" i="19"/>
  <c r="R83" i="19"/>
  <c r="S83" i="19"/>
  <c r="T83" i="19"/>
  <c r="U83" i="19"/>
  <c r="V83" i="19"/>
  <c r="W83" i="19"/>
  <c r="X83" i="19"/>
  <c r="Y83" i="19"/>
  <c r="Z83" i="19"/>
  <c r="Q88" i="19"/>
  <c r="R88" i="19"/>
  <c r="S88" i="19"/>
  <c r="T88" i="19"/>
  <c r="U88" i="19"/>
  <c r="V88" i="19"/>
  <c r="W88" i="19"/>
  <c r="X88" i="19"/>
  <c r="Y88" i="19"/>
  <c r="Z88" i="19"/>
  <c r="Q89" i="19"/>
  <c r="R89" i="19"/>
  <c r="S89" i="19"/>
  <c r="T89" i="19"/>
  <c r="U89" i="19"/>
  <c r="V89" i="19"/>
  <c r="W89" i="19"/>
  <c r="X89" i="19"/>
  <c r="Y89" i="19"/>
  <c r="Z89" i="19"/>
  <c r="Q99" i="19"/>
  <c r="R99" i="19"/>
  <c r="S99" i="19"/>
  <c r="T99" i="19"/>
  <c r="U99" i="19"/>
  <c r="V99" i="19"/>
  <c r="W99" i="19"/>
  <c r="X99" i="19"/>
  <c r="Y99" i="19"/>
  <c r="Z99" i="19"/>
  <c r="Q100" i="19"/>
  <c r="R100" i="19"/>
  <c r="S100" i="19"/>
  <c r="T100" i="19"/>
  <c r="U100" i="19"/>
  <c r="V100" i="19"/>
  <c r="W100" i="19"/>
  <c r="X100" i="19"/>
  <c r="Y100" i="19"/>
  <c r="Z100" i="19"/>
  <c r="Q103" i="19"/>
  <c r="R103" i="19"/>
  <c r="S103" i="19"/>
  <c r="T103" i="19"/>
  <c r="U103" i="19"/>
  <c r="V103" i="19"/>
  <c r="W103" i="19"/>
  <c r="X103" i="19"/>
  <c r="Y103" i="19"/>
  <c r="Z103" i="19"/>
  <c r="Q109" i="19"/>
  <c r="R109" i="19"/>
  <c r="S109" i="19"/>
  <c r="T109" i="19"/>
  <c r="U109" i="19"/>
  <c r="V109" i="19"/>
  <c r="W109" i="19"/>
  <c r="X109" i="19"/>
  <c r="Y109" i="19"/>
  <c r="Z109" i="19"/>
  <c r="Q111" i="19"/>
  <c r="R111" i="19"/>
  <c r="S111" i="19"/>
  <c r="T111" i="19"/>
  <c r="U111" i="19"/>
  <c r="V111" i="19"/>
  <c r="W111" i="19"/>
  <c r="X111" i="19"/>
  <c r="Y111" i="19"/>
  <c r="Z111" i="19"/>
  <c r="Q112" i="19"/>
  <c r="R112" i="19"/>
  <c r="S112" i="19"/>
  <c r="T112" i="19"/>
  <c r="U112" i="19"/>
  <c r="V112" i="19"/>
  <c r="W112" i="19"/>
  <c r="X112" i="19"/>
  <c r="Y112" i="19"/>
  <c r="Z112" i="19"/>
  <c r="Q113" i="19"/>
  <c r="R113" i="19"/>
  <c r="S113" i="19"/>
  <c r="T113" i="19"/>
  <c r="U113" i="19"/>
  <c r="V113" i="19"/>
  <c r="W113" i="19"/>
  <c r="X113" i="19"/>
  <c r="Y113" i="19"/>
  <c r="Z113" i="19"/>
  <c r="Q128" i="19"/>
  <c r="R128" i="19"/>
  <c r="S128" i="19"/>
  <c r="T128" i="19"/>
  <c r="U128" i="19"/>
  <c r="V128" i="19"/>
  <c r="W128" i="19"/>
  <c r="X128" i="19"/>
  <c r="Y128" i="19"/>
  <c r="Z128" i="19"/>
  <c r="Q134" i="19"/>
  <c r="R134" i="19"/>
  <c r="S134" i="19"/>
  <c r="T134" i="19"/>
  <c r="U134" i="19"/>
  <c r="V134" i="19"/>
  <c r="W134" i="19"/>
  <c r="X134" i="19"/>
  <c r="Y134" i="19"/>
  <c r="Z134" i="19"/>
  <c r="Q136" i="19"/>
  <c r="R136" i="19"/>
  <c r="S136" i="19"/>
  <c r="T136" i="19"/>
  <c r="U136" i="19"/>
  <c r="V136" i="19"/>
  <c r="W136" i="19"/>
  <c r="X136" i="19"/>
  <c r="Y136" i="19"/>
  <c r="Z136" i="19"/>
  <c r="Q137" i="19"/>
  <c r="R137" i="19"/>
  <c r="S137" i="19"/>
  <c r="T137" i="19"/>
  <c r="U137" i="19"/>
  <c r="V137" i="19"/>
  <c r="W137" i="19"/>
  <c r="X137" i="19"/>
  <c r="Y137" i="19"/>
  <c r="Z137" i="19"/>
  <c r="Q138" i="19"/>
  <c r="R138" i="19"/>
  <c r="S138" i="19"/>
  <c r="T138" i="19"/>
  <c r="U138" i="19"/>
  <c r="V138" i="19"/>
  <c r="W138" i="19"/>
  <c r="X138" i="19"/>
  <c r="Y138" i="19"/>
  <c r="Z138" i="19"/>
  <c r="Q140" i="19"/>
  <c r="R140" i="19"/>
  <c r="S140" i="19"/>
  <c r="T140" i="19"/>
  <c r="U140" i="19"/>
  <c r="V140" i="19"/>
  <c r="W140" i="19"/>
  <c r="X140" i="19"/>
  <c r="Y140" i="19"/>
  <c r="Z140" i="19"/>
  <c r="Q146" i="19"/>
  <c r="R146" i="19"/>
  <c r="S146" i="19"/>
  <c r="T146" i="19"/>
  <c r="U146" i="19"/>
  <c r="V146" i="19"/>
  <c r="W146" i="19"/>
  <c r="X146" i="19"/>
  <c r="Y146" i="19"/>
  <c r="Z146" i="19"/>
  <c r="Q147" i="19"/>
  <c r="R147" i="19"/>
  <c r="S147" i="19"/>
  <c r="T147" i="19"/>
  <c r="U147" i="19"/>
  <c r="V147" i="19"/>
  <c r="W147" i="19"/>
  <c r="X147" i="19"/>
  <c r="Y147" i="19"/>
  <c r="Z147" i="19"/>
  <c r="Q153" i="19"/>
  <c r="R153" i="19"/>
  <c r="S153" i="19"/>
  <c r="T153" i="19"/>
  <c r="U153" i="19"/>
  <c r="V153" i="19"/>
  <c r="W153" i="19"/>
  <c r="X153" i="19"/>
  <c r="Y153" i="19"/>
  <c r="Z153" i="19"/>
  <c r="Q154" i="19"/>
  <c r="R154" i="19"/>
  <c r="S154" i="19"/>
  <c r="T154" i="19"/>
  <c r="U154" i="19"/>
  <c r="V154" i="19"/>
  <c r="W154" i="19"/>
  <c r="X154" i="19"/>
  <c r="Y154" i="19"/>
  <c r="Z154" i="19"/>
  <c r="Q159" i="19"/>
  <c r="R159" i="19"/>
  <c r="S159" i="19"/>
  <c r="T159" i="19"/>
  <c r="U159" i="19"/>
  <c r="V159" i="19"/>
  <c r="W159" i="19"/>
  <c r="X159" i="19"/>
  <c r="Y159" i="19"/>
  <c r="Z159" i="19"/>
  <c r="Q162" i="19"/>
  <c r="R162" i="19"/>
  <c r="S162" i="19"/>
  <c r="T162" i="19"/>
  <c r="U162" i="19"/>
  <c r="V162" i="19"/>
  <c r="W162" i="19"/>
  <c r="X162" i="19"/>
  <c r="Y162" i="19"/>
  <c r="Z162" i="19"/>
  <c r="Q165" i="19"/>
  <c r="R165" i="19"/>
  <c r="S165" i="19"/>
  <c r="T165" i="19"/>
  <c r="U165" i="19"/>
  <c r="V165" i="19"/>
  <c r="W165" i="19"/>
  <c r="X165" i="19"/>
  <c r="Y165" i="19"/>
  <c r="Z165" i="19"/>
  <c r="Q166" i="19"/>
  <c r="R166" i="19"/>
  <c r="S166" i="19"/>
  <c r="T166" i="19"/>
  <c r="U166" i="19"/>
  <c r="V166" i="19"/>
  <c r="W166" i="19"/>
  <c r="X166" i="19"/>
  <c r="Y166" i="19"/>
  <c r="Z166" i="19"/>
  <c r="Q180" i="19"/>
  <c r="R180" i="19"/>
  <c r="S180" i="19"/>
  <c r="T180" i="19"/>
  <c r="U180" i="19"/>
  <c r="V180" i="19"/>
  <c r="W180" i="19"/>
  <c r="X180" i="19"/>
  <c r="Y180" i="19"/>
  <c r="Z180" i="19"/>
  <c r="Q183" i="19"/>
  <c r="R183" i="19"/>
  <c r="S183" i="19"/>
  <c r="T183" i="19"/>
  <c r="U183" i="19"/>
  <c r="V183" i="19"/>
  <c r="W183" i="19"/>
  <c r="X183" i="19"/>
  <c r="Y183" i="19"/>
  <c r="Z183" i="19"/>
  <c r="R184" i="19"/>
  <c r="S184" i="19"/>
  <c r="T184" i="19"/>
  <c r="U184" i="19"/>
  <c r="V184" i="19"/>
  <c r="W184" i="19"/>
  <c r="X184" i="19"/>
  <c r="Y184" i="19"/>
  <c r="Z184" i="19"/>
  <c r="Q185" i="19"/>
  <c r="R185" i="19"/>
  <c r="S185" i="19"/>
  <c r="T185" i="19"/>
  <c r="U185" i="19"/>
  <c r="V185" i="19"/>
  <c r="W185" i="19"/>
  <c r="X185" i="19"/>
  <c r="Y185" i="19"/>
  <c r="Z185" i="19"/>
  <c r="Q186" i="19"/>
  <c r="R186" i="19"/>
  <c r="S186" i="19"/>
  <c r="T186" i="19"/>
  <c r="U186" i="19"/>
  <c r="V186" i="19"/>
  <c r="W186" i="19"/>
  <c r="X186" i="19"/>
  <c r="Y186" i="19"/>
  <c r="Z186" i="19"/>
  <c r="Q187" i="19"/>
  <c r="R187" i="19"/>
  <c r="S187" i="19"/>
  <c r="T187" i="19"/>
  <c r="U187" i="19"/>
  <c r="V187" i="19"/>
  <c r="W187" i="19"/>
  <c r="X187" i="19"/>
  <c r="Y187" i="19"/>
  <c r="Z187" i="19"/>
  <c r="Q21" i="8"/>
  <c r="R21" i="8"/>
  <c r="S21" i="8"/>
  <c r="T21" i="8"/>
  <c r="U21" i="8"/>
  <c r="V21" i="8"/>
  <c r="W21" i="8"/>
  <c r="X21" i="8"/>
  <c r="Y21" i="8"/>
  <c r="Z21" i="8"/>
  <c r="Q22" i="8"/>
  <c r="R22" i="8"/>
  <c r="S22" i="8"/>
  <c r="T22" i="8"/>
  <c r="U22" i="8"/>
  <c r="V22" i="8"/>
  <c r="W22" i="8"/>
  <c r="X22" i="8"/>
  <c r="Y22" i="8"/>
  <c r="Z22" i="8"/>
  <c r="Q23" i="8"/>
  <c r="R23" i="8"/>
  <c r="S23" i="8"/>
  <c r="T23" i="8"/>
  <c r="U23" i="8"/>
  <c r="V23" i="8"/>
  <c r="W23" i="8"/>
  <c r="X23" i="8"/>
  <c r="Y23" i="8"/>
  <c r="Z23" i="8"/>
  <c r="Q28" i="8"/>
  <c r="R28" i="8"/>
  <c r="S28" i="8"/>
  <c r="T28" i="8"/>
  <c r="U28" i="8"/>
  <c r="V28" i="8"/>
  <c r="W28" i="8"/>
  <c r="X28" i="8"/>
  <c r="Y28" i="8"/>
  <c r="Z28" i="8"/>
  <c r="Q29" i="8"/>
  <c r="R29" i="8"/>
  <c r="S29" i="8"/>
  <c r="T29" i="8"/>
  <c r="U29" i="8"/>
  <c r="V29" i="8"/>
  <c r="W29" i="8"/>
  <c r="X29" i="8"/>
  <c r="Y29" i="8"/>
  <c r="Z29" i="8"/>
  <c r="Q31" i="8"/>
  <c r="R31" i="8"/>
  <c r="S31" i="8"/>
  <c r="T31" i="8"/>
  <c r="U31" i="8"/>
  <c r="V31" i="8"/>
  <c r="W31" i="8"/>
  <c r="X31" i="8"/>
  <c r="Y31" i="8"/>
  <c r="Z31" i="8"/>
  <c r="Q32" i="8"/>
  <c r="R32" i="8"/>
  <c r="S32" i="8"/>
  <c r="T32" i="8"/>
  <c r="U32" i="8"/>
  <c r="V32" i="8"/>
  <c r="W32" i="8"/>
  <c r="X32" i="8"/>
  <c r="Y32" i="8"/>
  <c r="Z32" i="8"/>
  <c r="Q33" i="8"/>
  <c r="R33" i="8"/>
  <c r="S33" i="8"/>
  <c r="T33" i="8"/>
  <c r="U33" i="8"/>
  <c r="V33" i="8"/>
  <c r="W33" i="8"/>
  <c r="X33" i="8"/>
  <c r="Y33" i="8"/>
  <c r="Z33" i="8"/>
  <c r="Q34" i="8"/>
  <c r="R34" i="8"/>
  <c r="S34" i="8"/>
  <c r="T34" i="8"/>
  <c r="U34" i="8"/>
  <c r="V34" i="8"/>
  <c r="W34" i="8"/>
  <c r="X34" i="8"/>
  <c r="Y34" i="8"/>
  <c r="Z34" i="8"/>
  <c r="Q35" i="8"/>
  <c r="R35" i="8"/>
  <c r="S35" i="8"/>
  <c r="T35" i="8"/>
  <c r="U35" i="8"/>
  <c r="V35" i="8"/>
  <c r="W35" i="8"/>
  <c r="X35" i="8"/>
  <c r="Y35" i="8"/>
  <c r="Z35" i="8"/>
  <c r="Q40" i="8"/>
  <c r="R40" i="8"/>
  <c r="S40" i="8"/>
  <c r="T40" i="8"/>
  <c r="U40" i="8"/>
  <c r="V40" i="8"/>
  <c r="W40" i="8"/>
  <c r="X40" i="8"/>
  <c r="Y40" i="8"/>
  <c r="Z40" i="8"/>
  <c r="Q43" i="8"/>
  <c r="R43" i="8"/>
  <c r="S43" i="8"/>
  <c r="T43" i="8"/>
  <c r="U43" i="8"/>
  <c r="V43" i="8"/>
  <c r="W43" i="8"/>
  <c r="X43" i="8"/>
  <c r="Y43" i="8"/>
  <c r="Z43" i="8"/>
  <c r="Q44" i="8"/>
  <c r="R44" i="8"/>
  <c r="S44" i="8"/>
  <c r="T44" i="8"/>
  <c r="U44" i="8"/>
  <c r="V44" i="8"/>
  <c r="W44" i="8"/>
  <c r="X44" i="8"/>
  <c r="Y44" i="8"/>
  <c r="Z44" i="8"/>
  <c r="Q59" i="8"/>
  <c r="R59" i="8"/>
  <c r="S59" i="8"/>
  <c r="T59" i="8"/>
  <c r="U59" i="8"/>
  <c r="V59" i="8"/>
  <c r="W59" i="8"/>
  <c r="X59" i="8"/>
  <c r="Y59" i="8"/>
  <c r="Z59" i="8"/>
  <c r="Q60" i="8"/>
  <c r="R60" i="8"/>
  <c r="S60" i="8"/>
  <c r="T60" i="8"/>
  <c r="U60" i="8"/>
  <c r="V60" i="8"/>
  <c r="W60" i="8"/>
  <c r="X60" i="8"/>
  <c r="Y60" i="8"/>
  <c r="Z60" i="8"/>
  <c r="Q66" i="8"/>
  <c r="R66" i="8"/>
  <c r="S66" i="8"/>
  <c r="T66" i="8"/>
  <c r="U66" i="8"/>
  <c r="V66" i="8"/>
  <c r="W66" i="8"/>
  <c r="X66" i="8"/>
  <c r="Y66" i="8"/>
  <c r="Z66" i="8"/>
  <c r="Q67" i="8"/>
  <c r="R67" i="8"/>
  <c r="S67" i="8"/>
  <c r="T67" i="8"/>
  <c r="U67" i="8"/>
  <c r="V67" i="8"/>
  <c r="W67" i="8"/>
  <c r="X67" i="8"/>
  <c r="Y67" i="8"/>
  <c r="Z67" i="8"/>
  <c r="Q78" i="8"/>
  <c r="R78" i="8"/>
  <c r="S78" i="8"/>
  <c r="T78" i="8"/>
  <c r="U78" i="8"/>
  <c r="V78" i="8"/>
  <c r="W78" i="8"/>
  <c r="X78" i="8"/>
  <c r="Y78" i="8"/>
  <c r="Z78" i="8"/>
  <c r="Q79" i="8"/>
  <c r="R79" i="8"/>
  <c r="S79" i="8"/>
  <c r="T79" i="8"/>
  <c r="U79" i="8"/>
  <c r="V79" i="8"/>
  <c r="W79" i="8"/>
  <c r="X79" i="8"/>
  <c r="Y79" i="8"/>
  <c r="Z79" i="8"/>
  <c r="Q82" i="8"/>
  <c r="R82" i="8"/>
  <c r="S82" i="8"/>
  <c r="T82" i="8"/>
  <c r="U82" i="8"/>
  <c r="V82" i="8"/>
  <c r="W82" i="8"/>
  <c r="X82" i="8"/>
  <c r="Y82" i="8"/>
  <c r="Z82" i="8"/>
  <c r="Q83" i="8"/>
  <c r="R83" i="8"/>
  <c r="S83" i="8"/>
  <c r="T83" i="8"/>
  <c r="U83" i="8"/>
  <c r="V83" i="8"/>
  <c r="W83" i="8"/>
  <c r="X83" i="8"/>
  <c r="Y83" i="8"/>
  <c r="Z83" i="8"/>
  <c r="Q88" i="8"/>
  <c r="R88" i="8"/>
  <c r="S88" i="8"/>
  <c r="T88" i="8"/>
  <c r="U88" i="8"/>
  <c r="V88" i="8"/>
  <c r="W88" i="8"/>
  <c r="X88" i="8"/>
  <c r="Y88" i="8"/>
  <c r="Z88" i="8"/>
  <c r="Q89" i="8"/>
  <c r="R89" i="8"/>
  <c r="S89" i="8"/>
  <c r="T89" i="8"/>
  <c r="U89" i="8"/>
  <c r="V89" i="8"/>
  <c r="W89" i="8"/>
  <c r="X89" i="8"/>
  <c r="Y89" i="8"/>
  <c r="Z89" i="8"/>
  <c r="Q99" i="8"/>
  <c r="R99" i="8"/>
  <c r="S99" i="8"/>
  <c r="T99" i="8"/>
  <c r="U99" i="8"/>
  <c r="V99" i="8"/>
  <c r="W99" i="8"/>
  <c r="X99" i="8"/>
  <c r="Y99" i="8"/>
  <c r="Z99" i="8"/>
  <c r="Q100" i="8"/>
  <c r="R100" i="8"/>
  <c r="S100" i="8"/>
  <c r="T100" i="8"/>
  <c r="U100" i="8"/>
  <c r="V100" i="8"/>
  <c r="W100" i="8"/>
  <c r="X100" i="8"/>
  <c r="Y100" i="8"/>
  <c r="Z100" i="8"/>
  <c r="Q103" i="8"/>
  <c r="R103" i="8"/>
  <c r="S103" i="8"/>
  <c r="T103" i="8"/>
  <c r="U103" i="8"/>
  <c r="V103" i="8"/>
  <c r="W103" i="8"/>
  <c r="X103" i="8"/>
  <c r="Y103" i="8"/>
  <c r="Z103" i="8"/>
  <c r="Q109" i="8"/>
  <c r="R109" i="8"/>
  <c r="S109" i="8"/>
  <c r="T109" i="8"/>
  <c r="U109" i="8"/>
  <c r="V109" i="8"/>
  <c r="W109" i="8"/>
  <c r="X109" i="8"/>
  <c r="Y109" i="8"/>
  <c r="Z109" i="8"/>
  <c r="Q111" i="8"/>
  <c r="R111" i="8"/>
  <c r="S111" i="8"/>
  <c r="T111" i="8"/>
  <c r="U111" i="8"/>
  <c r="V111" i="8"/>
  <c r="W111" i="8"/>
  <c r="X111" i="8"/>
  <c r="Y111" i="8"/>
  <c r="Z111" i="8"/>
  <c r="Q112" i="8"/>
  <c r="R112" i="8"/>
  <c r="S112" i="8"/>
  <c r="T112" i="8"/>
  <c r="U112" i="8"/>
  <c r="V112" i="8"/>
  <c r="W112" i="8"/>
  <c r="X112" i="8"/>
  <c r="Y112" i="8"/>
  <c r="Z112" i="8"/>
  <c r="Q113" i="8"/>
  <c r="R113" i="8"/>
  <c r="S113" i="8"/>
  <c r="T113" i="8"/>
  <c r="U113" i="8"/>
  <c r="V113" i="8"/>
  <c r="W113" i="8"/>
  <c r="X113" i="8"/>
  <c r="Y113" i="8"/>
  <c r="Z113" i="8"/>
  <c r="Q128" i="8"/>
  <c r="R128" i="8"/>
  <c r="S128" i="8"/>
  <c r="T128" i="8"/>
  <c r="U128" i="8"/>
  <c r="V128" i="8"/>
  <c r="W128" i="8"/>
  <c r="X128" i="8"/>
  <c r="Y128" i="8"/>
  <c r="Z128" i="8"/>
  <c r="Q135" i="8"/>
  <c r="R135" i="8"/>
  <c r="S135" i="8"/>
  <c r="T135" i="8"/>
  <c r="U135" i="8"/>
  <c r="V135" i="8"/>
  <c r="W135" i="8"/>
  <c r="X135" i="8"/>
  <c r="Y135" i="8"/>
  <c r="Z135" i="8"/>
  <c r="Q137" i="8"/>
  <c r="R137" i="8"/>
  <c r="S137" i="8"/>
  <c r="T137" i="8"/>
  <c r="U137" i="8"/>
  <c r="V137" i="8"/>
  <c r="W137" i="8"/>
  <c r="X137" i="8"/>
  <c r="Y137" i="8"/>
  <c r="Z137" i="8"/>
  <c r="Q138" i="8"/>
  <c r="R138" i="8"/>
  <c r="S138" i="8"/>
  <c r="T138" i="8"/>
  <c r="U138" i="8"/>
  <c r="V138" i="8"/>
  <c r="W138" i="8"/>
  <c r="X138" i="8"/>
  <c r="Y138" i="8"/>
  <c r="Z138" i="8"/>
  <c r="Q139" i="8"/>
  <c r="R139" i="8"/>
  <c r="S139" i="8"/>
  <c r="T139" i="8"/>
  <c r="U139" i="8"/>
  <c r="V139" i="8"/>
  <c r="W139" i="8"/>
  <c r="X139" i="8"/>
  <c r="Y139" i="8"/>
  <c r="Z139" i="8"/>
  <c r="Q141" i="8"/>
  <c r="R141" i="8"/>
  <c r="S141" i="8"/>
  <c r="T141" i="8"/>
  <c r="U141" i="8"/>
  <c r="V141" i="8"/>
  <c r="W141" i="8"/>
  <c r="X141" i="8"/>
  <c r="Y141" i="8"/>
  <c r="Z141" i="8"/>
  <c r="Q147" i="8"/>
  <c r="R147" i="8"/>
  <c r="S147" i="8"/>
  <c r="T147" i="8"/>
  <c r="U147" i="8"/>
  <c r="V147" i="8"/>
  <c r="W147" i="8"/>
  <c r="X147" i="8"/>
  <c r="Y147" i="8"/>
  <c r="Z147" i="8"/>
  <c r="Q148" i="8"/>
  <c r="R148" i="8"/>
  <c r="S148" i="8"/>
  <c r="T148" i="8"/>
  <c r="U148" i="8"/>
  <c r="V148" i="8"/>
  <c r="W148" i="8"/>
  <c r="X148" i="8"/>
  <c r="Y148" i="8"/>
  <c r="Z148" i="8"/>
  <c r="Q154" i="8"/>
  <c r="R154" i="8"/>
  <c r="S154" i="8"/>
  <c r="T154" i="8"/>
  <c r="U154" i="8"/>
  <c r="V154" i="8"/>
  <c r="W154" i="8"/>
  <c r="X154" i="8"/>
  <c r="Y154" i="8"/>
  <c r="Z154" i="8"/>
  <c r="Q155" i="8"/>
  <c r="R155" i="8"/>
  <c r="S155" i="8"/>
  <c r="T155" i="8"/>
  <c r="U155" i="8"/>
  <c r="V155" i="8"/>
  <c r="W155" i="8"/>
  <c r="X155" i="8"/>
  <c r="Y155" i="8"/>
  <c r="Z155" i="8"/>
  <c r="Q160" i="8"/>
  <c r="R160" i="8"/>
  <c r="S160" i="8"/>
  <c r="T160" i="8"/>
  <c r="U160" i="8"/>
  <c r="V160" i="8"/>
  <c r="W160" i="8"/>
  <c r="X160" i="8"/>
  <c r="Y160" i="8"/>
  <c r="Z160" i="8"/>
  <c r="Q163" i="8"/>
  <c r="R163" i="8"/>
  <c r="S163" i="8"/>
  <c r="T163" i="8"/>
  <c r="U163" i="8"/>
  <c r="V163" i="8"/>
  <c r="W163" i="8"/>
  <c r="X163" i="8"/>
  <c r="Y163" i="8"/>
  <c r="Z163" i="8"/>
  <c r="Q166" i="8"/>
  <c r="R166" i="8"/>
  <c r="S166" i="8"/>
  <c r="T166" i="8"/>
  <c r="U166" i="8"/>
  <c r="V166" i="8"/>
  <c r="W166" i="8"/>
  <c r="X166" i="8"/>
  <c r="Y166" i="8"/>
  <c r="Z166" i="8"/>
  <c r="Q180" i="8"/>
  <c r="R180" i="8"/>
  <c r="S180" i="8"/>
  <c r="T180" i="8"/>
  <c r="U180" i="8"/>
  <c r="V180" i="8"/>
  <c r="W180" i="8"/>
  <c r="X180" i="8"/>
  <c r="Y180" i="8"/>
  <c r="Z180" i="8"/>
  <c r="Q183" i="8"/>
  <c r="R183" i="8"/>
  <c r="S183" i="8"/>
  <c r="T183" i="8"/>
  <c r="U183" i="8"/>
  <c r="V183" i="8"/>
  <c r="W183" i="8"/>
  <c r="X183" i="8"/>
  <c r="Y183" i="8"/>
  <c r="Z183" i="8"/>
  <c r="R184" i="8"/>
  <c r="S184" i="8"/>
  <c r="T184" i="8"/>
  <c r="U184" i="8"/>
  <c r="V184" i="8"/>
  <c r="W184" i="8"/>
  <c r="X184" i="8"/>
  <c r="Y184" i="8"/>
  <c r="Z184" i="8"/>
  <c r="Q185" i="8"/>
  <c r="R185" i="8"/>
  <c r="S185" i="8"/>
  <c r="T185" i="8"/>
  <c r="U185" i="8"/>
  <c r="V185" i="8"/>
  <c r="W185" i="8"/>
  <c r="X185" i="8"/>
  <c r="Y185" i="8"/>
  <c r="Z185" i="8"/>
  <c r="Q186" i="8"/>
  <c r="R186" i="8"/>
  <c r="S186" i="8"/>
  <c r="T186" i="8"/>
  <c r="U186" i="8"/>
  <c r="V186" i="8"/>
  <c r="W186" i="8"/>
  <c r="X186" i="8"/>
  <c r="Y186" i="8"/>
  <c r="Z186" i="8"/>
  <c r="Q187" i="8"/>
  <c r="R187" i="8"/>
  <c r="S187" i="8"/>
  <c r="T187" i="8"/>
  <c r="U187" i="8"/>
  <c r="V187" i="8"/>
  <c r="W187" i="8"/>
  <c r="X187" i="8"/>
  <c r="Y187" i="8"/>
  <c r="Z187" i="8"/>
  <c r="Q7" i="18"/>
  <c r="R7" i="18"/>
  <c r="S7" i="18"/>
  <c r="T7" i="18"/>
  <c r="U7" i="18"/>
  <c r="V7" i="18"/>
  <c r="W7" i="18"/>
  <c r="X7" i="18"/>
  <c r="Y7" i="18"/>
  <c r="Z7" i="18"/>
  <c r="Q8" i="18"/>
  <c r="R8" i="18"/>
  <c r="S8" i="18"/>
  <c r="T8" i="18"/>
  <c r="U8" i="18"/>
  <c r="V8" i="18"/>
  <c r="W8" i="18"/>
  <c r="X8" i="18"/>
  <c r="Y8" i="18"/>
  <c r="Z8" i="18"/>
  <c r="Q12" i="18"/>
  <c r="R12" i="18"/>
  <c r="S12" i="18"/>
  <c r="T12" i="18"/>
  <c r="U12" i="18"/>
  <c r="V12" i="18"/>
  <c r="W12" i="18"/>
  <c r="X12" i="18"/>
  <c r="Y12" i="18"/>
  <c r="Z12" i="18"/>
  <c r="Q13" i="18"/>
  <c r="R13" i="18"/>
  <c r="S13" i="18"/>
  <c r="T13" i="18"/>
  <c r="U13" i="18"/>
  <c r="V13" i="18"/>
  <c r="W13" i="18"/>
  <c r="X13" i="18"/>
  <c r="Y13" i="18"/>
  <c r="Z13" i="18"/>
  <c r="Q17" i="18"/>
  <c r="R17" i="18"/>
  <c r="S17" i="18"/>
  <c r="T17" i="18"/>
  <c r="U17" i="18"/>
  <c r="V17" i="18"/>
  <c r="W17" i="18"/>
  <c r="X17" i="18"/>
  <c r="Y17" i="18"/>
  <c r="Z17" i="18"/>
  <c r="Q18" i="18"/>
  <c r="R18" i="18"/>
  <c r="S18" i="18"/>
  <c r="T18" i="18"/>
  <c r="U18" i="18"/>
  <c r="V18" i="18"/>
  <c r="W18" i="18"/>
  <c r="X18" i="18"/>
  <c r="Y18" i="18"/>
  <c r="Z18" i="18"/>
  <c r="Q19" i="18"/>
  <c r="R19" i="18"/>
  <c r="S19" i="18"/>
  <c r="T19" i="18"/>
  <c r="U19" i="18"/>
  <c r="V19" i="18"/>
  <c r="W19" i="18"/>
  <c r="X19" i="18"/>
  <c r="Y19" i="18"/>
  <c r="Z19" i="18"/>
  <c r="Q20" i="18"/>
  <c r="R20" i="18"/>
  <c r="S20" i="18"/>
  <c r="T20" i="18"/>
  <c r="U20" i="18"/>
  <c r="V20" i="18"/>
  <c r="W20" i="18"/>
  <c r="X20" i="18"/>
  <c r="Y20" i="18"/>
  <c r="Z20" i="18"/>
  <c r="Q21" i="18"/>
  <c r="R21" i="18"/>
  <c r="S21" i="18"/>
  <c r="T21" i="18"/>
  <c r="U21" i="18"/>
  <c r="V21" i="18"/>
  <c r="W21" i="18"/>
  <c r="X21" i="18"/>
  <c r="Y21" i="18"/>
  <c r="Z21" i="18"/>
  <c r="Q22" i="18"/>
  <c r="R22" i="18"/>
  <c r="S22" i="18"/>
  <c r="T22" i="18"/>
  <c r="U22" i="18"/>
  <c r="V22" i="18"/>
  <c r="W22" i="18"/>
  <c r="X22" i="18"/>
  <c r="Y22" i="18"/>
  <c r="Z22" i="18"/>
  <c r="Q23" i="18"/>
  <c r="R23" i="18"/>
  <c r="S23" i="18"/>
  <c r="T23" i="18"/>
  <c r="U23" i="18"/>
  <c r="V23" i="18"/>
  <c r="W23" i="18"/>
  <c r="X23" i="18"/>
  <c r="Y23" i="18"/>
  <c r="Z23" i="18"/>
  <c r="Q29" i="18"/>
  <c r="R29" i="18"/>
  <c r="S29" i="18"/>
  <c r="T29" i="18"/>
  <c r="U29" i="18"/>
  <c r="V29" i="18"/>
  <c r="W29" i="18"/>
  <c r="X29" i="18"/>
  <c r="Y29" i="18"/>
  <c r="Z29" i="18"/>
  <c r="Q31" i="18"/>
  <c r="R31" i="18"/>
  <c r="S31" i="18"/>
  <c r="T31" i="18"/>
  <c r="U31" i="18"/>
  <c r="V31" i="18"/>
  <c r="W31" i="18"/>
  <c r="X31" i="18"/>
  <c r="Y31" i="18"/>
  <c r="Z31" i="18"/>
  <c r="Q32" i="18"/>
  <c r="R32" i="18"/>
  <c r="S32" i="18"/>
  <c r="T32" i="18"/>
  <c r="U32" i="18"/>
  <c r="V32" i="18"/>
  <c r="W32" i="18"/>
  <c r="X32" i="18"/>
  <c r="Y32" i="18"/>
  <c r="Z32" i="18"/>
  <c r="Q33" i="18"/>
  <c r="R33" i="18"/>
  <c r="S33" i="18"/>
  <c r="T33" i="18"/>
  <c r="U33" i="18"/>
  <c r="V33" i="18"/>
  <c r="W33" i="18"/>
  <c r="X33" i="18"/>
  <c r="Y33" i="18"/>
  <c r="Z33" i="18"/>
  <c r="Q34" i="18"/>
  <c r="R34" i="18"/>
  <c r="S34" i="18"/>
  <c r="T34" i="18"/>
  <c r="U34" i="18"/>
  <c r="V34" i="18"/>
  <c r="W34" i="18"/>
  <c r="X34" i="18"/>
  <c r="Y34" i="18"/>
  <c r="Z34" i="18"/>
  <c r="Q35" i="18"/>
  <c r="R35" i="18"/>
  <c r="S35" i="18"/>
  <c r="T35" i="18"/>
  <c r="U35" i="18"/>
  <c r="V35" i="18"/>
  <c r="W35" i="18"/>
  <c r="X35" i="18"/>
  <c r="Y35" i="18"/>
  <c r="Z35" i="18"/>
  <c r="Q36" i="18"/>
  <c r="R36" i="18"/>
  <c r="S36" i="18"/>
  <c r="T36" i="18"/>
  <c r="U36" i="18"/>
  <c r="V36" i="18"/>
  <c r="W36" i="18"/>
  <c r="X36" i="18"/>
  <c r="Y36" i="18"/>
  <c r="Z36" i="18"/>
  <c r="Q37" i="18"/>
  <c r="R37" i="18"/>
  <c r="S37" i="18"/>
  <c r="T37" i="18"/>
  <c r="U37" i="18"/>
  <c r="V37" i="18"/>
  <c r="W37" i="18"/>
  <c r="X37" i="18"/>
  <c r="Y37" i="18"/>
  <c r="Z37" i="18"/>
  <c r="Q44" i="18"/>
  <c r="R44" i="18"/>
  <c r="S44" i="18"/>
  <c r="T44" i="18"/>
  <c r="U44" i="18"/>
  <c r="V44" i="18"/>
  <c r="W44" i="18"/>
  <c r="X44" i="18"/>
  <c r="Y44" i="18"/>
  <c r="Z44" i="18"/>
  <c r="Q46" i="18"/>
  <c r="R46" i="18"/>
  <c r="S46" i="18"/>
  <c r="T46" i="18"/>
  <c r="U46" i="18"/>
  <c r="V46" i="18"/>
  <c r="W46" i="18"/>
  <c r="X46" i="18"/>
  <c r="Y46" i="18"/>
  <c r="Z46" i="18"/>
  <c r="Q49" i="18"/>
  <c r="R49" i="18"/>
  <c r="S49" i="18"/>
  <c r="T49" i="18"/>
  <c r="U49" i="18"/>
  <c r="V49" i="18"/>
  <c r="W49" i="18"/>
  <c r="X49" i="18"/>
  <c r="Y49" i="18"/>
  <c r="Z49" i="18"/>
  <c r="Q50" i="18"/>
  <c r="R50" i="18"/>
  <c r="S50" i="18"/>
  <c r="T50" i="18"/>
  <c r="U50" i="18"/>
  <c r="V50" i="18"/>
  <c r="W50" i="18"/>
  <c r="X50" i="18"/>
  <c r="Y50" i="18"/>
  <c r="Z50" i="18"/>
  <c r="Q52" i="18"/>
  <c r="R52" i="18"/>
  <c r="S52" i="18"/>
  <c r="T52" i="18"/>
  <c r="U52" i="18"/>
  <c r="V52" i="18"/>
  <c r="W52" i="18"/>
  <c r="X52" i="18"/>
  <c r="Y52" i="18"/>
  <c r="Z52" i="18"/>
  <c r="Q53" i="18"/>
  <c r="R53" i="18"/>
  <c r="S53" i="18"/>
  <c r="T53" i="18"/>
  <c r="U53" i="18"/>
  <c r="V53" i="18"/>
  <c r="W53" i="18"/>
  <c r="X53" i="18"/>
  <c r="Y53" i="18"/>
  <c r="Z53" i="18"/>
  <c r="Q54" i="18"/>
  <c r="R54" i="18"/>
  <c r="S54" i="18"/>
  <c r="T54" i="18"/>
  <c r="U54" i="18"/>
  <c r="V54" i="18"/>
  <c r="W54" i="18"/>
  <c r="X54" i="18"/>
  <c r="Y54" i="18"/>
  <c r="Z54" i="18"/>
  <c r="Q57" i="18"/>
  <c r="R57" i="18"/>
  <c r="S57" i="18"/>
  <c r="T57" i="18"/>
  <c r="U57" i="18"/>
  <c r="V57" i="18"/>
  <c r="W57" i="18"/>
  <c r="X57" i="18"/>
  <c r="Y57" i="18"/>
  <c r="Z57" i="18"/>
  <c r="Q58" i="18"/>
  <c r="R58" i="18"/>
  <c r="S58" i="18"/>
  <c r="T58" i="18"/>
  <c r="U58" i="18"/>
  <c r="V58" i="18"/>
  <c r="W58" i="18"/>
  <c r="X58" i="18"/>
  <c r="Y58" i="18"/>
  <c r="Z58" i="18"/>
  <c r="Q59" i="18"/>
  <c r="R59" i="18"/>
  <c r="S59" i="18"/>
  <c r="T59" i="18"/>
  <c r="U59" i="18"/>
  <c r="V59" i="18"/>
  <c r="W59" i="18"/>
  <c r="X59" i="18"/>
  <c r="Y59" i="18"/>
  <c r="Z59" i="18"/>
  <c r="Q60" i="18"/>
  <c r="R60" i="18"/>
  <c r="S60" i="18"/>
  <c r="T60" i="18"/>
  <c r="U60" i="18"/>
  <c r="V60" i="18"/>
  <c r="W60" i="18"/>
  <c r="X60" i="18"/>
  <c r="Y60" i="18"/>
  <c r="Z60" i="18"/>
  <c r="Q61" i="18"/>
  <c r="R61" i="18"/>
  <c r="S61" i="18"/>
  <c r="T61" i="18"/>
  <c r="U61" i="18"/>
  <c r="V61" i="18"/>
  <c r="W61" i="18"/>
  <c r="X61" i="18"/>
  <c r="Y61" i="18"/>
  <c r="Z61" i="18"/>
  <c r="Q62" i="18"/>
  <c r="R62" i="18"/>
  <c r="S62" i="18"/>
  <c r="T62" i="18"/>
  <c r="U62" i="18"/>
  <c r="V62" i="18"/>
  <c r="W62" i="18"/>
  <c r="X62" i="18"/>
  <c r="Y62" i="18"/>
  <c r="Z62" i="18"/>
  <c r="Q63" i="18"/>
  <c r="R63" i="18"/>
  <c r="S63" i="18"/>
  <c r="T63" i="18"/>
  <c r="U63" i="18"/>
  <c r="V63" i="18"/>
  <c r="W63" i="18"/>
  <c r="X63" i="18"/>
  <c r="Y63" i="18"/>
  <c r="Z63" i="18"/>
  <c r="Q64" i="18"/>
  <c r="R64" i="18"/>
  <c r="S64" i="18"/>
  <c r="T64" i="18"/>
  <c r="U64" i="18"/>
  <c r="V64" i="18"/>
  <c r="W64" i="18"/>
  <c r="X64" i="18"/>
  <c r="Y64" i="18"/>
  <c r="Z64" i="18"/>
  <c r="Q65" i="18"/>
  <c r="R65" i="18"/>
  <c r="S65" i="18"/>
  <c r="T65" i="18"/>
  <c r="U65" i="18"/>
  <c r="V65" i="18"/>
  <c r="W65" i="18"/>
  <c r="X65" i="18"/>
  <c r="Y65" i="18"/>
  <c r="Z65" i="18"/>
  <c r="Q67" i="18"/>
  <c r="R67" i="18"/>
  <c r="S67" i="18"/>
  <c r="T67" i="18"/>
  <c r="U67" i="18"/>
  <c r="V67" i="18"/>
  <c r="W67" i="18"/>
  <c r="X67" i="18"/>
  <c r="Y67" i="18"/>
  <c r="Z67" i="18"/>
  <c r="Q68" i="18"/>
  <c r="R68" i="18"/>
  <c r="S68" i="18"/>
  <c r="T68" i="18"/>
  <c r="U68" i="18"/>
  <c r="V68" i="18"/>
  <c r="W68" i="18"/>
  <c r="X68" i="18"/>
  <c r="Y68" i="18"/>
  <c r="Z68" i="18"/>
  <c r="Q69" i="18"/>
  <c r="R69" i="18"/>
  <c r="S69" i="18"/>
  <c r="T69" i="18"/>
  <c r="U69" i="18"/>
  <c r="V69" i="18"/>
  <c r="W69" i="18"/>
  <c r="X69" i="18"/>
  <c r="Y69" i="18"/>
  <c r="Z69" i="18"/>
  <c r="Q70" i="18"/>
  <c r="R70" i="18"/>
  <c r="S70" i="18"/>
  <c r="T70" i="18"/>
  <c r="U70" i="18"/>
  <c r="V70" i="18"/>
  <c r="W70" i="18"/>
  <c r="X70" i="18"/>
  <c r="Y70" i="18"/>
  <c r="Z70" i="18"/>
  <c r="Q71" i="18"/>
  <c r="R71" i="18"/>
  <c r="S71" i="18"/>
  <c r="T71" i="18"/>
  <c r="U71" i="18"/>
  <c r="V71" i="18"/>
  <c r="W71" i="18"/>
  <c r="X71" i="18"/>
  <c r="Y71" i="18"/>
  <c r="Z71" i="18"/>
  <c r="Q72" i="18"/>
  <c r="R72" i="18"/>
  <c r="S72" i="18"/>
  <c r="T72" i="18"/>
  <c r="U72" i="18"/>
  <c r="V72" i="18"/>
  <c r="W72" i="18"/>
  <c r="X72" i="18"/>
  <c r="Y72" i="18"/>
  <c r="Z72" i="18"/>
  <c r="Q73" i="18"/>
  <c r="R73" i="18"/>
  <c r="S73" i="18"/>
  <c r="T73" i="18"/>
  <c r="U73" i="18"/>
  <c r="V73" i="18"/>
  <c r="W73" i="18"/>
  <c r="X73" i="18"/>
  <c r="Y73" i="18"/>
  <c r="Z73"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Tran Thi Diem My</author>
    <author>Vo Van Quang</author>
    <author>Dinh Van Hien</author>
    <author>Lenovo</author>
    <author>Administrator</author>
    <author>Tran Ha Xuan Vu</author>
    <author>Pham Thi To Tam</author>
  </authors>
  <commentList>
    <comment ref="B17" authorId="0" shapeId="0" xr:uid="{ED767C95-905D-4887-8DB0-0F24B41CD366}">
      <text>
        <r>
          <rPr>
            <b/>
            <sz val="9"/>
            <color indexed="81"/>
            <rFont val="Tahoma"/>
            <family val="2"/>
          </rPr>
          <t>Tran Thi Diem My:</t>
        </r>
        <r>
          <rPr>
            <sz val="9"/>
            <color indexed="81"/>
            <rFont val="Tahoma"/>
            <family val="2"/>
          </rPr>
          <t xml:space="preserve">
Tiet giảm quỹ lương</t>
        </r>
      </text>
    </comment>
    <comment ref="B98" authorId="1" shapeId="0" xr:uid="{00C524A3-06F1-4E01-937C-7E0B2836C956}">
      <text>
        <r>
          <rPr>
            <b/>
            <sz val="9"/>
            <color indexed="81"/>
            <rFont val="Tahoma"/>
            <family val="2"/>
          </rPr>
          <t>Vo Van Quang: Domestic and Export</t>
        </r>
      </text>
    </comment>
    <comment ref="P102" authorId="2" shapeId="0" xr:uid="{91A1CE15-821B-4DE0-B37C-7EC15202DB17}">
      <text>
        <r>
          <rPr>
            <b/>
            <sz val="9"/>
            <color indexed="81"/>
            <rFont val="Tahoma"/>
            <family val="2"/>
          </rPr>
          <t>Dinh Van Hien:</t>
        </r>
        <r>
          <rPr>
            <sz val="9"/>
            <color indexed="81"/>
            <rFont val="Tahoma"/>
            <family val="2"/>
          </rPr>
          <t xml:space="preserve">
sản lượng Q1/2022 +18.5% yoy, Q2/2022 -6.6% yoy &gt;&gt;&gt; nên lấy trung bình cộng
</t>
        </r>
      </text>
    </comment>
    <comment ref="P106" authorId="2" shapeId="0" xr:uid="{3AA45A30-1C90-443A-A570-63EBCE85735B}">
      <text>
        <r>
          <rPr>
            <b/>
            <sz val="9"/>
            <color indexed="81"/>
            <rFont val="Tahoma"/>
            <family val="2"/>
          </rPr>
          <t>Dinh Van Hien:</t>
        </r>
        <r>
          <rPr>
            <sz val="9"/>
            <color indexed="81"/>
            <rFont val="Tahoma"/>
            <family val="2"/>
          </rPr>
          <t xml:space="preserve">
https://binhdien.com/bang-gia-phan-bon/</t>
        </r>
      </text>
    </comment>
    <comment ref="B116" authorId="3" shapeId="0" xr:uid="{A4592865-9A9B-45F9-9F47-EF410AF19F73}">
      <text>
        <r>
          <rPr>
            <b/>
            <sz val="9"/>
            <color indexed="81"/>
            <rFont val="Tahoma"/>
            <family val="2"/>
          </rPr>
          <t>Lenovo:</t>
        </r>
        <r>
          <rPr>
            <sz val="9"/>
            <color indexed="81"/>
            <rFont val="Tahoma"/>
            <family val="2"/>
          </rPr>
          <t xml:space="preserve">
có cover khác loại nguyên vật liệu khác ngoài khí hay ko?</t>
        </r>
      </text>
    </comment>
    <comment ref="B118" authorId="4" shapeId="0" xr:uid="{5D637B99-6851-4931-92BF-64972A23BECE}">
      <text>
        <r>
          <rPr>
            <b/>
            <sz val="9"/>
            <color indexed="81"/>
            <rFont val="Tahoma"/>
            <family val="2"/>
          </rPr>
          <t>Administrator:</t>
        </r>
        <r>
          <rPr>
            <sz val="9"/>
            <color indexed="81"/>
            <rFont val="Tahoma"/>
            <family val="2"/>
          </rPr>
          <t xml:space="preserve">
Dựa theo số liệu trong báo cáo của VND vì không có số liệu phần này từ các tài liệu public của DCM</t>
        </r>
      </text>
    </comment>
    <comment ref="D121" authorId="4" shapeId="0" xr:uid="{6C56AB28-B2CB-45E3-BC42-1CF985B6AD4E}">
      <text>
        <r>
          <rPr>
            <b/>
            <sz val="9"/>
            <color indexed="81"/>
            <rFont val="Tahoma"/>
            <family val="2"/>
          </rPr>
          <t>Administrator:</t>
        </r>
        <r>
          <rPr>
            <sz val="9"/>
            <color indexed="81"/>
            <rFont val="Tahoma"/>
            <family val="2"/>
          </rPr>
          <t xml:space="preserve">
Nhà máy Ure Cà Mau bắt đầu vận hành từ 2012. Tại thời điểm đó chưa có nhà máy NPK và tổng số vốn đầu tư nhà máy Ure ban đầu là 900 triệu USD - tỷ giá tại thời điểm đó lấy 16,000 VND/USD &gt;&gt; tương đương 14,400,000,000,000 VND &gt;&gt; khấu hao 12 năm tới 2023 &gt;&gt; mỗi năm 1200 tỷ
</t>
        </r>
      </text>
    </comment>
    <comment ref="I121" authorId="4" shapeId="0" xr:uid="{F92B444F-926D-464F-A050-22DF28FA239D}">
      <text>
        <r>
          <rPr>
            <b/>
            <sz val="9"/>
            <color indexed="81"/>
            <rFont val="Tahoma"/>
            <family val="2"/>
          </rPr>
          <t>Administrator:</t>
        </r>
        <r>
          <rPr>
            <sz val="9"/>
            <color indexed="81"/>
            <rFont val="Tahoma"/>
            <family val="2"/>
          </rPr>
          <t xml:space="preserve">
Giả định sau hết khấu hao nhà máy Ure thì chi phí nâng cấp gia tăng công suất nhà máy (xưởng NH3 và xưởng URE lên 125% công suất thiết kế) giai đoạn 2025 về sau sẽ có khấu hao = 10% giai đoạn trước</t>
        </r>
      </text>
    </comment>
    <comment ref="B122" authorId="2" shapeId="0" xr:uid="{E957E5EB-B7E3-4773-8581-61F3D77FE266}">
      <text>
        <r>
          <rPr>
            <b/>
            <sz val="9"/>
            <color indexed="81"/>
            <rFont val="Tahoma"/>
            <family val="2"/>
          </rPr>
          <t>Dinh Van Hien:</t>
        </r>
        <r>
          <rPr>
            <sz val="9"/>
            <color indexed="81"/>
            <rFont val="Tahoma"/>
            <family val="2"/>
          </rPr>
          <t xml:space="preserve">
Giả đỉnh GPM ure = 27%</t>
        </r>
      </text>
    </comment>
    <comment ref="N126" authorId="5" shapeId="0" xr:uid="{88F8C32F-05A8-4381-9B40-8F78B802240C}">
      <text>
        <r>
          <rPr>
            <b/>
            <sz val="9"/>
            <color indexed="81"/>
            <rFont val="Tahoma"/>
            <family val="2"/>
          </rPr>
          <t>Tran Ha Xuan Vu:</t>
        </r>
        <r>
          <rPr>
            <sz val="9"/>
            <color indexed="81"/>
            <rFont val="Tahoma"/>
            <family val="2"/>
          </rPr>
          <t xml:space="preserve">
công thức MFO: 5,6717*oil price/0,97-11,575</t>
        </r>
      </text>
    </comment>
    <comment ref="M128" authorId="5" shapeId="0" xr:uid="{3AA76807-3F5B-4A56-9239-AB8AE8E527BA}">
      <text>
        <r>
          <rPr>
            <b/>
            <sz val="9"/>
            <color indexed="81"/>
            <rFont val="Tahoma"/>
            <family val="2"/>
          </rPr>
          <t>Tran Ha Xuan Vu:</t>
        </r>
        <r>
          <rPr>
            <sz val="9"/>
            <color indexed="81"/>
            <rFont val="Tahoma"/>
            <family val="2"/>
          </rPr>
          <t xml:space="preserve">
trong năm xài nguồn bù từ các mỏ khác bể Cửu Long và Nam Côn Sơn nên chi phí vận chuyển khí cao</t>
        </r>
      </text>
    </comment>
    <comment ref="N128" authorId="6" shapeId="0" xr:uid="{D0562B63-225D-4BBA-80F8-55198845A2EA}">
      <text>
        <r>
          <rPr>
            <b/>
            <sz val="9"/>
            <color indexed="81"/>
            <rFont val="Tahoma"/>
            <family val="2"/>
          </rPr>
          <t>Pham Thi To Tam:</t>
        </r>
        <r>
          <rPr>
            <sz val="9"/>
            <color indexed="81"/>
            <rFont val="Tahoma"/>
            <family val="2"/>
          </rPr>
          <t xml:space="preserve">
số cty 1.7 (tạm)</t>
        </r>
      </text>
    </comment>
    <comment ref="B134" authorId="3" shapeId="0" xr:uid="{D85B255D-AF48-4A2C-8F80-2D5011E5CB2C}">
      <text>
        <r>
          <rPr>
            <b/>
            <sz val="9"/>
            <color indexed="81"/>
            <rFont val="Tahoma"/>
            <family val="2"/>
          </rPr>
          <t>Lenovo:</t>
        </r>
        <r>
          <rPr>
            <sz val="9"/>
            <color indexed="81"/>
            <rFont val="Tahoma"/>
            <family val="2"/>
          </rPr>
          <t xml:space="preserve">
https://ubot.vn/nhung-doi-tuong-va-cac-loai-mat-hang-khong-chiu-thue-gtgt/#:~:text=%C3%81p%20d%E1%BB%A5ng%20n%C4%83m%202020%20th%C3%AC,v%E1%BA%ADt%2C%20lo%E1%BA%A1i%20gi%E1%BB%91ng%20c%C3%A2y%20tr%E1%BB%93ng.</t>
        </r>
      </text>
    </comment>
    <comment ref="T138" authorId="4" shapeId="0" xr:uid="{EE4FB10E-EA62-409F-B460-EDF19836DBA2}">
      <text>
        <r>
          <rPr>
            <b/>
            <sz val="9"/>
            <color indexed="81"/>
            <rFont val="Tahoma"/>
            <family val="2"/>
          </rPr>
          <t>Administrator:</t>
        </r>
        <r>
          <rPr>
            <sz val="9"/>
            <color indexed="81"/>
            <rFont val="Tahoma"/>
            <family val="2"/>
          </rPr>
          <t xml:space="preserve">
https://tapchicongthuong.vn/dam-ca-mau--dcm-lai-vuot-xa-ke-hoach-nam--day-manh-khai-thac-thi-truong-campuchia-142734.htm</t>
        </r>
      </text>
    </comment>
    <comment ref="B139" authorId="3" shapeId="0" xr:uid="{C2B0FAC7-CA03-4925-80D0-8F1AC3FD8C3F}">
      <text>
        <r>
          <rPr>
            <b/>
            <sz val="9"/>
            <color indexed="81"/>
            <rFont val="Tahoma"/>
            <family val="2"/>
          </rPr>
          <t>Lenovo:</t>
        </r>
        <r>
          <rPr>
            <sz val="9"/>
            <color indexed="81"/>
            <rFont val="Tahoma"/>
            <family val="2"/>
          </rPr>
          <t xml:space="preserve">
2 dòng này là sao</t>
        </r>
      </text>
    </comment>
    <comment ref="D146" authorId="0" shapeId="0" xr:uid="{55BEC6DA-C36B-4C19-8851-D11CD5FF50DD}">
      <text>
        <r>
          <rPr>
            <b/>
            <sz val="9"/>
            <color indexed="81"/>
            <rFont val="Tahoma"/>
            <family val="2"/>
          </rPr>
          <t>Tran Thi Diem My:</t>
        </r>
        <r>
          <rPr>
            <sz val="9"/>
            <color indexed="81"/>
            <rFont val="Tahoma"/>
            <family val="2"/>
          </rPr>
          <t xml:space="preserve">
Revenue (DCM) 186892</t>
        </r>
      </text>
    </comment>
    <comment ref="A169" authorId="5" shapeId="0" xr:uid="{B5F3E5D4-3CB1-4B21-BE5F-E213BAC52368}">
      <text>
        <r>
          <rPr>
            <b/>
            <sz val="9"/>
            <color indexed="81"/>
            <rFont val="Tahoma"/>
            <family val="2"/>
          </rPr>
          <t>Tran Ha Xuan Vu:</t>
        </r>
        <r>
          <rPr>
            <sz val="9"/>
            <color indexed="81"/>
            <rFont val="Tahoma"/>
            <family val="2"/>
          </rPr>
          <t xml:space="preserve">
total capacity 540k tons/year but internal demand 470k tons/year --&gt; only 70k tons/year for selling</t>
        </r>
      </text>
    </comment>
    <comment ref="B171" authorId="5" shapeId="0" xr:uid="{661E1EC8-564F-4710-968B-B08E67D8F882}">
      <text>
        <r>
          <rPr>
            <b/>
            <sz val="9"/>
            <color indexed="81"/>
            <rFont val="Tahoma"/>
            <family val="2"/>
          </rPr>
          <t>Tran Ha Xuan Vu:</t>
        </r>
        <r>
          <rPr>
            <sz val="9"/>
            <color indexed="81"/>
            <rFont val="Tahoma"/>
            <family val="2"/>
          </rPr>
          <t xml:space="preserve">
maximum 70k tons for selling</t>
        </r>
      </text>
    </comment>
    <comment ref="M171" authorId="5" shapeId="0" xr:uid="{D60C34BA-6109-4AFF-B6B9-46F5F8A3CFB8}">
      <text>
        <r>
          <rPr>
            <b/>
            <sz val="9"/>
            <color indexed="81"/>
            <rFont val="Tahoma"/>
            <family val="2"/>
          </rPr>
          <t>Tran Ha Xuan Vu:</t>
        </r>
        <r>
          <rPr>
            <sz val="9"/>
            <color indexed="81"/>
            <rFont val="Tahoma"/>
            <family val="2"/>
          </rPr>
          <t xml:space="preserve">
sản lượng NH3 chỉ bằng 84% so với 2018 do nhà máy bảo dưỡng và chỉ chạy 84% công suất</t>
        </r>
      </text>
    </comment>
    <comment ref="O171" authorId="6" shapeId="0" xr:uid="{85551E83-1D29-482D-8BE7-DB4A91A82953}">
      <text>
        <r>
          <rPr>
            <b/>
            <sz val="9"/>
            <color indexed="81"/>
            <rFont val="Tahoma"/>
            <family val="2"/>
          </rPr>
          <t>Pham Thi To Tam:</t>
        </r>
        <r>
          <rPr>
            <sz val="9"/>
            <color indexed="81"/>
            <rFont val="Tahoma"/>
            <family val="2"/>
          </rPr>
          <t xml:space="preserve">
kế hoạch 63k</t>
        </r>
      </text>
    </comment>
    <comment ref="M174" authorId="5" shapeId="0" xr:uid="{44EF1C85-CBBD-49CA-BF71-D88D0CDFDCF4}">
      <text>
        <r>
          <rPr>
            <b/>
            <sz val="9"/>
            <color indexed="81"/>
            <rFont val="Tahoma"/>
            <family val="2"/>
          </rPr>
          <t>Tran Ha Xuan Vu:</t>
        </r>
        <r>
          <rPr>
            <sz val="9"/>
            <color indexed="81"/>
            <rFont val="Tahoma"/>
            <family val="2"/>
          </rPr>
          <t xml:space="preserve">
giá bán trong q3 năm 2019 giảm mạnh, giá bán q1 (8100), q2 (7200), q3(5400)</t>
        </r>
      </text>
    </comment>
    <comment ref="L177" authorId="5" shapeId="0" xr:uid="{CC43DF49-E606-43B0-BCB8-88D2C902975B}">
      <text>
        <r>
          <rPr>
            <b/>
            <sz val="9"/>
            <color indexed="81"/>
            <rFont val="Tahoma"/>
            <family val="2"/>
          </rPr>
          <t>Tran Ha Xuan Vu:</t>
        </r>
        <r>
          <rPr>
            <sz val="9"/>
            <color indexed="81"/>
            <rFont val="Tahoma"/>
            <family val="2"/>
          </rPr>
          <t xml:space="preserve">
giả định dây chuyên NH3 những năm trước k có khấu hao và số khấu hao 2018 là phần chênh lệch giữa giá vốn năm 2018 và 2017</t>
        </r>
      </text>
    </comment>
    <comment ref="L180" authorId="5" shapeId="0" xr:uid="{E6E3483D-996D-4DE7-9D25-0C588D832B3E}">
      <text>
        <r>
          <rPr>
            <b/>
            <sz val="9"/>
            <color indexed="81"/>
            <rFont val="Tahoma"/>
            <family val="2"/>
          </rPr>
          <t>Tran Ha Xuan Vu:</t>
        </r>
        <r>
          <rPr>
            <sz val="9"/>
            <color indexed="81"/>
            <rFont val="Tahoma"/>
            <family val="2"/>
          </rPr>
          <t xml:space="preserve">
do khấu hao tăng thêm từ NH3-NPK nên gross margin giảm</t>
        </r>
      </text>
    </comment>
    <comment ref="M180" authorId="5" shapeId="0" xr:uid="{AB33757E-BDF3-40F7-9550-826298EA4990}">
      <text>
        <r>
          <rPr>
            <b/>
            <sz val="9"/>
            <color indexed="81"/>
            <rFont val="Tahoma"/>
            <family val="2"/>
          </rPr>
          <t>Tran Ha Xuan Vu:</t>
        </r>
        <r>
          <rPr>
            <sz val="9"/>
            <color indexed="81"/>
            <rFont val="Tahoma"/>
            <family val="2"/>
          </rPr>
          <t xml:space="preserve">
số từ DPM</t>
        </r>
      </text>
    </comment>
    <comment ref="M181" authorId="5" shapeId="0" xr:uid="{BE65410A-E768-419C-B84A-0F89E254981A}">
      <text>
        <r>
          <rPr>
            <b/>
            <sz val="9"/>
            <color indexed="81"/>
            <rFont val="Tahoma"/>
            <family val="2"/>
          </rPr>
          <t>Tran Ha Xuan Vu:</t>
        </r>
        <r>
          <rPr>
            <sz val="9"/>
            <color indexed="81"/>
            <rFont val="Tahoma"/>
            <family val="2"/>
          </rPr>
          <t xml:space="preserve">
chỉnh để biên là 20% theo như số của DPM</t>
        </r>
      </text>
    </comment>
    <comment ref="B193" authorId="1" shapeId="0" xr:uid="{AF2D1A87-768C-4B2E-A53B-7E40CB1CF64A}">
      <text>
        <r>
          <rPr>
            <b/>
            <sz val="9"/>
            <color indexed="81"/>
            <rFont val="Tahoma"/>
            <family val="2"/>
          </rPr>
          <t>Vo Van Quang:</t>
        </r>
        <r>
          <rPr>
            <sz val="9"/>
            <color indexed="81"/>
            <rFont val="Tahoma"/>
            <family val="2"/>
          </rPr>
          <t xml:space="preserve">
Tran Thi Diem My:
Trading
KHKD 2015: Doanh thu 390 tỷ, LNTT: 50 tỷ, sản lượng 23.300 tấn
</t>
        </r>
      </text>
    </comment>
    <comment ref="I194" authorId="4" shapeId="0" xr:uid="{E14A1CE4-63CD-4713-8B88-FFFF8AF50711}">
      <text>
        <r>
          <rPr>
            <b/>
            <sz val="9"/>
            <color indexed="81"/>
            <rFont val="Tahoma"/>
            <family val="2"/>
          </rPr>
          <t>Administrator:</t>
        </r>
        <r>
          <rPr>
            <sz val="9"/>
            <color indexed="81"/>
            <rFont val="Tahoma"/>
            <family val="2"/>
          </rPr>
          <t xml:space="preserve">
Năm 2024 trừ phần doanh thu 9t của NPK Hàn - Việt
</t>
        </r>
      </text>
    </comment>
    <comment ref="B237" authorId="4" shapeId="0" xr:uid="{21711E22-9D1E-4726-9674-0023D08AF619}">
      <text>
        <r>
          <rPr>
            <b/>
            <sz val="9"/>
            <color indexed="81"/>
            <rFont val="Tahoma"/>
            <family val="2"/>
          </rPr>
          <t>Administrator:</t>
        </r>
        <r>
          <rPr>
            <sz val="9"/>
            <color indexed="81"/>
            <rFont val="Tahoma"/>
            <family val="2"/>
          </rPr>
          <t xml:space="preserve">
https://tapchicongthuong.vn/dam-ca-mau--dcm-lai-vuot-xa-ke-hoach-nam--day-manh-khai-thac-thi-truong-campuchia-142734.htm</t>
        </r>
      </text>
    </comment>
    <comment ref="L257" authorId="5" shapeId="0" xr:uid="{B012F669-F53F-4AF7-A4EC-AFA87264DA7E}">
      <text>
        <r>
          <rPr>
            <b/>
            <sz val="9"/>
            <color indexed="81"/>
            <rFont val="Tahoma"/>
            <family val="2"/>
          </rPr>
          <t>Tran Ha Xuan Vu:</t>
        </r>
        <r>
          <rPr>
            <sz val="9"/>
            <color indexed="81"/>
            <rFont val="Tahoma"/>
            <family val="2"/>
          </rPr>
          <t xml:space="preserve">
chi phí mỗi tấn là 8.556.383 VND và tiêu thụ 35k tấn npk</t>
        </r>
      </text>
    </comment>
    <comment ref="K258" authorId="1" shapeId="0" xr:uid="{B16F0707-D47F-4CDC-9EB6-515E0740E07C}">
      <text>
        <r>
          <rPr>
            <b/>
            <sz val="9"/>
            <color indexed="81"/>
            <rFont val="Tahoma"/>
            <family val="2"/>
          </rPr>
          <t>Vo Van Quang:</t>
        </r>
        <r>
          <rPr>
            <sz val="9"/>
            <color indexed="81"/>
            <rFont val="Tahoma"/>
            <family val="2"/>
          </rPr>
          <t xml:space="preserve">
Giả định các nguyên vật liệu chính chiếm 90% tổng chi phí nguyên vật liệu
</t>
        </r>
      </text>
    </comment>
    <comment ref="F259" authorId="4" shapeId="0" xr:uid="{DC73400F-CEAC-4327-97B1-1FA596BE9100}">
      <text>
        <r>
          <rPr>
            <b/>
            <sz val="9"/>
            <color indexed="81"/>
            <rFont val="Tahoma"/>
            <family val="2"/>
          </rPr>
          <t>Administrator:</t>
        </r>
        <r>
          <rPr>
            <sz val="9"/>
            <color indexed="81"/>
            <rFont val="Tahoma"/>
            <family val="2"/>
          </rPr>
          <t xml:space="preserve">
Chi phí nhà máy NPK tầm 768 tỷ, khấu hao trong 12 năm. Năm 2021 vận hành 9 tháng</t>
        </r>
      </text>
    </comment>
    <comment ref="O259" authorId="2" shapeId="0" xr:uid="{0C0480CD-67D1-4597-B4B1-1474C018A5FE}">
      <text>
        <r>
          <rPr>
            <b/>
            <sz val="9"/>
            <color indexed="81"/>
            <rFont val="Tahoma"/>
            <family val="2"/>
          </rPr>
          <t>Dinh Van Hien:</t>
        </r>
        <r>
          <rPr>
            <sz val="9"/>
            <color indexed="81"/>
            <rFont val="Tahoma"/>
            <family val="2"/>
          </rPr>
          <t xml:space="preserve">
Trong 2021 nhà máy NPK chỉ hoạt động 9T (bắt đầu từ T4/2021).</t>
        </r>
      </text>
    </comment>
    <comment ref="K260" authorId="1" shapeId="0" xr:uid="{4C8FE3F8-BF05-4C9A-B426-301FE8D5A4B3}">
      <text>
        <r>
          <rPr>
            <b/>
            <sz val="9"/>
            <color indexed="81"/>
            <rFont val="Tahoma"/>
            <family val="2"/>
          </rPr>
          <t>Vo Van Quang:</t>
        </r>
        <r>
          <rPr>
            <sz val="9"/>
            <color indexed="81"/>
            <rFont val="Tahoma"/>
            <family val="2"/>
          </rPr>
          <t xml:space="preserve">
Chi phí lao động giảm 50% do tận dụng nhân công từ cơ sở cũ
Không tính lao động bán hàng</t>
        </r>
      </text>
    </comment>
    <comment ref="K261" authorId="1" shapeId="0" xr:uid="{3F1455EE-90FA-4264-9F43-D65FFCC0FBB1}">
      <text>
        <r>
          <rPr>
            <b/>
            <sz val="9"/>
            <color indexed="81"/>
            <rFont val="Tahoma"/>
            <family val="2"/>
          </rPr>
          <t>Vo Van Quang:</t>
        </r>
        <r>
          <rPr>
            <sz val="9"/>
            <color indexed="81"/>
            <rFont val="Tahoma"/>
            <family val="2"/>
          </rPr>
          <t xml:space="preserve">
Giả định không có chi phí thuê ngoài</t>
        </r>
      </text>
    </comment>
    <comment ref="L265" authorId="2" shapeId="0" xr:uid="{47EB007C-9D32-4A86-91FA-101975E2316C}">
      <text>
        <r>
          <rPr>
            <b/>
            <sz val="9"/>
            <color indexed="81"/>
            <rFont val="Tahoma"/>
            <family val="2"/>
          </rPr>
          <t>Dinh Van Hien:</t>
        </r>
        <r>
          <rPr>
            <sz val="9"/>
            <color indexed="81"/>
            <rFont val="Tahoma"/>
            <family val="2"/>
          </rPr>
          <t xml:space="preserve">
Vì công nghệ Ure hóa lỏng phải mua phân đơn (DAP,Kali) làm nguyên liệu đầu vào chứ không phải bắt đầu từ các nguyên liệu đầu chuỗi như NH3, H2SO4… cho nên chi phí này giả định mắc hơn DPM 10%</t>
        </r>
      </text>
    </comment>
    <comment ref="K299" authorId="0" shapeId="0" xr:uid="{6C732406-2ECC-4B36-BE18-71DF39622B12}">
      <text>
        <r>
          <rPr>
            <b/>
            <sz val="9"/>
            <color indexed="81"/>
            <rFont val="Tahoma"/>
            <family val="2"/>
          </rPr>
          <t>Tran Thi Diem My:</t>
        </r>
        <r>
          <rPr>
            <sz val="9"/>
            <color indexed="81"/>
            <rFont val="Tahoma"/>
            <family val="2"/>
          </rPr>
          <t xml:space="preserve">
Chi phí sửa chữa lớn 2017 490 tỷ, đã trích dự phòng 312k</t>
        </r>
      </text>
    </comment>
    <comment ref="B349" authorId="5" shapeId="0" xr:uid="{70D37D91-B617-4CBE-BC36-65BD2CDBF9B6}">
      <text>
        <r>
          <rPr>
            <b/>
            <sz val="9"/>
            <color indexed="81"/>
            <rFont val="Tahoma"/>
            <family val="2"/>
          </rPr>
          <t>Tran Ha Xuan Vu:</t>
        </r>
        <r>
          <rPr>
            <sz val="9"/>
            <color indexed="81"/>
            <rFont val="Tahoma"/>
            <family val="2"/>
          </rPr>
          <t xml:space="preserve">
mỗi năm nhà máy cần 511 tr m3 khí</t>
        </r>
      </text>
    </comment>
    <comment ref="N349" authorId="3" shapeId="0" xr:uid="{E4074C7B-4165-43AE-A77D-2D5213E54ED3}">
      <text>
        <r>
          <rPr>
            <b/>
            <sz val="9"/>
            <color indexed="81"/>
            <rFont val="Tahoma"/>
            <family val="2"/>
          </rPr>
          <t>Lenovo:</t>
        </r>
        <r>
          <rPr>
            <sz val="9"/>
            <color indexed="81"/>
            <rFont val="Tahoma"/>
            <family val="2"/>
          </rPr>
          <t xml:space="preserve">
BCTN 2020</t>
        </r>
      </text>
    </comment>
    <comment ref="M350" authorId="4" shapeId="0" xr:uid="{351A8258-6A27-4995-A70B-B1A0C26556B1}">
      <text>
        <r>
          <rPr>
            <b/>
            <sz val="9"/>
            <color indexed="81"/>
            <rFont val="Tahoma"/>
            <family val="2"/>
          </rPr>
          <t>Administrator:</t>
        </r>
        <r>
          <rPr>
            <sz val="9"/>
            <color indexed="81"/>
            <rFont val="Tahoma"/>
            <family val="2"/>
          </rPr>
          <t xml:space="preserve">
dự kiến năm 2028 công suất sx đạt 125%
https://tapchicongthuong.vn/dam-ca-mau--dcm--muon-nang-cong-suat-nha-may-ure--mo-mang-xuat-khau-trai-cay-131754.htm</t>
        </r>
      </text>
    </comment>
    <comment ref="B351" authorId="5" shapeId="0" xr:uid="{58341992-90DD-4563-98F1-C4546DB6A598}">
      <text>
        <r>
          <rPr>
            <b/>
            <sz val="9"/>
            <color indexed="81"/>
            <rFont val="Tahoma"/>
            <family val="2"/>
          </rPr>
          <t>Tran Ha Xuan Vu:</t>
        </r>
        <r>
          <rPr>
            <sz val="9"/>
            <color indexed="81"/>
            <rFont val="Tahoma"/>
            <family val="2"/>
          </rPr>
          <t xml:space="preserve">
1MMBTU = 25.04 m3
https://vnkythuat.com/doi-sm3-sang-mmbtu/
</t>
        </r>
      </text>
    </comment>
    <comment ref="B352" authorId="3" shapeId="0" xr:uid="{D0A73513-1B9E-4E4C-92AC-7F751AFB052C}">
      <text>
        <r>
          <rPr>
            <b/>
            <sz val="9"/>
            <color indexed="81"/>
            <rFont val="Tahoma"/>
            <family val="2"/>
          </rPr>
          <t>Lenovo:</t>
        </r>
        <r>
          <rPr>
            <sz val="9"/>
            <color indexed="81"/>
            <rFont val="Tahoma"/>
            <family val="2"/>
          </rPr>
          <t xml:space="preserve">
https://vnkythuat.com/doi-sm3-sang-mmbtu/</t>
        </r>
      </text>
    </comment>
    <comment ref="B353" authorId="3" shapeId="0" xr:uid="{251CDB99-99D6-4FDB-A2EA-FA354FC5A29B}">
      <text>
        <r>
          <rPr>
            <b/>
            <sz val="9"/>
            <color indexed="81"/>
            <rFont val="Tahoma"/>
            <family val="2"/>
          </rPr>
          <t>Lenovo:</t>
        </r>
        <r>
          <rPr>
            <sz val="9"/>
            <color indexed="81"/>
            <rFont val="Tahoma"/>
            <family val="2"/>
          </rPr>
          <t xml:space="preserve">
VAT = 0%</t>
        </r>
      </text>
    </comment>
    <comment ref="B360" authorId="5" shapeId="0" xr:uid="{1C4E24AE-FBED-4151-8AAC-F3DBC2358D76}">
      <text>
        <r>
          <rPr>
            <b/>
            <sz val="9"/>
            <color indexed="81"/>
            <rFont val="Tahoma"/>
            <family val="2"/>
          </rPr>
          <t>Tran Ha Xuan Vu:</t>
        </r>
        <r>
          <rPr>
            <sz val="9"/>
            <color indexed="81"/>
            <rFont val="Tahoma"/>
            <family val="2"/>
          </rPr>
          <t xml:space="preserve">
raw material để chạy full công suất nhà máy NPK</t>
        </r>
      </text>
    </comment>
    <comment ref="B367" authorId="5" shapeId="0" xr:uid="{CE0E4AE9-08E0-4A1A-AF37-59F52414FAA2}">
      <text>
        <r>
          <rPr>
            <b/>
            <sz val="9"/>
            <color indexed="81"/>
            <rFont val="Tahoma"/>
            <family val="2"/>
          </rPr>
          <t>Tran Ha Xuan Vu:</t>
        </r>
        <r>
          <rPr>
            <sz val="9"/>
            <color indexed="81"/>
            <rFont val="Tahoma"/>
            <family val="2"/>
          </rPr>
          <t xml:space="preserve">
https://ycharts.com/indicators/us_producer_price_index_chemicals_and_allied_products_sulfuric_acid_yearly</t>
        </r>
      </text>
    </comment>
    <comment ref="B368" authorId="5" shapeId="0" xr:uid="{3CBF71B0-F007-4038-ABF0-3601EECCD136}">
      <text>
        <r>
          <rPr>
            <b/>
            <sz val="9"/>
            <color indexed="81"/>
            <rFont val="Tahoma"/>
            <family val="2"/>
          </rPr>
          <t>Tran Ha Xuan Vu:</t>
        </r>
        <r>
          <rPr>
            <sz val="9"/>
            <color indexed="81"/>
            <rFont val="Tahoma"/>
            <family val="2"/>
          </rPr>
          <t xml:space="preserve">
https://www.indexmundi.com/commodities/?commodity=potassium-chloride&amp;months=60</t>
        </r>
      </text>
    </comment>
    <comment ref="K372" authorId="5" shapeId="0" xr:uid="{ED774A3A-207D-4CC2-88EE-7EA6C6B861A9}">
      <text>
        <r>
          <rPr>
            <b/>
            <sz val="9"/>
            <color indexed="81"/>
            <rFont val="Tahoma"/>
            <family val="2"/>
          </rPr>
          <t>Tran Ha Xuan Vu:</t>
        </r>
        <r>
          <rPr>
            <sz val="9"/>
            <color indexed="81"/>
            <rFont val="Tahoma"/>
            <family val="2"/>
          </rPr>
          <t xml:space="preserve">
tổng giá trị raw material để full công suất (1304 tỷ đồng)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9" authorId="0" shapeId="0" xr:uid="{54FDA1EF-4940-4D14-AA0A-6CF538BCC883}">
      <text>
        <r>
          <rPr>
            <b/>
            <sz val="9"/>
            <color indexed="81"/>
            <rFont val="Tahoma"/>
            <family val="2"/>
          </rPr>
          <t>Author:</t>
        </r>
        <r>
          <rPr>
            <sz val="9"/>
            <color indexed="81"/>
            <rFont val="Tahoma"/>
            <family val="2"/>
          </rPr>
          <t xml:space="preserve">
Xem trong BCTC, phần chú thích tăng giảm nguồn VCSH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P148" authorId="0" shapeId="0" xr:uid="{B18C6D33-CE3B-41DC-8C3D-FFD6794D309E}">
      <text>
        <r>
          <rPr>
            <b/>
            <sz val="9"/>
            <color indexed="81"/>
            <rFont val="Tahoma"/>
            <family val="2"/>
          </rPr>
          <t>Administrator:</t>
        </r>
        <r>
          <rPr>
            <sz val="9"/>
            <color indexed="81"/>
            <rFont val="Tahoma"/>
            <family val="2"/>
          </rPr>
          <t xml:space="preserve">
Thêm 492.517.255.423 phần hợp nhất báo cáo sau sát nhập với KVF</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Q9" authorId="0" shapeId="0" xr:uid="{920F75CD-6343-4C38-9351-6AFC030ABCE8}">
      <text>
        <r>
          <rPr>
            <b/>
            <sz val="9"/>
            <color indexed="81"/>
            <rFont val="Tahoma"/>
            <family val="2"/>
          </rPr>
          <t>Administrator:</t>
        </r>
        <r>
          <rPr>
            <sz val="9"/>
            <color indexed="81"/>
            <rFont val="Tahoma"/>
            <family val="2"/>
          </rPr>
          <t xml:space="preserve">
DCM dự kiến chi 771 tỷ đồng đầu tư capex 2025
https://tapchicongthuong.vn/dam-ca-mau--dcm--muon-nang-cong-suat-nha-may-ure--mo-mang-xuat-khau-trai-cay-131754.htm</t>
        </r>
      </text>
    </comment>
    <comment ref="BC9" authorId="0" shapeId="0" xr:uid="{C10DBA6D-17D8-406C-AB41-D269177DB04B}">
      <text>
        <r>
          <rPr>
            <b/>
            <sz val="9"/>
            <color indexed="81"/>
            <rFont val="Tahoma"/>
            <family val="2"/>
          </rPr>
          <t>Administrator:</t>
        </r>
        <r>
          <rPr>
            <sz val="9"/>
            <color indexed="81"/>
            <rFont val="Tahoma"/>
            <family val="2"/>
          </rPr>
          <t xml:space="preserve">
https://tapchicongthuong.vn/dam-ca-mau--dcm-lai-vuot-xa-ke-hoach-nam--day-manh-khai-thac-thi-truong-campuchia-142734.htm</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Administrator</author>
  </authors>
  <commentList>
    <comment ref="B49" authorId="0" shapeId="0" xr:uid="{B2D66584-F6E3-4AC6-8B37-3C29F42732FA}">
      <text>
        <r>
          <rPr>
            <b/>
            <sz val="10"/>
            <color indexed="81"/>
            <rFont val="Tahoma"/>
            <family val="2"/>
          </rPr>
          <t>Author:</t>
        </r>
        <r>
          <rPr>
            <sz val="10"/>
            <color indexed="81"/>
            <rFont val="Tahoma"/>
            <family val="2"/>
          </rPr>
          <t xml:space="preserve">
Non-operating revenues</t>
        </r>
      </text>
    </comment>
    <comment ref="C49" authorId="0" shapeId="0" xr:uid="{7D586662-988D-49E1-B10A-E5A5712A4D10}">
      <text>
        <r>
          <rPr>
            <b/>
            <sz val="10"/>
            <color indexed="81"/>
            <rFont val="Tahoma"/>
            <family val="2"/>
          </rPr>
          <t>Author:</t>
        </r>
        <r>
          <rPr>
            <sz val="10"/>
            <color indexed="81"/>
            <rFont val="Tahoma"/>
            <family val="2"/>
          </rPr>
          <t xml:space="preserve">
Non-operating revenues</t>
        </r>
      </text>
    </comment>
    <comment ref="Q89" authorId="1" shapeId="0" xr:uid="{C58CD30F-8E1D-4F80-A418-BAF8E8928057}">
      <text>
        <r>
          <rPr>
            <b/>
            <sz val="9"/>
            <color indexed="81"/>
            <rFont val="Tahoma"/>
            <charset val="1"/>
          </rPr>
          <t>Administrator:</t>
        </r>
        <r>
          <rPr>
            <sz val="9"/>
            <color indexed="81"/>
            <rFont val="Tahoma"/>
            <charset val="1"/>
          </rPr>
          <t xml:space="preserve">
Thuế suất của DCM đang thấp hơn đáng kể so với DPM và BFC &gt;&gt;&gt; kỳ vọng từ 2025 - 2034 thuế suất DCM sẽ tăng lên ngưỡng của DPM, doanh nghiệp gần tương đương DCM</t>
        </r>
      </text>
    </comment>
    <comment ref="B116" authorId="0" shapeId="0" xr:uid="{611C1160-589A-451A-A5AD-603D1884511B}">
      <text>
        <r>
          <rPr>
            <b/>
            <sz val="9"/>
            <color indexed="81"/>
            <rFont val="Tahoma"/>
            <family val="2"/>
          </rPr>
          <t>Author:</t>
        </r>
        <r>
          <rPr>
            <sz val="9"/>
            <color indexed="81"/>
            <rFont val="Tahoma"/>
            <family val="2"/>
          </rPr>
          <t xml:space="preserve">
Số liệu lấy từ NQ ĐHCĐ các năm </t>
        </r>
      </text>
    </comment>
    <comment ref="N156" authorId="0" shapeId="0" xr:uid="{7F2FA97F-2043-4E59-9DBB-ACDE0C3710E8}">
      <text>
        <r>
          <rPr>
            <b/>
            <sz val="9"/>
            <color indexed="81"/>
            <rFont val="Tahoma"/>
            <family val="2"/>
          </rPr>
          <t>Author:</t>
        </r>
        <r>
          <rPr>
            <sz val="9"/>
            <color indexed="81"/>
            <rFont val="Tahoma"/>
            <family val="2"/>
          </rPr>
          <t xml:space="preserve">
BCTC 2019 thì khoản tiền gửi ngân hàng kỳ hạn trên 3 tháng là 6.8%/năm</t>
        </r>
      </text>
    </comment>
    <comment ref="P164" authorId="0" shapeId="0" xr:uid="{2A48A5A7-EA20-40A1-AFA9-2F5CD830844A}">
      <text>
        <r>
          <rPr>
            <b/>
            <sz val="9"/>
            <color indexed="81"/>
            <rFont val="Tahoma"/>
            <family val="2"/>
          </rPr>
          <t>Author:</t>
        </r>
        <r>
          <rPr>
            <sz val="9"/>
            <color indexed="81"/>
            <rFont val="Tahoma"/>
            <family val="2"/>
          </rPr>
          <t xml:space="preserve">
Theo bctc 2023 thì các khoản tiền và tương đương tiền kỳ hạn dưới 3 tháng sẽ dc hưởng lợi suất từ 3%/năm.</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3" authorId="0" shapeId="0" xr:uid="{FB2ECA56-1FB1-42FA-AC07-E7720BD9AD99}">
      <text>
        <r>
          <rPr>
            <b/>
            <sz val="9"/>
            <color indexed="81"/>
            <rFont val="Tahoma"/>
            <family val="2"/>
          </rPr>
          <t>Author:</t>
        </r>
        <r>
          <rPr>
            <sz val="9"/>
            <color indexed="81"/>
            <rFont val="Tahoma"/>
            <family val="2"/>
          </rPr>
          <t xml:space="preserve">
Năm bắt đầu dự phóng -10
vd dự phóng giai đoạn 2019-2024
--&gt; ô cam = 2019-10=2009
KHÔNG NÊN INSERT HAY XÓA BỚT CÁC Ô</t>
        </r>
      </text>
    </comment>
    <comment ref="D57" authorId="0" shapeId="0" xr:uid="{8D778133-D9FE-432E-B9C7-140DEF501451}">
      <text>
        <r>
          <rPr>
            <b/>
            <sz val="9"/>
            <color indexed="81"/>
            <rFont val="Tahoma"/>
            <family val="2"/>
          </rPr>
          <t>Author:</t>
        </r>
        <r>
          <rPr>
            <sz val="9"/>
            <color indexed="81"/>
            <rFont val="Tahoma"/>
            <family val="2"/>
          </rPr>
          <t xml:space="preserve">
Năm bắt đầu dự phóng -10
vd dự phóng giai đoạn 2019-2024
--&gt; ô cam = 2019-10=2009
KHÔNG NÊN INSERT HAY XÓA BỚT CÁC Ô</t>
        </r>
      </text>
    </comment>
    <comment ref="D126" authorId="0" shapeId="0" xr:uid="{45E2195D-0D9F-496B-9880-1D6F1D366435}">
      <text>
        <r>
          <rPr>
            <b/>
            <sz val="9"/>
            <color indexed="81"/>
            <rFont val="Tahoma"/>
            <family val="2"/>
          </rPr>
          <t>Author:</t>
        </r>
        <r>
          <rPr>
            <sz val="9"/>
            <color indexed="81"/>
            <rFont val="Tahoma"/>
            <family val="2"/>
          </rPr>
          <t xml:space="preserve">
Năm bắt đầu dự phóng -10
vd dự phóng giai đoạn 2019-2024
--&gt; ô cam = 2019-10=2009
KHÔNG NÊN INSERT HAY XÓA BỚT CÁC Ô</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9" authorId="0" shapeId="0" xr:uid="{0527CDF7-2096-4125-BA12-D5F2D69164C0}">
      <text>
        <r>
          <rPr>
            <sz val="9"/>
            <color indexed="81"/>
            <rFont val="Tahoma"/>
            <family val="2"/>
          </rPr>
          <t xml:space="preserve">Trung bình lãi suất tiết kiệm 1 năm của các ngân hàng lớn.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6" authorId="0" shapeId="0" xr:uid="{AF157985-34A5-4F96-8C5A-A9379D30E777}">
      <text>
        <r>
          <rPr>
            <b/>
            <sz val="9"/>
            <color indexed="81"/>
            <rFont val="Tahoma"/>
            <family val="2"/>
          </rPr>
          <t>Author:</t>
        </r>
        <r>
          <rPr>
            <sz val="9"/>
            <color indexed="81"/>
            <rFont val="Tahoma"/>
            <family val="2"/>
          </rPr>
          <t xml:space="preserve">
∆Net Working Capital = ∆Receivables + ∆Inventory - ∆Payables, 
Nói chung theo Damodaran không bao gồm excess cash &amp; short term debt</t>
        </r>
      </text>
    </comment>
    <comment ref="C63" authorId="0" shapeId="0" xr:uid="{C116E44B-667C-4161-A0E5-79C50B51AAC4}">
      <text>
        <r>
          <rPr>
            <b/>
            <sz val="9"/>
            <color indexed="81"/>
            <rFont val="Tahoma"/>
            <family val="2"/>
          </rPr>
          <t>Author:</t>
        </r>
        <r>
          <rPr>
            <sz val="9"/>
            <color indexed="81"/>
            <rFont val="Tahoma"/>
            <family val="2"/>
          </rPr>
          <t xml:space="preserve">
∆Net Working Capital = ∆Receivables + ∆Inventory - ∆Payables, 
Nói chung theo Damodaran không bao gồm excess cash &amp; short term debt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6" authorId="0" shapeId="0" xr:uid="{300E9276-3787-49EC-A601-A849C14457E2}">
      <text>
        <r>
          <rPr>
            <b/>
            <sz val="9"/>
            <color indexed="81"/>
            <rFont val="Tahoma"/>
            <family val="2"/>
          </rPr>
          <t>Author:</t>
        </r>
        <r>
          <rPr>
            <sz val="9"/>
            <color indexed="81"/>
            <rFont val="Tahoma"/>
            <family val="2"/>
          </rPr>
          <t xml:space="preserve">
∆Net Working Capital = ∆Receivables + ∆Inventory - ∆Payables, 
Nói chung theo Damodaran không bao gồm excess cash &amp; short term debt</t>
        </r>
      </text>
    </comment>
    <comment ref="B51" authorId="0" shapeId="0" xr:uid="{3509C86B-323B-47E8-B038-91D7505C1077}">
      <text>
        <r>
          <rPr>
            <b/>
            <sz val="9"/>
            <color indexed="81"/>
            <rFont val="Tahoma"/>
            <family val="2"/>
          </rPr>
          <t>Author:</t>
        </r>
        <r>
          <rPr>
            <sz val="9"/>
            <color indexed="81"/>
            <rFont val="Tahoma"/>
            <family val="2"/>
          </rPr>
          <t xml:space="preserve">
∆Net Working Capital = ∆Receivables + ∆Inventory - ∆Payables, 
Nói chung theo Damodaran không bao gồm excess cash &amp; short term debt</t>
        </r>
      </text>
    </comment>
  </commentList>
</comments>
</file>

<file path=xl/sharedStrings.xml><?xml version="1.0" encoding="utf-8"?>
<sst xmlns="http://schemas.openxmlformats.org/spreadsheetml/2006/main" count="2894" uniqueCount="1523">
  <si>
    <t>Mã CK</t>
  </si>
  <si>
    <t>Xem theo</t>
  </si>
  <si>
    <t>2018</t>
  </si>
  <si>
    <t>Loại</t>
  </si>
  <si>
    <t>Hợp nhất</t>
  </si>
  <si>
    <t>Tiền tệ</t>
  </si>
  <si>
    <t>2015</t>
  </si>
  <si>
    <t>2016</t>
  </si>
  <si>
    <t>2017</t>
  </si>
  <si>
    <t>2019</t>
  </si>
  <si>
    <t>2020</t>
  </si>
  <si>
    <t>2021</t>
  </si>
  <si>
    <t>Trạng thái kiểm toán</t>
  </si>
  <si>
    <t>Đã kiểm toán</t>
  </si>
  <si>
    <t>Chấp nhận toàn phần</t>
  </si>
  <si>
    <t>Giá vốn hàng bán</t>
  </si>
  <si>
    <t>Chi phí tài chính</t>
  </si>
  <si>
    <t xml:space="preserve">     Trong đó: Chi phí lãi vay</t>
  </si>
  <si>
    <t>Lãi/(lỗ) từ công ty liên doanh (từ năm 2015)</t>
  </si>
  <si>
    <t>Chi phí bán hàng</t>
  </si>
  <si>
    <t>Chi phí quản lý doanh  nghiệp</t>
  </si>
  <si>
    <t>Lãi/(lỗ) từ hoạt động kinh doanh</t>
  </si>
  <si>
    <t xml:space="preserve">     Thu nhập khác</t>
  </si>
  <si>
    <t xml:space="preserve">     Chi phí khác</t>
  </si>
  <si>
    <t>Thu nhập khác, ròng</t>
  </si>
  <si>
    <t>Lãi/(lỗ) từ công ty liên doanh</t>
  </si>
  <si>
    <t>Lãi/(lỗ) ròng trước thuế</t>
  </si>
  <si>
    <t xml:space="preserve">     Thuế thu nhập doanh nghiệp – hiện thời</t>
  </si>
  <si>
    <t xml:space="preserve">     Thuế thu nhập doanh nghiệp – hoãn lại</t>
  </si>
  <si>
    <t>Chi phí thuế thu nhập doanh nghiệp</t>
  </si>
  <si>
    <t>Lãi/(lỗ) thuần sau thuế</t>
  </si>
  <si>
    <t>Lợi ích của cổ đông thiểu số</t>
  </si>
  <si>
    <t>Lợi nhuận của Cổ đông của Công ty mẹ</t>
  </si>
  <si>
    <t>Lãi cơ bản trên cổ phiếu (VND)</t>
  </si>
  <si>
    <t>Lãi trên cổ phiếu pha loãng (VND)</t>
  </si>
  <si>
    <t>TRUNG TÂM CHĂM SÓC KHÁCH HÀNG</t>
  </si>
  <si>
    <t>TÀI SẢN NGẮN HẠN</t>
  </si>
  <si>
    <t>Tiền và tương đương tiền</t>
  </si>
  <si>
    <t xml:space="preserve">     Tiền</t>
  </si>
  <si>
    <t xml:space="preserve">     Các khoản tương đương tiền</t>
  </si>
  <si>
    <t>Giá trị thuần đầu tư ngắn hạn</t>
  </si>
  <si>
    <t xml:space="preserve">     Đầu tư ngắn hạn</t>
  </si>
  <si>
    <t xml:space="preserve">     Dự phòng đầu tư ngắn hạn</t>
  </si>
  <si>
    <t xml:space="preserve">     Đầu tư nắm giữ đến ngày đáo hạn</t>
  </si>
  <si>
    <t>Các khoản phải thu</t>
  </si>
  <si>
    <t xml:space="preserve">     Phải thu khách hàng</t>
  </si>
  <si>
    <t xml:space="preserve">     Trả trước người bán</t>
  </si>
  <si>
    <t xml:space="preserve">     Phải thu nội bộ</t>
  </si>
  <si>
    <t xml:space="preserve">     Phải thu về XDCB</t>
  </si>
  <si>
    <t xml:space="preserve">     Phải thu về cho vay ngắn hạn</t>
  </si>
  <si>
    <t xml:space="preserve">     Phải thu khác</t>
  </si>
  <si>
    <t xml:space="preserve">     Dự phòng nợ khó đòi</t>
  </si>
  <si>
    <t xml:space="preserve">     Tài sản thiếu chờ xử lý</t>
  </si>
  <si>
    <t>Hàng tồn kho, ròng</t>
  </si>
  <si>
    <t xml:space="preserve">     Hàng tồn kho</t>
  </si>
  <si>
    <t xml:space="preserve">     Dự phòng giảm giá HTK</t>
  </si>
  <si>
    <t>Tài sản lưu động khác</t>
  </si>
  <si>
    <t xml:space="preserve">     Phải thu thuế khác</t>
  </si>
  <si>
    <t xml:space="preserve">     Giao dịch mua bán lại trái phiếu chính phủ</t>
  </si>
  <si>
    <t xml:space="preserve">     Tài sản lưu động khác</t>
  </si>
  <si>
    <t>TÀI SẢN DÀI HẠN</t>
  </si>
  <si>
    <t>Phải thu dài hạn</t>
  </si>
  <si>
    <t xml:space="preserve">     Phải thu khách hàng dài hạn</t>
  </si>
  <si>
    <t xml:space="preserve">     Trả trước người bán dài hạn</t>
  </si>
  <si>
    <t xml:space="preserve">     Vốn kinh doanh ở các đơn vị trực thuộc</t>
  </si>
  <si>
    <t xml:space="preserve">     Phải thu nội bộ dài hạn</t>
  </si>
  <si>
    <t xml:space="preserve">     Phải thu về cho vay dài hạn</t>
  </si>
  <si>
    <t xml:space="preserve">     Phải thu dài hạn khác</t>
  </si>
  <si>
    <t xml:space="preserve">     Dự phòng phải thu dài hạn</t>
  </si>
  <si>
    <t>Tài sản cố định</t>
  </si>
  <si>
    <t xml:space="preserve">     GTCL TSCĐ hữu hình</t>
  </si>
  <si>
    <t xml:space="preserve">          Nguyên giá TSCĐ hữu hình</t>
  </si>
  <si>
    <t xml:space="preserve">          Khấu hao lũy kế TSCĐ hữu hình</t>
  </si>
  <si>
    <t xml:space="preserve">     GTCL Tài sản thuê tài chính</t>
  </si>
  <si>
    <t xml:space="preserve">          Nguyên giá tài sản thuê tài chính</t>
  </si>
  <si>
    <t xml:space="preserve">          Khấu hao lũy kế tài sản thuê tài chính</t>
  </si>
  <si>
    <t xml:space="preserve">     GTCL tài sản cố định vô hình</t>
  </si>
  <si>
    <t xml:space="preserve">          Nguyên giá TSCĐ vô hình</t>
  </si>
  <si>
    <t xml:space="preserve">          Khấu khao lũy kế TSCĐ vô hình</t>
  </si>
  <si>
    <t xml:space="preserve">     Xây dựng cơ bản dở dang (trước 2015)</t>
  </si>
  <si>
    <t>Giá trị ròng tài sản đầu tư</t>
  </si>
  <si>
    <t xml:space="preserve">     Nguyên giá tài sản đầu tư</t>
  </si>
  <si>
    <t xml:space="preserve">     Khấu hao lũy kế tài sản đầu tư</t>
  </si>
  <si>
    <t>Tài sản dở dang dài hạn</t>
  </si>
  <si>
    <t xml:space="preserve">     Chi phí sản xuất, kinh doanh dở dang dài hạn</t>
  </si>
  <si>
    <t xml:space="preserve">     Xây dựng cơ bản dở dang</t>
  </si>
  <si>
    <t>Đầu tư dài hạn</t>
  </si>
  <si>
    <t xml:space="preserve">     Đầu tư vào các công ty con</t>
  </si>
  <si>
    <t xml:space="preserve">     Đầu tư vào các công ty liên kết</t>
  </si>
  <si>
    <t xml:space="preserve">     Đầu tư dài hạn khác</t>
  </si>
  <si>
    <t xml:space="preserve">     Dự phòng giảm giá đầu tư dài hạn</t>
  </si>
  <si>
    <t>Lợi thế thương mại (trước 2015)</t>
  </si>
  <si>
    <t>Tài sản dài hạn khác</t>
  </si>
  <si>
    <t xml:space="preserve">     Trả trước dài hạn</t>
  </si>
  <si>
    <t xml:space="preserve">     Thuế thu nhập hoãn lại phải thu</t>
  </si>
  <si>
    <t xml:space="preserve">     Thiết bị, vật tư, phụ tùng thay thế dài hạn</t>
  </si>
  <si>
    <t xml:space="preserve">     Các tài sản dài hạn khác</t>
  </si>
  <si>
    <t xml:space="preserve">     Lợi thế thương mại</t>
  </si>
  <si>
    <t>TỔNG CỘNG TÀI SẢN</t>
  </si>
  <si>
    <t>NỢ PHẢI TRẢ</t>
  </si>
  <si>
    <t>Nợ ngắn hạn</t>
  </si>
  <si>
    <t xml:space="preserve">     Phải trả người bán</t>
  </si>
  <si>
    <t xml:space="preserve">     Người mua trả tiền trước</t>
  </si>
  <si>
    <t xml:space="preserve">     Thuế và các khoản phải trả Nhà nước</t>
  </si>
  <si>
    <t xml:space="preserve">     Phải trả người lao động</t>
  </si>
  <si>
    <t xml:space="preserve">     Chi phí phải trả</t>
  </si>
  <si>
    <t xml:space="preserve">     Phải trả nội bộ</t>
  </si>
  <si>
    <t xml:space="preserve">     Phải trả về xây dựng cơ bản</t>
  </si>
  <si>
    <t xml:space="preserve">     Doanh thu chưa thực hiện ngắn hạn</t>
  </si>
  <si>
    <t xml:space="preserve">     Phải trả khác</t>
  </si>
  <si>
    <t xml:space="preserve">     Vay ngắn hạn</t>
  </si>
  <si>
    <t xml:space="preserve">     Dự phòng các khoản phải trả ngắn hạn</t>
  </si>
  <si>
    <t xml:space="preserve">     Quỹ khen thưởng, phúc lợi</t>
  </si>
  <si>
    <t xml:space="preserve">     Quỹ bình ổn giá</t>
  </si>
  <si>
    <t>Nợ dài hạn</t>
  </si>
  <si>
    <t xml:space="preserve">     Phải trả nhà cung cấp dài hạn</t>
  </si>
  <si>
    <t xml:space="preserve">     Người mua trả tiền trước dài hạn</t>
  </si>
  <si>
    <t xml:space="preserve">     Chi phí phải trả dài hạn</t>
  </si>
  <si>
    <t xml:space="preserve">     Phải trả nội bộ về vốn kinh doanh</t>
  </si>
  <si>
    <t xml:space="preserve">     Phải trả nội bộ dài hạn</t>
  </si>
  <si>
    <t xml:space="preserve">     Doanh thu chưa thực hiên</t>
  </si>
  <si>
    <t xml:space="preserve">     Phải trả dài hạn khác</t>
  </si>
  <si>
    <t xml:space="preserve">     Vay dài hạn</t>
  </si>
  <si>
    <t xml:space="preserve">     Trái phiếu chuyển đổi</t>
  </si>
  <si>
    <t xml:space="preserve">     Cổ phiếu ưu đãi</t>
  </si>
  <si>
    <t xml:space="preserve">     Thuế thu nhập hoãn lại phải trả</t>
  </si>
  <si>
    <t xml:space="preserve">     Dự phòng trợ cấp thôi việc</t>
  </si>
  <si>
    <t xml:space="preserve">     Dự phòng các khoản công nợ dài hạn</t>
  </si>
  <si>
    <t xml:space="preserve">     Quỹ phát triển khoa học công nghệ</t>
  </si>
  <si>
    <t>VỐN CHỦ SỞ HỮU</t>
  </si>
  <si>
    <t>Vốn và các quỹ</t>
  </si>
  <si>
    <t xml:space="preserve">     Vốn góp</t>
  </si>
  <si>
    <t xml:space="preserve">          Cổ phiếu phổ thông</t>
  </si>
  <si>
    <t xml:space="preserve">          Cổ phiếu ưu đãi</t>
  </si>
  <si>
    <t xml:space="preserve">     Thặng dư vốn cổ phần</t>
  </si>
  <si>
    <t xml:space="preserve">     Quyền chọn chuyển đổi trái phiếu</t>
  </si>
  <si>
    <t xml:space="preserve">     Vốn khác</t>
  </si>
  <si>
    <t xml:space="preserve">     Cổ phiếu quỹ</t>
  </si>
  <si>
    <t xml:space="preserve">     Chênh lệch đánh giá lại tài sản</t>
  </si>
  <si>
    <t xml:space="preserve">     Chênh lệch tỷ giá</t>
  </si>
  <si>
    <t xml:space="preserve">     Quỹ đầu tư và phát triển</t>
  </si>
  <si>
    <t xml:space="preserve">     Quỹ hỗ trợ sắp xếp doanh nghiệp</t>
  </si>
  <si>
    <t xml:space="preserve">     Quỹ dự phòng tài chính</t>
  </si>
  <si>
    <t xml:space="preserve">     Quỹ khác</t>
  </si>
  <si>
    <t xml:space="preserve">     Lãi chưa phân phối</t>
  </si>
  <si>
    <t xml:space="preserve">          LNST chưa phân phối lũy kế đến cuối kỳ trước</t>
  </si>
  <si>
    <t xml:space="preserve">          LNST chưa phân phối kỳ này</t>
  </si>
  <si>
    <t xml:space="preserve">     Lợi ích cổ đông không kiểm soát</t>
  </si>
  <si>
    <t>Vốn Ngân sách nhà nước và quỹ khác</t>
  </si>
  <si>
    <t xml:space="preserve">     Quỹ khen thưởng, phúc lợi (trước 2010)</t>
  </si>
  <si>
    <t xml:space="preserve">     Vốn ngân sách nhà nước</t>
  </si>
  <si>
    <t xml:space="preserve">     Nguồn kinh phí đã hình thành TSCĐ</t>
  </si>
  <si>
    <t>LỢI ÍCH CỦA CỔ ĐÔNG THIỂU SỐ</t>
  </si>
  <si>
    <t>TỔNG CỘNG NGUỒN VỐN</t>
  </si>
  <si>
    <t xml:space="preserve">     (Tăng)/giảm các khoản phải thu</t>
  </si>
  <si>
    <t xml:space="preserve">     (Tăng)/giảm hàng tồn kho</t>
  </si>
  <si>
    <t xml:space="preserve">     Tăng/(giảm) các khoản phải trả</t>
  </si>
  <si>
    <t xml:space="preserve">     (Tăng)/giảm chi phí trả trước</t>
  </si>
  <si>
    <t xml:space="preserve">     (Tăng)/giảm chứng khoán kinh doanh</t>
  </si>
  <si>
    <t>Lưu chuyển tiền tệ ròng từ các hoạt động sản xuất kinh doanh</t>
  </si>
  <si>
    <t xml:space="preserve">     Tiền thu được các khoản đi vay</t>
  </si>
  <si>
    <t xml:space="preserve">     Tiền lãi đã nhận</t>
  </si>
  <si>
    <t>Lưu chuyển tiền thuần trong kỳ</t>
  </si>
  <si>
    <t>Tiền và tương đương tiền đầu kỳ</t>
  </si>
  <si>
    <t>Tiền và tương đương tiền cuối kỳ</t>
  </si>
  <si>
    <t xml:space="preserve">     Tiền mặt</t>
  </si>
  <si>
    <t xml:space="preserve">     Tiền gửi Ngân hàng</t>
  </si>
  <si>
    <t xml:space="preserve">     Tiền đang chuyển</t>
  </si>
  <si>
    <t xml:space="preserve">     Tiền và tương đương tiền</t>
  </si>
  <si>
    <t>Đầu tư tài chính NH</t>
  </si>
  <si>
    <t xml:space="preserve">     Chứng khoán đầu tư ngắn hạn</t>
  </si>
  <si>
    <t xml:space="preserve">     Đầu tư NH khác</t>
  </si>
  <si>
    <t xml:space="preserve">     Dự phòng giảm giá ĐTNH</t>
  </si>
  <si>
    <t>Phải thu ngắn hạn khác</t>
  </si>
  <si>
    <t xml:space="preserve">     Phải thu về cổ phần hóa</t>
  </si>
  <si>
    <t xml:space="preserve">     Phải thu về cổ tức và lợi nhuận được chia</t>
  </si>
  <si>
    <t xml:space="preserve">     Phải thu người lao động</t>
  </si>
  <si>
    <t>Hàng tồn kho</t>
  </si>
  <si>
    <t xml:space="preserve">     Hàng mua đang đi đường</t>
  </si>
  <si>
    <t xml:space="preserve">     Nguyên liệu, vật liệu</t>
  </si>
  <si>
    <t xml:space="preserve">     Công cụ, dụng cụ</t>
  </si>
  <si>
    <t xml:space="preserve">     Chi phí SX, KD dở dang</t>
  </si>
  <si>
    <t xml:space="preserve">     Thành phẩm</t>
  </si>
  <si>
    <t xml:space="preserve">     Hàng hóa</t>
  </si>
  <si>
    <t xml:space="preserve">     Hàng gửi đi bán</t>
  </si>
  <si>
    <t xml:space="preserve">     Hàng hoá kho bảo thuế</t>
  </si>
  <si>
    <t xml:space="preserve">     Hàng hoá bất động sản</t>
  </si>
  <si>
    <t>Tài sản ngắn hạn khác</t>
  </si>
  <si>
    <t xml:space="preserve">     Tạm ứng</t>
  </si>
  <si>
    <t xml:space="preserve">     Cầm cố, ký quỹ, ký cược NH</t>
  </si>
  <si>
    <t xml:space="preserve">     Khác</t>
  </si>
  <si>
    <t>Phải thu dài hạn khác</t>
  </si>
  <si>
    <t xml:space="preserve">     Ký quỹ, ký cược dài hạn</t>
  </si>
  <si>
    <t xml:space="preserve">     Các khoản tiền nhận ủy thác</t>
  </si>
  <si>
    <t xml:space="preserve">     Cho vay không có lãi</t>
  </si>
  <si>
    <t>Nguyên giá TSCĐHH</t>
  </si>
  <si>
    <t xml:space="preserve">     Nguyên giá đầu kỳ</t>
  </si>
  <si>
    <t xml:space="preserve">     Tăng trong kỳ</t>
  </si>
  <si>
    <t xml:space="preserve">     Giảm trong kỳ</t>
  </si>
  <si>
    <t>Hao mòn TSCĐHH</t>
  </si>
  <si>
    <t xml:space="preserve">     Đầu kỳ</t>
  </si>
  <si>
    <t>Nguyên giá TSCĐ TTC</t>
  </si>
  <si>
    <t>Hao mòn TSCĐ TTC</t>
  </si>
  <si>
    <t>Nguyên giá TSCĐVH</t>
  </si>
  <si>
    <t>Hao mòn TSCĐVH</t>
  </si>
  <si>
    <t>Đầu tư dài hạn khác</t>
  </si>
  <si>
    <t xml:space="preserve">     Đầu tư cổ phiếu</t>
  </si>
  <si>
    <t xml:space="preserve">     Đầu tư trái phiếu</t>
  </si>
  <si>
    <t xml:space="preserve">     Đầu tư tín phiếu, kỳ phiếu</t>
  </si>
  <si>
    <t xml:space="preserve">     Cho vay dài hạn</t>
  </si>
  <si>
    <t>Vay và nợ ngắn hạn</t>
  </si>
  <si>
    <t xml:space="preserve">     Vay dài hạn đến hạn trả</t>
  </si>
  <si>
    <t>Giá gốc Lợi thế thương mại</t>
  </si>
  <si>
    <t xml:space="preserve">     Số dư đầu kỳ</t>
  </si>
  <si>
    <t>Phân bổ Lũy kế</t>
  </si>
  <si>
    <t xml:space="preserve">     Số dư dầu kỳ</t>
  </si>
  <si>
    <t>Các khoản phải trả về Thuế</t>
  </si>
  <si>
    <t xml:space="preserve">     Thuế GTGT</t>
  </si>
  <si>
    <t xml:space="preserve">     Thuế TTĐB</t>
  </si>
  <si>
    <t xml:space="preserve">     Thuế XNK</t>
  </si>
  <si>
    <t xml:space="preserve">     Thuế TNDN</t>
  </si>
  <si>
    <t xml:space="preserve">     Thuế TNCN</t>
  </si>
  <si>
    <t xml:space="preserve">     Thuế Tài nguyên</t>
  </si>
  <si>
    <t xml:space="preserve">     Thuế nhà đất và tiền thuê đất</t>
  </si>
  <si>
    <t xml:space="preserve">     Các loại thuế khác</t>
  </si>
  <si>
    <t xml:space="preserve">     Các khoản phí, lệ phí khác</t>
  </si>
  <si>
    <t>Chi phí phải trả</t>
  </si>
  <si>
    <t xml:space="preserve">     Chi phí SCL TSCĐ</t>
  </si>
  <si>
    <t>Phải trả phải nộp khác</t>
  </si>
  <si>
    <t xml:space="preserve">     Tài sản thừa chờ XL</t>
  </si>
  <si>
    <t xml:space="preserve">     Kinh phí công đoàn</t>
  </si>
  <si>
    <t xml:space="preserve">     Bảo hiểm thất nghiệp</t>
  </si>
  <si>
    <t xml:space="preserve">     Phải trả về CPH</t>
  </si>
  <si>
    <t xml:space="preserve">     Nhận ký quỹ, ký cược NH</t>
  </si>
  <si>
    <t xml:space="preserve">     Doanh thu chưa thực hiện</t>
  </si>
  <si>
    <t>Vay Dài hạn</t>
  </si>
  <si>
    <t xml:space="preserve">     Vay ngân hàng</t>
  </si>
  <si>
    <t xml:space="preserve">     Vay đối tượng khác</t>
  </si>
  <si>
    <t xml:space="preserve">     Trái phiếu phát hành</t>
  </si>
  <si>
    <t xml:space="preserve">     Thuê tài chính</t>
  </si>
  <si>
    <t xml:space="preserve">     Nợ dài hạn khác</t>
  </si>
  <si>
    <t>Vốn chủ sở hữu</t>
  </si>
  <si>
    <t xml:space="preserve">     Vốn góp của nhà nước</t>
  </si>
  <si>
    <t xml:space="preserve">     Vốn đầu tư của đối tượng khác</t>
  </si>
  <si>
    <t>Doanh thu</t>
  </si>
  <si>
    <t xml:space="preserve">     Doanh thu bán hàng</t>
  </si>
  <si>
    <t xml:space="preserve">     Doanh thu cung cấp dịch vụ</t>
  </si>
  <si>
    <t xml:space="preserve">     Doanh thu hợp đồng xây dựng</t>
  </si>
  <si>
    <t>Giảm trừ doanh thu</t>
  </si>
  <si>
    <t xml:space="preserve">     Chiết khấu thương mại</t>
  </si>
  <si>
    <t xml:space="preserve">     Giảm giá hàng bán</t>
  </si>
  <si>
    <t xml:space="preserve">     Hàng bán bị trả lại</t>
  </si>
  <si>
    <t xml:space="preserve">     Thuế GTGT phải nộp</t>
  </si>
  <si>
    <t xml:space="preserve">     Thuế tiêu thụ đặc biệt</t>
  </si>
  <si>
    <t xml:space="preserve">     Thuế xuất khẩu</t>
  </si>
  <si>
    <t>Giá vốn</t>
  </si>
  <si>
    <t xml:space="preserve">     Giá vốn hàng hóa đã bán</t>
  </si>
  <si>
    <t xml:space="preserve">     Giá vốn thành phẩm đã bán</t>
  </si>
  <si>
    <t xml:space="preserve">     Giá vốn của dịch vụ cung cấp</t>
  </si>
  <si>
    <t xml:space="preserve">     Giá trị còn lại, chi phí nhượng bán, Thanh lý BĐS đầu tư đã bán</t>
  </si>
  <si>
    <t xml:space="preserve">     Chi phí kinh doanh BĐS đầu tư</t>
  </si>
  <si>
    <t xml:space="preserve">     Hao hụt, mất mát hàng tồn kho</t>
  </si>
  <si>
    <t xml:space="preserve">     Các khoản chi phí vượt mức bình thường</t>
  </si>
  <si>
    <t xml:space="preserve">     Dự phòng</t>
  </si>
  <si>
    <t>Doanh thu tài chính</t>
  </si>
  <si>
    <t xml:space="preserve">     Lãi tiền gửi, tiền cho vay</t>
  </si>
  <si>
    <t xml:space="preserve">     Lãi đầu tư trái phiếu, kỳ phiếu, tín phiếu</t>
  </si>
  <si>
    <t xml:space="preserve">     Cổ tức, lợi nhuận được chia</t>
  </si>
  <si>
    <t xml:space="preserve">     Lãi từ bán, thanh lý các khoản đầu tư</t>
  </si>
  <si>
    <t xml:space="preserve">     Lãi bán ngoại tệ</t>
  </si>
  <si>
    <t xml:space="preserve">     Lãi chênh lệch tỷ giá đã thực hiện</t>
  </si>
  <si>
    <t xml:space="preserve">     Lãi chênh lệch tỷ giá chưa thực hiện</t>
  </si>
  <si>
    <t xml:space="preserve">     Doanh thu hoạt động tài chính khác</t>
  </si>
  <si>
    <t xml:space="preserve">     Lãi tiền vay</t>
  </si>
  <si>
    <t xml:space="preserve">     Chiết khấu thanh toán, lãi bán hàng trả chậm</t>
  </si>
  <si>
    <t xml:space="preserve">     Lỗ do thanh lý các khoản đầu tư ngắn hạn, dài hạn</t>
  </si>
  <si>
    <t xml:space="preserve">     Lỗ bán ngoại tệ</t>
  </si>
  <si>
    <t xml:space="preserve">     Lỗ chênh lệch tỷ giá đã thực hiện</t>
  </si>
  <si>
    <t xml:space="preserve">     Lỗ chênh lệch tỷ giá chưa thực hiện</t>
  </si>
  <si>
    <t xml:space="preserve">     Dự phòng giảm giá các khoản đầu tư ngắn hạn, dài hạn</t>
  </si>
  <si>
    <t xml:space="preserve">     Chi phí tài chính khác</t>
  </si>
  <si>
    <t>Chi phí sản xuất theo yếu tố</t>
  </si>
  <si>
    <t xml:space="preserve">     Chi phí nguyên liệu, vật liệu</t>
  </si>
  <si>
    <t xml:space="preserve">     Chi phí nhân công</t>
  </si>
  <si>
    <t xml:space="preserve">     Chi phí khấu hao tài sản cố định</t>
  </si>
  <si>
    <t xml:space="preserve">     Chi phí dịch vụ mua ngoài</t>
  </si>
  <si>
    <t xml:space="preserve">     Chi phí khác bằng tiền</t>
  </si>
  <si>
    <t>Số liệu 2021 chưa có vì chưa tổ chức ĐHCĐTN  2022, sử dụng số kế hoạch của ĐHCĐTN 2021</t>
  </si>
  <si>
    <t>WELFARE &amp; DIVIDENDS</t>
  </si>
  <si>
    <t>LNST</t>
  </si>
  <si>
    <t>Trích lập các quỹ</t>
  </si>
  <si>
    <t>2.1</t>
  </si>
  <si>
    <t>Quỹ thuộc công ty</t>
  </si>
  <si>
    <t>+ Quỹ ĐTPT</t>
  </si>
  <si>
    <t>2.2</t>
  </si>
  <si>
    <t>Quỹ chi ra</t>
  </si>
  <si>
    <t>+ Quỹ khen thưởng BLĐ, HĐQT, BKS</t>
  </si>
  <si>
    <t>Chi cổ tức</t>
  </si>
  <si>
    <t>- Lần 1</t>
  </si>
  <si>
    <t>% mệnh giá</t>
  </si>
  <si>
    <t>- Lần 2</t>
  </si>
  <si>
    <t>LNST CPP</t>
  </si>
  <si>
    <t>THE NUMBER OF COMMON SHARE (triệu CP)</t>
  </si>
  <si>
    <t>SLCP phát hành đầu năm</t>
  </si>
  <si>
    <t>Cổ tức bằng cổ phiếu</t>
  </si>
  <si>
    <t>Cổ phiếu thưởng</t>
  </si>
  <si>
    <t>Phát hành riêng lẻ/ công khai</t>
  </si>
  <si>
    <t>- đợt 1</t>
  </si>
  <si>
    <t>- đợt 2</t>
  </si>
  <si>
    <t>ESOP</t>
  </si>
  <si>
    <t>SLCP phát hành cuối năm</t>
  </si>
  <si>
    <t>CP quỹ</t>
  </si>
  <si>
    <t>SLCP lưu hành</t>
  </si>
  <si>
    <t>INCOME STATEMENT</t>
  </si>
  <si>
    <t>Note</t>
  </si>
  <si>
    <t>Revenue (FC)</t>
  </si>
  <si>
    <t>Growth %</t>
  </si>
  <si>
    <t>Revenue</t>
  </si>
  <si>
    <t>COGS (FC)</t>
  </si>
  <si>
    <t>As % revenue</t>
  </si>
  <si>
    <t>COGS</t>
  </si>
  <si>
    <t>Gross profit (FC)</t>
  </si>
  <si>
    <t>Gross margin</t>
  </si>
  <si>
    <t>Gross profit</t>
  </si>
  <si>
    <t>SG&amp;A (FC)</t>
  </si>
  <si>
    <t>SG&amp;A</t>
  </si>
  <si>
    <t>Selling expenses (FC)</t>
  </si>
  <si>
    <t>Selling expenses</t>
  </si>
  <si>
    <t>Administration expenses (FC)</t>
  </si>
  <si>
    <t>Administration expenses</t>
  </si>
  <si>
    <t>Operating Expenses (FC)</t>
  </si>
  <si>
    <t>Operating Expense</t>
  </si>
  <si>
    <t>EBITDA (FC)</t>
  </si>
  <si>
    <t>EBITDA margin</t>
  </si>
  <si>
    <t>EBITDA</t>
  </si>
  <si>
    <t>Depreciation/ Amortization (FC)</t>
  </si>
  <si>
    <t>As % prior fixed assets</t>
  </si>
  <si>
    <t>Depreciation/ Amortization</t>
  </si>
  <si>
    <t>Depreciation of tangibles</t>
  </si>
  <si>
    <t>Amortization of intangibles</t>
  </si>
  <si>
    <t>EBIT (FC)</t>
  </si>
  <si>
    <t>EBIT margin</t>
  </si>
  <si>
    <t>EBIT</t>
  </si>
  <si>
    <r>
      <t xml:space="preserve">Gain (loss) on asset sales (FC) </t>
    </r>
    <r>
      <rPr>
        <sz val="10"/>
        <color rgb="FF6EAA46"/>
        <rFont val="Times New Roman"/>
        <family val="1"/>
      </rPr>
      <t>(thu nhập khác)</t>
    </r>
  </si>
  <si>
    <t>Gross proceeds from asset sales</t>
  </si>
  <si>
    <t>Book value of assets sold</t>
  </si>
  <si>
    <t>Gain (loss) on asset sales</t>
  </si>
  <si>
    <r>
      <rPr>
        <sz val="10"/>
        <color rgb="FF000000"/>
        <rFont val="Times New Roman"/>
        <family val="1"/>
      </rPr>
      <t>Non-Operating expenses (FC)</t>
    </r>
    <r>
      <rPr>
        <sz val="10"/>
        <color rgb="FF6EAA46"/>
        <rFont val="Times New Roman"/>
        <family val="1"/>
      </rPr>
      <t xml:space="preserve"> (chi phí khác)</t>
    </r>
  </si>
  <si>
    <t>Non-Operating expenses</t>
  </si>
  <si>
    <t>Financial Revenues (FC)</t>
  </si>
  <si>
    <t>Interest income</t>
  </si>
  <si>
    <t>Excess cash</t>
  </si>
  <si>
    <t>Operating cash</t>
  </si>
  <si>
    <t>Marketable securities (Lãi chuyển nhượng chứng khoán)</t>
  </si>
  <si>
    <t>Profits/dividends receive</t>
  </si>
  <si>
    <t>Others</t>
  </si>
  <si>
    <t>Financial Revenues</t>
  </si>
  <si>
    <t>Financial Expenses (FC)</t>
  </si>
  <si>
    <t>9.1</t>
  </si>
  <si>
    <t>Interest expenses</t>
  </si>
  <si>
    <t>Revolver</t>
  </si>
  <si>
    <t>Short-term notes</t>
  </si>
  <si>
    <t xml:space="preserve">Debt A (long-term) </t>
  </si>
  <si>
    <t xml:space="preserve">Debt B (long-term) </t>
  </si>
  <si>
    <t xml:space="preserve">Debt C (long-term) </t>
  </si>
  <si>
    <t>9.2</t>
  </si>
  <si>
    <t>Loss from Foreign exchange differences</t>
  </si>
  <si>
    <t>9.3</t>
  </si>
  <si>
    <t>Others (dự phòng + khác )</t>
  </si>
  <si>
    <t>Financial Expenses</t>
  </si>
  <si>
    <t>Equity earnings in affiliates (FC)</t>
  </si>
  <si>
    <t>Percent growth %</t>
  </si>
  <si>
    <t>Equity earnings in affiliates</t>
  </si>
  <si>
    <t>LNTT (FC)</t>
  </si>
  <si>
    <t>EBT margin</t>
  </si>
  <si>
    <t>LNTT</t>
  </si>
  <si>
    <t>Provision for taxes (FC)</t>
  </si>
  <si>
    <t>Tax rate %</t>
  </si>
  <si>
    <t>Provision for taxes</t>
  </si>
  <si>
    <t>Net income (FC)</t>
  </si>
  <si>
    <t>Net margin</t>
  </si>
  <si>
    <t>Net income</t>
  </si>
  <si>
    <t>Growth</t>
  </si>
  <si>
    <t>Check BCTC</t>
  </si>
  <si>
    <t>Minority interest in earnings (FC)</t>
  </si>
  <si>
    <t>% net income</t>
  </si>
  <si>
    <t>Minority interest in earnings</t>
  </si>
  <si>
    <t>Net Income Attributable to Controlling Interest (FC)</t>
  </si>
  <si>
    <t>Parent company</t>
  </si>
  <si>
    <t>Subsidiaries</t>
  </si>
  <si>
    <t>Affiliates</t>
  </si>
  <si>
    <t>Net Income Attributable to Controlling Interest</t>
  </si>
  <si>
    <t>EPS chưa điều chỉnh (FC) VND/share</t>
  </si>
  <si>
    <t>Basic EPS</t>
  </si>
  <si>
    <t>Diluted EPS</t>
  </si>
  <si>
    <t>EPS chưa điều chỉnh VND/share</t>
  </si>
  <si>
    <t>Growth diluted EPS chưa điều chỉnh</t>
  </si>
  <si>
    <t>Welfare Fund &amp; others (FC)</t>
  </si>
  <si>
    <t>As % earnings after taxes in year (t)</t>
  </si>
  <si>
    <t>Welfare Fund &amp; others</t>
  </si>
  <si>
    <t>Extraordinary expense (FC)</t>
  </si>
  <si>
    <t>Extraordinary expense</t>
  </si>
  <si>
    <t>Preferred dividends (FC)</t>
  </si>
  <si>
    <t>Yield (see BS for input)</t>
  </si>
  <si>
    <t>Preferred dividends</t>
  </si>
  <si>
    <t>Net income available to common shareholders (FC)</t>
  </si>
  <si>
    <t>Net income available to common shareholders</t>
  </si>
  <si>
    <t>Common dividends (FC)</t>
  </si>
  <si>
    <t xml:space="preserve">%Payout ratio </t>
  </si>
  <si>
    <t>% Par value</t>
  </si>
  <si>
    <t>Common dividends</t>
  </si>
  <si>
    <t>Net to retained earnings (FC)</t>
  </si>
  <si>
    <t>Net to retained earnings</t>
  </si>
  <si>
    <t>Number of shares outstanding (average basic) (triệu CP)</t>
  </si>
  <si>
    <t>Number of shares outstanding (average diluted)</t>
  </si>
  <si>
    <t>EPS điều chỉnh (FC) VND/share</t>
  </si>
  <si>
    <t>EPS điều chỉnh VND/share</t>
  </si>
  <si>
    <t>Growth diluted EPS điều chỉnh</t>
  </si>
  <si>
    <t>BALANCE SHEET</t>
  </si>
  <si>
    <t>ASSETS</t>
  </si>
  <si>
    <t>Excess cash (FC)</t>
  </si>
  <si>
    <t>Interest rate %</t>
  </si>
  <si>
    <t>Di ngang</t>
  </si>
  <si>
    <t>Operating cash (FC)</t>
  </si>
  <si>
    <t>Tiền mặt &amp; tiền gửi &lt; 3 tháng</t>
  </si>
  <si>
    <t>Tiền gửi  3&lt; &lt;12 tháng</t>
  </si>
  <si>
    <t>Short-term invesments (FC)</t>
  </si>
  <si>
    <t>% growth</t>
  </si>
  <si>
    <t>3.1</t>
  </si>
  <si>
    <t>Chứng khoán kinh doanh</t>
  </si>
  <si>
    <t>3.2</t>
  </si>
  <si>
    <t>Dự phòng giảm giá CKKD</t>
  </si>
  <si>
    <t>3.3</t>
  </si>
  <si>
    <t xml:space="preserve">Tiền gửi có kỳ hạn </t>
  </si>
  <si>
    <t>Short-term invesments</t>
  </si>
  <si>
    <t>Tổng tiền gửi ngân hàng (FC)</t>
  </si>
  <si>
    <t>Interest income (chỉ tính lãi tiền gửi NH)</t>
  </si>
  <si>
    <t>Accounts receivable (FC)</t>
  </si>
  <si>
    <t>4.1</t>
  </si>
  <si>
    <t>Accounts receivable from customers</t>
  </si>
  <si>
    <t>Days of AR</t>
  </si>
  <si>
    <t>4.2</t>
  </si>
  <si>
    <t>Prepayments to suppliers</t>
  </si>
  <si>
    <t>% purchasing value</t>
  </si>
  <si>
    <t>4.3</t>
  </si>
  <si>
    <t>Other short-term receivables</t>
  </si>
  <si>
    <t>4.4</t>
  </si>
  <si>
    <t>Allowance for doubtful debts</t>
  </si>
  <si>
    <t>% AR from customers</t>
  </si>
  <si>
    <t>4.5</t>
  </si>
  <si>
    <t>Phải thu về cho vay ngắn hạn</t>
  </si>
  <si>
    <t>4.6</t>
  </si>
  <si>
    <t>Tài sản thiếu chờ xử lý</t>
  </si>
  <si>
    <t>Account receivable (AR)</t>
  </si>
  <si>
    <t>Inventory (FC)</t>
  </si>
  <si>
    <t>As % COGS</t>
  </si>
  <si>
    <t>Days of Inventory</t>
  </si>
  <si>
    <t>5.1</t>
  </si>
  <si>
    <t>Good in transit</t>
  </si>
  <si>
    <t>5.2</t>
  </si>
  <si>
    <t>Raw materials</t>
  </si>
  <si>
    <t>5.3</t>
  </si>
  <si>
    <t>Tool and supplies</t>
  </si>
  <si>
    <t>5.4</t>
  </si>
  <si>
    <t>Work in progress</t>
  </si>
  <si>
    <t>5.5</t>
  </si>
  <si>
    <t>Finished goods</t>
  </si>
  <si>
    <t>5.6</t>
  </si>
  <si>
    <t>5.7</t>
  </si>
  <si>
    <t>Dự phòng giảm giá HTK</t>
  </si>
  <si>
    <t>Inventory</t>
  </si>
  <si>
    <t>Other current assets (FC)</t>
  </si>
  <si>
    <t>Other current assets</t>
  </si>
  <si>
    <t>CURRENT ASSETS (FC)</t>
  </si>
  <si>
    <t>CURRENT ASSETS</t>
  </si>
  <si>
    <t>Long term accounts receivable (FC)</t>
  </si>
  <si>
    <t>Net PPE (FC)</t>
  </si>
  <si>
    <t>Capex (FC)</t>
  </si>
  <si>
    <t>Depreciation (FC)</t>
  </si>
  <si>
    <t>Net PPE</t>
  </si>
  <si>
    <t>Intangibles (FC)</t>
  </si>
  <si>
    <t>Amortization</t>
  </si>
  <si>
    <t>Intangibles</t>
  </si>
  <si>
    <t>Tài sản thuê tài chính (FC)</t>
  </si>
  <si>
    <t>Amortization (FC)</t>
  </si>
  <si>
    <t>Tài sản thuê tài chính</t>
  </si>
  <si>
    <t>Investment property (FC)</t>
  </si>
  <si>
    <t>Investment property</t>
  </si>
  <si>
    <t>Tài sản dở dang dài hạn (FC)</t>
  </si>
  <si>
    <t>Investment in affiliates (FC)</t>
  </si>
  <si>
    <t>Dividend received (+)</t>
  </si>
  <si>
    <t>Investment in affiliates</t>
  </si>
  <si>
    <t>Other Long-term assets (FC)</t>
  </si>
  <si>
    <t>Other Long-term assets</t>
  </si>
  <si>
    <t>NON-CURRENT ASSETS</t>
  </si>
  <si>
    <t>TOTAL ASSETS</t>
  </si>
  <si>
    <t>Check Balance</t>
  </si>
  <si>
    <t>LIABILITIES</t>
  </si>
  <si>
    <t>Revolver (FC)</t>
  </si>
  <si>
    <t>Short-term debt (FC)</t>
  </si>
  <si>
    <t>% Vốn lưu động</t>
  </si>
  <si>
    <t>Short-term debt</t>
  </si>
  <si>
    <t>Người mua trả tiền trước ngắn hạn (FC)</t>
  </si>
  <si>
    <t>Người mua trả tiền trước ngắn hạn</t>
  </si>
  <si>
    <t>Account payable (FC)</t>
  </si>
  <si>
    <t>As % revenue (FC)</t>
  </si>
  <si>
    <t>Days of Payables</t>
  </si>
  <si>
    <t>Account payable</t>
  </si>
  <si>
    <t>Others current liabilities (FC)</t>
  </si>
  <si>
    <t>Other current liabilities</t>
  </si>
  <si>
    <t>CURRENT LIABILITIES (FC)</t>
  </si>
  <si>
    <t>CURRENT LIABILITIES</t>
  </si>
  <si>
    <t>Long-term debt A đầu kỳ (Vay dài hạn ngân hàng)</t>
  </si>
  <si>
    <t>add</t>
  </si>
  <si>
    <t xml:space="preserve">amortization </t>
  </si>
  <si>
    <t xml:space="preserve">Debt A before sweep </t>
  </si>
  <si>
    <t>Cash sweep</t>
  </si>
  <si>
    <t>Debt A (FC)</t>
  </si>
  <si>
    <t>Debt A</t>
  </si>
  <si>
    <t>Interest expense</t>
  </si>
  <si>
    <t>Long-term debt B đầu kỳ (Trái phiếu)</t>
  </si>
  <si>
    <t xml:space="preserve">Debt B before sweep </t>
  </si>
  <si>
    <t>Debt B (FC)</t>
  </si>
  <si>
    <t>Debt B</t>
  </si>
  <si>
    <t>Long-term debt C đầu kỳ (Vay dài hạn khác)</t>
  </si>
  <si>
    <t xml:space="preserve">Debt C before sweep </t>
  </si>
  <si>
    <t>Debt C (FC)</t>
  </si>
  <si>
    <t>Debt C</t>
  </si>
  <si>
    <t>Total long-term debt</t>
  </si>
  <si>
    <t>Convertible bond</t>
  </si>
  <si>
    <t>Phát hành mới</t>
  </si>
  <si>
    <t>Chuyển đổi</t>
  </si>
  <si>
    <t>Trả gốc</t>
  </si>
  <si>
    <t>Long-term account payable (FC)</t>
  </si>
  <si>
    <t>Long-term account payable</t>
  </si>
  <si>
    <t>Other long-term liabilities (FC)</t>
  </si>
  <si>
    <t>Other long-term liabilities</t>
  </si>
  <si>
    <t>NON-CURRENT LIABILITIES (FC)</t>
  </si>
  <si>
    <t>NON-CURRENT LIABILITIES</t>
  </si>
  <si>
    <t>TOTAL LIABILITIES</t>
  </si>
  <si>
    <t>MINORITY INTEREST</t>
  </si>
  <si>
    <t>Minority interest (FC)</t>
  </si>
  <si>
    <t>Minority interest earnings</t>
  </si>
  <si>
    <t>Minority interest</t>
  </si>
  <si>
    <t>SHARE HOLDER'S EQUITY</t>
  </si>
  <si>
    <t>Preferred stock (FC)</t>
  </si>
  <si>
    <t>Yield %</t>
  </si>
  <si>
    <t>Phát hành thêm (FC)</t>
  </si>
  <si>
    <t>Preferred stock</t>
  </si>
  <si>
    <t>Common stock (FC)</t>
  </si>
  <si>
    <t>Phát hành thêm/ chia tách (FC)</t>
  </si>
  <si>
    <t>Common stock</t>
  </si>
  <si>
    <t>Thặng dư vốn cổ phần (FC)</t>
  </si>
  <si>
    <t>Thặng dư phát hành thêm</t>
  </si>
  <si>
    <t xml:space="preserve">Thặng dư vốn cổ phần </t>
  </si>
  <si>
    <t>Retained earnings (FC)</t>
  </si>
  <si>
    <t>Retained earnings</t>
  </si>
  <si>
    <t>Other equity accounts (FC)</t>
  </si>
  <si>
    <t>As % LNST</t>
  </si>
  <si>
    <t>Other equity accounts</t>
  </si>
  <si>
    <t>Shareholder's equity (FC)</t>
  </si>
  <si>
    <t>Shareholder's equity</t>
  </si>
  <si>
    <t>TOTAL LIABS, MIN INTEREST, EQUITY (FC)</t>
  </si>
  <si>
    <t>TOTAL LIABS, MIN INTEREST, EQUITY</t>
  </si>
  <si>
    <t xml:space="preserve">Check Balance </t>
  </si>
  <si>
    <t>Assets without Excess cash</t>
  </si>
  <si>
    <t>Total equity without Revolver</t>
  </si>
  <si>
    <t>Excess cash (revolver) before sweep</t>
  </si>
  <si>
    <t>Excess cash enabled for cash sweep?</t>
  </si>
  <si>
    <t>N</t>
  </si>
  <si>
    <t>Starting Debt A (before sweep)</t>
  </si>
  <si>
    <t>Starting Debt B (before sweep)</t>
  </si>
  <si>
    <t>Starting Debt C (before sweep)</t>
  </si>
  <si>
    <t>Starting Short-term notes (before sweep)</t>
  </si>
  <si>
    <t>Sweep for Debt A</t>
  </si>
  <si>
    <t>Sweep for Debt B</t>
  </si>
  <si>
    <t>Sweep for Debt C</t>
  </si>
  <si>
    <t>Sweep for Short-term notes</t>
  </si>
  <si>
    <t>Total sweep</t>
  </si>
  <si>
    <t>Y</t>
  </si>
  <si>
    <t>Excess cash (revolver) after sweep</t>
  </si>
  <si>
    <t>BÁO CÁO KẾT QUẢ KINH DOANH</t>
  </si>
  <si>
    <t>LN gộp</t>
  </si>
  <si>
    <t>Biên LNG</t>
  </si>
  <si>
    <t>Chi phí bán hàng &amp; QLDN</t>
  </si>
  <si>
    <t>Khấu hao</t>
  </si>
  <si>
    <t>Trong đó: CP lãi vay</t>
  </si>
  <si>
    <t>Lãi/lỗ trong công ty LDLK</t>
  </si>
  <si>
    <t>Lợi nhuận khác</t>
  </si>
  <si>
    <t>Other profit and loss</t>
  </si>
  <si>
    <t>Earning before taxes (EBT)</t>
  </si>
  <si>
    <t>Thuế TNDN</t>
  </si>
  <si>
    <t>Net Income</t>
  </si>
  <si>
    <t>Biên LNST</t>
  </si>
  <si>
    <t>NI margin</t>
  </si>
  <si>
    <t>Lợi ích cổ đông thiểu số</t>
  </si>
  <si>
    <t>Lợi ích cổ đông mẹ</t>
  </si>
  <si>
    <t>Quỹ khen thưởng phúc lợi</t>
  </si>
  <si>
    <t>Welfare Fund</t>
  </si>
  <si>
    <t>Chi phí bất thường</t>
  </si>
  <si>
    <t>Cổ tức CPƯĐ</t>
  </si>
  <si>
    <t>LNST sẵn có cổ đông công ty mẹ</t>
  </si>
  <si>
    <t>Chi trả cổ tức</t>
  </si>
  <si>
    <t>LN giữ lại</t>
  </si>
  <si>
    <t>Check</t>
  </si>
  <si>
    <t>BẢNG CÂN ĐỐI KẾ TOÁN</t>
  </si>
  <si>
    <t>TÀI SẢN</t>
  </si>
  <si>
    <t>Tiền &amp; tương đương tiền</t>
  </si>
  <si>
    <t>Tương đương tiền</t>
  </si>
  <si>
    <t>Tiền hoạt động</t>
  </si>
  <si>
    <t>Đầu tư tài chính ngắn hạn</t>
  </si>
  <si>
    <t>Khoản phải thu ngắn hạn</t>
  </si>
  <si>
    <t>TSNH khác</t>
  </si>
  <si>
    <t>Tài sản ngắn hạn</t>
  </si>
  <si>
    <t>Current assets</t>
  </si>
  <si>
    <t>Các khoản phải thu dài hạn</t>
  </si>
  <si>
    <t>TSCĐ hữu hình</t>
  </si>
  <si>
    <t>TSCĐ vô hình</t>
  </si>
  <si>
    <t>TSCĐ thuê tài chính</t>
  </si>
  <si>
    <t>BĐS đầu tư</t>
  </si>
  <si>
    <t>TSDD dài hạn</t>
  </si>
  <si>
    <t>Đầu tư công ty con, LDLK</t>
  </si>
  <si>
    <t>TSDH khác</t>
  </si>
  <si>
    <t>Long-term assets</t>
  </si>
  <si>
    <t>Tài sản dài hạn</t>
  </si>
  <si>
    <t>Non-current assets</t>
  </si>
  <si>
    <t>TỔNG TÀI SẢN</t>
  </si>
  <si>
    <t>Total assets</t>
  </si>
  <si>
    <t>Nợ vay ngắn hạn</t>
  </si>
  <si>
    <t>Vay thêm</t>
  </si>
  <si>
    <t>Vay hiện hữu</t>
  </si>
  <si>
    <t>Phải trả người bán ngắn hạn</t>
  </si>
  <si>
    <t>Phải trả ngắn hạn khác</t>
  </si>
  <si>
    <t>Nợ phải trả ngắn hạn</t>
  </si>
  <si>
    <t>Current liabilities</t>
  </si>
  <si>
    <t>Phải trả người bán dài hạn</t>
  </si>
  <si>
    <t>Nợ vay dài hạn</t>
  </si>
  <si>
    <t>Debt A (long-term debt)</t>
  </si>
  <si>
    <t>Debt B (long-term debt)</t>
  </si>
  <si>
    <t>Debt C (long-term debt)</t>
  </si>
  <si>
    <t>Trái phiếu chuyển đổi</t>
  </si>
  <si>
    <t>Phải trả dài hạn khác</t>
  </si>
  <si>
    <t>Nợ phải trả dài hạn</t>
  </si>
  <si>
    <t>Non-current liabilities</t>
  </si>
  <si>
    <t>Nợ phải trả</t>
  </si>
  <si>
    <t>Total liabilities</t>
  </si>
  <si>
    <t>LỢI ÍCH CỔ ĐÔNG THIỂU SỐ</t>
  </si>
  <si>
    <t>Cổ phiếu ưu đãi</t>
  </si>
  <si>
    <t>Cổ phiếu thường</t>
  </si>
  <si>
    <t>Thặng dư vốn cổ phần</t>
  </si>
  <si>
    <t>Quỹ khác thuộc CSH</t>
  </si>
  <si>
    <t>TỔNG NGUỒN VỐN</t>
  </si>
  <si>
    <t>Total Liabilities &amp; Equity</t>
  </si>
  <si>
    <t>LƯU CHUYỂN TIỀN TỆ</t>
  </si>
  <si>
    <t>CASH FLOW</t>
  </si>
  <si>
    <t>Lợi nhuận trước thuế</t>
  </si>
  <si>
    <t>Các khoản dự phòng</t>
  </si>
  <si>
    <t>Điều chỉnh:</t>
  </si>
  <si>
    <t>Add back:</t>
  </si>
  <si>
    <t>Depreciation</t>
  </si>
  <si>
    <t>(Lãi) lỗ tỷ giá chưa thực hiện</t>
  </si>
  <si>
    <t xml:space="preserve">(Lãi) lỗ hoạt động đầu tư </t>
  </si>
  <si>
    <t>(Gain) loss on asset sales</t>
  </si>
  <si>
    <t>CP lãi vay</t>
  </si>
  <si>
    <t>Các khoản điều chỉnh khác</t>
  </si>
  <si>
    <t>LN hoạt động trước thay đổi VLĐ</t>
  </si>
  <si>
    <t>Operating profit before change in WC</t>
  </si>
  <si>
    <t>(Tăng) giảm khoản phải thu</t>
  </si>
  <si>
    <t>(Incr) decr in Account receivable</t>
  </si>
  <si>
    <t>(Tăng) giảm hàng tồn kho</t>
  </si>
  <si>
    <t>(Incr) decr in Inventory</t>
  </si>
  <si>
    <t>Tăng (giảm) Khoản phải trả</t>
  </si>
  <si>
    <t>Incr (decr) in Account payable</t>
  </si>
  <si>
    <t>(Tăng) giảm CP trả trước</t>
  </si>
  <si>
    <t>(Incr) decr in Other current assets</t>
  </si>
  <si>
    <t>Lãi vay đã trả</t>
  </si>
  <si>
    <t>Incr (decr) in Other current liabilities</t>
  </si>
  <si>
    <t>Thuế đã trả</t>
  </si>
  <si>
    <t>Chi khác cho HĐKD</t>
  </si>
  <si>
    <t>Other payments for operating activities</t>
  </si>
  <si>
    <t>Thu khác từ HĐKD</t>
  </si>
  <si>
    <t>Other receivables for operating activities</t>
  </si>
  <si>
    <t>Thay đổi VLĐ</t>
  </si>
  <si>
    <t>CFO</t>
  </si>
  <si>
    <t>Net Cashflow from Operations (CFO)</t>
  </si>
  <si>
    <t>(Thu thanh lý) chi mua sắm, đầu tư  TSCĐ</t>
  </si>
  <si>
    <t>Capex</t>
  </si>
  <si>
    <t>Lãi/lỗ thanh lý TSCĐ</t>
  </si>
  <si>
    <t>Proceed from sale of assets</t>
  </si>
  <si>
    <t>Tiền thu lãi cho vay, cổ tức và lợi nhuận được chia</t>
  </si>
  <si>
    <t>(Tăng) giảm đầu tư tài chính ngắn hạn</t>
  </si>
  <si>
    <t>(Incr) decr in ST investments</t>
  </si>
  <si>
    <t>(Tăng) giảm đầu tư vào công ty khác</t>
  </si>
  <si>
    <t>Other (incr) decr in investment in affiliates</t>
  </si>
  <si>
    <t>CFI</t>
  </si>
  <si>
    <t>Net Cashflow from Invesments (CFI)</t>
  </si>
  <si>
    <t>Tăng (giảm) các khoản vay ngắn hạn</t>
  </si>
  <si>
    <t>Incr (decr) in short-term notes &amp; Revolver</t>
  </si>
  <si>
    <t>Tăng (giảm) các khoản vay dài hạn</t>
  </si>
  <si>
    <t>Incr (decr) in long-term debts</t>
  </si>
  <si>
    <t>Tăng/ giảm khoản vay thứ 1</t>
  </si>
  <si>
    <t>Incr (decr) in Debt 1</t>
  </si>
  <si>
    <t>Tăng/ giảm khoản vay thứ 2</t>
  </si>
  <si>
    <t>Incr (decr) in Debt 2</t>
  </si>
  <si>
    <t>Tăng/ giảm khoản vay thứ 3</t>
  </si>
  <si>
    <t>Incr (decr) in Debt 3</t>
  </si>
  <si>
    <t>Tăng (giảm) trái phiếu chuyển đổi</t>
  </si>
  <si>
    <t>Incr (decr) in convertible debts</t>
  </si>
  <si>
    <t>Dividend payout</t>
  </si>
  <si>
    <t>Cổ tức CP thường</t>
  </si>
  <si>
    <t>Tăng (giảm) vốn góp CSH</t>
  </si>
  <si>
    <t>Incr (decr) in equity accounts</t>
  </si>
  <si>
    <t>Tăng/ giảm cổ phiếu ưu đãi</t>
  </si>
  <si>
    <t>Incr (decr) in preferred stock</t>
  </si>
  <si>
    <t>Tăng/ giảm cổ phiếu thường</t>
  </si>
  <si>
    <t>Incr (decr) in common stock</t>
  </si>
  <si>
    <t>Tăng/ giảm khoản khác</t>
  </si>
  <si>
    <t>Other incr (decr) in other equity accounts</t>
  </si>
  <si>
    <t>Tiền thanh toán vốn gốc đi thuê tài chính</t>
  </si>
  <si>
    <t>CFF</t>
  </si>
  <si>
    <t>Net Cashflow from financing (CFF)</t>
  </si>
  <si>
    <t>Lưu chuyển tiền thuần trong năm</t>
  </si>
  <si>
    <t>Net Cashflow during the year</t>
  </si>
  <si>
    <t>Số dư Tiền đầu năm</t>
  </si>
  <si>
    <t>Cash &amp; Cash Equivalent at the beginning of the year</t>
  </si>
  <si>
    <t>Ảnh hưởng ngoại tệ</t>
  </si>
  <si>
    <t>Số dư Tiền cuối năm</t>
  </si>
  <si>
    <t>Cash &amp; Cash Equivalent at the end of the year</t>
  </si>
  <si>
    <t>REVENUE (price - sale - volume)</t>
  </si>
  <si>
    <t>Khác</t>
  </si>
  <si>
    <t>Growth (1.000 tỷ đồng)</t>
  </si>
  <si>
    <t>Giá bán trung bình (vnđ/sp)</t>
  </si>
  <si>
    <t>GVHB</t>
  </si>
  <si>
    <t>% As Revenue</t>
  </si>
  <si>
    <t>Tổng</t>
  </si>
  <si>
    <t>LNG</t>
  </si>
  <si>
    <t xml:space="preserve"> LNG</t>
  </si>
  <si>
    <t xml:space="preserve"> Biên LNG</t>
  </si>
  <si>
    <t>DOANH THU (tỷ đồng)</t>
  </si>
  <si>
    <t>Tăng trưởng giá bán</t>
  </si>
  <si>
    <t>GVHB 01 đơn vị sp</t>
  </si>
  <si>
    <t>Tăng trưởng giá vốn (1.000vnđ/m3)</t>
  </si>
  <si>
    <t/>
  </si>
  <si>
    <t>Proj</t>
  </si>
  <si>
    <t>Notes</t>
  </si>
  <si>
    <t>Consol. revenue (FC)</t>
  </si>
  <si>
    <t xml:space="preserve">Consol. revenue </t>
  </si>
  <si>
    <t>Rev. Growth (FC)</t>
  </si>
  <si>
    <t xml:space="preserve">Rev. Growth </t>
  </si>
  <si>
    <t>COGS (FC) (Cách 1: theo từng mảng)</t>
  </si>
  <si>
    <t>COGS Cách 1: theo từng mảng)</t>
  </si>
  <si>
    <t>COGS (FC) (Cách 2: theo chi phí)</t>
  </si>
  <si>
    <t>(Hoàn nhập)/Dự phòng phải thu khó đòi</t>
  </si>
  <si>
    <t>Sai số</t>
  </si>
  <si>
    <t>COGS (Cách 2: theo chi phí)</t>
  </si>
  <si>
    <t>% COGS theo Doanh thu (FC) (Cách 2: theo chi phí)</t>
  </si>
  <si>
    <t>% COGS theo Doanh thu (Cách 2: theo chi phí)</t>
  </si>
  <si>
    <t>GROSS PROFIT MARGIN</t>
  </si>
  <si>
    <t>Gross profit (FC) (Cách 1: theo từng mảng)</t>
  </si>
  <si>
    <t>Gross profit (Cách 1: theo từng mảng)</t>
  </si>
  <si>
    <t>GPM (Cách 1: theo từng mảng)</t>
  </si>
  <si>
    <t>Gross profit (FC) (Cách 2: theo chi phí)</t>
  </si>
  <si>
    <t>GPM (FC) (Cách 2: theo chi phí)</t>
  </si>
  <si>
    <t>GPM (Cách 2: theo chi phí)</t>
  </si>
  <si>
    <t>Selling expense (FC)</t>
  </si>
  <si>
    <t>% As revenue (incl Depr)</t>
  </si>
  <si>
    <t>CP nguyên liệu, vật liệu</t>
  </si>
  <si>
    <t>% revenue</t>
  </si>
  <si>
    <t>CP nhân công</t>
  </si>
  <si>
    <t>CP khấu hao TSCĐ</t>
  </si>
  <si>
    <t>CP dịch vụ mua ngoài</t>
  </si>
  <si>
    <t>CP khác bằng tiền</t>
  </si>
  <si>
    <t xml:space="preserve">Selling expense </t>
  </si>
  <si>
    <t>% As revenue (excl Depr)</t>
  </si>
  <si>
    <t>G&amp;A expenses (FC)</t>
  </si>
  <si>
    <t xml:space="preserve">G&amp;A expenses </t>
  </si>
  <si>
    <t>Chi phí SXKD theo yếu tố (FC)</t>
  </si>
  <si>
    <t>Chi phí SXKD theo yếu tố</t>
  </si>
  <si>
    <t>Phân bổ CP khấu hao</t>
  </si>
  <si>
    <t>Giá vốn HB</t>
  </si>
  <si>
    <t>CP bán hàng</t>
  </si>
  <si>
    <t>CP quản lý DN</t>
  </si>
  <si>
    <t>Tổng khấu hao</t>
  </si>
  <si>
    <t>% growth rev</t>
  </si>
  <si>
    <t>Fixed Assets</t>
  </si>
  <si>
    <t>TỔNG HỢP CÁC LOẠI TÀI SẢN CỐ ĐỊNH (1+2+3)</t>
  </si>
  <si>
    <t>Nguyên giá cuối kỳ</t>
  </si>
  <si>
    <t>GTCL cuối kỳ</t>
  </si>
  <si>
    <t>Khấu hao trong kỳ</t>
  </si>
  <si>
    <t>As % EBIT</t>
  </si>
  <si>
    <t>Trong đó: Capex duy trì</t>
  </si>
  <si>
    <t>Capex TSCĐ hữu hình</t>
  </si>
  <si>
    <t>Capex TSCĐ thuê tài chính</t>
  </si>
  <si>
    <t>Capex TSCĐ vô hình</t>
  </si>
  <si>
    <t>Capex BĐS đầu tư</t>
  </si>
  <si>
    <t>Capex TS dở dang</t>
  </si>
  <si>
    <t>CHI TIẾT CÁC LOẠI TSCĐ</t>
  </si>
  <si>
    <t>1. TÀI SẢN CỐ ĐỊNH HỮU HÌNH</t>
  </si>
  <si>
    <t>Nguyên giá</t>
  </si>
  <si>
    <t>Số dư đầu kỳ</t>
  </si>
  <si>
    <t>Tăng trong kỳ (FC)</t>
  </si>
  <si>
    <t>Giảm trong kỳ (FC)</t>
  </si>
  <si>
    <t>Tăng trong kỳ</t>
  </si>
  <si>
    <t>Giảm trong kỳ</t>
  </si>
  <si>
    <t>Trong đó đã khấu hao hết nhưng còn sử dụng</t>
  </si>
  <si>
    <t>Check nguyên giá cuối kỳ</t>
  </si>
  <si>
    <t>Giá trị hao mòn lũy kế</t>
  </si>
  <si>
    <t>Giá trị hao mòn lũy kế cuối kỳ</t>
  </si>
  <si>
    <t>GTCL đầu kỳ</t>
  </si>
  <si>
    <t>Check GTCL cuối kỳ</t>
  </si>
  <si>
    <t>2. TÀI SẢN THUÊ TÀI CHÍNH</t>
  </si>
  <si>
    <t>3. TÀI SẢN CỐ ĐỊNH VÔ HÌNH</t>
  </si>
  <si>
    <t>Trong đó đã khấu hao hết nhưng còn sử dụng &amp; Quyền SD đất không KH</t>
  </si>
  <si>
    <t>4. BẤT ĐỘNG SẢN ĐẦU TƯ</t>
  </si>
  <si>
    <t>Tăng ròng trong kỳ FC</t>
  </si>
  <si>
    <t>Tăng ròng trong kỳ</t>
  </si>
  <si>
    <t>5. XÂY DỰNG CƠ BẢN DỞ DANG</t>
  </si>
  <si>
    <t>1. Tổng hợp</t>
  </si>
  <si>
    <t>- Số dư đầu kỳ</t>
  </si>
  <si>
    <t>- CP phát sinh trong năm</t>
  </si>
  <si>
    <t>- Kết chuyển từ TSCĐ trong năm</t>
  </si>
  <si>
    <t>- Giảm khác</t>
  </si>
  <si>
    <t>Số dư cuối kỳ</t>
  </si>
  <si>
    <t>2. Thêm vào nếu có</t>
  </si>
  <si>
    <t>3. Thêm vào nếu có</t>
  </si>
  <si>
    <t>- Kết chuyển tăng/ giảm TSCĐ trong năm</t>
  </si>
  <si>
    <t>- Góp vốn thành lập công ty con</t>
  </si>
  <si>
    <t>5. Thêm vào nếu có</t>
  </si>
  <si>
    <t>- Kết chuyển tăng/giảm TSCĐ trong năm</t>
  </si>
  <si>
    <t>6. Thêm vào nếu có</t>
  </si>
  <si>
    <t>7. Thêm vào nếu có</t>
  </si>
  <si>
    <t>8. Thêm vào nếu có</t>
  </si>
  <si>
    <t>9. Khác</t>
  </si>
  <si>
    <t>Thời gian khấu hao (năm)</t>
  </si>
  <si>
    <t>Min</t>
  </si>
  <si>
    <t>Max</t>
  </si>
  <si>
    <t>Thời gian khấu hao bình quân</t>
  </si>
  <si>
    <t>Thời gian khấu hao</t>
  </si>
  <si>
    <t>1. TSCĐ hữu hình</t>
  </si>
  <si>
    <t>2. TS thuê tài chính</t>
  </si>
  <si>
    <t>3. TSCĐ vô hình</t>
  </si>
  <si>
    <t>4. BĐS đầu tư</t>
  </si>
  <si>
    <t>CHI TIẾT KHẤU HAO</t>
  </si>
  <si>
    <t>THÔNG TIN KHOẢN VAY</t>
  </si>
  <si>
    <t>DỰ PHÓNG KHOẢN VAY</t>
  </si>
  <si>
    <t>Phân bổ cho các nhà máy</t>
  </si>
  <si>
    <t>Debt</t>
  </si>
  <si>
    <t>Gốc vay</t>
  </si>
  <si>
    <t>Thời điểm vay</t>
  </si>
  <si>
    <t>Kỳ hạn (tháng)</t>
  </si>
  <si>
    <t>Lãi suất năm</t>
  </si>
  <si>
    <t>Loại lãi suất</t>
  </si>
  <si>
    <t>Kỳ điều chỉnh</t>
  </si>
  <si>
    <t>ƯỚC TÍNH LÃI SUẤT NGÂN HÀNG</t>
  </si>
  <si>
    <t>Tổng nợ vay ngân hàng ngắn và dài hạn</t>
  </si>
  <si>
    <t>Dư nợ gốc đầu năm</t>
  </si>
  <si>
    <t>+ Trả nợ gốc hàng năm</t>
  </si>
  <si>
    <t xml:space="preserve">+ Vay mới trong năm </t>
  </si>
  <si>
    <t>Dư nợ gốc cuối năm</t>
  </si>
  <si>
    <t>+ Lãi vay hàng năm</t>
  </si>
  <si>
    <t>+ Lãi suất chung ước tính</t>
  </si>
  <si>
    <t>TỔNG HỢP NỢ VAY</t>
  </si>
  <si>
    <t>Vay ngắn hạn ngân hàng</t>
  </si>
  <si>
    <t>Vay dài hạn ngân hàng</t>
  </si>
  <si>
    <t>Vay dài hạn trái phiếu</t>
  </si>
  <si>
    <t>CHI TIẾT NỢ VAY HIỆN HỮU</t>
  </si>
  <si>
    <t>Vay ngắn hạn Ngân hàng</t>
  </si>
  <si>
    <t>Ngân hàng 1</t>
  </si>
  <si>
    <t>Khoản 1</t>
  </si>
  <si>
    <t>floating</t>
  </si>
  <si>
    <t>+ Lãi suất</t>
  </si>
  <si>
    <t>Vay dài hạn Ngân hàng</t>
  </si>
  <si>
    <t>Khoản 1/ long-term debt A</t>
  </si>
  <si>
    <t>Ngân hàng 2</t>
  </si>
  <si>
    <t>Khoản 2</t>
  </si>
  <si>
    <t>2.3</t>
  </si>
  <si>
    <t>Vay cá nhân (vi)</t>
  </si>
  <si>
    <t>Nguyễn Văn A</t>
  </si>
  <si>
    <t>2.4</t>
  </si>
  <si>
    <t>Trái phiếu phát hành (vii)</t>
  </si>
  <si>
    <t xml:space="preserve">Đợt 1 </t>
  </si>
  <si>
    <t>Đợt 2</t>
  </si>
  <si>
    <t>CHI TIẾT NỢ VAY MỚI</t>
  </si>
  <si>
    <t>1.1</t>
  </si>
  <si>
    <t>Khoản 1/ long-term debt B</t>
  </si>
  <si>
    <t>1.2</t>
  </si>
  <si>
    <t>1.3</t>
  </si>
  <si>
    <t>1.4</t>
  </si>
  <si>
    <t>Khoản 1/ long-term debt C</t>
  </si>
  <si>
    <t>Vay dài hạn Ngân hàng năm 2025</t>
  </si>
  <si>
    <t>Vay dài hạn Ngân hàng năm 2026</t>
  </si>
  <si>
    <t>Vay dài hạn Ngân hàng năm 2027</t>
  </si>
  <si>
    <t>6.1</t>
  </si>
  <si>
    <t>Vay dài hạn Ngân hàng năm 2028</t>
  </si>
  <si>
    <t>7.1</t>
  </si>
  <si>
    <t>Vay dài hạn Ngân hàng năm 2029</t>
  </si>
  <si>
    <t>8.1</t>
  </si>
  <si>
    <t>Vay dài hạn Ngân hàng năm 2030</t>
  </si>
  <si>
    <t>Vay dài hạn Ngân hàng năm 2031</t>
  </si>
  <si>
    <t>10.1</t>
  </si>
  <si>
    <t>ERP</t>
  </si>
  <si>
    <t>Beta</t>
  </si>
  <si>
    <t>VNINDEX</t>
  </si>
  <si>
    <t>S&amp;P 500</t>
  </si>
  <si>
    <t>2017-2022</t>
  </si>
  <si>
    <t>Regression Statistics</t>
  </si>
  <si>
    <t>Date</t>
  </si>
  <si>
    <t>Last price</t>
  </si>
  <si>
    <t>Thay đổi</t>
  </si>
  <si>
    <t>Stdev VN</t>
  </si>
  <si>
    <t>Stdev US</t>
  </si>
  <si>
    <t>Tương quan</t>
  </si>
  <si>
    <t>Multiple R</t>
  </si>
  <si>
    <t>R Square</t>
  </si>
  <si>
    <t>Adjusted R Square</t>
  </si>
  <si>
    <t>Method 1</t>
  </si>
  <si>
    <t>ERP VN = ERP US * (Std Dev VN/ Std Dev US)</t>
  </si>
  <si>
    <t>Standard Error</t>
  </si>
  <si>
    <t>ERP US</t>
  </si>
  <si>
    <t>Observations</t>
  </si>
  <si>
    <t>Hệ số điều chỉnh</t>
  </si>
  <si>
    <t>ERP VN</t>
  </si>
  <si>
    <t>ANOVA</t>
  </si>
  <si>
    <t>df</t>
  </si>
  <si>
    <t>SS</t>
  </si>
  <si>
    <t>MS</t>
  </si>
  <si>
    <t>F</t>
  </si>
  <si>
    <t>Significance F</t>
  </si>
  <si>
    <t>Method 2</t>
  </si>
  <si>
    <t>ERP VN = ERP US + CRP VN (có điều chỉnh)</t>
  </si>
  <si>
    <t>Regression</t>
  </si>
  <si>
    <t>Residual</t>
  </si>
  <si>
    <t>Chênh lệch CDS</t>
  </si>
  <si>
    <t>Total</t>
  </si>
  <si>
    <t>Coefficients</t>
  </si>
  <si>
    <t>t Stat</t>
  </si>
  <si>
    <t>P-value</t>
  </si>
  <si>
    <t>Lower 95%</t>
  </si>
  <si>
    <t>Upper 95%</t>
  </si>
  <si>
    <t>Lower 95.0%</t>
  </si>
  <si>
    <t>Upper 95.0%</t>
  </si>
  <si>
    <t>Intercept</t>
  </si>
  <si>
    <t>Method 3</t>
  </si>
  <si>
    <t>X Variable 1</t>
  </si>
  <si>
    <t>Chênh lệch Moody's Rating</t>
  </si>
  <si>
    <t xml:space="preserve"> 2017-2022</t>
  </si>
  <si>
    <t>Beta (L)</t>
  </si>
  <si>
    <t>D/E</t>
  </si>
  <si>
    <t>Thuế suất</t>
  </si>
  <si>
    <t>Beta (U)</t>
  </si>
  <si>
    <t xml:space="preserve"> data</t>
  </si>
  <si>
    <t>Change</t>
  </si>
  <si>
    <t>Vnindex</t>
  </si>
  <si>
    <t>(Lãi) lỗ khác</t>
  </si>
  <si>
    <t>(Lãi) lỗ hoạt động tài chính</t>
  </si>
  <si>
    <t>(Lãi) lỗ HĐTC từ excess cash (nhập vào hđtc)</t>
  </si>
  <si>
    <t>VALUATION</t>
  </si>
  <si>
    <t>Valuation Date</t>
  </si>
  <si>
    <t>Valuation Date to Year-End (year)</t>
  </si>
  <si>
    <t>Năm dự phóng</t>
  </si>
  <si>
    <t xml:space="preserve"> FCFE Method</t>
  </si>
  <si>
    <t>Less: Financial Revenue from excess cash</t>
  </si>
  <si>
    <t>Less: Equity earnings in affiliates</t>
  </si>
  <si>
    <t>Add: Depreciation</t>
  </si>
  <si>
    <t>Ke</t>
  </si>
  <si>
    <t>Add: Allowance</t>
  </si>
  <si>
    <t>Less: Capex</t>
  </si>
  <si>
    <t>(Increase) / Decreace in NWC</t>
  </si>
  <si>
    <t>Add: Net borrowing</t>
  </si>
  <si>
    <t>Full year FCFE</t>
  </si>
  <si>
    <t>Less: Pre-valuation date flows</t>
  </si>
  <si>
    <t>Discountable FCFE</t>
  </si>
  <si>
    <t>Số năm dự phóng chi tiết</t>
  </si>
  <si>
    <t>Constant Growth</t>
  </si>
  <si>
    <t>Ke target (dài hạn)</t>
  </si>
  <si>
    <t>Discount Factor</t>
  </si>
  <si>
    <t>PV of FCFE</t>
  </si>
  <si>
    <t>Total PV of FCFE</t>
  </si>
  <si>
    <t>PV of Terminal Value</t>
  </si>
  <si>
    <t>Equity Value before Excess cash &amp; investments</t>
  </si>
  <si>
    <t>+ Excess cash</t>
  </si>
  <si>
    <t>+ ST investments</t>
  </si>
  <si>
    <t>+ Investment in affiliates</t>
  </si>
  <si>
    <t>Equity Value</t>
  </si>
  <si>
    <t>Diluted Number of share outstanding</t>
  </si>
  <si>
    <t>Equity Value per share</t>
  </si>
  <si>
    <t>Chi phí sử dụng vốn dự phóng 2022-2031</t>
  </si>
  <si>
    <t>Lãi suất phi  rủi ro</t>
  </si>
  <si>
    <t>Phần bù rủi ro thị trường</t>
  </si>
  <si>
    <t>Thuế suất TNDN</t>
  </si>
  <si>
    <t>Chi phí vốn CSH (Ke)</t>
  </si>
  <si>
    <t>Chi phí vay nợ dài hạn (Kd)</t>
  </si>
  <si>
    <t>D/(D+E)</t>
  </si>
  <si>
    <t>Chi phí vốn bình quân (WACC)</t>
  </si>
  <si>
    <t>FCFF Method</t>
  </si>
  <si>
    <t>WACC</t>
  </si>
  <si>
    <t>Add: Interest Expenses*(1-t)</t>
  </si>
  <si>
    <t>Full year FCFF</t>
  </si>
  <si>
    <t>Discountable FCFF</t>
  </si>
  <si>
    <t>WACC (dài hạn)</t>
  </si>
  <si>
    <t>PV of FCFF</t>
  </si>
  <si>
    <t>Total PV of FCFF</t>
  </si>
  <si>
    <t>Enterprise Value</t>
  </si>
  <si>
    <t>- Debt</t>
  </si>
  <si>
    <t>GIẢ ĐỊNH VỀ ĐỊNH GIÁ</t>
  </si>
  <si>
    <t>KẾT QUẢ</t>
  </si>
  <si>
    <t>Tham số định giá</t>
  </si>
  <si>
    <t>DCF Valuation</t>
  </si>
  <si>
    <t>FCFF</t>
  </si>
  <si>
    <t>FCFE</t>
  </si>
  <si>
    <t>Long-term growth</t>
  </si>
  <si>
    <t>Giai đoạn dự phóng chi tiết</t>
  </si>
  <si>
    <t>Giai đoạn tăng trưởng dài hạn</t>
  </si>
  <si>
    <t>PV of FCF</t>
  </si>
  <si>
    <t>Lãi suất phi rủi ro</t>
  </si>
  <si>
    <t>D/E mục tiêu</t>
  </si>
  <si>
    <t>PV of Terminal value</t>
  </si>
  <si>
    <t>Ke mục tiêu</t>
  </si>
  <si>
    <t>Terminal value % of total PV of FCF</t>
  </si>
  <si>
    <t>Equity risk premium (ERP)</t>
  </si>
  <si>
    <t>Add: cash &amp; ST investments</t>
  </si>
  <si>
    <t>Enterprise value (EV)</t>
  </si>
  <si>
    <t>SLCP hiện tại (triệu CP)</t>
  </si>
  <si>
    <t>Thuế suất tại năm cuối dự phóng</t>
  </si>
  <si>
    <t>ERP tính toán</t>
  </si>
  <si>
    <t>Less: short and long-term debt</t>
  </si>
  <si>
    <t>SLCP pha loãng tối đa (triệu CP)</t>
  </si>
  <si>
    <t>Tăng trưởng dài hạn</t>
  </si>
  <si>
    <t>ERP tùy chọn</t>
  </si>
  <si>
    <t>Equity value</t>
  </si>
  <si>
    <t>Diluted Outstanding shares (million)</t>
  </si>
  <si>
    <t>Price per share</t>
  </si>
  <si>
    <t>D/(D+E) mục tiêu</t>
  </si>
  <si>
    <t>Current Price</t>
  </si>
  <si>
    <t>Upside</t>
  </si>
  <si>
    <t>Ke tùy chọn</t>
  </si>
  <si>
    <t>Chi phí vốn vay dài hạn</t>
  </si>
  <si>
    <t>VND/share</t>
  </si>
  <si>
    <t>Implied value per share</t>
  </si>
  <si>
    <t>Weight</t>
  </si>
  <si>
    <t>Weighted price</t>
  </si>
  <si>
    <t>Chi phí vốn vay sau thuế</t>
  </si>
  <si>
    <t xml:space="preserve">P/E </t>
  </si>
  <si>
    <t>WACC mục tiêu</t>
  </si>
  <si>
    <t>EV/EBITDA</t>
  </si>
  <si>
    <t>WACC tính toán</t>
  </si>
  <si>
    <t>Target price</t>
  </si>
  <si>
    <t>WACC tùy chọn</t>
  </si>
  <si>
    <t>RECOMMENDATION</t>
  </si>
  <si>
    <t>Current price (18/02/2022)</t>
  </si>
  <si>
    <t>TP/CP (%)</t>
  </si>
  <si>
    <t>Dividend yield 2021</t>
  </si>
  <si>
    <t>Upside (%)</t>
  </si>
  <si>
    <t>RATIOS</t>
  </si>
  <si>
    <t>SIZE &amp; CF</t>
  </si>
  <si>
    <t>cx</t>
  </si>
  <si>
    <t>No. of Outstanding Share (million)</t>
  </si>
  <si>
    <t>Total assets (VNDbn)</t>
  </si>
  <si>
    <t>Total equity (VNDbn)</t>
  </si>
  <si>
    <t>Revenues (VNDbn)</t>
  </si>
  <si>
    <t>% Rev. growth</t>
  </si>
  <si>
    <t>EBIT (VNDbn)</t>
  </si>
  <si>
    <t>Net profit (VNDbn)</t>
  </si>
  <si>
    <t>% NI growth</t>
  </si>
  <si>
    <t>Non Cash Charge</t>
  </si>
  <si>
    <t>CAPEX</t>
  </si>
  <si>
    <t>∆Net Working Capital</t>
  </si>
  <si>
    <t>Net borrowing</t>
  </si>
  <si>
    <t>FCFF (VNDbn)</t>
  </si>
  <si>
    <t>FCFE (VNDbn)</t>
  </si>
  <si>
    <t>FCFF per share</t>
  </si>
  <si>
    <t>FCFE per share</t>
  </si>
  <si>
    <t>EPS (VND)</t>
  </si>
  <si>
    <t>BVPS</t>
  </si>
  <si>
    <t>PROFITABILITY RATIOS</t>
  </si>
  <si>
    <t>Sales/(AR+Inventory+ net fix asstes)</t>
  </si>
  <si>
    <t>EBIT/Total invested capital</t>
  </si>
  <si>
    <t>ROA</t>
  </si>
  <si>
    <t>ROAA</t>
  </si>
  <si>
    <t>ROE</t>
  </si>
  <si>
    <t>ROAE</t>
  </si>
  <si>
    <t>ROIC</t>
  </si>
  <si>
    <t>Sales/FCFF</t>
  </si>
  <si>
    <t>EFFICIENCY RATIOS</t>
  </si>
  <si>
    <t>Days AR on hands</t>
  </si>
  <si>
    <t>Day Inventory on hands</t>
  </si>
  <si>
    <t>Day AP</t>
  </si>
  <si>
    <t>Cash conversion cycle</t>
  </si>
  <si>
    <t>Operating WC/ Sales</t>
  </si>
  <si>
    <t>Sales/Net fix assets</t>
  </si>
  <si>
    <t>Sales/Total assets</t>
  </si>
  <si>
    <t>LIQUIDITY RATIOS</t>
  </si>
  <si>
    <t>Working capital</t>
  </si>
  <si>
    <t>Operating working capital</t>
  </si>
  <si>
    <t>Current ratio</t>
  </si>
  <si>
    <t>Quick ratio</t>
  </si>
  <si>
    <t>Cash ratio</t>
  </si>
  <si>
    <t>LEVERAGE RATIOS</t>
  </si>
  <si>
    <t>Total liabilities/Total Equity</t>
  </si>
  <si>
    <t>Total Debt to Assets</t>
  </si>
  <si>
    <t>Total Debt to Equity</t>
  </si>
  <si>
    <t>Total Debt to Invested capital</t>
  </si>
  <si>
    <t>Net Debt to Equity</t>
  </si>
  <si>
    <t>Net Debt to Equity chỉ trừ excess cash</t>
  </si>
  <si>
    <t>Total debt/EBITDA</t>
  </si>
  <si>
    <t>Net debt/EBITDA</t>
  </si>
  <si>
    <t>Net debt/EBITDA chỉ trừ excess cash</t>
  </si>
  <si>
    <t>COVERAGE RATIOS</t>
  </si>
  <si>
    <t>EBIT/Interest expenses</t>
  </si>
  <si>
    <t>EBITDA/cash interest expenses</t>
  </si>
  <si>
    <t>(EBITDA - CAPEX)/cash interest expenses</t>
  </si>
  <si>
    <t>Operating cash flow/total debt</t>
  </si>
  <si>
    <t>Operating cash flow/net debt</t>
  </si>
  <si>
    <t>Operating cash flow/net debt chỉ trừ excess cash</t>
  </si>
  <si>
    <t>Operating cash flow/average total liabilities</t>
  </si>
  <si>
    <t>MULTIPLE RATIO</t>
  </si>
  <si>
    <t>P/E ratio</t>
  </si>
  <si>
    <t>Price on last day of year</t>
  </si>
  <si>
    <t>EPS</t>
  </si>
  <si>
    <t>P/E</t>
  </si>
  <si>
    <t>P/B ratio</t>
  </si>
  <si>
    <t>P/B</t>
  </si>
  <si>
    <t>EV/EBITDA ratio</t>
  </si>
  <si>
    <t>EV</t>
  </si>
  <si>
    <t>EV trừ thêm short term investment</t>
  </si>
  <si>
    <t>EV/EBITDA trừ thêm short term investment</t>
  </si>
  <si>
    <t>EV/EBIT</t>
  </si>
  <si>
    <t>EV/EBIT trừ thêm short term investment</t>
  </si>
  <si>
    <t>Dividend yield</t>
  </si>
  <si>
    <t>Biên LNTT</t>
  </si>
  <si>
    <t>- (Lãi) lỗ khác</t>
  </si>
  <si>
    <t>- (Lãi) lỗ hoạt động tài chính</t>
  </si>
  <si>
    <t>+ (Lãi) lỗ HĐTC từ excess cash</t>
  </si>
  <si>
    <t xml:space="preserve">Tăng (giảm) các khoản vay </t>
  </si>
  <si>
    <t>Revenues</t>
  </si>
  <si>
    <t>SGA</t>
  </si>
  <si>
    <t>Operating expenses</t>
  </si>
  <si>
    <t>Non-oper expenses</t>
  </si>
  <si>
    <t>EBT</t>
  </si>
  <si>
    <t>Miniority interest in earnings</t>
  </si>
  <si>
    <t>Net income available to common</t>
  </si>
  <si>
    <t>ST investments</t>
  </si>
  <si>
    <t>Account receivable</t>
  </si>
  <si>
    <t>Long term liabilities</t>
  </si>
  <si>
    <t>SHAREHOLDERS' EQUITY</t>
  </si>
  <si>
    <t>Other equity account</t>
  </si>
  <si>
    <t>Shareholders' equity</t>
  </si>
  <si>
    <t>Total liabilities and SH equity</t>
  </si>
  <si>
    <t>PE trailing</t>
  </si>
  <si>
    <t>Trung vị ngành</t>
  </si>
  <si>
    <r>
      <t>EPS trailing</t>
    </r>
    <r>
      <rPr>
        <b/>
        <sz val="10"/>
        <color rgb="FF404040"/>
        <rFont val="Times New Roman"/>
        <family val="1"/>
      </rPr>
      <t xml:space="preserve"> </t>
    </r>
    <r>
      <rPr>
        <i/>
        <sz val="10"/>
        <color rgb="FF404040"/>
        <rFont val="Times New Roman"/>
        <family val="1"/>
      </rPr>
      <t>(đồng/CP)</t>
    </r>
  </si>
  <si>
    <r>
      <t>GTCP</t>
    </r>
    <r>
      <rPr>
        <i/>
        <sz val="10"/>
        <color rgb="FF282828"/>
        <rFont val="Times New Roman"/>
        <family val="1"/>
      </rPr>
      <t xml:space="preserve"> (đồng/CP)</t>
    </r>
  </si>
  <si>
    <t>Tính năng</t>
  </si>
  <si>
    <t>Bảng cân đối kế toán - DCM</t>
  </si>
  <si>
    <t>Ngày trích xuất</t>
  </si>
  <si>
    <t>DCM</t>
  </si>
  <si>
    <t>Hằng năm</t>
  </si>
  <si>
    <t>2025</t>
  </si>
  <si>
    <t>VND</t>
  </si>
  <si>
    <t>Tỷ VND</t>
  </si>
  <si>
    <t>Chỉ tiêuTỷ VND</t>
  </si>
  <si>
    <t>2022</t>
  </si>
  <si>
    <t>2023</t>
  </si>
  <si>
    <t>2024</t>
  </si>
  <si>
    <t>Công ty kiểm toán</t>
  </si>
  <si>
    <t>Deloitte Vietnam Audit Co., Ltd</t>
  </si>
  <si>
    <t>PwC Vietnam</t>
  </si>
  <si>
    <t>Loại ý kiến kiểm toán</t>
  </si>
  <si>
    <t xml:space="preserve">     Chi phí trả trước ngắn hạn</t>
  </si>
  <si>
    <t xml:space="preserve">     Thuế GTGT được khấu trừ</t>
  </si>
  <si>
    <t>Contact</t>
  </si>
  <si>
    <t>CÔNG TY CỔ PHẦN FIINGROUP VIỆT NAM</t>
  </si>
  <si>
    <t>Trụ sở: Tầng 10, Tòa nhà PeakView, 36 Hoàng Cầu, Đống Đa, Hà Nội, Việt Nam</t>
  </si>
  <si>
    <t>Chi nhánh: Tầng 16, Tòa nhà Bitexco Financial Tower, số 2 Hải Triều , Phường Bến Nghé, Quận 1, TP. Hồ Chí Minh, Việt Nam</t>
  </si>
  <si>
    <t>Website: https://fiingroup.vn</t>
  </si>
  <si>
    <t>T: (84-24) - 3562 6962 - Ext: 103</t>
  </si>
  <si>
    <t>Email: fiinpro.support@fiingroup.vn</t>
  </si>
  <si>
    <t>Kết quả kinh doanh - DCM</t>
  </si>
  <si>
    <t>Doanh thu bán hàng và cung cấp dịch vụ</t>
  </si>
  <si>
    <t>Các khoản giảm trừ doanh thu</t>
  </si>
  <si>
    <t>Doanh thu thuần</t>
  </si>
  <si>
    <t>Lợi nhuận gộp về bán hàng và cung cấp dịch vụ</t>
  </si>
  <si>
    <t>Doanh thu hoạt động tài chính</t>
  </si>
  <si>
    <t>Lưu chuyển tiền tệ - DCM</t>
  </si>
  <si>
    <t>Lợi nhuận/(lỗ) trước thuế</t>
  </si>
  <si>
    <t>Khấu hao TSCĐ và BĐSĐT</t>
  </si>
  <si>
    <t>Phân bổ lợi thế thương mại</t>
  </si>
  <si>
    <t>Chi phí dự phòng</t>
  </si>
  <si>
    <t>Lãi/lỗ chênh lệch tỷ giá hối đoái do đánh giá lại các khoản mục tiền tệ có gốc ngoại tệ</t>
  </si>
  <si>
    <t>Lãi/(lỗ) từ thanh lý tài sản cố định</t>
  </si>
  <si>
    <t>(Lãi)/lỗ từ hoạt động đầu tư</t>
  </si>
  <si>
    <t>Chi phí lãi vay</t>
  </si>
  <si>
    <t>Thu lãi và cổ tức</t>
  </si>
  <si>
    <t>Lợi nhuận/(lỗ) từ hoạt động kinh doanh trước những thay đổi vốn lưu động</t>
  </si>
  <si>
    <t xml:space="preserve">     Tiền lãi vay đã trả</t>
  </si>
  <si>
    <t xml:space="preserve">     Thuế thu nhập doanh nghiệp đã nộp</t>
  </si>
  <si>
    <t xml:space="preserve">     Tiền thu khác từ hoạt động kinh doanh</t>
  </si>
  <si>
    <t xml:space="preserve">     Tiền chi khác cho hoạt động kinh doanh</t>
  </si>
  <si>
    <t>Lưu chuyển tiền thuần từ hoạt động đầu tư</t>
  </si>
  <si>
    <t xml:space="preserve">     Tiền chi để mua sắm, xây dựng TSCĐ và các tài sản dài hạn khác</t>
  </si>
  <si>
    <t xml:space="preserve">     Tiền thu từ thanh lý, nhượng bán TSCĐ và các tài sản dài hạn khác</t>
  </si>
  <si>
    <t xml:space="preserve">     Tiền chi cho vay, mua các công cụ nợ của đơn vị khác</t>
  </si>
  <si>
    <t xml:space="preserve">     Tiền thu hồi cho vay, bán lại các công cụ nợ của đơn vị khác</t>
  </si>
  <si>
    <t xml:space="preserve">     Tiền chi đầu tư góp vốn vào đơn vị khác</t>
  </si>
  <si>
    <t xml:space="preserve">     Tiền thu hồi đầu tư góp vốn vào đơn vị khác</t>
  </si>
  <si>
    <t xml:space="preserve">     Tiền thu lãi cho vay, cổ tức và lợi nhuận được chia</t>
  </si>
  <si>
    <t>Lưu chuyển tiền thuần từ hoạt động tài chính</t>
  </si>
  <si>
    <t xml:space="preserve">     Tiền thu từ phát hành cổ phiếu, nhận vốn góp của chủ sở hữu</t>
  </si>
  <si>
    <t xml:space="preserve">     Tiền chi trả vốn góp cho các chủ sở hữu, mua lại cổ phiếu của doanh nghiệp đã phát hành</t>
  </si>
  <si>
    <t xml:space="preserve">     Tiền trả nợ gốc vay</t>
  </si>
  <si>
    <t xml:space="preserve">     Tiền trả nợ gốc thuê tài chính</t>
  </si>
  <si>
    <t xml:space="preserve">     Cổ tức, lợi nhuận đã trả cho chủ sở hữu</t>
  </si>
  <si>
    <t>Ảnh hưởng của thay đổi tỷ giá hối đoái quy đổi ngoại tệ</t>
  </si>
  <si>
    <t>Thuyết minh - DCM</t>
  </si>
  <si>
    <t xml:space="preserve">     Đầu tư dài hạn</t>
  </si>
  <si>
    <t xml:space="preserve">     Trích trước CP lương nghỉ phép</t>
  </si>
  <si>
    <t xml:space="preserve">     Chi phí trong thời gian ngừng KD</t>
  </si>
  <si>
    <t xml:space="preserve">     Bảo hiểm xã hội</t>
  </si>
  <si>
    <t xml:space="preserve">     Bảo hiểm y tế</t>
  </si>
  <si>
    <t xml:space="preserve">     Lãi bán hành trả chậm</t>
  </si>
  <si>
    <t>BREAKDOWN</t>
  </si>
  <si>
    <t>SUMMARY STATISTICS</t>
  </si>
  <si>
    <t>DPM Data</t>
  </si>
  <si>
    <t>Reductions</t>
  </si>
  <si>
    <t>%Reductions</t>
  </si>
  <si>
    <t>Net revenue</t>
  </si>
  <si>
    <t>GPM</t>
  </si>
  <si>
    <t>Financial Income (tỷ đồng)</t>
  </si>
  <si>
    <t>Financial X (chi phí tài chính) (tỷ đồng)</t>
  </si>
  <si>
    <t>Selling X (chi phí bán hàng) (tỷ đồng)</t>
  </si>
  <si>
    <t>G&amp;A X (Chi phí quản lý doanh nghiệp) (tỷ đồng)</t>
  </si>
  <si>
    <t>Other Income (thu nhập khác) (tỷ đồng)</t>
  </si>
  <si>
    <t>Other X (chi phí khác) (tỷ đồng)</t>
  </si>
  <si>
    <t>Projection Check</t>
  </si>
  <si>
    <t>Revenue (excluding NPK)</t>
  </si>
  <si>
    <t>%growth</t>
  </si>
  <si>
    <t>Financial Income</t>
  </si>
  <si>
    <t>Financial X</t>
  </si>
  <si>
    <t>Selling X</t>
  </si>
  <si>
    <t>G&amp;A X</t>
  </si>
  <si>
    <t>Other Income</t>
  </si>
  <si>
    <t>Other X</t>
  </si>
  <si>
    <t>Selling X/Net R</t>
  </si>
  <si>
    <t>G&amp;A/Net R</t>
  </si>
  <si>
    <t>Other income/Net R</t>
  </si>
  <si>
    <t>Other expense/Net R</t>
  </si>
  <si>
    <t>SALES BREAKDOWN BY PRODUCTS</t>
  </si>
  <si>
    <t>Locally-produced Products</t>
  </si>
  <si>
    <t>Ca Mau Urea</t>
  </si>
  <si>
    <t>NH3</t>
  </si>
  <si>
    <t>NPK</t>
  </si>
  <si>
    <t>Sales Discounts (tỷ đồng)</t>
  </si>
  <si>
    <t>Net Revenues</t>
  </si>
  <si>
    <t>Imported Products &amp; Other</t>
  </si>
  <si>
    <t>Other (tỷ đồng)</t>
  </si>
  <si>
    <t>Imported Fertilier Trading</t>
  </si>
  <si>
    <t>Sales Discounts</t>
  </si>
  <si>
    <t>Net Revenue</t>
  </si>
  <si>
    <t>Total Revenue (tỷ đồng)</t>
  </si>
  <si>
    <t>COCG BREAKDOWN BY PRODUCTS</t>
  </si>
  <si>
    <t>Phu My Urea</t>
  </si>
  <si>
    <t>Chemical</t>
  </si>
  <si>
    <t>Imported Products</t>
  </si>
  <si>
    <t>SUM</t>
  </si>
  <si>
    <t>GROSS PROFITS BREAKDOWN BY PRODUCTS</t>
  </si>
  <si>
    <t>Revenue Weighting</t>
  </si>
  <si>
    <t>Urea Fertilizer</t>
  </si>
  <si>
    <t>Trading Fertilizer</t>
  </si>
  <si>
    <t>Chemical + Other</t>
  </si>
  <si>
    <t>Gross Profit Weighting</t>
  </si>
  <si>
    <t>DETAILS</t>
  </si>
  <si>
    <t>Revenue (billion dong)</t>
  </si>
  <si>
    <t>%Growth</t>
  </si>
  <si>
    <t>Volume (Thounsand Tons)</t>
  </si>
  <si>
    <t>Price (thousand VND/Kg)</t>
  </si>
  <si>
    <t>Net Revenue (billion dong)</t>
  </si>
  <si>
    <t>COGS theo cách tổng hợp các thành phần</t>
  </si>
  <si>
    <t>COGS (billion dong)</t>
  </si>
  <si>
    <t>Raw Materials (billion dong)</t>
  </si>
  <si>
    <t>Other COGS</t>
  </si>
  <si>
    <t>% of COGS</t>
  </si>
  <si>
    <t>Production cost (VND/kg)</t>
  </si>
  <si>
    <t>Dry gas cost (billion dong)</t>
  </si>
  <si>
    <t>Other COGS/kg (VND)</t>
  </si>
  <si>
    <t>Oil price (USD/barrel) (brent)</t>
  </si>
  <si>
    <t>MFO (USD/ton)</t>
  </si>
  <si>
    <t>MFO (USD/mmbtu)</t>
  </si>
  <si>
    <t>Tariff (USD/mmbtu)</t>
  </si>
  <si>
    <t>Petronas - Malaysia (10%)</t>
  </si>
  <si>
    <t>PVN (90%) (usd/tấn)</t>
  </si>
  <si>
    <t>Chi phí vận chuyển (usd/mmbtu)</t>
  </si>
  <si>
    <r>
      <t xml:space="preserve">Natural Gas Price (USD/mmbtu) </t>
    </r>
    <r>
      <rPr>
        <b/>
        <sz val="10"/>
        <color rgb="FF000000"/>
        <rFont val="Myriad Pro"/>
        <family val="2"/>
      </rPr>
      <t>no VAT</t>
    </r>
  </si>
  <si>
    <t xml:space="preserve">VAT </t>
  </si>
  <si>
    <t>FX</t>
  </si>
  <si>
    <t>Change in FX</t>
  </si>
  <si>
    <t>Raw Material Price (VND/Kg) (including VAT)</t>
  </si>
  <si>
    <t>Raw Material Price/ Natural Gas Price</t>
  </si>
  <si>
    <t xml:space="preserve">Ca Mau Urea </t>
  </si>
  <si>
    <t>Volume (Thousand Tons)</t>
  </si>
  <si>
    <t>Price (VND/Kg)</t>
  </si>
  <si>
    <t>Gross Profit</t>
  </si>
  <si>
    <t>Imported Fertilizer Trading</t>
  </si>
  <si>
    <t>Total Trading Fertilizer Volume)</t>
  </si>
  <si>
    <t>Volume (thousand tons)</t>
  </si>
  <si>
    <t>Price (thoausand VND/kg)</t>
  </si>
  <si>
    <t>Gross Profit (billion dong)</t>
  </si>
  <si>
    <t>Volume (Tons)</t>
  </si>
  <si>
    <t>Other cost</t>
  </si>
  <si>
    <t>Production cost excl depreciation (VND/kg)</t>
  </si>
  <si>
    <t>UFC 85</t>
  </si>
  <si>
    <t>Revenue (billion vnd)</t>
  </si>
  <si>
    <t>Volume (tons)</t>
  </si>
  <si>
    <t>COGS (billion vnd)</t>
  </si>
  <si>
    <t>Gross Profit (billion vnd)</t>
  </si>
  <si>
    <t>Petrochemicals</t>
  </si>
  <si>
    <t>Other</t>
  </si>
  <si>
    <t>Price</t>
  </si>
  <si>
    <t>Electricity</t>
  </si>
  <si>
    <t xml:space="preserve">COGS </t>
  </si>
  <si>
    <t>Design Capacity (thousand tons)</t>
  </si>
  <si>
    <t>Lượng Ure s/x NPK (dùng 17-7-17 để ước) (k tấn)</t>
  </si>
  <si>
    <t>Production volume (thousand tons)</t>
  </si>
  <si>
    <t>Growth (%)</t>
  </si>
  <si>
    <t>%Capacity</t>
  </si>
  <si>
    <t>Selling volume (thousand tons)</t>
  </si>
  <si>
    <t>% production</t>
  </si>
  <si>
    <t>COGS theo BCTC (billion dong)</t>
  </si>
  <si>
    <t>GPM %</t>
  </si>
  <si>
    <t xml:space="preserve">Material </t>
  </si>
  <si>
    <t>Depreciation (giả định khấu hao nhanh trong 12 năm)</t>
  </si>
  <si>
    <t>Labor</t>
  </si>
  <si>
    <t>Raw Material Price/Kg</t>
  </si>
  <si>
    <t>BFC</t>
  </si>
  <si>
    <t>Chi phí NVL/sp</t>
  </si>
  <si>
    <t xml:space="preserve">Giá </t>
  </si>
  <si>
    <t>Urea</t>
  </si>
  <si>
    <t>DAP</t>
  </si>
  <si>
    <t>Kali</t>
  </si>
  <si>
    <t>%Change</t>
  </si>
  <si>
    <t>Lượng</t>
  </si>
  <si>
    <t>Giá trị</t>
  </si>
  <si>
    <t>Quy đổi</t>
  </si>
  <si>
    <t>OPERATING EXPENSES</t>
  </si>
  <si>
    <t>General Operating Costs</t>
  </si>
  <si>
    <t xml:space="preserve">    Raw materials (billion dong)</t>
  </si>
  <si>
    <t xml:space="preserve">    Labour costs (billion dong)</t>
  </si>
  <si>
    <t xml:space="preserve">    Depreciation expense (billion dong)</t>
  </si>
  <si>
    <t xml:space="preserve">    Outside service expenses (billion dong)</t>
  </si>
  <si>
    <t xml:space="preserve">    Other cash expenses (billion dong)</t>
  </si>
  <si>
    <t>Weighting</t>
  </si>
  <si>
    <t xml:space="preserve">    Raw materials</t>
  </si>
  <si>
    <t xml:space="preserve">    Labour costs</t>
  </si>
  <si>
    <t xml:space="preserve">    Depreciation expense</t>
  </si>
  <si>
    <t xml:space="preserve">    Outside service expenses</t>
  </si>
  <si>
    <t xml:space="preserve">    Other cash expenses</t>
  </si>
  <si>
    <t>Exchange Rate</t>
  </si>
  <si>
    <t>PAT</t>
  </si>
  <si>
    <t>Revenue (mn USD)</t>
  </si>
  <si>
    <t>PAT (mn USD)</t>
  </si>
  <si>
    <t>UreCa Mau</t>
  </si>
  <si>
    <t>Production (thousand tons)</t>
  </si>
  <si>
    <t>Ure dùng để s/x NPK</t>
  </si>
  <si>
    <t>Ure s/x để bán</t>
  </si>
  <si>
    <t>Consumption (thousand tons)</t>
  </si>
  <si>
    <t>NPK Cà Mau</t>
  </si>
  <si>
    <t>Phân bón tự doanh</t>
  </si>
  <si>
    <t>Gas input</t>
  </si>
  <si>
    <t>Volume (triệu m3)</t>
  </si>
  <si>
    <t>Urea capacity</t>
  </si>
  <si>
    <t>Volume (MMBTU)</t>
  </si>
  <si>
    <t>1 MMBTU=xxxm3</t>
  </si>
  <si>
    <t>Giá khí including VAT (USD/MMBTU)</t>
  </si>
  <si>
    <t>Chi phí giá khí (VND bn) ước tính</t>
  </si>
  <si>
    <t>Chi phí giá khí (VND bn) theo GAS</t>
  </si>
  <si>
    <t>Chi phí NVL (VND bn)</t>
  </si>
  <si>
    <t>Chi phí giá khí cho 1 tấn Ure và 1 tấn NH3 (VND/tấn)</t>
  </si>
  <si>
    <t>Raw Material (Mode lỏng/hóa học)</t>
  </si>
  <si>
    <t>CPA - cocoa pod ash</t>
  </si>
  <si>
    <t>MAP</t>
  </si>
  <si>
    <t>SA</t>
  </si>
  <si>
    <t>H2SO4</t>
  </si>
  <si>
    <t>KCl</t>
  </si>
  <si>
    <t>SOP</t>
  </si>
  <si>
    <t>TSP</t>
  </si>
  <si>
    <t>SSP - Single Superphosphate</t>
  </si>
  <si>
    <t>Sản lượng NPK</t>
  </si>
  <si>
    <t>Raw Material Price (VND/kg)</t>
  </si>
  <si>
    <t>Raw material (Mode rắn)</t>
  </si>
  <si>
    <t>Sum</t>
  </si>
  <si>
    <t>Phân bổ tỷ trọng nguồn khí đầu vào 2020</t>
  </si>
  <si>
    <t>Phân bổ tỷ trọng nguồn khí đầu vào 2021: theo cty: BH-RĐM 45-50%, còn lại: NCS 80%, mỏ khác thuộc Cửu Long 20%. Tariff: BH-RĐM 1.02 (k đổi), NCS 1.42 (k đổi), mỏ khác thuộc Cửu Long &gt;5 (tăng mạnh sv 3.22 của các năm trước)</t>
  </si>
  <si>
    <t>projected</t>
  </si>
  <si>
    <t>Price - export (USD/ton)</t>
  </si>
  <si>
    <t>Tỷ giá</t>
  </si>
  <si>
    <t>Mất giá VND</t>
  </si>
  <si>
    <t>Price - export (Quy đổi)</t>
  </si>
  <si>
    <t>https://www.vinachem.com.vn/nd/tin-thi-truong-sp-vnc/phan-bon-binh-dien-khang-dinh-vi-the-thuong-hieu-quoc-gia-voi-tam-nhin-xanh-hoa-so-hoa.html</t>
  </si>
  <si>
    <t>Factors Influencing Growth in Fertilizer Use</t>
  </si>
  <si>
    <t>Growing Global Population</t>
  </si>
  <si>
    <t xml:space="preserve">This leads to increased caloric needs, which in turn drives the demand for greater agricultural output and fertilizer. </t>
  </si>
  <si>
    <t>Technological Advancements</t>
  </si>
  <si>
    <t>New technologies can influence fertilizer demand and the efficiency of its use</t>
  </si>
  <si>
    <t>Climate Change</t>
  </si>
  <si>
    <t xml:space="preserve">Environmental factors like climate change can impact agricultural productivity and affect the need for fertilizers. </t>
  </si>
  <si>
    <t>Changing Consumer Preferences</t>
  </si>
  <si>
    <t>Shifts in what consumers want can influence agricultural production methods and fertilizer use</t>
  </si>
  <si>
    <t>accelerated urbanization</t>
  </si>
  <si>
    <t>increase fertilizer content per hectare of land</t>
  </si>
  <si>
    <t>FO 180 tại Singapore vào ngày 23 tháng 9 năm 2025 là 403.37 USD/tấn</t>
  </si>
  <si>
    <t>https://www.sgx.com/derivatives/products/fuel-oil-380cst</t>
  </si>
  <si>
    <t>Sản lượng bán</t>
  </si>
  <si>
    <t>Giá trung bình NPK Cà Mau</t>
  </si>
  <si>
    <t>Ước lượng doanh thu NPK Hàn Việt 2024</t>
  </si>
  <si>
    <t>Doanh thu NPK Cà Mau (ước lượng)</t>
  </si>
  <si>
    <t>Doanh thu NPK Cà Mau (BCTC)</t>
  </si>
  <si>
    <t>Doanh thu NPK Hàn Việt (Ước lượng)</t>
  </si>
  <si>
    <t>Doanh thu NPK Hàn Việt (BCTN)</t>
  </si>
  <si>
    <t>Doanh thu NPK Cà Mau (loại NPK Hàn Việt)</t>
  </si>
  <si>
    <t>Tỷ suất biên lợi nhuận gộp NPK Cà Mau</t>
  </si>
  <si>
    <t>https://businessanalytiq.com/procurementanalytics/index/ammonia-price-index/</t>
  </si>
  <si>
    <t>Dự phóng giá DAP</t>
  </si>
  <si>
    <t>mmBTU = R x GHV x Sm³</t>
  </si>
  <si>
    <t>R = 947,817 x 10^-6</t>
  </si>
  <si>
    <t>GHV: Nhiệt trị ( Nhiệt trị này không ổn định, thay đổi theo thời gian, nhưng chúng ta sẽ lấy giá trị trung bình của nó để tính là 40.2 MJ/Sm³)</t>
  </si>
  <si>
    <t>Hệ số hiệu chỉnh giá khí</t>
  </si>
  <si>
    <t>Kiểm tra lại số liệu khấu hao phần NH3</t>
  </si>
  <si>
    <t xml:space="preserve">    Hệ số hiệu chỉnh</t>
  </si>
  <si>
    <t>Tỷ trọng trong nước/xuất khẩu</t>
  </si>
  <si>
    <t>https://vneconomy.vn/iea-nhu-cau-dau-cua-trung-quoc-sap-dat-dinh-the-gioi-se-thua-nhieu-dau.htm</t>
  </si>
  <si>
    <t>Nhu cầu dầu dự kiến đạt đỉnh 2027 - 2028 nên giá dầu có thể điều chỉnh giảm sau đó &gt;&gt;&gt; cải thiện biên lợi nhuận gộp</t>
  </si>
  <si>
    <t>Giá NPK duy trì tăng trưởng mỗi năm do xu hướng chuyển dịch từ phân đơn sang phân phức hợp chất lượng cao và phân bón hữu cơ</t>
  </si>
  <si>
    <t>Giá vốn NPK Hàn Việt 9T2024</t>
  </si>
  <si>
    <t>Sản lượng tiêu thụ</t>
  </si>
  <si>
    <t>Sản lượng sản xuất</t>
  </si>
  <si>
    <t>NPK (nghìn tấn)</t>
  </si>
  <si>
    <t>NPK (nghìn vnd/kg)</t>
  </si>
  <si>
    <t>% sản xuất</t>
  </si>
  <si>
    <t xml:space="preserve">    Growth</t>
  </si>
  <si>
    <t>Mảng Ure</t>
  </si>
  <si>
    <t>Mảng NPK</t>
  </si>
  <si>
    <t>Mảng NH3</t>
  </si>
  <si>
    <t>Mảng tự doanh</t>
  </si>
  <si>
    <t>Mảng dịch vụ</t>
  </si>
  <si>
    <t>Đối chiếu</t>
  </si>
  <si>
    <t>Chi phí nhân viên bán hàng</t>
  </si>
  <si>
    <t>Chi phí vận chuyển, bốc xếp lưu kho</t>
  </si>
  <si>
    <t>Chi phí quảng cáo, truyền thông</t>
  </si>
  <si>
    <t xml:space="preserve">Chi phỉ an sinh xã hội </t>
  </si>
  <si>
    <t>Chỉ phí bán hàng tự doanh</t>
  </si>
  <si>
    <t>Chi phí khẩu hao tài sản cổ định</t>
  </si>
  <si>
    <t xml:space="preserve">Các khoản chi phí bán hàng khác </t>
  </si>
  <si>
    <t>Chi phí dịch vụ mua ngoài khác</t>
  </si>
  <si>
    <t>Tồn Ure</t>
  </si>
  <si>
    <t>Phân bổ khấu trừ</t>
  </si>
  <si>
    <t>Doanh thu trước khấu trừ</t>
  </si>
  <si>
    <t>Hệ số hiệu chỉnh COGS</t>
  </si>
  <si>
    <t>COGS sau hiệu chỉnh</t>
  </si>
  <si>
    <t>Chi phí nhân viên quản lý</t>
  </si>
  <si>
    <t>Chi phí khẩu hao tài sản cố định</t>
  </si>
  <si>
    <t>Trích Quỹ phát triển khoa học và công nghệ</t>
  </si>
  <si>
    <t>Chi phí dịch vụ mua ngoài</t>
  </si>
  <si>
    <t>Các khoản chi phí quản lý doanh nghiệp khác</t>
  </si>
  <si>
    <t>Dự phòng phải thu thuế nhà thầu đối với lãi vay
các khoản vay nước ngoài</t>
  </si>
  <si>
    <t>sai số</t>
  </si>
  <si>
    <t>% sai số</t>
  </si>
  <si>
    <t>Doanh thu các sản phẩm khí công nghiệp từ nhà máy Ure 
dự phóng ở đây</t>
  </si>
  <si>
    <t>Đầu tư Capex nhiều &gt;&gt; Tăng trưởng dài hạn sau thời gian dự phóng ~ 5-6%</t>
  </si>
  <si>
    <t>Time line đầu tư capex</t>
  </si>
  <si>
    <t>Hiệu quả đầu tư Capex từ các dự án cải thiện hiệu quả nhà máy DCM có thể làm giảm giá vốn sản xuất Ure và NPK</t>
  </si>
  <si>
    <t>Hệ số điều chỉnh Raw Material Price do đầu tư capex sản xuất nhà máy DCM</t>
  </si>
  <si>
    <t>Nhà máy NPK</t>
  </si>
  <si>
    <t>Nhà máy Ure</t>
  </si>
  <si>
    <t>Đầu tư capex 2025-2035</t>
  </si>
  <si>
    <t>Capex hữu hình 2025-2035</t>
  </si>
  <si>
    <t>Capex vô hình 2025-2035</t>
  </si>
  <si>
    <t>Nguồn vốn</t>
  </si>
  <si>
    <t>Vốn vay</t>
  </si>
  <si>
    <t>Vay dài hạn 2025-2034 ở sheet debt</t>
  </si>
  <si>
    <t>Chênh lệch nợ vay dài và ngắn hạn</t>
  </si>
  <si>
    <t>Lãi suất ước tính dựa vào: (1) CP lãi vay trong kỳ, (2) tổng dư nợ đầu, cuối kỳ và (3) chênh lệch thực tế giữa lãi suất ngắn hạn và dài hạn</t>
  </si>
  <si>
    <t>Chú thích: Long-term debt A là toàn bộ nợ dài hạn cuối 2021 của công ty</t>
  </si>
  <si>
    <t>Chi tiết các khoản vay mới dài hạn để tài trợ các dự án xây mới và mở rộng nhà máy sản xuất được ước lượng dựa vào thông tin dưới đây, lấy trong bản cáo bạch niêm yết HSX 2018</t>
  </si>
  <si>
    <t>https://vietstock.vn/2025/06/dhdcd-dam-ca-mau-uoc-6-thang-vuot-sau-ke-hoach-chia-co-tuc-20-737-1318299.htm</t>
  </si>
  <si>
    <t>Tăng trưởng ngành phân bón Việt Nam</t>
  </si>
  <si>
    <t>CAGR ngành phân bón  10% ~ 12%</t>
  </si>
  <si>
    <t>Hiện tại tỷ lệ nội địa NPK là hơn 90% nên ko tách doanh thu xuất khẩu nhưng tương lai DCM tăng xuất khẩu NPK lên 100000 tấn/năm ~ 33.33% công suất thiết kế</t>
  </si>
  <si>
    <t>COGS từ 2031 ~ 2035 mảng Ure được cải thiện do DCM đầu tư 200 triệu USD trong 2026~2030 nhằm sản xuất khí công nghiệp và cải thiện 
năng suất sản xuất các phân xưởng phân bón</t>
  </si>
  <si>
    <t>https://tapchicongthuong.vn/dam-ca-mau--dcm--chot-chia-co-tuc-20--bang-tien--du-bao-gia-phan-bon-co-the-tang-142081.htm</t>
  </si>
  <si>
    <t>Phần tiền đầu tư capex 2025 - 2034 từ vốn chủ sở hữu</t>
  </si>
  <si>
    <t>Khoản vay dài hạn từ ừ Ngân hàng Thương mại Cổ phần Ngoại thương Việt Nam hết hạn vào năm 2027, các thông tin khoản vay coi trong thuyết minh BCTC 2024</t>
  </si>
  <si>
    <t>Vay dài hạn Ngân hàng năm 2032</t>
  </si>
  <si>
    <t>Vay dài hạn Ngân hàng năm 2033</t>
  </si>
  <si>
    <t>Vay dài hạn Ngân hàng năm 2034</t>
  </si>
  <si>
    <t>Các khoản vay dài hạn có thời hạn trả nợ tối đa là 60 tháng (tham khảo BCTC 2024 DCM)</t>
  </si>
  <si>
    <t>Lãi từ bán, thanh lý các khoản đầu tư</t>
  </si>
  <si>
    <t>Thu nhập khác (loại trừ đột biến từ M&amp;A)</t>
  </si>
  <si>
    <t>Tax rate % (DPM)</t>
  </si>
  <si>
    <t>Tax rate % (BFC)</t>
  </si>
  <si>
    <t>- Quỹ khen thưởng phúc lợi</t>
  </si>
  <si>
    <t>+ Quỹ khen thưởng, phúc lợi người lao động</t>
  </si>
  <si>
    <t>Nhà máy Ure bắt đầu có sản phẩm đầu tiên năm 2012, đến năm 2023 thì lượng tiền đầu tư ngắn hạn là khoảng 8,200 tỷ ~ 57% chi phí đầu tư ban đầu với mặt bằng giá phân bón thấp hơn, ít đầu tư cho tăng trưởng hơn, chưa hoạt động vượt công suất thiết kế và chưa kinh doanh NPK so với giai đoạn 2025~2034</t>
  </si>
  <si>
    <t>Khoảng tiền tích trữ tăng lên sau 10 năm</t>
  </si>
  <si>
    <t>Hiệu chỉnh tăng SG&amp;A nếu net margin cao quá</t>
  </si>
  <si>
    <t>COGS mang trọng số cao ảnh hưởng đến 
các chỉ số lợi nhuận còn lại của DCM</t>
  </si>
  <si>
    <t>Khoản tiền đầu tư ngắn hạn tăng lên qua các năm</t>
  </si>
  <si>
    <t>Điều chỉnh lạm phát</t>
  </si>
  <si>
    <t>Chi phí tương đương</t>
  </si>
  <si>
    <t>Chi phí đầu tư nhà máy Ure ban đầu (900 triệu USD ~ 16,000 VND/USD ~2008)</t>
  </si>
  <si>
    <t>Trung bình FX 2025~2034</t>
  </si>
  <si>
    <t>welfare Fund &amp; others as revenue</t>
  </si>
  <si>
    <t>Nếu tính theo earning after taxes sẽ bị loop lúc tính tỷ giá</t>
  </si>
  <si>
    <t>Price (VND/kg)</t>
  </si>
  <si>
    <t>Gross margin cao do DCM đầu tư sx các sản phẩm khí công nghiệp giai đoạn này</t>
  </si>
  <si>
    <t>DCM là cổ phiếu hàng hoá có tính chu kỳ nên để beta &gt; 1</t>
  </si>
  <si>
    <t>DPM</t>
  </si>
  <si>
    <t>DDV</t>
  </si>
  <si>
    <t>DHB</t>
  </si>
  <si>
    <t>LAS</t>
  </si>
  <si>
    <t>VAF</t>
  </si>
  <si>
    <t>NFC</t>
  </si>
  <si>
    <t>Adblue</t>
  </si>
  <si>
    <t>Volume</t>
  </si>
  <si>
    <t>Price (1000~1200 USD/ton)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</si>
</sst>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43" formatCode="_(* #,##0.00_);_(* \(#,##0.00\);_(* &quot;-&quot;??_);_(@_)"/>
    <numFmt numFmtId="164" formatCode="_(* #,##0_);_(* \(#,##0\);_(* &quot;-&quot;??_);_(@_)"/>
    <numFmt numFmtId="165" formatCode="[$-409]mmm\-yy;@"/>
    <numFmt numFmtId="166" formatCode="#,##0.000"/>
    <numFmt numFmtId="167" formatCode="0.0"/>
    <numFmt numFmtId="168" formatCode="0.0%"/>
    <numFmt numFmtId="169" formatCode="#,##0.0"/>
    <numFmt numFmtId="170" formatCode="_(* #,##0.0_);_(* \(#,##0.0\);_(* &quot;-&quot;??_);_(@_)"/>
    <numFmt numFmtId="171" formatCode="0.0000"/>
    <numFmt numFmtId="172" formatCode="_-* #,##0.00_-;\-* #,##0.00_-;_-* &quot;-&quot;??_-;_-@_-"/>
    <numFmt numFmtId="173" formatCode="_-* #,##0_-;\-* #,##0_-;_-* &quot;-&quot;??_-;_-@_-"/>
    <numFmt numFmtId="174" formatCode="_(* #,##0.000_);_(* \(#,##0.000\);_(* &quot;-&quot;??_);_(@_)"/>
    <numFmt numFmtId="175" formatCode="0.00_);\(0.00\)"/>
    <numFmt numFmtId="176" formatCode="#,##0.0_ ;[Red]\-#,##0.0\ "/>
    <numFmt numFmtId="177" formatCode="#,##0.00_ ;[Red]\-#,##0.00\ "/>
    <numFmt numFmtId="178" formatCode="0.000"/>
    <numFmt numFmtId="179" formatCode="dd/mm/yy"/>
    <numFmt numFmtId="180" formatCode="[$-409]d\-mmm\-yy;@"/>
    <numFmt numFmtId="181" formatCode="###0\ ;[Red]\(###0\);&quot;- &quot;;&quot;- &quot;"/>
    <numFmt numFmtId="182" formatCode="0_);\(0\)"/>
    <numFmt numFmtId="183" formatCode="#,##0_ ;[Red]\-#,##0\ "/>
    <numFmt numFmtId="184" formatCode="_-* #,##0.0_-;\-* #,##0.0_-;_-* &quot;-&quot;??_-;_-@_-"/>
    <numFmt numFmtId="185" formatCode="_(* #,##0.00_);_(* \(#,##0.00\);_(* \-??_);_(@_)"/>
    <numFmt numFmtId="186" formatCode="_(* #,##0_);_(* \(#,##0\);_(* \-??_);_(@_)"/>
    <numFmt numFmtId="187" formatCode="#,##0.0_);[Red]\(#,##0.0\)"/>
    <numFmt numFmtId="188" formatCode="#,##0.0;[Red]\-#,##0.0"/>
    <numFmt numFmtId="189" formatCode="#,##0.0000\ _₫;[Red]\-#,##0.0000\ _₫"/>
    <numFmt numFmtId="190" formatCode="#,##0.0000_);[Red]\(#,##0.0000\)"/>
    <numFmt numFmtId="191" formatCode="#,##0.000_);[Red]\(#,##0.000\)"/>
  </numFmts>
  <fonts count="154">
    <font>
      <sz val="11"/>
      <color theme="1"/>
      <name val="Calibri"/>
      <family val="2"/>
      <scheme val="minor"/>
    </font>
    <font>
      <sz val="11"/>
      <color theme="1"/>
      <name val="Calibri"/>
      <family val="2"/>
      <scheme val="minor"/>
    </font>
    <font>
      <sz val="8"/>
      <color rgb="FF000000"/>
      <name val="Trebuchet MS"/>
      <family val="2"/>
    </font>
    <font>
      <b/>
      <sz val="11"/>
      <color rgb="FFFFFFFF"/>
      <name val="Calibri"/>
      <family val="2"/>
    </font>
    <font>
      <u/>
      <sz val="11"/>
      <color rgb="FF0000FF"/>
      <name val="Calibri"/>
      <family val="2"/>
    </font>
    <font>
      <sz val="11"/>
      <color rgb="FF000000"/>
      <name val="Times New Roman"/>
      <family val="1"/>
    </font>
    <font>
      <sz val="11"/>
      <color rgb="FF404040"/>
      <name val="Times New Roman"/>
      <family val="1"/>
    </font>
    <font>
      <b/>
      <sz val="9"/>
      <color indexed="81"/>
      <name val="Tahoma"/>
      <family val="2"/>
    </font>
    <font>
      <sz val="9"/>
      <color indexed="81"/>
      <name val="Tahoma"/>
      <family val="2"/>
    </font>
    <font>
      <sz val="10"/>
      <color rgb="FF282828"/>
      <name val="Times New Roman"/>
      <family val="1"/>
    </font>
    <font>
      <sz val="10"/>
      <color rgb="FF000000"/>
      <name val="Times New Roman"/>
      <family val="1"/>
    </font>
    <font>
      <sz val="10"/>
      <color rgb="FF404040"/>
      <name val="Times New Roman"/>
      <family val="1"/>
    </font>
    <font>
      <sz val="10"/>
      <color rgb="FFFFFFFF"/>
      <name val="Times New Roman"/>
      <family val="1"/>
    </font>
    <font>
      <b/>
      <sz val="10"/>
      <color rgb="FF404040"/>
      <name val="Times New Roman"/>
      <family val="1"/>
    </font>
    <font>
      <sz val="10"/>
      <color rgb="FF6E96B4"/>
      <name val="Times New Roman"/>
      <family val="1"/>
    </font>
    <font>
      <i/>
      <sz val="10"/>
      <color rgb="FF404040"/>
      <name val="Times New Roman"/>
      <family val="1"/>
    </font>
    <font>
      <i/>
      <sz val="10"/>
      <color rgb="FF808080"/>
      <name val="Times New Roman"/>
      <family val="1"/>
    </font>
    <font>
      <b/>
      <sz val="10"/>
      <color rgb="FF282828"/>
      <name val="Times New Roman"/>
      <family val="1"/>
    </font>
    <font>
      <b/>
      <sz val="10"/>
      <color rgb="FFFFFFFF"/>
      <name val="Times New Roman"/>
      <family val="1"/>
    </font>
    <font>
      <sz val="10"/>
      <color rgb="FF507896"/>
      <name val="Times New Roman"/>
      <family val="1"/>
    </font>
    <font>
      <sz val="10"/>
      <color rgb="FF6EAA46"/>
      <name val="Times New Roman"/>
      <family val="1"/>
    </font>
    <font>
      <sz val="10"/>
      <name val="Times New Roman"/>
      <family val="1"/>
    </font>
    <font>
      <i/>
      <sz val="10"/>
      <name val="Times New Roman"/>
      <family val="1"/>
    </font>
    <font>
      <i/>
      <sz val="10"/>
      <color rgb="FFFF0000"/>
      <name val="Times New Roman"/>
      <family val="1"/>
    </font>
    <font>
      <b/>
      <sz val="10"/>
      <color rgb="FF000000"/>
      <name val="Times New Roman"/>
      <family val="1"/>
    </font>
    <font>
      <i/>
      <sz val="10"/>
      <color rgb="FF6E96B4"/>
      <name val="Times New Roman"/>
      <family val="1"/>
    </font>
    <font>
      <b/>
      <sz val="10"/>
      <color rgb="FF14325A"/>
      <name val="Times New Roman"/>
      <family val="1"/>
    </font>
    <font>
      <sz val="10"/>
      <color rgb="FFFF0000"/>
      <name val="Times New Roman"/>
      <family val="1"/>
    </font>
    <font>
      <b/>
      <sz val="10"/>
      <color rgb="FF6EAA46"/>
      <name val="Times New Roman"/>
      <family val="1"/>
    </font>
    <font>
      <i/>
      <sz val="10"/>
      <color rgb="FFFFFFFF"/>
      <name val="Times New Roman"/>
      <family val="1"/>
    </font>
    <font>
      <i/>
      <sz val="10"/>
      <color rgb="FF0D0D0D"/>
      <name val="Times New Roman"/>
      <family val="1"/>
    </font>
    <font>
      <b/>
      <sz val="10"/>
      <name val="Times New Roman"/>
      <family val="1"/>
    </font>
    <font>
      <b/>
      <sz val="10"/>
      <color rgb="FF507896"/>
      <name val="Times New Roman"/>
      <family val="1"/>
    </font>
    <font>
      <b/>
      <sz val="10"/>
      <color indexed="81"/>
      <name val="Tahoma"/>
      <family val="2"/>
    </font>
    <font>
      <sz val="10"/>
      <color indexed="81"/>
      <name val="Tahoma"/>
      <family val="2"/>
    </font>
    <font>
      <u/>
      <sz val="11"/>
      <color theme="10"/>
      <name val="Calibri"/>
      <family val="2"/>
      <scheme val="minor"/>
    </font>
    <font>
      <b/>
      <sz val="11"/>
      <color rgb="FFFF0000"/>
      <name val="Calibri"/>
      <family val="2"/>
    </font>
    <font>
      <sz val="11"/>
      <color rgb="FFFFFFFF"/>
      <name val="Calibri"/>
      <family val="2"/>
    </font>
    <font>
      <sz val="12"/>
      <color rgb="FF000000"/>
      <name val="Calibri"/>
      <family val="2"/>
    </font>
    <font>
      <sz val="10"/>
      <color rgb="FF366092"/>
      <name val="Times New Roman"/>
      <family val="1"/>
    </font>
    <font>
      <sz val="8"/>
      <color rgb="FF366092"/>
      <name val="Times New Roman"/>
      <family val="1"/>
    </font>
    <font>
      <i/>
      <sz val="10"/>
      <color rgb="FF366092"/>
      <name val="Times New Roman"/>
      <family val="1"/>
    </font>
    <font>
      <i/>
      <sz val="10"/>
      <color rgb="FF282828"/>
      <name val="Times New Roman"/>
      <family val="1"/>
    </font>
    <font>
      <i/>
      <sz val="10"/>
      <color rgb="FF000000"/>
      <name val="Times New Roman"/>
      <family val="1"/>
    </font>
    <font>
      <i/>
      <sz val="10"/>
      <color rgb="FF017DBB"/>
      <name val="Times New Roman"/>
      <family val="1"/>
    </font>
    <font>
      <sz val="10"/>
      <color rgb="FF017DBB"/>
      <name val="Times New Roman"/>
      <family val="1"/>
    </font>
    <font>
      <b/>
      <sz val="11"/>
      <color rgb="FF404040"/>
      <name val="Times New Roman"/>
      <family val="1"/>
    </font>
    <font>
      <b/>
      <sz val="11"/>
      <color rgb="FF000000"/>
      <name val="Times New Roman"/>
      <family val="1"/>
    </font>
    <font>
      <b/>
      <sz val="11"/>
      <name val="Times New Roman"/>
      <family val="1"/>
    </font>
    <font>
      <b/>
      <sz val="11"/>
      <color rgb="FFFFFFFF"/>
      <name val="Times New Roman"/>
      <family val="1"/>
    </font>
    <font>
      <sz val="11"/>
      <color rgb="FF282828"/>
      <name val="Times New Roman"/>
      <family val="1"/>
    </font>
    <font>
      <b/>
      <sz val="11"/>
      <color rgb="FF282828"/>
      <name val="Times New Roman"/>
      <family val="1"/>
    </font>
    <font>
      <sz val="11"/>
      <color rgb="FFFFFFFF"/>
      <name val="Times New Roman"/>
      <family val="1"/>
    </font>
    <font>
      <b/>
      <sz val="11"/>
      <color rgb="FFFF0000"/>
      <name val="Times New Roman"/>
      <family val="1"/>
    </font>
    <font>
      <i/>
      <sz val="11"/>
      <color rgb="FF282828"/>
      <name val="Times New Roman"/>
      <family val="1"/>
    </font>
    <font>
      <sz val="11"/>
      <name val="Times New Roman"/>
      <family val="1"/>
    </font>
    <font>
      <b/>
      <sz val="10"/>
      <color rgb="FFB8CCE4"/>
      <name val="Times New Roman"/>
      <family val="1"/>
    </font>
    <font>
      <i/>
      <sz val="10"/>
      <color rgb="FF6EAA46"/>
      <name val="Times New Roman"/>
      <family val="1"/>
    </font>
    <font>
      <sz val="11"/>
      <color rgb="FF404040"/>
      <name val="Calibri"/>
      <family val="2"/>
    </font>
    <font>
      <sz val="11"/>
      <color rgb="FFFF0000"/>
      <name val="Times New Roman"/>
      <family val="1"/>
    </font>
    <font>
      <b/>
      <sz val="10"/>
      <color rgb="FF808080"/>
      <name val="Times New Roman"/>
      <family val="1"/>
    </font>
    <font>
      <b/>
      <sz val="10"/>
      <color rgb="FF6E96B4"/>
      <name val="Times New Roman"/>
      <family val="1"/>
    </font>
    <font>
      <b/>
      <sz val="7"/>
      <color rgb="FF333333"/>
      <name val="Arial"/>
      <family val="2"/>
    </font>
    <font>
      <sz val="11"/>
      <color rgb="FF6E96B4"/>
      <name val="Times New Roman"/>
      <family val="1"/>
    </font>
    <font>
      <i/>
      <sz val="11"/>
      <color rgb="FF6E96B4"/>
      <name val="Times New Roman"/>
      <family val="1"/>
    </font>
    <font>
      <b/>
      <u/>
      <sz val="11"/>
      <name val="Times New Roman"/>
      <family val="1"/>
    </font>
    <font>
      <i/>
      <sz val="11"/>
      <color rgb="FF404040"/>
      <name val="Times New Roman"/>
      <family val="1"/>
    </font>
    <font>
      <b/>
      <sz val="10"/>
      <color theme="9"/>
      <name val="Times New Roman"/>
      <family val="1"/>
    </font>
    <font>
      <sz val="11"/>
      <color theme="0"/>
      <name val="Calibri"/>
      <family val="2"/>
      <scheme val="minor"/>
    </font>
    <font>
      <b/>
      <sz val="22"/>
      <color rgb="FF14325A"/>
      <name val="Calibri"/>
      <family val="2"/>
    </font>
    <font>
      <sz val="11"/>
      <color theme="1"/>
      <name val="Calibri"/>
      <family val="2"/>
    </font>
    <font>
      <b/>
      <sz val="11"/>
      <color rgb="FF000000"/>
      <name val="Calibri"/>
      <family val="2"/>
      <charset val="163"/>
    </font>
    <font>
      <b/>
      <sz val="11"/>
      <color rgb="FF404040"/>
      <name val="Calibri"/>
      <family val="2"/>
    </font>
    <font>
      <b/>
      <sz val="11"/>
      <color rgb="FF000000"/>
      <name val="Calibri"/>
      <family val="2"/>
    </font>
    <font>
      <b/>
      <i/>
      <sz val="11"/>
      <color rgb="FF000000"/>
      <name val="Calibri"/>
      <family val="2"/>
    </font>
    <font>
      <b/>
      <sz val="11"/>
      <color rgb="FF6EAA46"/>
      <name val="Calibri"/>
      <family val="2"/>
    </font>
    <font>
      <sz val="11"/>
      <color rgb="FF6EAA46"/>
      <name val="Calibri"/>
      <family val="2"/>
    </font>
    <font>
      <i/>
      <sz val="11"/>
      <color rgb="FF000000"/>
      <name val="Calibri"/>
      <family val="2"/>
    </font>
    <font>
      <i/>
      <sz val="10"/>
      <color theme="4" tint="-0.249977111117893"/>
      <name val="Times New Roman"/>
      <family val="1"/>
    </font>
    <font>
      <u/>
      <sz val="8"/>
      <color rgb="FF0000FF"/>
      <name val="Arial"/>
      <family val="2"/>
    </font>
    <font>
      <sz val="10"/>
      <name val="Arial"/>
      <family val="2"/>
    </font>
    <font>
      <b/>
      <sz val="10"/>
      <color rgb="FFFF0000"/>
      <name val="Times New Roman"/>
      <family val="1"/>
    </font>
    <font>
      <sz val="10"/>
      <color rgb="FF92D050"/>
      <name val="Times New Roman"/>
      <family val="1"/>
    </font>
    <font>
      <b/>
      <sz val="10"/>
      <color rgb="FF0F7A28"/>
      <name val="Times New Roman"/>
      <family val="1"/>
    </font>
    <font>
      <sz val="10"/>
      <color rgb="FF0000FF"/>
      <name val="Times New Roman"/>
      <family val="1"/>
    </font>
    <font>
      <i/>
      <sz val="10"/>
      <name val="Arial"/>
      <family val="2"/>
    </font>
    <font>
      <b/>
      <sz val="10"/>
      <color rgb="FF8CB4D2"/>
      <name val="Times New Roman"/>
      <family val="1"/>
    </font>
    <font>
      <sz val="9"/>
      <color rgb="FFFFFFFF"/>
      <name val="Times New Roman"/>
      <family val="1"/>
    </font>
    <font>
      <sz val="10"/>
      <color theme="1"/>
      <name val="Arial"/>
      <family val="2"/>
      <charset val="163"/>
    </font>
    <font>
      <sz val="10"/>
      <color theme="1"/>
      <name val="Times New Roman"/>
      <family val="1"/>
    </font>
    <font>
      <b/>
      <sz val="10"/>
      <color theme="1"/>
      <name val="Times New Roman"/>
      <family val="1"/>
    </font>
    <font>
      <sz val="11"/>
      <color theme="1"/>
      <name val="Times New Roman"/>
      <family val="1"/>
    </font>
    <font>
      <sz val="10"/>
      <color rgb="FF404040"/>
      <name val="Arial"/>
      <family val="2"/>
      <charset val="163"/>
    </font>
    <font>
      <sz val="10"/>
      <color rgb="FF404040"/>
      <name val="Arial"/>
      <family val="2"/>
    </font>
    <font>
      <b/>
      <sz val="10"/>
      <color rgb="FFFFFFFF"/>
      <name val="Arial"/>
      <family val="2"/>
      <charset val="163"/>
    </font>
    <font>
      <b/>
      <sz val="10"/>
      <color rgb="FF404040"/>
      <name val="Arial"/>
      <family val="2"/>
      <charset val="163"/>
    </font>
    <font>
      <b/>
      <sz val="10"/>
      <color rgb="FF404040"/>
      <name val="Arial"/>
      <family val="2"/>
    </font>
    <font>
      <sz val="10"/>
      <color rgb="FFFFFFFF"/>
      <name val="Arial"/>
      <family val="2"/>
      <charset val="163"/>
    </font>
    <font>
      <b/>
      <sz val="10"/>
      <color rgb="FF4EC535"/>
      <name val="Times New Roman"/>
      <family val="1"/>
    </font>
    <font>
      <b/>
      <sz val="12"/>
      <color rgb="FF1F497D"/>
      <name val="Calibri"/>
      <family val="2"/>
    </font>
    <font>
      <sz val="12"/>
      <color rgb="FF1F497D"/>
      <name val="Calibri"/>
      <family val="2"/>
    </font>
    <font>
      <u/>
      <sz val="11"/>
      <color rgb="FF0563C1"/>
      <name val="Calibri"/>
      <family val="2"/>
    </font>
    <font>
      <u/>
      <sz val="12"/>
      <color rgb="FF0000FF"/>
      <name val="Calibri"/>
      <family val="2"/>
    </font>
    <font>
      <b/>
      <sz val="10"/>
      <color rgb="FFFFFFFF"/>
      <name val="Myriad Pro"/>
      <family val="2"/>
    </font>
    <font>
      <sz val="10"/>
      <color rgb="FF000000"/>
      <name val="Myriad Pro"/>
      <family val="2"/>
    </font>
    <font>
      <b/>
      <sz val="10"/>
      <color rgb="FF000000"/>
      <name val="Myriad Pro"/>
      <family val="2"/>
    </font>
    <font>
      <sz val="10"/>
      <name val="Myriad Pro"/>
      <family val="2"/>
    </font>
    <font>
      <i/>
      <sz val="10"/>
      <color rgb="FF000000"/>
      <name val="Myriad Pro"/>
      <family val="2"/>
    </font>
    <font>
      <sz val="10"/>
      <color rgb="FFD9D9D9"/>
      <name val="Myriad Pro"/>
      <family val="2"/>
    </font>
    <font>
      <sz val="10"/>
      <color rgb="FFA6A6A6"/>
      <name val="Myriad Pro"/>
      <family val="2"/>
    </font>
    <font>
      <i/>
      <sz val="10"/>
      <color rgb="FFA6A6A6"/>
      <name val="Myriad Pro"/>
      <family val="2"/>
    </font>
    <font>
      <i/>
      <sz val="10"/>
      <color rgb="FFD9D9D9"/>
      <name val="Myriad Pro"/>
      <family val="2"/>
    </font>
    <font>
      <sz val="10"/>
      <color rgb="FFFFFFFF"/>
      <name val="Myriad Pro"/>
      <family val="2"/>
    </font>
    <font>
      <b/>
      <sz val="10"/>
      <color rgb="FFC00000"/>
      <name val="Myriad Pro"/>
      <family val="2"/>
    </font>
    <font>
      <b/>
      <sz val="10"/>
      <color rgb="FFD9D9D9"/>
      <name val="Myriad Pro"/>
      <family val="2"/>
    </font>
    <font>
      <sz val="10"/>
      <color rgb="FFBFBFBF"/>
      <name val="Myriad Pro"/>
      <family val="2"/>
    </font>
    <font>
      <i/>
      <sz val="10"/>
      <name val="Myriad Pro"/>
      <family val="2"/>
    </font>
    <font>
      <sz val="10"/>
      <color rgb="FFFF0000"/>
      <name val="Myriad Pro"/>
      <family val="2"/>
    </font>
    <font>
      <sz val="12"/>
      <name val="VNI-Aptima"/>
    </font>
    <font>
      <sz val="10"/>
      <color rgb="FF808080"/>
      <name val="Myriad Pro"/>
      <family val="2"/>
    </font>
    <font>
      <sz val="10"/>
      <color rgb="FF0000FF"/>
      <name val="Myriad Pro"/>
      <family val="2"/>
    </font>
    <font>
      <b/>
      <sz val="10"/>
      <color rgb="FFFF0000"/>
      <name val="Myriad Pro"/>
      <family val="2"/>
    </font>
    <font>
      <b/>
      <sz val="10"/>
      <name val="Myriad Pro"/>
      <family val="2"/>
    </font>
    <font>
      <b/>
      <i/>
      <sz val="10"/>
      <name val="Myriad Pro"/>
      <family val="2"/>
    </font>
    <font>
      <b/>
      <sz val="10"/>
      <color rgb="FF0000FF"/>
      <name val="Myriad Pro"/>
      <family val="2"/>
    </font>
    <font>
      <i/>
      <sz val="10"/>
      <color rgb="FF808080"/>
      <name val="Myriad Pro"/>
      <family val="2"/>
    </font>
    <font>
      <i/>
      <sz val="10"/>
      <color rgb="FF0000FF"/>
      <name val="Myriad Pro"/>
      <family val="2"/>
    </font>
    <font>
      <sz val="8.5"/>
      <name val="Myriad Pro"/>
      <family val="2"/>
    </font>
    <font>
      <i/>
      <sz val="8.5"/>
      <color rgb="FF808080"/>
      <name val="Myriad Pro"/>
      <family val="2"/>
    </font>
    <font>
      <i/>
      <sz val="10"/>
      <color rgb="FF00B050"/>
      <name val="Myriad Pro"/>
      <family val="2"/>
    </font>
    <font>
      <i/>
      <sz val="10"/>
      <color rgb="FFFF0000"/>
      <name val="Myriad Pro"/>
      <family val="2"/>
    </font>
    <font>
      <sz val="10"/>
      <color rgb="FF00B050"/>
      <name val="Myriad Pro"/>
      <family val="2"/>
    </font>
    <font>
      <sz val="8.5"/>
      <color rgb="FF808080"/>
      <name val="Myriad Pro"/>
      <family val="2"/>
    </font>
    <font>
      <b/>
      <sz val="10"/>
      <color rgb="FF808080"/>
      <name val="Myriad Pro"/>
      <family val="2"/>
    </font>
    <font>
      <b/>
      <i/>
      <sz val="10"/>
      <color rgb="FF000000"/>
      <name val="Myriad Pro"/>
      <family val="2"/>
    </font>
    <font>
      <sz val="8"/>
      <color rgb="FF000000"/>
      <name val="Myriad Pro"/>
      <family val="2"/>
    </font>
    <font>
      <b/>
      <i/>
      <sz val="10"/>
      <color rgb="FFD9D9D9"/>
      <name val="Myriad Pro"/>
      <family val="2"/>
    </font>
    <font>
      <i/>
      <sz val="8"/>
      <color rgb="FF000000"/>
      <name val="Myriad Pro"/>
      <family val="2"/>
    </font>
    <font>
      <sz val="10"/>
      <color rgb="FF545D7E"/>
      <name val="Roboto"/>
    </font>
    <font>
      <sz val="10"/>
      <color theme="1"/>
      <name val="Myriad Pro"/>
      <family val="2"/>
    </font>
    <font>
      <sz val="10"/>
      <color theme="0"/>
      <name val="Myriad Pro"/>
      <family val="2"/>
    </font>
    <font>
      <b/>
      <i/>
      <sz val="10"/>
      <color theme="0"/>
      <name val="Myriad Pro"/>
    </font>
    <font>
      <b/>
      <sz val="10"/>
      <color theme="0"/>
      <name val="Myriad Pro"/>
    </font>
    <font>
      <b/>
      <sz val="10"/>
      <name val="Myriad Pro"/>
    </font>
    <font>
      <b/>
      <i/>
      <sz val="8.5"/>
      <color theme="0"/>
      <name val="Myriad Pro"/>
    </font>
    <font>
      <b/>
      <sz val="10"/>
      <color theme="0"/>
      <name val="Times New Roman"/>
      <family val="1"/>
    </font>
    <font>
      <b/>
      <sz val="10"/>
      <color rgb="FFFF0000"/>
      <name val="Myriad Pro"/>
    </font>
    <font>
      <sz val="9"/>
      <color indexed="81"/>
      <name val="Tahoma"/>
      <charset val="1"/>
    </font>
    <font>
      <b/>
      <sz val="9"/>
      <color indexed="81"/>
      <name val="Tahoma"/>
      <charset val="1"/>
    </font>
    <font>
      <u/>
      <sz val="11"/>
      <color rgb="FFFF0000"/>
      <name val="Calibri"/>
      <family val="2"/>
      <scheme val="minor"/>
    </font>
    <font>
      <sz val="8.5"/>
      <color rgb="FFFF0000"/>
      <name val="Myriad Pro"/>
      <family val="2"/>
    </font>
    <font>
      <b/>
      <i/>
      <sz val="10"/>
      <color rgb="FFFF0000"/>
      <name val="Myriad Pro"/>
    </font>
    <font>
      <b/>
      <i/>
      <sz val="10"/>
      <color rgb="FFFF0000"/>
      <name val="Times New Roman"/>
      <family val="1"/>
    </font>
    <font>
      <b/>
      <i/>
      <sz val="11"/>
      <color rgb="FFFF0000"/>
      <name val="Times New Roman"/>
      <family val="1"/>
    </font>
  </fonts>
  <fills count="50">
    <fill>
      <patternFill patternType="none"/>
    </fill>
    <fill>
      <patternFill patternType="gray125"/>
    </fill>
    <fill>
      <patternFill patternType="solid">
        <fgColor rgb="FFFFFFFF"/>
        <bgColor rgb="FF000000"/>
      </patternFill>
    </fill>
    <fill>
      <patternFill patternType="solid">
        <fgColor rgb="FF0070C0"/>
        <bgColor rgb="FF0070C0"/>
      </patternFill>
    </fill>
    <fill>
      <patternFill patternType="solid">
        <fgColor rgb="FFFF00FF"/>
        <bgColor rgb="FF000000"/>
      </patternFill>
    </fill>
    <fill>
      <patternFill patternType="solid">
        <fgColor rgb="FFC00000"/>
        <bgColor rgb="FF000000"/>
      </patternFill>
    </fill>
    <fill>
      <patternFill patternType="solid">
        <fgColor rgb="FFD9D9D9"/>
        <bgColor rgb="FF000000"/>
      </patternFill>
    </fill>
    <fill>
      <patternFill patternType="solid">
        <fgColor rgb="FF6E96B4"/>
        <bgColor rgb="FF000000"/>
      </patternFill>
    </fill>
    <fill>
      <patternFill patternType="solid">
        <fgColor rgb="FFFABF8F"/>
        <bgColor rgb="FF000000"/>
      </patternFill>
    </fill>
    <fill>
      <patternFill patternType="solid">
        <fgColor rgb="FFFFFF00"/>
        <bgColor rgb="FF000000"/>
      </patternFill>
    </fill>
    <fill>
      <patternFill patternType="solid">
        <fgColor rgb="FF14325A"/>
        <bgColor rgb="FF000000"/>
      </patternFill>
    </fill>
    <fill>
      <patternFill patternType="solid">
        <fgColor rgb="FFFCD5B4"/>
        <bgColor rgb="FF000000"/>
      </patternFill>
    </fill>
    <fill>
      <patternFill patternType="solid">
        <fgColor rgb="FF7030A0"/>
        <bgColor rgb="FF000000"/>
      </patternFill>
    </fill>
    <fill>
      <patternFill patternType="solid">
        <fgColor rgb="FF974706"/>
        <bgColor rgb="FF000000"/>
      </patternFill>
    </fill>
    <fill>
      <patternFill patternType="solid">
        <fgColor rgb="FF403151"/>
        <bgColor rgb="FF000000"/>
      </patternFill>
    </fill>
    <fill>
      <patternFill patternType="solid">
        <fgColor rgb="FF005030"/>
        <bgColor rgb="FF000000"/>
      </patternFill>
    </fill>
    <fill>
      <patternFill patternType="solid">
        <fgColor rgb="FF9BBB59"/>
        <bgColor rgb="FF000000"/>
      </patternFill>
    </fill>
    <fill>
      <patternFill patternType="solid">
        <fgColor rgb="FFF79646"/>
        <bgColor rgb="FF000000"/>
      </patternFill>
    </fill>
    <fill>
      <patternFill patternType="solid">
        <fgColor rgb="FF00B050"/>
        <bgColor rgb="FF000000"/>
      </patternFill>
    </fill>
    <fill>
      <patternFill patternType="solid">
        <fgColor rgb="FFF2F2F2"/>
        <bgColor rgb="FF000000"/>
      </patternFill>
    </fill>
    <fill>
      <patternFill patternType="solid">
        <fgColor rgb="FF8CB4D2"/>
        <bgColor rgb="FF000000"/>
      </patternFill>
    </fill>
    <fill>
      <patternFill patternType="solid">
        <fgColor theme="0" tint="-0.14999847407452621"/>
        <bgColor rgb="FF000000"/>
      </patternFill>
    </fill>
    <fill>
      <patternFill patternType="solid">
        <fgColor theme="0"/>
        <bgColor rgb="FF000000"/>
      </patternFill>
    </fill>
    <fill>
      <patternFill patternType="solid">
        <fgColor theme="0" tint="-4.9989318521683403E-2"/>
        <bgColor rgb="FF000000"/>
      </patternFill>
    </fill>
    <fill>
      <patternFill patternType="solid">
        <fgColor rgb="FF6EAA46"/>
        <bgColor rgb="FF000000"/>
      </patternFill>
    </fill>
    <fill>
      <patternFill patternType="solid">
        <fgColor rgb="FFBFBFBF"/>
        <bgColor rgb="FF000000"/>
      </patternFill>
    </fill>
    <fill>
      <patternFill patternType="solid">
        <fgColor rgb="FF0F7A28"/>
        <bgColor rgb="FF000000"/>
      </patternFill>
    </fill>
    <fill>
      <patternFill patternType="solid">
        <fgColor rgb="FF92D050"/>
        <bgColor rgb="FF000000"/>
      </patternFill>
    </fill>
    <fill>
      <patternFill patternType="solid">
        <fgColor theme="9"/>
      </patternFill>
    </fill>
    <fill>
      <patternFill patternType="solid">
        <fgColor theme="0"/>
        <bgColor indexed="64"/>
      </patternFill>
    </fill>
    <fill>
      <patternFill patternType="solid">
        <fgColor rgb="FF325078"/>
        <bgColor rgb="FF000000"/>
      </patternFill>
    </fill>
    <fill>
      <patternFill patternType="solid">
        <fgColor rgb="FF282828"/>
        <bgColor rgb="FF000000"/>
      </patternFill>
    </fill>
    <fill>
      <patternFill patternType="solid">
        <fgColor rgb="FF0E015F"/>
        <bgColor rgb="FF000000"/>
      </patternFill>
    </fill>
    <fill>
      <patternFill patternType="solid">
        <fgColor rgb="FFFFFF99"/>
        <bgColor rgb="FF000000"/>
      </patternFill>
    </fill>
    <fill>
      <patternFill patternType="solid">
        <fgColor rgb="FFFFFF00"/>
        <bgColor indexed="64"/>
      </patternFill>
    </fill>
    <fill>
      <patternFill patternType="solid">
        <fgColor rgb="FFD9D9D9"/>
        <bgColor indexed="64"/>
      </patternFill>
    </fill>
    <fill>
      <patternFill patternType="solid">
        <fgColor rgb="FF096C2C"/>
        <bgColor rgb="FF000000"/>
      </patternFill>
    </fill>
    <fill>
      <patternFill patternType="solid">
        <fgColor rgb="FF0070C0"/>
        <bgColor rgb="FFFFFFFF"/>
      </patternFill>
    </fill>
    <fill>
      <patternFill patternType="solid">
        <fgColor rgb="FFB8CCE4"/>
        <bgColor rgb="FF000000"/>
      </patternFill>
    </fill>
    <fill>
      <patternFill patternType="solid">
        <fgColor rgb="FFD8E4BC"/>
        <bgColor rgb="FF000000"/>
      </patternFill>
    </fill>
    <fill>
      <patternFill patternType="solid">
        <fgColor rgb="FFFF99CC"/>
        <bgColor rgb="FF000000"/>
      </patternFill>
    </fill>
    <fill>
      <patternFill patternType="solid">
        <fgColor rgb="FFFF7C80"/>
        <bgColor rgb="FF000000"/>
      </patternFill>
    </fill>
    <fill>
      <patternFill patternType="solid">
        <fgColor rgb="FFE4DFEC"/>
        <bgColor rgb="FF000000"/>
      </patternFill>
    </fill>
    <fill>
      <patternFill patternType="solid">
        <fgColor rgb="FFDDD9C4"/>
        <bgColor rgb="FF000000"/>
      </patternFill>
    </fill>
    <fill>
      <patternFill patternType="solid">
        <fgColor rgb="FF0F243E"/>
        <bgColor rgb="FF000000"/>
      </patternFill>
    </fill>
    <fill>
      <patternFill patternType="solid">
        <fgColor theme="9"/>
        <bgColor rgb="FF000000"/>
      </patternFill>
    </fill>
    <fill>
      <patternFill patternType="solid">
        <fgColor rgb="FF6EAA46"/>
        <bgColor indexed="64"/>
      </patternFill>
    </fill>
    <fill>
      <patternFill patternType="solid">
        <fgColor theme="2" tint="-0.89999084444715716"/>
        <bgColor indexed="64"/>
      </patternFill>
    </fill>
    <fill>
      <patternFill patternType="solid">
        <fgColor theme="2" tint="-0.89999084444715716"/>
        <bgColor rgb="FF000000"/>
      </patternFill>
    </fill>
    <fill>
      <patternFill patternType="solid">
        <fgColor rgb="FF92D050"/>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rgb="FFFFFFFF"/>
      </bottom>
      <diagonal/>
    </border>
    <border>
      <left/>
      <right/>
      <top/>
      <bottom style="double">
        <color auto="1"/>
      </bottom>
      <diagonal/>
    </border>
    <border>
      <left/>
      <right style="thin">
        <color indexed="64"/>
      </right>
      <top/>
      <bottom style="double">
        <color auto="1"/>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rgb="FFFFFFFF"/>
      </bottom>
      <diagonal/>
    </border>
    <border>
      <left/>
      <right style="thin">
        <color indexed="64"/>
      </right>
      <top style="double">
        <color auto="1"/>
      </top>
      <bottom/>
      <diagonal/>
    </border>
    <border>
      <left/>
      <right/>
      <top/>
      <bottom style="thin">
        <color indexed="64"/>
      </bottom>
      <diagonal/>
    </border>
    <border>
      <left/>
      <right/>
      <top/>
      <bottom style="medium">
        <color auto="1"/>
      </bottom>
      <diagonal/>
    </border>
    <border>
      <left/>
      <right style="thin">
        <color indexed="64"/>
      </right>
      <top/>
      <bottom style="medium">
        <color auto="1"/>
      </bottom>
      <diagonal/>
    </border>
    <border>
      <left/>
      <right/>
      <top style="medium">
        <color auto="1"/>
      </top>
      <bottom/>
      <diagonal/>
    </border>
    <border>
      <left style="thin">
        <color indexed="64"/>
      </left>
      <right/>
      <top/>
      <bottom/>
      <diagonal/>
    </border>
    <border>
      <left/>
      <right/>
      <top style="double">
        <color rgb="FFFF0000"/>
      </top>
      <bottom/>
      <diagonal/>
    </border>
    <border>
      <left/>
      <right/>
      <top style="thin">
        <color indexed="64"/>
      </top>
      <bottom style="double">
        <color indexed="64"/>
      </bottom>
      <diagonal/>
    </border>
    <border>
      <left/>
      <right/>
      <top style="medium">
        <color indexed="64"/>
      </top>
      <bottom style="double">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ck">
        <color auto="1"/>
      </bottom>
      <diagonal/>
    </border>
    <border>
      <left/>
      <right style="thin">
        <color indexed="64"/>
      </right>
      <top/>
      <bottom style="thick">
        <color auto="1"/>
      </bottom>
      <diagonal/>
    </border>
    <border>
      <left/>
      <right/>
      <top style="thick">
        <color indexed="64"/>
      </top>
      <bottom/>
      <diagonal/>
    </border>
    <border>
      <left/>
      <right style="thin">
        <color indexed="64"/>
      </right>
      <top style="thick">
        <color auto="1"/>
      </top>
      <bottom/>
      <diagonal/>
    </border>
    <border>
      <left/>
      <right/>
      <top style="double">
        <color auto="1"/>
      </top>
      <bottom/>
      <diagonal/>
    </border>
    <border>
      <left/>
      <right style="thin">
        <color indexed="64"/>
      </right>
      <top style="thin">
        <color indexed="64"/>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FFFFFF"/>
      </top>
      <bottom/>
      <diagonal/>
    </border>
    <border>
      <left/>
      <right style="thin">
        <color indexed="64"/>
      </right>
      <top style="thin">
        <color rgb="FFFFFFFF"/>
      </top>
      <bottom/>
      <diagonal/>
    </border>
    <border>
      <left style="thin">
        <color rgb="FFFFFFFF"/>
      </left>
      <right style="thin">
        <color rgb="FFFFFFFF"/>
      </right>
      <top style="thin">
        <color rgb="FFFFFFFF"/>
      </top>
      <bottom style="thin">
        <color rgb="FFFFFFFF"/>
      </bottom>
      <diagonal/>
    </border>
    <border>
      <left style="thin">
        <color rgb="FFFFFFFF"/>
      </left>
      <right style="thin">
        <color indexed="64"/>
      </right>
      <top style="thin">
        <color rgb="FFFFFFFF"/>
      </top>
      <bottom style="thin">
        <color rgb="FFFFFFFF"/>
      </bottom>
      <diagonal/>
    </border>
    <border>
      <left/>
      <right style="thin">
        <color rgb="FFFFFFFF"/>
      </right>
      <top/>
      <bottom/>
      <diagonal/>
    </border>
    <border>
      <left style="thin">
        <color rgb="FFFFFFFF"/>
      </left>
      <right style="thin">
        <color rgb="FFFFFFFF"/>
      </right>
      <top/>
      <bottom/>
      <diagonal/>
    </border>
    <border>
      <left style="thin">
        <color rgb="FFFFFFFF"/>
      </left>
      <right style="thin">
        <color rgb="FFFFFFFF"/>
      </right>
      <top style="thin">
        <color rgb="FFFFFFFF"/>
      </top>
      <bottom style="thin">
        <color indexed="64"/>
      </bottom>
      <diagonal/>
    </border>
    <border>
      <left style="thin">
        <color rgb="FFFFFFFF"/>
      </left>
      <right style="thin">
        <color indexed="64"/>
      </right>
      <top style="thin">
        <color rgb="FFFFFFFF"/>
      </top>
      <bottom style="thin">
        <color indexed="64"/>
      </bottom>
      <diagonal/>
    </border>
    <border>
      <left style="mediumDashDotDot">
        <color rgb="FFFF0000"/>
      </left>
      <right style="mediumDashDotDot">
        <color rgb="FFFF0000"/>
      </right>
      <top style="mediumDashDotDot">
        <color rgb="FFFF0000"/>
      </top>
      <bottom style="mediumDashDotDot">
        <color rgb="FFFF0000"/>
      </bottom>
      <diagonal/>
    </border>
    <border>
      <left/>
      <right/>
      <top/>
      <bottom style="thin">
        <color rgb="FF808080"/>
      </bottom>
      <diagonal/>
    </border>
    <border>
      <left/>
      <right style="thin">
        <color rgb="FF808080"/>
      </right>
      <top/>
      <bottom style="thin">
        <color rgb="FF808080"/>
      </bottom>
      <diagonal/>
    </border>
    <border>
      <left/>
      <right/>
      <top style="thin">
        <color indexed="64"/>
      </top>
      <bottom style="thin">
        <color rgb="FFFFFFFF"/>
      </bottom>
      <diagonal/>
    </border>
    <border>
      <left style="thin">
        <color rgb="FF808080"/>
      </left>
      <right style="thin">
        <color rgb="FF808080"/>
      </right>
      <top style="thin">
        <color rgb="FF808080"/>
      </top>
      <bottom style="double">
        <color indexed="64"/>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diagonal/>
    </border>
    <border>
      <left/>
      <right style="thin">
        <color rgb="FF808080"/>
      </right>
      <top style="thin">
        <color rgb="FF808080"/>
      </top>
      <bottom style="thin">
        <color rgb="FF808080"/>
      </bottom>
      <diagonal/>
    </border>
    <border>
      <left style="thin">
        <color rgb="FF808080"/>
      </left>
      <right/>
      <top/>
      <bottom/>
      <diagonal/>
    </border>
    <border>
      <left style="thin">
        <color rgb="FF808080"/>
      </left>
      <right style="thin">
        <color rgb="FF808080"/>
      </right>
      <top/>
      <bottom style="thin">
        <color rgb="FF808080"/>
      </bottom>
      <diagonal/>
    </border>
    <border>
      <left style="thin">
        <color rgb="FF808080"/>
      </left>
      <right style="thin">
        <color rgb="FF808080"/>
      </right>
      <top/>
      <bottom/>
      <diagonal/>
    </border>
    <border>
      <left style="thin">
        <color rgb="FF808080"/>
      </left>
      <right style="thin">
        <color rgb="FF808080"/>
      </right>
      <top style="thin">
        <color rgb="FF808080"/>
      </top>
      <bottom style="medium">
        <color auto="1"/>
      </bottom>
      <diagonal/>
    </border>
    <border>
      <left style="thin">
        <color rgb="FF808080"/>
      </left>
      <right style="thin">
        <color rgb="FF808080"/>
      </right>
      <top/>
      <bottom style="medium">
        <color auto="1"/>
      </bottom>
      <diagonal/>
    </border>
    <border>
      <left/>
      <right style="thin">
        <color rgb="FF808080"/>
      </right>
      <top style="thin">
        <color rgb="FF808080"/>
      </top>
      <bottom style="thin">
        <color indexed="64"/>
      </bottom>
      <diagonal/>
    </border>
    <border>
      <left style="thin">
        <color rgb="FF808080"/>
      </left>
      <right style="thin">
        <color rgb="FF808080"/>
      </right>
      <top style="thin">
        <color rgb="FF808080"/>
      </top>
      <bottom style="thin">
        <color indexed="64"/>
      </bottom>
      <diagonal/>
    </border>
    <border>
      <left/>
      <right style="thin">
        <color indexed="64"/>
      </right>
      <top style="medium">
        <color auto="1"/>
      </top>
      <bottom/>
      <diagonal/>
    </border>
    <border>
      <left/>
      <right/>
      <top style="double">
        <color indexed="64"/>
      </top>
      <bottom style="thin">
        <color indexed="64"/>
      </bottom>
      <diagonal/>
    </border>
    <border>
      <left/>
      <right/>
      <top style="medium">
        <color indexed="64"/>
      </top>
      <bottom style="thin">
        <color indexed="64"/>
      </bottom>
      <diagonal/>
    </border>
    <border>
      <left style="thin">
        <color indexed="64"/>
      </left>
      <right style="thin">
        <color indexed="64"/>
      </right>
      <top/>
      <bottom/>
      <diagonal/>
    </border>
    <border>
      <left style="hair">
        <color indexed="64"/>
      </left>
      <right style="hair">
        <color indexed="64"/>
      </right>
      <top style="hair">
        <color indexed="64"/>
      </top>
      <bottom style="hair">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rgb="FFFFFFFF"/>
      </left>
      <right style="thin">
        <color rgb="FFFFFFFF"/>
      </right>
      <top/>
      <bottom style="thin">
        <color rgb="FFFFFFFF"/>
      </bottom>
      <diagonal/>
    </border>
    <border>
      <left style="thin">
        <color rgb="FFFFFFFF"/>
      </left>
      <right style="thin">
        <color indexed="64"/>
      </right>
      <top/>
      <bottom style="thin">
        <color rgb="FFFFFFFF"/>
      </bottom>
      <diagonal/>
    </border>
    <border>
      <left style="thin">
        <color indexed="64"/>
      </left>
      <right/>
      <top style="thin">
        <color indexed="64"/>
      </top>
      <bottom style="thin">
        <color indexed="64"/>
      </bottom>
      <diagonal/>
    </border>
  </borders>
  <cellStyleXfs count="17">
    <xf numFmtId="0" fontId="0" fillId="0" borderId="0"/>
    <xf numFmtId="43" fontId="1" fillId="0" borderId="0" applyFont="0" applyFill="0" applyBorder="0" applyAlignment="0" applyProtection="0"/>
    <xf numFmtId="9" fontId="1" fillId="0" borderId="0" applyFont="0" applyFill="0" applyBorder="0" applyAlignment="0" applyProtection="0"/>
    <xf numFmtId="0" fontId="35" fillId="0" borderId="0" applyNumberFormat="0" applyFill="0" applyBorder="0" applyAlignment="0" applyProtection="0"/>
    <xf numFmtId="172" fontId="1" fillId="0" borderId="0" applyFont="0" applyFill="0" applyBorder="0" applyAlignment="0" applyProtection="0"/>
    <xf numFmtId="0" fontId="68" fillId="28" borderId="0" applyNumberFormat="0" applyBorder="0" applyAlignment="0" applyProtection="0"/>
    <xf numFmtId="0" fontId="79" fillId="0" borderId="0" applyNumberFormat="0" applyFill="0" applyBorder="0" applyAlignment="0" applyProtection="0">
      <alignment vertical="top"/>
      <protection locked="0"/>
    </xf>
    <xf numFmtId="0" fontId="1" fillId="0" borderId="0"/>
    <xf numFmtId="0" fontId="80" fillId="0" borderId="0"/>
    <xf numFmtId="182" fontId="85" fillId="0" borderId="0" applyFill="0" applyBorder="0" applyAlignment="0" applyProtection="0"/>
    <xf numFmtId="0" fontId="88" fillId="0" borderId="0"/>
    <xf numFmtId="172" fontId="1" fillId="0" borderId="0" applyFont="0" applyFill="0" applyBorder="0" applyAlignment="0" applyProtection="0"/>
    <xf numFmtId="9" fontId="1" fillId="0" borderId="0" applyFont="0" applyFill="0" applyBorder="0" applyAlignment="0" applyProtection="0"/>
    <xf numFmtId="9" fontId="80" fillId="0" borderId="0" applyFill="0" applyBorder="0" applyAlignment="0" applyProtection="0"/>
    <xf numFmtId="0" fontId="80" fillId="0" borderId="0"/>
    <xf numFmtId="0" fontId="118" fillId="0" borderId="0"/>
    <xf numFmtId="185" fontId="80" fillId="0" borderId="0" applyFill="0" applyBorder="0" applyAlignment="0" applyProtection="0"/>
  </cellStyleXfs>
  <cellXfs count="2770">
    <xf numFmtId="0" fontId="0" fillId="0" borderId="0" xfId="0"/>
    <xf numFmtId="0" fontId="2" fillId="0" borderId="0" xfId="0" applyFont="1"/>
    <xf numFmtId="0" fontId="9" fillId="2" borderId="0" xfId="0" applyFont="1" applyFill="1" applyAlignment="1">
      <alignment horizontal="center"/>
    </xf>
    <xf numFmtId="164" fontId="10" fillId="2" borderId="0" xfId="1" applyNumberFormat="1" applyFont="1" applyFill="1" applyBorder="1" applyAlignment="1">
      <alignment horizontal="right"/>
    </xf>
    <xf numFmtId="0" fontId="9" fillId="2" borderId="2" xfId="0" applyFont="1" applyFill="1" applyBorder="1"/>
    <xf numFmtId="0" fontId="11" fillId="2" borderId="0" xfId="0" applyFont="1" applyFill="1"/>
    <xf numFmtId="0" fontId="11" fillId="6" borderId="3" xfId="0" applyFont="1" applyFill="1" applyBorder="1" applyAlignment="1">
      <alignment vertical="center"/>
    </xf>
    <xf numFmtId="0" fontId="9" fillId="2" borderId="0" xfId="0" applyFont="1" applyFill="1"/>
    <xf numFmtId="0" fontId="11" fillId="2" borderId="2" xfId="0" applyFont="1" applyFill="1" applyBorder="1"/>
    <xf numFmtId="0" fontId="13" fillId="6" borderId="0" xfId="0" applyFont="1" applyFill="1" applyAlignment="1">
      <alignment horizontal="right" vertical="center"/>
    </xf>
    <xf numFmtId="0" fontId="12" fillId="2" borderId="0" xfId="0" applyFont="1" applyFill="1" applyAlignment="1">
      <alignment vertical="center"/>
    </xf>
    <xf numFmtId="0" fontId="12" fillId="7" borderId="4" xfId="0" applyFont="1" applyFill="1" applyBorder="1" applyAlignment="1">
      <alignment vertical="center"/>
    </xf>
    <xf numFmtId="0" fontId="9" fillId="7" borderId="5" xfId="0" applyFont="1" applyFill="1" applyBorder="1"/>
    <xf numFmtId="165" fontId="13" fillId="8" borderId="4" xfId="0" applyNumberFormat="1" applyFont="1" applyFill="1" applyBorder="1" applyAlignment="1">
      <alignment vertical="center"/>
    </xf>
    <xf numFmtId="165" fontId="13" fillId="2" borderId="4" xfId="0" applyNumberFormat="1" applyFont="1" applyFill="1" applyBorder="1" applyAlignment="1">
      <alignment vertical="center"/>
    </xf>
    <xf numFmtId="165" fontId="13" fillId="2" borderId="5" xfId="0" applyNumberFormat="1" applyFont="1" applyFill="1" applyBorder="1" applyAlignment="1">
      <alignment vertical="center"/>
    </xf>
    <xf numFmtId="165" fontId="13" fillId="6" borderId="4" xfId="0" applyNumberFormat="1" applyFont="1" applyFill="1" applyBorder="1" applyAlignment="1">
      <alignment vertical="center"/>
    </xf>
    <xf numFmtId="0" fontId="13" fillId="2" borderId="0" xfId="0" applyFont="1" applyFill="1" applyAlignment="1">
      <alignment horizontal="center"/>
    </xf>
    <xf numFmtId="0" fontId="13" fillId="2" borderId="0" xfId="0" applyFont="1" applyFill="1"/>
    <xf numFmtId="0" fontId="13" fillId="2" borderId="2" xfId="0" applyFont="1" applyFill="1" applyBorder="1"/>
    <xf numFmtId="3" fontId="13" fillId="2" borderId="0" xfId="0" applyNumberFormat="1" applyFont="1" applyFill="1"/>
    <xf numFmtId="166" fontId="13" fillId="2" borderId="0" xfId="1" applyNumberFormat="1" applyFont="1" applyFill="1" applyBorder="1"/>
    <xf numFmtId="166" fontId="13" fillId="2" borderId="0" xfId="0" applyNumberFormat="1" applyFont="1" applyFill="1"/>
    <xf numFmtId="0" fontId="14" fillId="2" borderId="0" xfId="0" applyFont="1" applyFill="1" applyAlignment="1">
      <alignment horizontal="center"/>
    </xf>
    <xf numFmtId="0" fontId="14" fillId="2" borderId="0" xfId="0" applyFont="1" applyFill="1" applyAlignment="1">
      <alignment horizontal="left" indent="1"/>
    </xf>
    <xf numFmtId="0" fontId="14" fillId="2" borderId="2" xfId="0" applyFont="1" applyFill="1" applyBorder="1"/>
    <xf numFmtId="3" fontId="14" fillId="2" borderId="0" xfId="0" applyNumberFormat="1" applyFont="1" applyFill="1"/>
    <xf numFmtId="166" fontId="14" fillId="2" borderId="0" xfId="1" applyNumberFormat="1" applyFont="1" applyFill="1" applyBorder="1"/>
    <xf numFmtId="166" fontId="14" fillId="2" borderId="0" xfId="0" applyNumberFormat="1" applyFont="1" applyFill="1"/>
    <xf numFmtId="166" fontId="11" fillId="2" borderId="0" xfId="0" applyNumberFormat="1" applyFont="1" applyFill="1"/>
    <xf numFmtId="0" fontId="15" fillId="2" borderId="0" xfId="0" applyFont="1" applyFill="1" applyAlignment="1">
      <alignment horizontal="center"/>
    </xf>
    <xf numFmtId="0" fontId="15" fillId="2" borderId="0" xfId="0" quotePrefix="1" applyFont="1" applyFill="1" applyAlignment="1">
      <alignment horizontal="left" indent="2"/>
    </xf>
    <xf numFmtId="0" fontId="15" fillId="2" borderId="2" xfId="0" applyFont="1" applyFill="1" applyBorder="1"/>
    <xf numFmtId="3" fontId="15" fillId="2" borderId="0" xfId="0" applyNumberFormat="1" applyFont="1" applyFill="1"/>
    <xf numFmtId="166" fontId="15" fillId="9" borderId="0" xfId="1" applyNumberFormat="1" applyFont="1" applyFill="1" applyBorder="1"/>
    <xf numFmtId="166" fontId="15" fillId="9" borderId="2" xfId="1" applyNumberFormat="1" applyFont="1" applyFill="1" applyBorder="1"/>
    <xf numFmtId="166" fontId="15" fillId="2" borderId="0" xfId="0" applyNumberFormat="1" applyFont="1" applyFill="1"/>
    <xf numFmtId="0" fontId="15" fillId="2" borderId="0" xfId="0" applyFont="1" applyFill="1"/>
    <xf numFmtId="0" fontId="14" fillId="2" borderId="0" xfId="0" quotePrefix="1" applyFont="1" applyFill="1" applyAlignment="1">
      <alignment horizontal="left" indent="1"/>
    </xf>
    <xf numFmtId="0" fontId="11" fillId="2" borderId="0" xfId="0" applyFont="1" applyFill="1" applyAlignment="1">
      <alignment horizontal="center"/>
    </xf>
    <xf numFmtId="0" fontId="15" fillId="2" borderId="0" xfId="0" quotePrefix="1" applyFont="1" applyFill="1" applyAlignment="1">
      <alignment horizontal="left" indent="1"/>
    </xf>
    <xf numFmtId="3" fontId="11" fillId="2" borderId="0" xfId="0" applyNumberFormat="1" applyFont="1" applyFill="1"/>
    <xf numFmtId="166" fontId="11" fillId="9" borderId="0" xfId="0" applyNumberFormat="1" applyFont="1" applyFill="1"/>
    <xf numFmtId="166" fontId="11" fillId="9" borderId="0" xfId="1" applyNumberFormat="1" applyFont="1" applyFill="1" applyBorder="1"/>
    <xf numFmtId="0" fontId="16" fillId="2" borderId="0" xfId="0" applyFont="1" applyFill="1" applyAlignment="1">
      <alignment horizontal="center"/>
    </xf>
    <xf numFmtId="0" fontId="16" fillId="2" borderId="0" xfId="0" quotePrefix="1" applyFont="1" applyFill="1" applyAlignment="1">
      <alignment horizontal="left" indent="1"/>
    </xf>
    <xf numFmtId="0" fontId="16" fillId="2" borderId="2" xfId="0" applyFont="1" applyFill="1" applyBorder="1"/>
    <xf numFmtId="9" fontId="16" fillId="2" borderId="0" xfId="2" applyFont="1" applyFill="1" applyBorder="1"/>
    <xf numFmtId="166" fontId="16" fillId="9" borderId="0" xfId="2" applyNumberFormat="1" applyFont="1" applyFill="1" applyBorder="1"/>
    <xf numFmtId="166" fontId="16" fillId="2" borderId="0" xfId="2" applyNumberFormat="1" applyFont="1" applyFill="1" applyBorder="1"/>
    <xf numFmtId="166" fontId="16" fillId="2" borderId="0" xfId="0" applyNumberFormat="1" applyFont="1" applyFill="1"/>
    <xf numFmtId="0" fontId="16" fillId="2" borderId="0" xfId="0" applyFont="1" applyFill="1"/>
    <xf numFmtId="166" fontId="11" fillId="2" borderId="0" xfId="1" applyNumberFormat="1" applyFont="1" applyFill="1" applyBorder="1"/>
    <xf numFmtId="166" fontId="15" fillId="9" borderId="6" xfId="1" applyNumberFormat="1" applyFont="1" applyFill="1" applyBorder="1"/>
    <xf numFmtId="166" fontId="9" fillId="2" borderId="0" xfId="0" applyNumberFormat="1" applyFont="1" applyFill="1"/>
    <xf numFmtId="0" fontId="17" fillId="2" borderId="7" xfId="0" applyFont="1" applyFill="1" applyBorder="1" applyAlignment="1">
      <alignment horizontal="center"/>
    </xf>
    <xf numFmtId="0" fontId="17" fillId="2" borderId="7" xfId="0" applyFont="1" applyFill="1" applyBorder="1"/>
    <xf numFmtId="0" fontId="17" fillId="2" borderId="8" xfId="0" applyFont="1" applyFill="1" applyBorder="1"/>
    <xf numFmtId="166" fontId="17" fillId="2" borderId="7" xfId="0" applyNumberFormat="1" applyFont="1" applyFill="1" applyBorder="1"/>
    <xf numFmtId="166" fontId="9" fillId="2" borderId="2" xfId="0" applyNumberFormat="1" applyFont="1" applyFill="1" applyBorder="1"/>
    <xf numFmtId="0" fontId="12" fillId="7" borderId="0" xfId="0" applyFont="1" applyFill="1" applyAlignment="1">
      <alignment vertical="center"/>
    </xf>
    <xf numFmtId="0" fontId="9" fillId="7" borderId="2" xfId="0" applyFont="1" applyFill="1" applyBorder="1"/>
    <xf numFmtId="166" fontId="11" fillId="2" borderId="2" xfId="0" applyNumberFormat="1" applyFont="1" applyFill="1" applyBorder="1"/>
    <xf numFmtId="0" fontId="16" fillId="2" borderId="0" xfId="0" quotePrefix="1" applyFont="1" applyFill="1" applyAlignment="1">
      <alignment horizontal="left" indent="2"/>
    </xf>
    <xf numFmtId="166" fontId="16" fillId="9" borderId="0" xfId="0" applyNumberFormat="1" applyFont="1" applyFill="1"/>
    <xf numFmtId="166" fontId="16" fillId="9" borderId="0" xfId="1" applyNumberFormat="1" applyFont="1" applyFill="1" applyBorder="1"/>
    <xf numFmtId="0" fontId="11" fillId="2" borderId="7" xfId="0" applyFont="1" applyFill="1" applyBorder="1" applyAlignment="1">
      <alignment horizontal="center"/>
    </xf>
    <xf numFmtId="0" fontId="11" fillId="2" borderId="7" xfId="0" applyFont="1" applyFill="1" applyBorder="1"/>
    <xf numFmtId="0" fontId="11" fillId="2" borderId="8" xfId="0" applyFont="1" applyFill="1" applyBorder="1"/>
    <xf numFmtId="166" fontId="11" fillId="2" borderId="7" xfId="0" applyNumberFormat="1" applyFont="1" applyFill="1" applyBorder="1"/>
    <xf numFmtId="3" fontId="11" fillId="9" borderId="7" xfId="0" applyNumberFormat="1" applyFont="1" applyFill="1" applyBorder="1"/>
    <xf numFmtId="3" fontId="11" fillId="9" borderId="0" xfId="0" applyNumberFormat="1" applyFont="1" applyFill="1"/>
    <xf numFmtId="4" fontId="11" fillId="2" borderId="7" xfId="0" applyNumberFormat="1" applyFont="1" applyFill="1" applyBorder="1"/>
    <xf numFmtId="3" fontId="11" fillId="2" borderId="7" xfId="0" applyNumberFormat="1" applyFont="1" applyFill="1" applyBorder="1"/>
    <xf numFmtId="0" fontId="10" fillId="2" borderId="0" xfId="0" applyFont="1" applyFill="1" applyAlignment="1">
      <alignment horizontal="center"/>
    </xf>
    <xf numFmtId="0" fontId="11" fillId="2" borderId="0" xfId="0" applyFont="1" applyFill="1" applyAlignment="1">
      <alignment vertical="center"/>
    </xf>
    <xf numFmtId="0" fontId="11" fillId="2" borderId="3" xfId="0" applyFont="1" applyFill="1" applyBorder="1" applyAlignment="1">
      <alignment vertical="center"/>
    </xf>
    <xf numFmtId="0" fontId="11" fillId="2" borderId="9" xfId="0" applyFont="1" applyFill="1" applyBorder="1" applyAlignment="1">
      <alignment vertical="center"/>
    </xf>
    <xf numFmtId="0" fontId="13" fillId="2" borderId="0" xfId="0" applyFont="1" applyFill="1" applyAlignment="1">
      <alignment horizontal="right" vertical="center"/>
    </xf>
    <xf numFmtId="0" fontId="13" fillId="2" borderId="2" xfId="0" applyFont="1" applyFill="1" applyBorder="1" applyAlignment="1">
      <alignment horizontal="right" vertical="center"/>
    </xf>
    <xf numFmtId="0" fontId="11" fillId="2" borderId="0" xfId="0" applyFont="1" applyFill="1" applyAlignment="1">
      <alignment horizontal="right" vertical="center"/>
    </xf>
    <xf numFmtId="0" fontId="18" fillId="10" borderId="4" xfId="0" applyFont="1" applyFill="1" applyBorder="1" applyAlignment="1">
      <alignment horizontal="center" vertical="center"/>
    </xf>
    <xf numFmtId="165" fontId="13" fillId="11" borderId="4" xfId="0" applyNumberFormat="1" applyFont="1" applyFill="1" applyBorder="1" applyAlignment="1">
      <alignment vertical="center"/>
    </xf>
    <xf numFmtId="0" fontId="13" fillId="2" borderId="4" xfId="0" applyFont="1" applyFill="1" applyBorder="1" applyAlignment="1">
      <alignment horizontal="center" vertical="center"/>
    </xf>
    <xf numFmtId="167" fontId="11" fillId="2" borderId="0" xfId="0" applyNumberFormat="1" applyFont="1" applyFill="1"/>
    <xf numFmtId="167" fontId="11" fillId="2" borderId="0" xfId="0" applyNumberFormat="1" applyFont="1" applyFill="1" applyAlignment="1">
      <alignment vertical="center"/>
    </xf>
    <xf numFmtId="0" fontId="11" fillId="2" borderId="0" xfId="1" applyNumberFormat="1" applyFont="1" applyFill="1" applyBorder="1" applyAlignment="1">
      <alignment horizontal="center"/>
    </xf>
    <xf numFmtId="0" fontId="11" fillId="2" borderId="0" xfId="1" applyNumberFormat="1" applyFont="1" applyFill="1" applyBorder="1"/>
    <xf numFmtId="164" fontId="13" fillId="2" borderId="0" xfId="1" applyNumberFormat="1" applyFont="1" applyFill="1" applyBorder="1"/>
    <xf numFmtId="3" fontId="11" fillId="2" borderId="0" xfId="1" applyNumberFormat="1" applyFont="1" applyFill="1" applyBorder="1"/>
    <xf numFmtId="4" fontId="11" fillId="2" borderId="0" xfId="1" applyNumberFormat="1" applyFont="1" applyFill="1" applyBorder="1"/>
    <xf numFmtId="4" fontId="11" fillId="6" borderId="0" xfId="1" applyNumberFormat="1" applyFont="1" applyFill="1" applyBorder="1" applyAlignment="1">
      <alignment vertical="center"/>
    </xf>
    <xf numFmtId="3" fontId="11" fillId="6" borderId="0" xfId="1" applyNumberFormat="1" applyFont="1" applyFill="1" applyBorder="1" applyAlignment="1">
      <alignment vertical="center"/>
    </xf>
    <xf numFmtId="164" fontId="11" fillId="2" borderId="0" xfId="1" applyNumberFormat="1" applyFont="1" applyFill="1" applyBorder="1" applyAlignment="1">
      <alignment vertical="center"/>
    </xf>
    <xf numFmtId="0" fontId="11" fillId="2" borderId="0" xfId="1" applyNumberFormat="1" applyFont="1" applyFill="1" applyBorder="1" applyAlignment="1">
      <alignment vertical="center"/>
    </xf>
    <xf numFmtId="164" fontId="11" fillId="2" borderId="0" xfId="1" applyNumberFormat="1" applyFont="1" applyFill="1" applyBorder="1"/>
    <xf numFmtId="9" fontId="19" fillId="2" borderId="0" xfId="2" applyFont="1" applyFill="1" applyBorder="1" applyAlignment="1">
      <alignment horizontal="center"/>
    </xf>
    <xf numFmtId="9" fontId="19" fillId="2" borderId="0" xfId="2" applyFont="1" applyFill="1" applyBorder="1" applyAlignment="1">
      <alignment horizontal="left" indent="2"/>
    </xf>
    <xf numFmtId="9" fontId="19" fillId="2" borderId="0" xfId="2" applyFont="1" applyFill="1" applyBorder="1" applyAlignment="1">
      <alignment horizontal="right" vertical="center"/>
    </xf>
    <xf numFmtId="168" fontId="19" fillId="2" borderId="0" xfId="2" applyNumberFormat="1" applyFont="1" applyFill="1" applyBorder="1" applyAlignment="1">
      <alignment horizontal="right" vertical="center"/>
    </xf>
    <xf numFmtId="168" fontId="19" fillId="6" borderId="0" xfId="2" applyNumberFormat="1" applyFont="1" applyFill="1" applyBorder="1" applyAlignment="1">
      <alignment horizontal="right" vertical="center"/>
    </xf>
    <xf numFmtId="0" fontId="19" fillId="2" borderId="0" xfId="2" applyNumberFormat="1" applyFont="1" applyFill="1" applyBorder="1" applyAlignment="1">
      <alignment vertical="center"/>
    </xf>
    <xf numFmtId="9" fontId="19" fillId="2" borderId="0" xfId="2" applyFont="1" applyFill="1" applyBorder="1"/>
    <xf numFmtId="0" fontId="13" fillId="2" borderId="0" xfId="1" applyNumberFormat="1" applyFont="1" applyFill="1" applyBorder="1" applyAlignment="1">
      <alignment horizontal="center"/>
    </xf>
    <xf numFmtId="0" fontId="13" fillId="2" borderId="7" xfId="1" applyNumberFormat="1" applyFont="1" applyFill="1" applyBorder="1"/>
    <xf numFmtId="164" fontId="13" fillId="2" borderId="7" xfId="1" applyNumberFormat="1" applyFont="1" applyFill="1" applyBorder="1"/>
    <xf numFmtId="3" fontId="13" fillId="2" borderId="7" xfId="1" applyNumberFormat="1" applyFont="1" applyFill="1" applyBorder="1" applyAlignment="1">
      <alignment vertical="center"/>
    </xf>
    <xf numFmtId="4" fontId="13" fillId="2" borderId="7" xfId="1" applyNumberFormat="1" applyFont="1" applyFill="1" applyBorder="1" applyAlignment="1">
      <alignment vertical="center"/>
    </xf>
    <xf numFmtId="4" fontId="13" fillId="6" borderId="7" xfId="1" applyNumberFormat="1" applyFont="1" applyFill="1" applyBorder="1" applyAlignment="1">
      <alignment vertical="center"/>
    </xf>
    <xf numFmtId="3" fontId="13" fillId="6" borderId="7" xfId="1" applyNumberFormat="1" applyFont="1" applyFill="1" applyBorder="1" applyAlignment="1">
      <alignment vertical="center"/>
    </xf>
    <xf numFmtId="164" fontId="13" fillId="2" borderId="7" xfId="1" applyNumberFormat="1" applyFont="1" applyFill="1" applyBorder="1" applyAlignment="1">
      <alignment vertical="center"/>
    </xf>
    <xf numFmtId="0" fontId="11" fillId="2" borderId="7" xfId="1" applyNumberFormat="1" applyFont="1" applyFill="1" applyBorder="1" applyAlignment="1">
      <alignment vertical="center"/>
    </xf>
    <xf numFmtId="0" fontId="11" fillId="2" borderId="0" xfId="0" applyFont="1" applyFill="1" applyAlignment="1">
      <alignment horizontal="left" indent="3"/>
    </xf>
    <xf numFmtId="167" fontId="11" fillId="2" borderId="0" xfId="0" applyNumberFormat="1" applyFont="1" applyFill="1" applyAlignment="1">
      <alignment horizontal="left" indent="3"/>
    </xf>
    <xf numFmtId="3" fontId="11" fillId="2" borderId="0" xfId="2" applyNumberFormat="1" applyFont="1" applyFill="1" applyBorder="1" applyAlignment="1">
      <alignment vertical="center"/>
    </xf>
    <xf numFmtId="3" fontId="11" fillId="2" borderId="2" xfId="2" applyNumberFormat="1" applyFont="1" applyFill="1" applyBorder="1" applyAlignment="1">
      <alignment vertical="center"/>
    </xf>
    <xf numFmtId="167" fontId="11" fillId="2" borderId="0" xfId="2" applyNumberFormat="1" applyFont="1" applyFill="1" applyBorder="1" applyAlignment="1">
      <alignment vertical="center"/>
    </xf>
    <xf numFmtId="0" fontId="11" fillId="2" borderId="0" xfId="2" applyNumberFormat="1" applyFont="1" applyFill="1" applyBorder="1" applyAlignment="1">
      <alignment vertical="center"/>
    </xf>
    <xf numFmtId="0" fontId="11" fillId="2" borderId="0" xfId="0" applyFont="1" applyFill="1" applyAlignment="1">
      <alignment horizontal="left" indent="2"/>
    </xf>
    <xf numFmtId="168" fontId="11" fillId="2" borderId="0" xfId="2" applyNumberFormat="1" applyFont="1" applyFill="1" applyBorder="1" applyAlignment="1">
      <alignment vertical="center"/>
    </xf>
    <xf numFmtId="10" fontId="11" fillId="6" borderId="0" xfId="2" applyNumberFormat="1" applyFont="1" applyFill="1" applyBorder="1" applyAlignment="1">
      <alignment vertical="center"/>
    </xf>
    <xf numFmtId="168" fontId="11" fillId="6" borderId="0" xfId="2" applyNumberFormat="1" applyFont="1" applyFill="1" applyBorder="1" applyAlignment="1">
      <alignment vertical="center"/>
    </xf>
    <xf numFmtId="0" fontId="13" fillId="2" borderId="0" xfId="1" applyNumberFormat="1" applyFont="1" applyFill="1" applyBorder="1"/>
    <xf numFmtId="3" fontId="13" fillId="2" borderId="0" xfId="1" applyNumberFormat="1" applyFont="1" applyFill="1" applyBorder="1"/>
    <xf numFmtId="3" fontId="13" fillId="2" borderId="0" xfId="1" applyNumberFormat="1" applyFont="1" applyFill="1" applyBorder="1" applyAlignment="1">
      <alignment vertical="center"/>
    </xf>
    <xf numFmtId="3" fontId="13" fillId="2" borderId="2" xfId="1" applyNumberFormat="1" applyFont="1" applyFill="1" applyBorder="1" applyAlignment="1">
      <alignment vertical="center"/>
    </xf>
    <xf numFmtId="164" fontId="13" fillId="2" borderId="0" xfId="1" applyNumberFormat="1" applyFont="1" applyFill="1" applyBorder="1" applyAlignment="1">
      <alignment vertical="center"/>
    </xf>
    <xf numFmtId="0" fontId="11" fillId="2" borderId="0" xfId="1" applyNumberFormat="1" applyFont="1" applyFill="1" applyBorder="1" applyAlignment="1">
      <alignment horizontal="left"/>
    </xf>
    <xf numFmtId="3" fontId="11" fillId="2" borderId="0" xfId="1" applyNumberFormat="1" applyFont="1" applyFill="1" applyBorder="1" applyAlignment="1">
      <alignment vertical="center"/>
    </xf>
    <xf numFmtId="4" fontId="11" fillId="2" borderId="0" xfId="1" applyNumberFormat="1" applyFont="1" applyFill="1" applyBorder="1" applyAlignment="1">
      <alignment vertical="center"/>
    </xf>
    <xf numFmtId="0" fontId="19" fillId="2" borderId="0" xfId="0" applyFont="1" applyFill="1" applyAlignment="1">
      <alignment horizontal="center"/>
    </xf>
    <xf numFmtId="168" fontId="19" fillId="2" borderId="0" xfId="2" applyNumberFormat="1" applyFont="1" applyFill="1" applyBorder="1"/>
    <xf numFmtId="10" fontId="19" fillId="6" borderId="0" xfId="2" applyNumberFormat="1" applyFont="1" applyFill="1" applyBorder="1"/>
    <xf numFmtId="168" fontId="19" fillId="6" borderId="0" xfId="2" applyNumberFormat="1" applyFont="1" applyFill="1" applyBorder="1"/>
    <xf numFmtId="167" fontId="19" fillId="2" borderId="0" xfId="0" applyNumberFormat="1" applyFont="1" applyFill="1"/>
    <xf numFmtId="0" fontId="19" fillId="2" borderId="0" xfId="0" applyFont="1" applyFill="1"/>
    <xf numFmtId="3" fontId="13" fillId="2" borderId="7" xfId="1" applyNumberFormat="1" applyFont="1" applyFill="1" applyBorder="1"/>
    <xf numFmtId="4" fontId="13" fillId="2" borderId="7" xfId="1" applyNumberFormat="1" applyFont="1" applyFill="1" applyBorder="1"/>
    <xf numFmtId="4" fontId="13" fillId="6" borderId="7" xfId="1" applyNumberFormat="1" applyFont="1" applyFill="1" applyBorder="1"/>
    <xf numFmtId="3" fontId="13" fillId="6" borderId="7" xfId="1" applyNumberFormat="1" applyFont="1" applyFill="1" applyBorder="1"/>
    <xf numFmtId="3" fontId="11" fillId="2" borderId="0" xfId="0" applyNumberFormat="1" applyFont="1" applyFill="1" applyAlignment="1">
      <alignment vertical="center"/>
    </xf>
    <xf numFmtId="3" fontId="11" fillId="2" borderId="2" xfId="0" applyNumberFormat="1" applyFont="1" applyFill="1" applyBorder="1" applyAlignment="1">
      <alignment vertical="center"/>
    </xf>
    <xf numFmtId="4" fontId="11" fillId="6" borderId="0" xfId="1" applyNumberFormat="1" applyFont="1" applyFill="1" applyBorder="1"/>
    <xf numFmtId="3" fontId="11" fillId="6" borderId="0" xfId="1" applyNumberFormat="1" applyFont="1" applyFill="1" applyBorder="1"/>
    <xf numFmtId="9" fontId="10" fillId="2" borderId="0" xfId="2" applyFont="1" applyFill="1" applyBorder="1" applyAlignment="1">
      <alignment horizontal="center"/>
    </xf>
    <xf numFmtId="9" fontId="11" fillId="2" borderId="0" xfId="2" applyFont="1" applyFill="1" applyBorder="1" applyAlignment="1">
      <alignment horizontal="left" indent="2"/>
    </xf>
    <xf numFmtId="9" fontId="11" fillId="2" borderId="0" xfId="2" applyFont="1" applyFill="1" applyBorder="1" applyAlignment="1"/>
    <xf numFmtId="168" fontId="11" fillId="2" borderId="0" xfId="2" applyNumberFormat="1" applyFont="1" applyFill="1" applyBorder="1" applyAlignment="1"/>
    <xf numFmtId="10" fontId="11" fillId="6" borderId="0" xfId="2" applyNumberFormat="1" applyFont="1" applyFill="1" applyBorder="1" applyAlignment="1"/>
    <xf numFmtId="168" fontId="11" fillId="6" borderId="0" xfId="2" applyNumberFormat="1" applyFont="1" applyFill="1" applyBorder="1" applyAlignment="1"/>
    <xf numFmtId="9" fontId="11" fillId="2" borderId="0" xfId="2" applyFont="1" applyFill="1" applyBorder="1"/>
    <xf numFmtId="167" fontId="13" fillId="2" borderId="0" xfId="0" applyNumberFormat="1" applyFont="1" applyFill="1"/>
    <xf numFmtId="3" fontId="13" fillId="2" borderId="0" xfId="0" applyNumberFormat="1" applyFont="1" applyFill="1" applyAlignment="1">
      <alignment vertical="center"/>
    </xf>
    <xf numFmtId="3" fontId="13" fillId="2" borderId="2" xfId="0" applyNumberFormat="1" applyFont="1" applyFill="1" applyBorder="1" applyAlignment="1">
      <alignment vertical="center"/>
    </xf>
    <xf numFmtId="167" fontId="13" fillId="2" borderId="0" xfId="0" applyNumberFormat="1" applyFont="1" applyFill="1" applyAlignment="1">
      <alignment vertical="center"/>
    </xf>
    <xf numFmtId="0" fontId="11" fillId="2" borderId="0" xfId="1" applyNumberFormat="1" applyFont="1" applyFill="1" applyBorder="1" applyAlignment="1">
      <alignment horizontal="left" indent="2"/>
    </xf>
    <xf numFmtId="164" fontId="11" fillId="2" borderId="0" xfId="1" applyNumberFormat="1" applyFont="1" applyFill="1" applyBorder="1" applyAlignment="1"/>
    <xf numFmtId="3" fontId="11" fillId="2" borderId="0" xfId="1" applyNumberFormat="1" applyFont="1" applyFill="1" applyBorder="1" applyAlignment="1"/>
    <xf numFmtId="4" fontId="11" fillId="2" borderId="0" xfId="1" applyNumberFormat="1" applyFont="1" applyFill="1" applyBorder="1" applyAlignment="1"/>
    <xf numFmtId="9" fontId="11" fillId="2" borderId="0" xfId="2" applyFont="1" applyFill="1" applyBorder="1" applyAlignment="1">
      <alignment horizontal="center"/>
    </xf>
    <xf numFmtId="9" fontId="11" fillId="2" borderId="0" xfId="2" applyFont="1" applyFill="1" applyBorder="1" applyAlignment="1">
      <alignment horizontal="left" indent="5"/>
    </xf>
    <xf numFmtId="0" fontId="13" fillId="2" borderId="7" xfId="1" applyNumberFormat="1" applyFont="1" applyFill="1" applyBorder="1" applyAlignment="1">
      <alignment horizontal="left" indent="2"/>
    </xf>
    <xf numFmtId="0" fontId="11" fillId="2" borderId="0" xfId="2" applyNumberFormat="1" applyFont="1" applyFill="1" applyBorder="1" applyAlignment="1">
      <alignment horizontal="center"/>
    </xf>
    <xf numFmtId="0" fontId="11" fillId="2" borderId="0" xfId="2" applyNumberFormat="1" applyFont="1" applyFill="1" applyBorder="1" applyAlignment="1">
      <alignment horizontal="left" indent="6"/>
    </xf>
    <xf numFmtId="3" fontId="11" fillId="2" borderId="0" xfId="2" applyNumberFormat="1" applyFont="1" applyFill="1" applyBorder="1" applyAlignment="1"/>
    <xf numFmtId="3" fontId="11" fillId="2" borderId="2" xfId="2" applyNumberFormat="1" applyFont="1" applyFill="1" applyBorder="1" applyAlignment="1"/>
    <xf numFmtId="168" fontId="11" fillId="2" borderId="0" xfId="2" applyNumberFormat="1" applyFont="1" applyFill="1" applyBorder="1"/>
    <xf numFmtId="9" fontId="11" fillId="2" borderId="0" xfId="2" applyFont="1" applyFill="1" applyBorder="1" applyAlignment="1">
      <alignment horizontal="left" indent="3"/>
    </xf>
    <xf numFmtId="9" fontId="11" fillId="2" borderId="0" xfId="2" applyFont="1" applyFill="1" applyBorder="1" applyAlignment="1">
      <alignment vertical="center"/>
    </xf>
    <xf numFmtId="10" fontId="11" fillId="2" borderId="0" xfId="2" applyNumberFormat="1" applyFont="1" applyFill="1" applyBorder="1" applyAlignment="1">
      <alignment vertical="center"/>
    </xf>
    <xf numFmtId="3" fontId="11" fillId="2" borderId="0" xfId="2" applyNumberFormat="1" applyFont="1" applyFill="1" applyBorder="1" applyAlignment="1">
      <alignment horizontal="right" vertical="center"/>
    </xf>
    <xf numFmtId="3" fontId="11" fillId="2" borderId="2" xfId="2" applyNumberFormat="1" applyFont="1" applyFill="1" applyBorder="1" applyAlignment="1">
      <alignment horizontal="right" vertical="center"/>
    </xf>
    <xf numFmtId="167" fontId="11" fillId="2" borderId="0" xfId="2" applyNumberFormat="1" applyFont="1" applyFill="1" applyBorder="1" applyAlignment="1">
      <alignment horizontal="right" vertical="center"/>
    </xf>
    <xf numFmtId="0" fontId="11" fillId="2" borderId="0" xfId="2" applyNumberFormat="1" applyFont="1" applyFill="1" applyBorder="1" applyAlignment="1">
      <alignment horizontal="right" vertical="center"/>
    </xf>
    <xf numFmtId="43" fontId="11" fillId="2" borderId="0" xfId="1" applyFont="1" applyFill="1" applyBorder="1"/>
    <xf numFmtId="10" fontId="19" fillId="2" borderId="0" xfId="2" applyNumberFormat="1" applyFont="1" applyFill="1" applyBorder="1"/>
    <xf numFmtId="168" fontId="11" fillId="6" borderId="0" xfId="2" applyNumberFormat="1" applyFont="1" applyFill="1" applyBorder="1"/>
    <xf numFmtId="4" fontId="11" fillId="6" borderId="0" xfId="0" applyNumberFormat="1" applyFont="1" applyFill="1"/>
    <xf numFmtId="3" fontId="11" fillId="6" borderId="0" xfId="0" applyNumberFormat="1" applyFont="1" applyFill="1"/>
    <xf numFmtId="10" fontId="11" fillId="6" borderId="0" xfId="2" applyNumberFormat="1" applyFont="1" applyFill="1" applyBorder="1"/>
    <xf numFmtId="9" fontId="11" fillId="6" borderId="0" xfId="2" applyFont="1" applyFill="1" applyBorder="1"/>
    <xf numFmtId="9" fontId="11" fillId="2" borderId="2" xfId="2" applyFont="1" applyFill="1" applyBorder="1"/>
    <xf numFmtId="0" fontId="13" fillId="2" borderId="7" xfId="0" applyFont="1" applyFill="1" applyBorder="1"/>
    <xf numFmtId="167" fontId="13" fillId="2" borderId="7" xfId="0" applyNumberFormat="1" applyFont="1" applyFill="1" applyBorder="1"/>
    <xf numFmtId="3" fontId="13" fillId="2" borderId="7" xfId="0" applyNumberFormat="1" applyFont="1" applyFill="1" applyBorder="1"/>
    <xf numFmtId="4" fontId="13" fillId="2" borderId="7" xfId="0" applyNumberFormat="1" applyFont="1" applyFill="1" applyBorder="1"/>
    <xf numFmtId="167" fontId="13" fillId="2" borderId="7" xfId="1" applyNumberFormat="1" applyFont="1" applyFill="1" applyBorder="1" applyAlignment="1">
      <alignment vertical="center"/>
    </xf>
    <xf numFmtId="167" fontId="11" fillId="2" borderId="0" xfId="1" applyNumberFormat="1" applyFont="1" applyFill="1" applyBorder="1"/>
    <xf numFmtId="3" fontId="11" fillId="2" borderId="2" xfId="1" applyNumberFormat="1" applyFont="1" applyFill="1" applyBorder="1"/>
    <xf numFmtId="4" fontId="11" fillId="2" borderId="0" xfId="0" applyNumberFormat="1" applyFont="1" applyFill="1" applyAlignment="1">
      <alignment vertical="center"/>
    </xf>
    <xf numFmtId="4" fontId="11" fillId="2" borderId="0" xfId="0" applyNumberFormat="1" applyFont="1" applyFill="1"/>
    <xf numFmtId="4" fontId="11" fillId="8" borderId="0" xfId="0" applyNumberFormat="1" applyFont="1" applyFill="1" applyAlignment="1">
      <alignment vertical="center"/>
    </xf>
    <xf numFmtId="3" fontId="11" fillId="8" borderId="0" xfId="0" applyNumberFormat="1" applyFont="1" applyFill="1" applyAlignment="1">
      <alignment vertical="center"/>
    </xf>
    <xf numFmtId="0" fontId="11" fillId="2" borderId="0" xfId="0" applyFont="1" applyFill="1" applyAlignment="1">
      <alignment wrapText="1"/>
    </xf>
    <xf numFmtId="3" fontId="11" fillId="6" borderId="0" xfId="0" applyNumberFormat="1" applyFont="1" applyFill="1" applyAlignment="1">
      <alignment vertical="center"/>
    </xf>
    <xf numFmtId="0" fontId="11" fillId="2" borderId="7" xfId="1" applyNumberFormat="1" applyFont="1" applyFill="1" applyBorder="1" applyAlignment="1">
      <alignment wrapText="1"/>
    </xf>
    <xf numFmtId="0" fontId="20" fillId="2" borderId="0" xfId="0" applyFont="1" applyFill="1"/>
    <xf numFmtId="10" fontId="11" fillId="2" borderId="0" xfId="2" applyNumberFormat="1" applyFont="1" applyFill="1" applyBorder="1" applyAlignment="1"/>
    <xf numFmtId="4" fontId="11" fillId="6" borderId="0" xfId="0" applyNumberFormat="1" applyFont="1" applyFill="1" applyAlignment="1">
      <alignment vertical="center"/>
    </xf>
    <xf numFmtId="4" fontId="21" fillId="2" borderId="0" xfId="1" applyNumberFormat="1" applyFont="1" applyFill="1" applyBorder="1" applyAlignment="1">
      <alignment vertical="center"/>
    </xf>
    <xf numFmtId="167" fontId="11" fillId="2" borderId="0" xfId="1" applyNumberFormat="1" applyFont="1" applyFill="1" applyBorder="1" applyAlignment="1">
      <alignment vertical="center"/>
    </xf>
    <xf numFmtId="0" fontId="22" fillId="2" borderId="0" xfId="0" applyFont="1" applyFill="1" applyAlignment="1">
      <alignment horizontal="left" indent="5"/>
    </xf>
    <xf numFmtId="0" fontId="16" fillId="2" borderId="0" xfId="0" applyFont="1" applyFill="1" applyAlignment="1">
      <alignment horizontal="left" indent="5"/>
    </xf>
    <xf numFmtId="167" fontId="16" fillId="2" borderId="0" xfId="0" applyNumberFormat="1" applyFont="1" applyFill="1"/>
    <xf numFmtId="3" fontId="16" fillId="2" borderId="0" xfId="2" applyNumberFormat="1" applyFont="1" applyFill="1" applyBorder="1" applyAlignment="1">
      <alignment vertical="center"/>
    </xf>
    <xf numFmtId="4" fontId="16" fillId="2" borderId="0" xfId="2" applyNumberFormat="1" applyFont="1" applyFill="1" applyBorder="1" applyAlignment="1">
      <alignment vertical="center"/>
    </xf>
    <xf numFmtId="4" fontId="16" fillId="6" borderId="0" xfId="1" applyNumberFormat="1" applyFont="1" applyFill="1" applyBorder="1" applyAlignment="1">
      <alignment vertical="center"/>
    </xf>
    <xf numFmtId="3" fontId="16" fillId="6" borderId="0" xfId="1" applyNumberFormat="1" applyFont="1" applyFill="1" applyBorder="1" applyAlignment="1">
      <alignment vertical="center"/>
    </xf>
    <xf numFmtId="167" fontId="16" fillId="2" borderId="0" xfId="1" applyNumberFormat="1" applyFont="1" applyFill="1" applyBorder="1" applyAlignment="1">
      <alignment vertical="center"/>
    </xf>
    <xf numFmtId="0" fontId="16" fillId="2" borderId="0" xfId="0" applyFont="1" applyFill="1" applyAlignment="1">
      <alignment vertical="center"/>
    </xf>
    <xf numFmtId="3" fontId="16" fillId="2" borderId="0" xfId="1" applyNumberFormat="1" applyFont="1" applyFill="1" applyBorder="1" applyAlignment="1">
      <alignment vertical="center"/>
    </xf>
    <xf numFmtId="4" fontId="16" fillId="2" borderId="0" xfId="1" applyNumberFormat="1" applyFont="1" applyFill="1" applyBorder="1" applyAlignment="1">
      <alignment vertical="center"/>
    </xf>
    <xf numFmtId="4" fontId="11" fillId="2" borderId="0" xfId="2" applyNumberFormat="1" applyFont="1" applyFill="1" applyBorder="1" applyAlignment="1">
      <alignment vertical="center"/>
    </xf>
    <xf numFmtId="4" fontId="11" fillId="8" borderId="0" xfId="1" applyNumberFormat="1" applyFont="1" applyFill="1" applyBorder="1" applyAlignment="1">
      <alignment vertical="center"/>
    </xf>
    <xf numFmtId="3" fontId="11" fillId="8" borderId="0" xfId="1" applyNumberFormat="1" applyFont="1" applyFill="1" applyBorder="1" applyAlignment="1">
      <alignment vertical="center"/>
    </xf>
    <xf numFmtId="3" fontId="13" fillId="2" borderId="0" xfId="2" applyNumberFormat="1" applyFont="1" applyFill="1" applyBorder="1" applyAlignment="1">
      <alignment vertical="center"/>
    </xf>
    <xf numFmtId="0" fontId="11" fillId="2" borderId="0" xfId="0" applyFont="1" applyFill="1" applyAlignment="1">
      <alignment horizontal="left" indent="1"/>
    </xf>
    <xf numFmtId="0" fontId="21" fillId="2" borderId="0" xfId="1" applyNumberFormat="1" applyFont="1" applyFill="1" applyBorder="1" applyAlignment="1">
      <alignment wrapText="1"/>
    </xf>
    <xf numFmtId="0" fontId="16" fillId="2" borderId="0" xfId="0" applyFont="1" applyFill="1" applyAlignment="1">
      <alignment horizontal="left" indent="3"/>
    </xf>
    <xf numFmtId="3" fontId="16" fillId="2" borderId="0" xfId="0" applyNumberFormat="1" applyFont="1" applyFill="1" applyAlignment="1">
      <alignment vertical="center"/>
    </xf>
    <xf numFmtId="3" fontId="16" fillId="2" borderId="2" xfId="1" applyNumberFormat="1" applyFont="1" applyFill="1" applyBorder="1" applyAlignment="1">
      <alignment vertical="center"/>
    </xf>
    <xf numFmtId="4" fontId="16" fillId="2" borderId="0" xfId="0" applyNumberFormat="1" applyFont="1" applyFill="1" applyAlignment="1">
      <alignment vertical="center"/>
    </xf>
    <xf numFmtId="169" fontId="16" fillId="2" borderId="0" xfId="1" applyNumberFormat="1" applyFont="1" applyFill="1" applyBorder="1" applyAlignment="1">
      <alignment vertical="center"/>
    </xf>
    <xf numFmtId="169" fontId="16" fillId="2" borderId="2" xfId="1" applyNumberFormat="1" applyFont="1" applyFill="1" applyBorder="1" applyAlignment="1">
      <alignment vertical="center"/>
    </xf>
    <xf numFmtId="169" fontId="16" fillId="6" borderId="0" xfId="1" applyNumberFormat="1" applyFont="1" applyFill="1" applyBorder="1" applyAlignment="1">
      <alignment vertical="center"/>
    </xf>
    <xf numFmtId="0" fontId="11" fillId="2" borderId="11" xfId="0" applyFont="1" applyFill="1" applyBorder="1" applyAlignment="1">
      <alignment vertical="center"/>
    </xf>
    <xf numFmtId="10" fontId="13" fillId="2" borderId="0" xfId="1" applyNumberFormat="1" applyFont="1" applyFill="1" applyBorder="1" applyAlignment="1">
      <alignment vertical="center"/>
    </xf>
    <xf numFmtId="167" fontId="13" fillId="2" borderId="0" xfId="1" applyNumberFormat="1" applyFont="1" applyFill="1" applyBorder="1" applyAlignment="1">
      <alignment vertical="center"/>
    </xf>
    <xf numFmtId="170" fontId="11" fillId="2" borderId="0" xfId="1" applyNumberFormat="1" applyFont="1" applyFill="1" applyBorder="1"/>
    <xf numFmtId="10" fontId="11" fillId="2" borderId="0" xfId="2" applyNumberFormat="1" applyFont="1" applyFill="1" applyBorder="1"/>
    <xf numFmtId="10" fontId="11" fillId="8" borderId="0" xfId="2" applyNumberFormat="1" applyFont="1" applyFill="1" applyBorder="1" applyAlignment="1">
      <alignment vertical="center"/>
    </xf>
    <xf numFmtId="9" fontId="11" fillId="6" borderId="0" xfId="2" applyFont="1" applyFill="1" applyBorder="1" applyAlignment="1">
      <alignment vertical="center"/>
    </xf>
    <xf numFmtId="0" fontId="10" fillId="2" borderId="0" xfId="1" applyNumberFormat="1" applyFont="1" applyFill="1" applyBorder="1" applyAlignment="1">
      <alignment horizontal="center"/>
    </xf>
    <xf numFmtId="171" fontId="11" fillId="2" borderId="0" xfId="0" applyNumberFormat="1" applyFont="1" applyFill="1"/>
    <xf numFmtId="10" fontId="19" fillId="2" borderId="0" xfId="2" applyNumberFormat="1" applyFont="1" applyFill="1" applyBorder="1" applyAlignment="1">
      <alignment vertical="center"/>
    </xf>
    <xf numFmtId="10" fontId="19" fillId="6" borderId="0" xfId="2" applyNumberFormat="1" applyFont="1" applyFill="1" applyBorder="1" applyAlignment="1">
      <alignment vertical="center"/>
    </xf>
    <xf numFmtId="164" fontId="11" fillId="2" borderId="7" xfId="1" applyNumberFormat="1" applyFont="1" applyFill="1" applyBorder="1"/>
    <xf numFmtId="3" fontId="11" fillId="2" borderId="7" xfId="1" applyNumberFormat="1" applyFont="1" applyFill="1" applyBorder="1"/>
    <xf numFmtId="3" fontId="11" fillId="6" borderId="7" xfId="1" applyNumberFormat="1" applyFont="1" applyFill="1" applyBorder="1"/>
    <xf numFmtId="0" fontId="15" fillId="2" borderId="0" xfId="1" applyNumberFormat="1" applyFont="1" applyFill="1" applyBorder="1" applyAlignment="1">
      <alignment horizontal="left" indent="2"/>
    </xf>
    <xf numFmtId="9" fontId="15" fillId="2" borderId="0" xfId="2" applyFont="1" applyFill="1" applyBorder="1"/>
    <xf numFmtId="2" fontId="11" fillId="2" borderId="0" xfId="0" applyNumberFormat="1" applyFont="1" applyFill="1"/>
    <xf numFmtId="0" fontId="11" fillId="2" borderId="0" xfId="0" applyFont="1" applyFill="1" applyAlignment="1">
      <alignment vertical="center" wrapText="1"/>
    </xf>
    <xf numFmtId="10" fontId="11" fillId="8" borderId="0" xfId="2" applyNumberFormat="1" applyFont="1" applyFill="1" applyBorder="1"/>
    <xf numFmtId="168" fontId="11" fillId="8" borderId="0" xfId="2" applyNumberFormat="1" applyFont="1" applyFill="1" applyBorder="1"/>
    <xf numFmtId="0" fontId="11" fillId="2" borderId="11" xfId="2" applyNumberFormat="1" applyFont="1" applyFill="1" applyBorder="1" applyAlignment="1">
      <alignment vertical="center" wrapText="1"/>
    </xf>
    <xf numFmtId="167" fontId="13" fillId="2" borderId="7" xfId="1" applyNumberFormat="1" applyFont="1" applyFill="1" applyBorder="1"/>
    <xf numFmtId="167" fontId="13" fillId="2" borderId="0" xfId="1" applyNumberFormat="1" applyFont="1" applyFill="1" applyBorder="1"/>
    <xf numFmtId="170" fontId="13" fillId="2" borderId="0" xfId="1" applyNumberFormat="1" applyFont="1" applyFill="1" applyBorder="1"/>
    <xf numFmtId="0" fontId="15" fillId="2" borderId="0" xfId="1" applyNumberFormat="1" applyFont="1" applyFill="1" applyBorder="1" applyAlignment="1">
      <alignment horizontal="center"/>
    </xf>
    <xf numFmtId="0" fontId="15" fillId="2" borderId="0" xfId="1" applyNumberFormat="1" applyFont="1" applyFill="1" applyBorder="1"/>
    <xf numFmtId="167" fontId="15" fillId="2" borderId="0" xfId="1" applyNumberFormat="1" applyFont="1" applyFill="1" applyBorder="1"/>
    <xf numFmtId="3" fontId="15" fillId="2" borderId="0" xfId="1" applyNumberFormat="1" applyFont="1" applyFill="1" applyBorder="1"/>
    <xf numFmtId="9" fontId="15" fillId="6" borderId="0" xfId="2" applyFont="1" applyFill="1" applyBorder="1"/>
    <xf numFmtId="0" fontId="15" fillId="2" borderId="0" xfId="1" applyNumberFormat="1" applyFont="1" applyFill="1" applyBorder="1" applyAlignment="1">
      <alignment vertical="center"/>
    </xf>
    <xf numFmtId="170" fontId="15" fillId="2" borderId="0" xfId="1" applyNumberFormat="1" applyFont="1" applyFill="1" applyBorder="1"/>
    <xf numFmtId="0" fontId="23" fillId="2" borderId="0" xfId="2" applyNumberFormat="1" applyFont="1" applyFill="1" applyBorder="1" applyAlignment="1">
      <alignment horizontal="center"/>
    </xf>
    <xf numFmtId="0" fontId="23" fillId="2" borderId="0" xfId="2" applyNumberFormat="1" applyFont="1" applyFill="1" applyBorder="1"/>
    <xf numFmtId="167" fontId="23" fillId="2" borderId="0" xfId="2" applyNumberFormat="1" applyFont="1" applyFill="1" applyBorder="1"/>
    <xf numFmtId="3" fontId="23" fillId="2" borderId="0" xfId="2" applyNumberFormat="1" applyFont="1" applyFill="1" applyBorder="1"/>
    <xf numFmtId="4" fontId="23" fillId="2" borderId="0" xfId="2" applyNumberFormat="1" applyFont="1" applyFill="1" applyBorder="1"/>
    <xf numFmtId="0" fontId="23" fillId="2" borderId="0" xfId="2" applyNumberFormat="1" applyFont="1" applyFill="1" applyBorder="1" applyAlignment="1">
      <alignment vertical="center"/>
    </xf>
    <xf numFmtId="168" fontId="23" fillId="2" borderId="0" xfId="2" applyNumberFormat="1" applyFont="1" applyFill="1" applyBorder="1"/>
    <xf numFmtId="167" fontId="13" fillId="2" borderId="2" xfId="1" applyNumberFormat="1" applyFont="1" applyFill="1" applyBorder="1"/>
    <xf numFmtId="167" fontId="11" fillId="2" borderId="2" xfId="0" applyNumberFormat="1" applyFont="1" applyFill="1" applyBorder="1" applyAlignment="1">
      <alignment vertical="center"/>
    </xf>
    <xf numFmtId="3" fontId="11" fillId="2" borderId="2" xfId="1" applyNumberFormat="1" applyFont="1" applyFill="1" applyBorder="1" applyAlignment="1">
      <alignment vertical="center"/>
    </xf>
    <xf numFmtId="0" fontId="24" fillId="2" borderId="0" xfId="0" applyFont="1" applyFill="1" applyAlignment="1">
      <alignment horizontal="center"/>
    </xf>
    <xf numFmtId="0" fontId="13" fillId="2" borderId="0" xfId="0" applyFont="1" applyFill="1" applyAlignment="1">
      <alignment vertical="center"/>
    </xf>
    <xf numFmtId="3" fontId="11" fillId="2" borderId="2" xfId="0" applyNumberFormat="1" applyFont="1" applyFill="1" applyBorder="1"/>
    <xf numFmtId="3" fontId="13" fillId="2" borderId="7" xfId="0" applyNumberFormat="1" applyFont="1" applyFill="1" applyBorder="1" applyAlignment="1">
      <alignment vertical="center"/>
    </xf>
    <xf numFmtId="3" fontId="13" fillId="2" borderId="8" xfId="0" applyNumberFormat="1" applyFont="1" applyFill="1" applyBorder="1" applyAlignment="1">
      <alignment vertical="center"/>
    </xf>
    <xf numFmtId="3" fontId="13" fillId="6" borderId="7" xfId="0" applyNumberFormat="1" applyFont="1" applyFill="1" applyBorder="1" applyAlignment="1">
      <alignment vertical="center"/>
    </xf>
    <xf numFmtId="167" fontId="13" fillId="2" borderId="7" xfId="0" applyNumberFormat="1" applyFont="1" applyFill="1" applyBorder="1" applyAlignment="1">
      <alignment vertical="center"/>
    </xf>
    <xf numFmtId="0" fontId="13" fillId="2" borderId="7" xfId="0" applyFont="1" applyFill="1" applyBorder="1" applyAlignment="1">
      <alignment vertical="center"/>
    </xf>
    <xf numFmtId="0" fontId="13" fillId="2" borderId="0" xfId="0" applyFont="1" applyFill="1" applyAlignment="1">
      <alignment horizontal="left" indent="2"/>
    </xf>
    <xf numFmtId="3" fontId="13" fillId="2" borderId="0" xfId="1" applyNumberFormat="1" applyFont="1" applyFill="1" applyBorder="1" applyAlignment="1">
      <alignment horizontal="center" vertical="center"/>
    </xf>
    <xf numFmtId="3" fontId="13" fillId="2" borderId="0" xfId="1" applyNumberFormat="1" applyFont="1" applyFill="1" applyBorder="1" applyAlignment="1">
      <alignment horizontal="right" vertical="center"/>
    </xf>
    <xf numFmtId="166" fontId="13" fillId="2" borderId="0" xfId="1" applyNumberFormat="1" applyFont="1" applyFill="1" applyBorder="1" applyAlignment="1">
      <alignment horizontal="right" vertical="center"/>
    </xf>
    <xf numFmtId="3" fontId="13" fillId="6" borderId="0" xfId="1" applyNumberFormat="1" applyFont="1" applyFill="1" applyBorder="1" applyAlignment="1">
      <alignment horizontal="right" vertical="center"/>
    </xf>
    <xf numFmtId="0" fontId="13" fillId="2" borderId="0" xfId="0" applyFont="1" applyFill="1" applyAlignment="1">
      <alignment horizontal="center" vertical="center"/>
    </xf>
    <xf numFmtId="0" fontId="25" fillId="2" borderId="0" xfId="0" applyFont="1" applyFill="1" applyAlignment="1">
      <alignment horizontal="center"/>
    </xf>
    <xf numFmtId="0" fontId="25" fillId="2" borderId="0" xfId="0" applyFont="1" applyFill="1" applyAlignment="1">
      <alignment horizontal="left" indent="2"/>
    </xf>
    <xf numFmtId="0" fontId="25" fillId="2" borderId="0" xfId="0" applyFont="1" applyFill="1"/>
    <xf numFmtId="167" fontId="25" fillId="2" borderId="0" xfId="0" applyNumberFormat="1" applyFont="1" applyFill="1"/>
    <xf numFmtId="9" fontId="25" fillId="2" borderId="0" xfId="2" applyFont="1" applyFill="1" applyBorder="1" applyAlignment="1">
      <alignment vertical="center"/>
    </xf>
    <xf numFmtId="9" fontId="25" fillId="2" borderId="2" xfId="2" applyFont="1" applyFill="1" applyBorder="1" applyAlignment="1">
      <alignment vertical="center"/>
    </xf>
    <xf numFmtId="167" fontId="25" fillId="2" borderId="0" xfId="0" applyNumberFormat="1" applyFont="1" applyFill="1" applyAlignment="1">
      <alignment vertical="center"/>
    </xf>
    <xf numFmtId="0" fontId="25" fillId="2" borderId="0" xfId="0" applyFont="1" applyFill="1" applyAlignment="1">
      <alignment vertical="center"/>
    </xf>
    <xf numFmtId="0" fontId="11" fillId="2" borderId="0" xfId="2" applyNumberFormat="1" applyFont="1" applyFill="1" applyBorder="1" applyAlignment="1">
      <alignment vertical="center" wrapText="1"/>
    </xf>
    <xf numFmtId="9" fontId="11" fillId="8" borderId="0" xfId="2" applyFont="1" applyFill="1" applyBorder="1" applyAlignment="1">
      <alignment vertical="center"/>
    </xf>
    <xf numFmtId="167" fontId="11" fillId="2" borderId="2" xfId="1" applyNumberFormat="1" applyFont="1" applyFill="1" applyBorder="1" applyAlignment="1">
      <alignment vertical="center"/>
    </xf>
    <xf numFmtId="167" fontId="11" fillId="6" borderId="0" xfId="1" applyNumberFormat="1" applyFont="1" applyFill="1" applyBorder="1" applyAlignment="1">
      <alignment vertical="center"/>
    </xf>
    <xf numFmtId="167" fontId="13" fillId="2" borderId="8" xfId="0" applyNumberFormat="1" applyFont="1" applyFill="1" applyBorder="1" applyAlignment="1">
      <alignment vertical="center"/>
    </xf>
    <xf numFmtId="167" fontId="13" fillId="6" borderId="7" xfId="0" applyNumberFormat="1" applyFont="1" applyFill="1" applyBorder="1" applyAlignment="1">
      <alignment vertical="center"/>
    </xf>
    <xf numFmtId="0" fontId="11" fillId="2" borderId="7" xfId="0" applyFont="1" applyFill="1" applyBorder="1" applyAlignment="1">
      <alignment vertical="center"/>
    </xf>
    <xf numFmtId="167" fontId="11" fillId="6" borderId="0" xfId="0" applyNumberFormat="1" applyFont="1" applyFill="1" applyAlignment="1">
      <alignment vertical="center"/>
    </xf>
    <xf numFmtId="167" fontId="13" fillId="2" borderId="8" xfId="1" applyNumberFormat="1" applyFont="1" applyFill="1" applyBorder="1" applyAlignment="1">
      <alignment vertical="center"/>
    </xf>
    <xf numFmtId="167" fontId="13" fillId="6" borderId="7" xfId="1" applyNumberFormat="1" applyFont="1" applyFill="1" applyBorder="1" applyAlignment="1">
      <alignment vertical="center"/>
    </xf>
    <xf numFmtId="167" fontId="13" fillId="2" borderId="2" xfId="1" applyNumberFormat="1" applyFont="1" applyFill="1" applyBorder="1" applyAlignment="1">
      <alignment vertical="center"/>
    </xf>
    <xf numFmtId="168" fontId="11" fillId="8" borderId="0" xfId="2" applyNumberFormat="1" applyFont="1" applyFill="1" applyBorder="1" applyAlignment="1">
      <alignment vertical="center"/>
    </xf>
    <xf numFmtId="4" fontId="13" fillId="2" borderId="7" xfId="0" applyNumberFormat="1" applyFont="1" applyFill="1" applyBorder="1" applyAlignment="1">
      <alignment vertical="center"/>
    </xf>
    <xf numFmtId="4" fontId="13" fillId="6" borderId="7" xfId="0" applyNumberFormat="1" applyFont="1" applyFill="1" applyBorder="1" applyAlignment="1">
      <alignment vertical="center"/>
    </xf>
    <xf numFmtId="0" fontId="11" fillId="2" borderId="7" xfId="2" applyNumberFormat="1" applyFont="1" applyFill="1" applyBorder="1" applyAlignment="1">
      <alignment vertical="center" wrapText="1"/>
    </xf>
    <xf numFmtId="167" fontId="13" fillId="2" borderId="2" xfId="0" applyNumberFormat="1" applyFont="1" applyFill="1" applyBorder="1" applyAlignment="1">
      <alignment vertical="center"/>
    </xf>
    <xf numFmtId="0" fontId="11" fillId="2" borderId="0" xfId="2" applyNumberFormat="1" applyFont="1" applyFill="1" applyBorder="1" applyAlignment="1">
      <alignment horizontal="left" vertical="center" wrapText="1"/>
    </xf>
    <xf numFmtId="3" fontId="13" fillId="2" borderId="8" xfId="1" applyNumberFormat="1" applyFont="1" applyFill="1" applyBorder="1" applyAlignment="1">
      <alignment vertical="center"/>
    </xf>
    <xf numFmtId="3" fontId="19" fillId="2" borderId="0" xfId="1" applyNumberFormat="1" applyFont="1" applyFill="1" applyBorder="1" applyAlignment="1">
      <alignment vertical="center"/>
    </xf>
    <xf numFmtId="4" fontId="19" fillId="2" borderId="0" xfId="1" applyNumberFormat="1" applyFont="1" applyFill="1" applyBorder="1" applyAlignment="1">
      <alignment vertical="center"/>
    </xf>
    <xf numFmtId="4" fontId="19" fillId="6" borderId="0" xfId="1" applyNumberFormat="1" applyFont="1" applyFill="1" applyBorder="1" applyAlignment="1">
      <alignment vertical="center"/>
    </xf>
    <xf numFmtId="167" fontId="19" fillId="2" borderId="0" xfId="1" applyNumberFormat="1" applyFont="1" applyFill="1" applyBorder="1" applyAlignment="1">
      <alignment vertical="center"/>
    </xf>
    <xf numFmtId="167" fontId="19" fillId="2" borderId="0" xfId="0" applyNumberFormat="1" applyFont="1" applyFill="1" applyAlignment="1">
      <alignment horizontal="right"/>
    </xf>
    <xf numFmtId="10" fontId="25" fillId="2" borderId="0" xfId="2" applyNumberFormat="1" applyFont="1" applyFill="1" applyBorder="1" applyAlignment="1">
      <alignment vertical="center"/>
    </xf>
    <xf numFmtId="167" fontId="13" fillId="2" borderId="0" xfId="0" applyNumberFormat="1" applyFont="1" applyFill="1" applyAlignment="1">
      <alignment horizontal="right" vertical="center"/>
    </xf>
    <xf numFmtId="167" fontId="13" fillId="2" borderId="2" xfId="0" applyNumberFormat="1" applyFont="1" applyFill="1" applyBorder="1" applyAlignment="1">
      <alignment horizontal="right" vertical="center"/>
    </xf>
    <xf numFmtId="2" fontId="13" fillId="2" borderId="0" xfId="0" applyNumberFormat="1" applyFont="1" applyFill="1" applyAlignment="1">
      <alignment horizontal="right" vertical="center"/>
    </xf>
    <xf numFmtId="0" fontId="18" fillId="10" borderId="12" xfId="0" applyFont="1" applyFill="1" applyBorder="1" applyAlignment="1">
      <alignment horizontal="center" vertical="center"/>
    </xf>
    <xf numFmtId="167" fontId="13" fillId="2" borderId="12" xfId="0" applyNumberFormat="1" applyFont="1" applyFill="1" applyBorder="1"/>
    <xf numFmtId="167" fontId="13" fillId="2" borderId="12" xfId="0" applyNumberFormat="1" applyFont="1" applyFill="1" applyBorder="1" applyAlignment="1">
      <alignment vertical="center"/>
    </xf>
    <xf numFmtId="167" fontId="13" fillId="2" borderId="13" xfId="0" applyNumberFormat="1" applyFont="1" applyFill="1" applyBorder="1" applyAlignment="1">
      <alignment vertical="center"/>
    </xf>
    <xf numFmtId="167" fontId="18" fillId="2" borderId="12" xfId="0" applyNumberFormat="1" applyFont="1" applyFill="1" applyBorder="1" applyAlignment="1">
      <alignment vertical="center"/>
    </xf>
    <xf numFmtId="0" fontId="11" fillId="2" borderId="12" xfId="0" applyFont="1" applyFill="1" applyBorder="1" applyAlignment="1">
      <alignment horizontal="center" vertical="center"/>
    </xf>
    <xf numFmtId="0" fontId="26" fillId="2" borderId="0" xfId="0" applyFont="1" applyFill="1"/>
    <xf numFmtId="167" fontId="11" fillId="2" borderId="14" xfId="0" applyNumberFormat="1" applyFont="1" applyFill="1" applyBorder="1"/>
    <xf numFmtId="0" fontId="12" fillId="12" borderId="0" xfId="1" applyNumberFormat="1" applyFont="1" applyFill="1" applyBorder="1"/>
    <xf numFmtId="164" fontId="11" fillId="11" borderId="15" xfId="1" applyNumberFormat="1" applyFont="1" applyFill="1" applyBorder="1"/>
    <xf numFmtId="9" fontId="12" fillId="12" borderId="0" xfId="2" applyFont="1" applyFill="1" applyBorder="1" applyAlignment="1">
      <alignment horizontal="left" indent="2"/>
    </xf>
    <xf numFmtId="9" fontId="21" fillId="2" borderId="16" xfId="2" applyFont="1" applyFill="1" applyBorder="1"/>
    <xf numFmtId="0" fontId="27" fillId="2" borderId="0" xfId="2" applyNumberFormat="1" applyFont="1" applyFill="1" applyBorder="1" applyAlignment="1">
      <alignment vertical="center"/>
    </xf>
    <xf numFmtId="0" fontId="12" fillId="12" borderId="0" xfId="0" applyFont="1" applyFill="1" applyAlignment="1">
      <alignment horizontal="left" indent="2"/>
    </xf>
    <xf numFmtId="167" fontId="21" fillId="2" borderId="0" xfId="0" applyNumberFormat="1" applyFont="1" applyFill="1"/>
    <xf numFmtId="4" fontId="18" fillId="12" borderId="7" xfId="1" applyNumberFormat="1" applyFont="1" applyFill="1" applyBorder="1"/>
    <xf numFmtId="4" fontId="18" fillId="12" borderId="8" xfId="1" applyNumberFormat="1" applyFont="1" applyFill="1" applyBorder="1"/>
    <xf numFmtId="4" fontId="21" fillId="2" borderId="0" xfId="0" applyNumberFormat="1" applyFont="1" applyFill="1" applyAlignment="1">
      <alignment vertical="center"/>
    </xf>
    <xf numFmtId="9" fontId="11" fillId="2" borderId="0" xfId="2" applyFont="1" applyFill="1" applyBorder="1" applyAlignment="1">
      <alignment horizontal="right" vertical="center"/>
    </xf>
    <xf numFmtId="10" fontId="11" fillId="2" borderId="0" xfId="2" applyNumberFormat="1" applyFont="1" applyFill="1" applyBorder="1" applyAlignment="1">
      <alignment horizontal="right" vertical="center"/>
    </xf>
    <xf numFmtId="10" fontId="11" fillId="2" borderId="2" xfId="2" applyNumberFormat="1" applyFont="1" applyFill="1" applyBorder="1" applyAlignment="1">
      <alignment vertical="center"/>
    </xf>
    <xf numFmtId="2" fontId="11" fillId="2" borderId="0" xfId="2" applyNumberFormat="1" applyFont="1" applyFill="1" applyBorder="1" applyAlignment="1">
      <alignment vertical="center"/>
    </xf>
    <xf numFmtId="2" fontId="11" fillId="2" borderId="2" xfId="2" applyNumberFormat="1" applyFont="1" applyFill="1" applyBorder="1" applyAlignment="1">
      <alignment vertical="center"/>
    </xf>
    <xf numFmtId="2" fontId="11" fillId="6" borderId="0" xfId="2" applyNumberFormat="1" applyFont="1" applyFill="1" applyBorder="1" applyAlignment="1">
      <alignment vertical="center"/>
    </xf>
    <xf numFmtId="4" fontId="13" fillId="2" borderId="0" xfId="1" applyNumberFormat="1" applyFont="1" applyFill="1" applyBorder="1"/>
    <xf numFmtId="4" fontId="13" fillId="6" borderId="0" xfId="1" applyNumberFormat="1" applyFont="1" applyFill="1" applyBorder="1"/>
    <xf numFmtId="3" fontId="13" fillId="6" borderId="0" xfId="1" applyNumberFormat="1" applyFont="1" applyFill="1" applyBorder="1"/>
    <xf numFmtId="4" fontId="12" fillId="13" borderId="0" xfId="0" applyNumberFormat="1" applyFont="1" applyFill="1" applyAlignment="1">
      <alignment vertical="center"/>
    </xf>
    <xf numFmtId="9" fontId="11" fillId="2" borderId="2" xfId="2" applyFont="1" applyFill="1" applyBorder="1" applyAlignment="1">
      <alignment vertical="center"/>
    </xf>
    <xf numFmtId="0" fontId="11" fillId="2" borderId="0" xfId="1" applyNumberFormat="1" applyFont="1" applyFill="1" applyBorder="1" applyAlignment="1">
      <alignment vertical="center" wrapText="1"/>
    </xf>
    <xf numFmtId="9" fontId="16" fillId="2" borderId="0" xfId="2" applyFont="1" applyFill="1" applyBorder="1" applyAlignment="1">
      <alignment horizontal="center"/>
    </xf>
    <xf numFmtId="9" fontId="16" fillId="2" borderId="0" xfId="2" applyFont="1" applyFill="1" applyBorder="1" applyAlignment="1">
      <alignment horizontal="left" indent="5"/>
    </xf>
    <xf numFmtId="9" fontId="16" fillId="2" borderId="0" xfId="2" applyFont="1" applyFill="1" applyBorder="1" applyAlignment="1">
      <alignment vertical="center"/>
    </xf>
    <xf numFmtId="10" fontId="16" fillId="2" borderId="2" xfId="2" applyNumberFormat="1" applyFont="1" applyFill="1" applyBorder="1" applyAlignment="1">
      <alignment vertical="center"/>
    </xf>
    <xf numFmtId="10" fontId="16" fillId="6" borderId="0" xfId="2" applyNumberFormat="1" applyFont="1" applyFill="1" applyBorder="1" applyAlignment="1">
      <alignment vertical="center"/>
    </xf>
    <xf numFmtId="9" fontId="16" fillId="6" borderId="0" xfId="2" applyFont="1" applyFill="1" applyBorder="1" applyAlignment="1">
      <alignment vertical="center"/>
    </xf>
    <xf numFmtId="3" fontId="16" fillId="2" borderId="2" xfId="0" applyNumberFormat="1" applyFont="1" applyFill="1" applyBorder="1" applyAlignment="1">
      <alignment vertical="center"/>
    </xf>
    <xf numFmtId="4" fontId="16" fillId="6" borderId="0" xfId="0" applyNumberFormat="1" applyFont="1" applyFill="1" applyAlignment="1">
      <alignment vertical="center"/>
    </xf>
    <xf numFmtId="3" fontId="16" fillId="6" borderId="0" xfId="0" applyNumberFormat="1" applyFont="1" applyFill="1" applyAlignment="1">
      <alignment vertical="center"/>
    </xf>
    <xf numFmtId="167" fontId="16" fillId="2" borderId="0" xfId="0" applyNumberFormat="1" applyFont="1" applyFill="1" applyAlignment="1">
      <alignment vertical="center"/>
    </xf>
    <xf numFmtId="0" fontId="11" fillId="2" borderId="2" xfId="0" applyFont="1" applyFill="1" applyBorder="1" applyAlignment="1">
      <alignment vertical="center"/>
    </xf>
    <xf numFmtId="0" fontId="28" fillId="2" borderId="0" xfId="1" applyNumberFormat="1" applyFont="1" applyFill="1" applyBorder="1"/>
    <xf numFmtId="164" fontId="20" fillId="2" borderId="0" xfId="1" applyNumberFormat="1" applyFont="1" applyFill="1" applyBorder="1"/>
    <xf numFmtId="3" fontId="20" fillId="2" borderId="0" xfId="1" applyNumberFormat="1" applyFont="1" applyFill="1" applyBorder="1"/>
    <xf numFmtId="4" fontId="20" fillId="2" borderId="0" xfId="1" applyNumberFormat="1" applyFont="1" applyFill="1" applyBorder="1"/>
    <xf numFmtId="167" fontId="16" fillId="2" borderId="0" xfId="2" applyNumberFormat="1" applyFont="1" applyFill="1" applyBorder="1"/>
    <xf numFmtId="3" fontId="16" fillId="2" borderId="0" xfId="2" applyNumberFormat="1" applyFont="1" applyFill="1" applyBorder="1"/>
    <xf numFmtId="3" fontId="16" fillId="8" borderId="0" xfId="0" applyNumberFormat="1" applyFont="1" applyFill="1" applyAlignment="1">
      <alignment vertical="center"/>
    </xf>
    <xf numFmtId="0" fontId="16" fillId="2" borderId="0" xfId="2" applyNumberFormat="1" applyFont="1" applyFill="1" applyBorder="1" applyAlignment="1">
      <alignment vertical="center"/>
    </xf>
    <xf numFmtId="10" fontId="16" fillId="2" borderId="0" xfId="2" applyNumberFormat="1" applyFont="1" applyFill="1" applyBorder="1"/>
    <xf numFmtId="10" fontId="16" fillId="8" borderId="0" xfId="2" applyNumberFormat="1" applyFont="1" applyFill="1" applyBorder="1" applyAlignment="1">
      <alignment vertical="center"/>
    </xf>
    <xf numFmtId="9" fontId="16" fillId="8" borderId="0" xfId="2" applyFont="1" applyFill="1" applyBorder="1" applyAlignment="1">
      <alignment vertical="center"/>
    </xf>
    <xf numFmtId="10" fontId="22" fillId="8" borderId="0" xfId="2" applyNumberFormat="1" applyFont="1" applyFill="1" applyBorder="1" applyAlignment="1">
      <alignment vertical="center"/>
    </xf>
    <xf numFmtId="10" fontId="11" fillId="2" borderId="0" xfId="0" applyNumberFormat="1" applyFont="1" applyFill="1" applyAlignment="1">
      <alignment vertical="center" wrapText="1"/>
    </xf>
    <xf numFmtId="0" fontId="11" fillId="2" borderId="11" xfId="0" applyFont="1" applyFill="1" applyBorder="1" applyAlignment="1">
      <alignment vertical="center" wrapText="1"/>
    </xf>
    <xf numFmtId="0" fontId="10" fillId="2" borderId="0" xfId="1" applyNumberFormat="1" applyFont="1" applyFill="1" applyBorder="1" applyAlignment="1">
      <alignment horizontal="center" vertical="center"/>
    </xf>
    <xf numFmtId="9" fontId="15" fillId="2" borderId="0" xfId="2" applyFont="1" applyFill="1" applyBorder="1" applyAlignment="1">
      <alignment horizontal="center"/>
    </xf>
    <xf numFmtId="9" fontId="15" fillId="2" borderId="0" xfId="2" applyFont="1" applyFill="1" applyBorder="1" applyAlignment="1">
      <alignment horizontal="left" indent="2"/>
    </xf>
    <xf numFmtId="10" fontId="15" fillId="2" borderId="0" xfId="2" applyNumberFormat="1" applyFont="1" applyFill="1" applyBorder="1"/>
    <xf numFmtId="10" fontId="15" fillId="6" borderId="0" xfId="2" applyNumberFormat="1" applyFont="1" applyFill="1" applyBorder="1"/>
    <xf numFmtId="9" fontId="15" fillId="2" borderId="0" xfId="2" applyFont="1" applyFill="1" applyBorder="1" applyAlignment="1">
      <alignment vertical="center"/>
    </xf>
    <xf numFmtId="0" fontId="15" fillId="2" borderId="0" xfId="2" applyNumberFormat="1" applyFont="1" applyFill="1" applyBorder="1" applyAlignment="1">
      <alignment vertical="center" wrapText="1"/>
    </xf>
    <xf numFmtId="0" fontId="15" fillId="2" borderId="0" xfId="0" applyFont="1" applyFill="1" applyAlignment="1">
      <alignment horizontal="left" indent="2"/>
    </xf>
    <xf numFmtId="167" fontId="15" fillId="2" borderId="0" xfId="0" applyNumberFormat="1" applyFont="1" applyFill="1"/>
    <xf numFmtId="3" fontId="15" fillId="8" borderId="0" xfId="0" applyNumberFormat="1" applyFont="1" applyFill="1"/>
    <xf numFmtId="3" fontId="15" fillId="2" borderId="0" xfId="0" applyNumberFormat="1" applyFont="1" applyFill="1" applyAlignment="1">
      <alignment vertical="center" wrapText="1"/>
    </xf>
    <xf numFmtId="0" fontId="10" fillId="2" borderId="0" xfId="1" applyNumberFormat="1" applyFont="1" applyFill="1" applyBorder="1"/>
    <xf numFmtId="0" fontId="13" fillId="2" borderId="7" xfId="1" applyNumberFormat="1" applyFont="1" applyFill="1" applyBorder="1" applyAlignment="1">
      <alignment vertical="center"/>
    </xf>
    <xf numFmtId="0" fontId="23" fillId="2" borderId="0" xfId="0" applyFont="1" applyFill="1" applyAlignment="1">
      <alignment horizontal="center"/>
    </xf>
    <xf numFmtId="0" fontId="23" fillId="2" borderId="0" xfId="0" applyFont="1" applyFill="1"/>
    <xf numFmtId="167" fontId="23" fillId="2" borderId="0" xfId="0" applyNumberFormat="1" applyFont="1" applyFill="1"/>
    <xf numFmtId="3" fontId="23" fillId="2" borderId="0" xfId="0" applyNumberFormat="1" applyFont="1" applyFill="1"/>
    <xf numFmtId="4" fontId="23" fillId="2" borderId="0" xfId="0" applyNumberFormat="1" applyFont="1" applyFill="1"/>
    <xf numFmtId="0" fontId="23" fillId="2" borderId="0" xfId="0" applyFont="1" applyFill="1" applyAlignment="1">
      <alignment vertical="center"/>
    </xf>
    <xf numFmtId="9" fontId="13" fillId="2" borderId="0" xfId="2" applyFont="1" applyFill="1" applyBorder="1" applyAlignment="1">
      <alignment horizontal="center"/>
    </xf>
    <xf numFmtId="9" fontId="13" fillId="2" borderId="0" xfId="2" applyFont="1" applyFill="1" applyBorder="1"/>
    <xf numFmtId="9" fontId="13" fillId="2" borderId="11" xfId="2" applyFont="1" applyFill="1" applyBorder="1"/>
    <xf numFmtId="9" fontId="13" fillId="2" borderId="0" xfId="2" applyFont="1" applyFill="1" applyBorder="1" applyAlignment="1">
      <alignment vertical="center"/>
    </xf>
    <xf numFmtId="9" fontId="13" fillId="2" borderId="2" xfId="2" applyFont="1" applyFill="1" applyBorder="1" applyAlignment="1">
      <alignment vertical="center"/>
    </xf>
    <xf numFmtId="9" fontId="13" fillId="6" borderId="0" xfId="2" applyFont="1" applyFill="1" applyBorder="1" applyAlignment="1">
      <alignment vertical="center"/>
    </xf>
    <xf numFmtId="168" fontId="16" fillId="2" borderId="0" xfId="2" applyNumberFormat="1" applyFont="1" applyFill="1" applyBorder="1"/>
    <xf numFmtId="10" fontId="16" fillId="6" borderId="0" xfId="2" applyNumberFormat="1" applyFont="1" applyFill="1" applyBorder="1"/>
    <xf numFmtId="9" fontId="16" fillId="6" borderId="0" xfId="2" applyFont="1" applyFill="1" applyBorder="1"/>
    <xf numFmtId="3" fontId="11" fillId="2" borderId="6" xfId="0" applyNumberFormat="1" applyFont="1" applyFill="1" applyBorder="1" applyAlignment="1">
      <alignment vertical="center"/>
    </xf>
    <xf numFmtId="3" fontId="6" fillId="2" borderId="0" xfId="0" applyNumberFormat="1" applyFont="1" applyFill="1" applyAlignment="1">
      <alignment vertical="center"/>
    </xf>
    <xf numFmtId="3" fontId="6" fillId="2" borderId="2" xfId="0" applyNumberFormat="1" applyFont="1" applyFill="1" applyBorder="1" applyAlignment="1">
      <alignment vertical="center"/>
    </xf>
    <xf numFmtId="4" fontId="6" fillId="6" borderId="0" xfId="0" applyNumberFormat="1" applyFont="1" applyFill="1" applyAlignment="1">
      <alignment vertical="center"/>
    </xf>
    <xf numFmtId="3" fontId="6" fillId="6" borderId="0" xfId="0" applyNumberFormat="1" applyFont="1" applyFill="1" applyAlignment="1">
      <alignment vertical="center"/>
    </xf>
    <xf numFmtId="170" fontId="13" fillId="2" borderId="7" xfId="1" applyNumberFormat="1" applyFont="1" applyFill="1" applyBorder="1"/>
    <xf numFmtId="170" fontId="13" fillId="2" borderId="7" xfId="1" applyNumberFormat="1" applyFont="1" applyFill="1" applyBorder="1" applyAlignment="1">
      <alignment vertical="center"/>
    </xf>
    <xf numFmtId="0" fontId="13" fillId="2" borderId="0" xfId="1" applyNumberFormat="1" applyFont="1" applyFill="1" applyBorder="1" applyAlignment="1">
      <alignment vertical="center"/>
    </xf>
    <xf numFmtId="0" fontId="13" fillId="2" borderId="17" xfId="1" applyNumberFormat="1" applyFont="1" applyFill="1" applyBorder="1"/>
    <xf numFmtId="164" fontId="13" fillId="2" borderId="17" xfId="1" applyNumberFormat="1" applyFont="1" applyFill="1" applyBorder="1"/>
    <xf numFmtId="3" fontId="13" fillId="2" borderId="17" xfId="1" applyNumberFormat="1" applyFont="1" applyFill="1" applyBorder="1"/>
    <xf numFmtId="4" fontId="13" fillId="2" borderId="17" xfId="1" applyNumberFormat="1" applyFont="1" applyFill="1" applyBorder="1"/>
    <xf numFmtId="4" fontId="13" fillId="6" borderId="17" xfId="1" applyNumberFormat="1" applyFont="1" applyFill="1" applyBorder="1"/>
    <xf numFmtId="3" fontId="13" fillId="6" borderId="17" xfId="1" applyNumberFormat="1" applyFont="1" applyFill="1" applyBorder="1"/>
    <xf numFmtId="0" fontId="11" fillId="2" borderId="17" xfId="1" applyNumberFormat="1" applyFont="1" applyFill="1" applyBorder="1" applyAlignment="1">
      <alignment vertical="center"/>
    </xf>
    <xf numFmtId="167" fontId="23" fillId="2" borderId="0" xfId="0" applyNumberFormat="1" applyFont="1" applyFill="1" applyAlignment="1">
      <alignment horizontal="center" vertical="center"/>
    </xf>
    <xf numFmtId="0" fontId="23" fillId="2" borderId="0" xfId="0" applyFont="1" applyFill="1" applyAlignment="1">
      <alignment horizontal="center" vertical="center"/>
    </xf>
    <xf numFmtId="0" fontId="23" fillId="2" borderId="0" xfId="1" applyNumberFormat="1" applyFont="1" applyFill="1" applyBorder="1" applyAlignment="1">
      <alignment horizontal="center"/>
    </xf>
    <xf numFmtId="0" fontId="23" fillId="2" borderId="0" xfId="1" applyNumberFormat="1" applyFont="1" applyFill="1" applyBorder="1"/>
    <xf numFmtId="170" fontId="23" fillId="2" borderId="0" xfId="1" applyNumberFormat="1" applyFont="1" applyFill="1" applyBorder="1"/>
    <xf numFmtId="3" fontId="23" fillId="2" borderId="0" xfId="1" applyNumberFormat="1" applyFont="1" applyFill="1" applyBorder="1" applyAlignment="1">
      <alignment vertical="center"/>
    </xf>
    <xf numFmtId="4" fontId="23" fillId="2" borderId="0" xfId="1" applyNumberFormat="1" applyFont="1" applyFill="1" applyBorder="1" applyAlignment="1">
      <alignment vertical="center"/>
    </xf>
    <xf numFmtId="170" fontId="23" fillId="2" borderId="0" xfId="1" applyNumberFormat="1" applyFont="1" applyFill="1" applyBorder="1" applyAlignment="1">
      <alignment vertical="center"/>
    </xf>
    <xf numFmtId="0" fontId="23" fillId="2" borderId="0" xfId="1" applyNumberFormat="1" applyFont="1" applyFill="1" applyBorder="1" applyAlignment="1">
      <alignment vertical="center"/>
    </xf>
    <xf numFmtId="10" fontId="11" fillId="2" borderId="0" xfId="1" applyNumberFormat="1" applyFont="1" applyFill="1" applyBorder="1" applyAlignment="1">
      <alignment vertical="center"/>
    </xf>
    <xf numFmtId="3" fontId="11" fillId="2" borderId="0" xfId="1" applyNumberFormat="1" applyFont="1" applyFill="1" applyBorder="1" applyAlignment="1">
      <alignment horizontal="right" vertical="center"/>
    </xf>
    <xf numFmtId="43" fontId="11" fillId="2" borderId="0" xfId="1" applyFont="1" applyFill="1" applyBorder="1" applyAlignment="1">
      <alignment vertical="center"/>
    </xf>
    <xf numFmtId="10" fontId="11" fillId="6" borderId="0" xfId="1" applyNumberFormat="1" applyFont="1" applyFill="1" applyBorder="1" applyAlignment="1">
      <alignment vertical="center"/>
    </xf>
    <xf numFmtId="0" fontId="11" fillId="2" borderId="0" xfId="0" applyFont="1" applyFill="1" applyAlignment="1">
      <alignment horizontal="left" indent="5"/>
    </xf>
    <xf numFmtId="3" fontId="11" fillId="2" borderId="11" xfId="1" applyNumberFormat="1" applyFont="1" applyFill="1" applyBorder="1"/>
    <xf numFmtId="3" fontId="11" fillId="6" borderId="11" xfId="1" applyNumberFormat="1" applyFont="1" applyFill="1" applyBorder="1"/>
    <xf numFmtId="168" fontId="11" fillId="2" borderId="11" xfId="2" applyNumberFormat="1" applyFont="1" applyFill="1" applyBorder="1"/>
    <xf numFmtId="10" fontId="11" fillId="2" borderId="11" xfId="2" applyNumberFormat="1" applyFont="1" applyFill="1" applyBorder="1"/>
    <xf numFmtId="3" fontId="23" fillId="2" borderId="0" xfId="2" applyNumberFormat="1" applyFont="1" applyFill="1" applyBorder="1" applyAlignment="1">
      <alignment vertical="center"/>
    </xf>
    <xf numFmtId="4" fontId="23" fillId="2" borderId="0" xfId="2" applyNumberFormat="1" applyFont="1" applyFill="1" applyBorder="1" applyAlignment="1">
      <alignment vertical="center"/>
    </xf>
    <xf numFmtId="167" fontId="23" fillId="2" borderId="0" xfId="2" applyNumberFormat="1" applyFont="1" applyFill="1" applyBorder="1" applyAlignment="1">
      <alignment vertical="center"/>
    </xf>
    <xf numFmtId="0" fontId="11" fillId="4" borderId="0" xfId="0" applyFont="1" applyFill="1" applyAlignment="1">
      <alignment horizontal="center"/>
    </xf>
    <xf numFmtId="0" fontId="11" fillId="4" borderId="0" xfId="0" applyFont="1" applyFill="1"/>
    <xf numFmtId="167" fontId="11" fillId="4" borderId="0" xfId="0" applyNumberFormat="1" applyFont="1" applyFill="1"/>
    <xf numFmtId="3" fontId="11" fillId="4" borderId="0" xfId="0" applyNumberFormat="1" applyFont="1" applyFill="1" applyAlignment="1">
      <alignment vertical="center"/>
    </xf>
    <xf numFmtId="3" fontId="11" fillId="4" borderId="2" xfId="0" applyNumberFormat="1" applyFont="1" applyFill="1" applyBorder="1" applyAlignment="1">
      <alignment vertical="center"/>
    </xf>
    <xf numFmtId="167" fontId="11" fillId="4" borderId="0" xfId="0" applyNumberFormat="1" applyFont="1" applyFill="1" applyAlignment="1">
      <alignment vertical="center"/>
    </xf>
    <xf numFmtId="0" fontId="11" fillId="4" borderId="0" xfId="0" applyFont="1" applyFill="1" applyAlignment="1">
      <alignment vertical="center"/>
    </xf>
    <xf numFmtId="0" fontId="18" fillId="14" borderId="0" xfId="0" applyFont="1" applyFill="1" applyAlignment="1">
      <alignment horizontal="left" indent="2"/>
    </xf>
    <xf numFmtId="164" fontId="6" fillId="2" borderId="0" xfId="1" applyNumberFormat="1" applyFont="1" applyFill="1" applyBorder="1" applyAlignment="1">
      <alignment vertical="center"/>
    </xf>
    <xf numFmtId="43" fontId="6" fillId="2" borderId="0" xfId="1" applyFont="1" applyFill="1" applyBorder="1" applyAlignment="1">
      <alignment vertical="center"/>
    </xf>
    <xf numFmtId="43" fontId="6" fillId="6" borderId="0" xfId="1" applyFont="1" applyFill="1" applyBorder="1" applyAlignment="1">
      <alignment vertical="center"/>
    </xf>
    <xf numFmtId="164" fontId="6" fillId="6" borderId="0" xfId="1" applyNumberFormat="1" applyFont="1" applyFill="1" applyBorder="1" applyAlignment="1">
      <alignment vertical="center"/>
    </xf>
    <xf numFmtId="0" fontId="11" fillId="2" borderId="0" xfId="0" applyFont="1" applyFill="1" applyAlignment="1">
      <alignment horizontal="left" indent="4"/>
    </xf>
    <xf numFmtId="0" fontId="11" fillId="2" borderId="7" xfId="0" applyFont="1" applyFill="1" applyBorder="1" applyAlignment="1">
      <alignment horizontal="left" indent="2"/>
    </xf>
    <xf numFmtId="167" fontId="11" fillId="2" borderId="7" xfId="0" applyNumberFormat="1" applyFont="1" applyFill="1" applyBorder="1"/>
    <xf numFmtId="3" fontId="11" fillId="2" borderId="7" xfId="0" applyNumberFormat="1" applyFont="1" applyFill="1" applyBorder="1" applyAlignment="1">
      <alignment vertical="center"/>
    </xf>
    <xf numFmtId="4" fontId="11" fillId="2" borderId="7" xfId="0" applyNumberFormat="1" applyFont="1" applyFill="1" applyBorder="1" applyAlignment="1">
      <alignment vertical="center"/>
    </xf>
    <xf numFmtId="4" fontId="11" fillId="6" borderId="7" xfId="0" applyNumberFormat="1" applyFont="1" applyFill="1" applyBorder="1" applyAlignment="1">
      <alignment vertical="center"/>
    </xf>
    <xf numFmtId="3" fontId="11" fillId="6" borderId="7" xfId="0" applyNumberFormat="1" applyFont="1" applyFill="1" applyBorder="1" applyAlignment="1">
      <alignment vertical="center"/>
    </xf>
    <xf numFmtId="0" fontId="13" fillId="2" borderId="7" xfId="0" applyFont="1" applyFill="1" applyBorder="1" applyAlignment="1">
      <alignment horizontal="left" indent="2"/>
    </xf>
    <xf numFmtId="9" fontId="11" fillId="2" borderId="0" xfId="2" applyFont="1" applyFill="1" applyBorder="1" applyAlignment="1">
      <alignment horizontal="left" indent="4"/>
    </xf>
    <xf numFmtId="168" fontId="11" fillId="2" borderId="2" xfId="2" applyNumberFormat="1" applyFont="1" applyFill="1" applyBorder="1" applyAlignment="1">
      <alignment vertical="center"/>
    </xf>
    <xf numFmtId="169" fontId="11" fillId="6" borderId="0" xfId="0" applyNumberFormat="1" applyFont="1" applyFill="1" applyAlignment="1">
      <alignment vertical="center"/>
    </xf>
    <xf numFmtId="0" fontId="11" fillId="4" borderId="0" xfId="0" applyFont="1" applyFill="1" applyAlignment="1">
      <alignment horizontal="left" indent="2"/>
    </xf>
    <xf numFmtId="3" fontId="11" fillId="2" borderId="7" xfId="1" applyNumberFormat="1" applyFont="1" applyFill="1" applyBorder="1" applyAlignment="1">
      <alignment vertical="center"/>
    </xf>
    <xf numFmtId="3" fontId="11" fillId="2" borderId="8" xfId="1" applyNumberFormat="1" applyFont="1" applyFill="1" applyBorder="1" applyAlignment="1">
      <alignment vertical="center"/>
    </xf>
    <xf numFmtId="3" fontId="11" fillId="6" borderId="7" xfId="1" applyNumberFormat="1" applyFont="1" applyFill="1" applyBorder="1" applyAlignment="1">
      <alignment vertical="center"/>
    </xf>
    <xf numFmtId="3" fontId="11" fillId="2" borderId="11" xfId="1" applyNumberFormat="1" applyFont="1" applyFill="1" applyBorder="1" applyAlignment="1">
      <alignment vertical="center"/>
    </xf>
    <xf numFmtId="167" fontId="11" fillId="2" borderId="2" xfId="2" applyNumberFormat="1" applyFont="1" applyFill="1" applyBorder="1" applyAlignment="1">
      <alignment vertical="center"/>
    </xf>
    <xf numFmtId="167" fontId="11" fillId="6" borderId="0" xfId="2" applyNumberFormat="1" applyFont="1" applyFill="1" applyBorder="1" applyAlignment="1">
      <alignment vertical="center"/>
    </xf>
    <xf numFmtId="169" fontId="11" fillId="2" borderId="0" xfId="0" applyNumberFormat="1" applyFont="1" applyFill="1" applyAlignment="1">
      <alignment vertical="center"/>
    </xf>
    <xf numFmtId="169" fontId="11" fillId="2" borderId="2" xfId="0" applyNumberFormat="1" applyFont="1" applyFill="1" applyBorder="1" applyAlignment="1">
      <alignment vertical="center"/>
    </xf>
    <xf numFmtId="4" fontId="11" fillId="6" borderId="11" xfId="0" applyNumberFormat="1" applyFont="1" applyFill="1" applyBorder="1" applyAlignment="1">
      <alignment vertical="center"/>
    </xf>
    <xf numFmtId="3" fontId="11" fillId="6" borderId="11" xfId="0" applyNumberFormat="1" applyFont="1" applyFill="1" applyBorder="1" applyAlignment="1">
      <alignment vertical="center"/>
    </xf>
    <xf numFmtId="0" fontId="11" fillId="2" borderId="11" xfId="0" applyFont="1" applyFill="1" applyBorder="1" applyAlignment="1">
      <alignment horizontal="left" indent="2"/>
    </xf>
    <xf numFmtId="167" fontId="11" fillId="2" borderId="11" xfId="0" applyNumberFormat="1" applyFont="1" applyFill="1" applyBorder="1"/>
    <xf numFmtId="3" fontId="11" fillId="2" borderId="11" xfId="0" applyNumberFormat="1" applyFont="1" applyFill="1" applyBorder="1" applyAlignment="1">
      <alignment vertical="center"/>
    </xf>
    <xf numFmtId="3" fontId="11" fillId="8" borderId="11" xfId="0" applyNumberFormat="1" applyFont="1" applyFill="1" applyBorder="1" applyAlignment="1">
      <alignment vertical="center"/>
    </xf>
    <xf numFmtId="167" fontId="11" fillId="2" borderId="11" xfId="0" applyNumberFormat="1" applyFont="1" applyFill="1" applyBorder="1" applyAlignment="1">
      <alignment vertical="center"/>
    </xf>
    <xf numFmtId="4" fontId="13" fillId="2" borderId="0" xfId="1" applyNumberFormat="1" applyFont="1" applyFill="1" applyBorder="1" applyAlignment="1">
      <alignment vertical="center"/>
    </xf>
    <xf numFmtId="4" fontId="13" fillId="6" borderId="0" xfId="1" applyNumberFormat="1" applyFont="1" applyFill="1" applyBorder="1" applyAlignment="1">
      <alignment vertical="center"/>
    </xf>
    <xf numFmtId="3" fontId="13" fillId="6" borderId="0" xfId="1" applyNumberFormat="1" applyFont="1" applyFill="1" applyBorder="1" applyAlignment="1">
      <alignment vertical="center"/>
    </xf>
    <xf numFmtId="0" fontId="21" fillId="2" borderId="0" xfId="0" applyFont="1" applyFill="1"/>
    <xf numFmtId="4" fontId="13" fillId="6" borderId="7" xfId="0" applyNumberFormat="1" applyFont="1" applyFill="1" applyBorder="1"/>
    <xf numFmtId="3" fontId="13" fillId="6" borderId="7" xfId="0" applyNumberFormat="1" applyFont="1" applyFill="1" applyBorder="1"/>
    <xf numFmtId="3" fontId="13" fillId="2" borderId="2" xfId="0" applyNumberFormat="1" applyFont="1" applyFill="1" applyBorder="1"/>
    <xf numFmtId="170" fontId="11" fillId="2" borderId="0" xfId="1" applyNumberFormat="1" applyFont="1" applyFill="1" applyBorder="1" applyAlignment="1">
      <alignment vertical="center"/>
    </xf>
    <xf numFmtId="170" fontId="31" fillId="2" borderId="7" xfId="1" applyNumberFormat="1" applyFont="1" applyFill="1" applyBorder="1"/>
    <xf numFmtId="3" fontId="31" fillId="2" borderId="7" xfId="1" applyNumberFormat="1" applyFont="1" applyFill="1" applyBorder="1"/>
    <xf numFmtId="3" fontId="21" fillId="2" borderId="0" xfId="0" applyNumberFormat="1" applyFont="1" applyFill="1" applyAlignment="1">
      <alignment vertical="center"/>
    </xf>
    <xf numFmtId="3" fontId="21" fillId="2" borderId="0" xfId="0" applyNumberFormat="1" applyFont="1" applyFill="1"/>
    <xf numFmtId="0" fontId="31" fillId="2" borderId="7" xfId="1" applyNumberFormat="1" applyFont="1" applyFill="1" applyBorder="1"/>
    <xf numFmtId="170" fontId="32" fillId="2" borderId="7" xfId="1" applyNumberFormat="1" applyFont="1" applyFill="1" applyBorder="1"/>
    <xf numFmtId="3" fontId="32" fillId="2" borderId="7" xfId="1" applyNumberFormat="1" applyFont="1" applyFill="1" applyBorder="1"/>
    <xf numFmtId="4" fontId="32" fillId="2" borderId="7" xfId="1" applyNumberFormat="1" applyFont="1" applyFill="1" applyBorder="1"/>
    <xf numFmtId="4" fontId="32" fillId="6" borderId="7" xfId="1" applyNumberFormat="1" applyFont="1" applyFill="1" applyBorder="1"/>
    <xf numFmtId="3" fontId="32" fillId="6" borderId="7" xfId="1" applyNumberFormat="1" applyFont="1" applyFill="1" applyBorder="1"/>
    <xf numFmtId="170" fontId="32" fillId="2" borderId="0" xfId="1" applyNumberFormat="1" applyFont="1" applyFill="1" applyBorder="1"/>
    <xf numFmtId="0" fontId="13" fillId="2" borderId="18" xfId="1" applyNumberFormat="1" applyFont="1" applyFill="1" applyBorder="1"/>
    <xf numFmtId="170" fontId="13" fillId="2" borderId="18" xfId="1" applyNumberFormat="1" applyFont="1" applyFill="1" applyBorder="1"/>
    <xf numFmtId="3" fontId="13" fillId="2" borderId="18" xfId="1" applyNumberFormat="1" applyFont="1" applyFill="1" applyBorder="1"/>
    <xf numFmtId="4" fontId="13" fillId="2" borderId="18" xfId="1" applyNumberFormat="1" applyFont="1" applyFill="1" applyBorder="1"/>
    <xf numFmtId="4" fontId="13" fillId="6" borderId="18" xfId="1" applyNumberFormat="1" applyFont="1" applyFill="1" applyBorder="1"/>
    <xf numFmtId="3" fontId="13" fillId="6" borderId="18" xfId="1" applyNumberFormat="1" applyFont="1" applyFill="1" applyBorder="1"/>
    <xf numFmtId="0" fontId="11" fillId="2" borderId="18" xfId="1" applyNumberFormat="1" applyFont="1" applyFill="1" applyBorder="1" applyAlignment="1">
      <alignment vertical="center"/>
    </xf>
    <xf numFmtId="167" fontId="23" fillId="2" borderId="0" xfId="0" applyNumberFormat="1" applyFont="1" applyFill="1" applyAlignment="1">
      <alignment vertical="center"/>
    </xf>
    <xf numFmtId="3" fontId="23" fillId="2" borderId="0" xfId="1" applyNumberFormat="1" applyFont="1" applyFill="1" applyBorder="1"/>
    <xf numFmtId="4" fontId="23" fillId="2" borderId="0" xfId="1" applyNumberFormat="1" applyFont="1" applyFill="1" applyBorder="1"/>
    <xf numFmtId="167" fontId="11" fillId="2" borderId="0" xfId="0" applyNumberFormat="1" applyFont="1" applyFill="1" applyAlignment="1">
      <alignment horizontal="center" vertical="center"/>
    </xf>
    <xf numFmtId="167" fontId="11" fillId="2" borderId="2" xfId="0" applyNumberFormat="1" applyFont="1" applyFill="1" applyBorder="1" applyAlignment="1">
      <alignment horizontal="center" vertical="center"/>
    </xf>
    <xf numFmtId="0" fontId="11" fillId="2" borderId="0" xfId="0" applyFont="1" applyFill="1" applyAlignment="1">
      <alignment horizontal="center" vertical="center"/>
    </xf>
    <xf numFmtId="0" fontId="11" fillId="2" borderId="19" xfId="0" applyFont="1" applyFill="1" applyBorder="1"/>
    <xf numFmtId="3" fontId="11" fillId="6" borderId="7" xfId="0" applyNumberFormat="1" applyFont="1" applyFill="1" applyBorder="1"/>
    <xf numFmtId="0" fontId="27" fillId="2" borderId="0" xfId="0" applyFont="1" applyFill="1" applyAlignment="1">
      <alignment horizontal="center" vertical="center"/>
    </xf>
    <xf numFmtId="0" fontId="11" fillId="2" borderId="15" xfId="0" applyFont="1" applyFill="1" applyBorder="1"/>
    <xf numFmtId="0" fontId="13" fillId="2" borderId="15" xfId="0" applyFont="1" applyFill="1" applyBorder="1"/>
    <xf numFmtId="4" fontId="13" fillId="6" borderId="0" xfId="0" applyNumberFormat="1" applyFont="1" applyFill="1"/>
    <xf numFmtId="3" fontId="13" fillId="6" borderId="0" xfId="0" applyNumberFormat="1" applyFont="1" applyFill="1"/>
    <xf numFmtId="3" fontId="13" fillId="2" borderId="0" xfId="0" applyNumberFormat="1" applyFont="1" applyFill="1" applyAlignment="1">
      <alignment horizontal="center" vertical="center"/>
    </xf>
    <xf numFmtId="3" fontId="11" fillId="8" borderId="4" xfId="1" applyNumberFormat="1" applyFont="1" applyFill="1" applyBorder="1" applyAlignment="1">
      <alignment horizontal="center" vertical="center"/>
    </xf>
    <xf numFmtId="3" fontId="11" fillId="2" borderId="0" xfId="0" applyNumberFormat="1" applyFont="1" applyFill="1" applyAlignment="1">
      <alignment horizontal="right" vertical="center"/>
    </xf>
    <xf numFmtId="3" fontId="11" fillId="2" borderId="2" xfId="1" applyNumberFormat="1" applyFont="1" applyFill="1" applyBorder="1" applyAlignment="1">
      <alignment horizontal="right" vertical="center"/>
    </xf>
    <xf numFmtId="4" fontId="11" fillId="6" borderId="0" xfId="1" applyNumberFormat="1" applyFont="1" applyFill="1" applyBorder="1" applyAlignment="1">
      <alignment horizontal="right" vertical="center"/>
    </xf>
    <xf numFmtId="3" fontId="11" fillId="6" borderId="0" xfId="1" applyNumberFormat="1" applyFont="1" applyFill="1" applyBorder="1" applyAlignment="1">
      <alignment horizontal="right" vertical="center"/>
    </xf>
    <xf numFmtId="167" fontId="11" fillId="2" borderId="0" xfId="1" applyNumberFormat="1" applyFont="1" applyFill="1" applyBorder="1" applyAlignment="1">
      <alignment horizontal="right" vertical="center"/>
    </xf>
    <xf numFmtId="3" fontId="11" fillId="2" borderId="0" xfId="1" quotePrefix="1" applyNumberFormat="1" applyFont="1" applyFill="1" applyBorder="1" applyAlignment="1">
      <alignment vertical="center"/>
    </xf>
    <xf numFmtId="0" fontId="31" fillId="2" borderId="0" xfId="0" applyFont="1" applyFill="1"/>
    <xf numFmtId="3" fontId="21" fillId="2" borderId="0" xfId="0" applyNumberFormat="1" applyFont="1" applyFill="1" applyAlignment="1">
      <alignment horizontal="right" vertical="center"/>
    </xf>
    <xf numFmtId="3" fontId="21" fillId="2" borderId="0" xfId="1" applyNumberFormat="1" applyFont="1" applyFill="1" applyBorder="1" applyAlignment="1">
      <alignment horizontal="right" vertical="center"/>
    </xf>
    <xf numFmtId="0" fontId="13" fillId="2" borderId="20" xfId="1" applyNumberFormat="1" applyFont="1" applyFill="1" applyBorder="1"/>
    <xf numFmtId="0" fontId="13" fillId="2" borderId="11" xfId="1" applyNumberFormat="1" applyFont="1" applyFill="1" applyBorder="1"/>
    <xf numFmtId="3" fontId="31" fillId="2" borderId="11" xfId="1" applyNumberFormat="1" applyFont="1" applyFill="1" applyBorder="1"/>
    <xf numFmtId="3" fontId="13" fillId="2" borderId="11" xfId="1" applyNumberFormat="1" applyFont="1" applyFill="1" applyBorder="1" applyAlignment="1">
      <alignment vertical="center"/>
    </xf>
    <xf numFmtId="3" fontId="13" fillId="2" borderId="6" xfId="1" applyNumberFormat="1" applyFont="1" applyFill="1" applyBorder="1" applyAlignment="1">
      <alignment vertical="center"/>
    </xf>
    <xf numFmtId="4" fontId="13" fillId="6" borderId="11" xfId="1" applyNumberFormat="1" applyFont="1" applyFill="1" applyBorder="1" applyAlignment="1">
      <alignment vertical="center"/>
    </xf>
    <xf numFmtId="3" fontId="13" fillId="6" borderId="11" xfId="1" applyNumberFormat="1" applyFont="1" applyFill="1" applyBorder="1" applyAlignment="1">
      <alignment vertical="center"/>
    </xf>
    <xf numFmtId="0" fontId="11" fillId="2" borderId="0" xfId="1" applyNumberFormat="1" applyFont="1" applyFill="1" applyBorder="1" applyAlignment="1">
      <alignment horizontal="center" vertical="center"/>
    </xf>
    <xf numFmtId="10" fontId="11" fillId="2" borderId="0" xfId="0" applyNumberFormat="1" applyFont="1" applyFill="1" applyAlignment="1">
      <alignment vertical="center"/>
    </xf>
    <xf numFmtId="2" fontId="11" fillId="2" borderId="0" xfId="0" applyNumberFormat="1" applyFont="1" applyFill="1" applyAlignment="1">
      <alignment vertical="center"/>
    </xf>
    <xf numFmtId="168" fontId="11" fillId="2" borderId="0" xfId="0" applyNumberFormat="1" applyFont="1" applyFill="1" applyAlignment="1">
      <alignment vertical="center"/>
    </xf>
    <xf numFmtId="9" fontId="11" fillId="2" borderId="0" xfId="0" applyNumberFormat="1" applyFont="1" applyFill="1" applyAlignment="1">
      <alignment vertical="center"/>
    </xf>
    <xf numFmtId="0" fontId="38" fillId="0" borderId="0" xfId="0" applyFont="1"/>
    <xf numFmtId="0" fontId="11" fillId="2" borderId="3" xfId="0" applyFont="1" applyFill="1" applyBorder="1"/>
    <xf numFmtId="0" fontId="11" fillId="2" borderId="9" xfId="0" applyFont="1" applyFill="1" applyBorder="1"/>
    <xf numFmtId="0" fontId="11" fillId="6" borderId="3" xfId="0" applyFont="1" applyFill="1" applyBorder="1"/>
    <xf numFmtId="0" fontId="10" fillId="2" borderId="0" xfId="0" applyFont="1" applyFill="1"/>
    <xf numFmtId="0" fontId="13" fillId="2" borderId="0" xfId="0" applyFont="1" applyFill="1" applyAlignment="1">
      <alignment horizontal="right"/>
    </xf>
    <xf numFmtId="0" fontId="13" fillId="2" borderId="2" xfId="0" applyFont="1" applyFill="1" applyBorder="1" applyAlignment="1">
      <alignment horizontal="right"/>
    </xf>
    <xf numFmtId="0" fontId="13" fillId="6" borderId="0" xfId="0" applyFont="1" applyFill="1" applyAlignment="1">
      <alignment horizontal="right"/>
    </xf>
    <xf numFmtId="0" fontId="31" fillId="2" borderId="0" xfId="0" applyFont="1" applyFill="1" applyAlignment="1">
      <alignment horizontal="right"/>
    </xf>
    <xf numFmtId="165" fontId="13" fillId="11" borderId="21" xfId="0" applyNumberFormat="1" applyFont="1" applyFill="1" applyBorder="1" applyAlignment="1">
      <alignment vertical="center"/>
    </xf>
    <xf numFmtId="165" fontId="13" fillId="2" borderId="21" xfId="0" applyNumberFormat="1" applyFont="1" applyFill="1" applyBorder="1"/>
    <xf numFmtId="165" fontId="13" fillId="2" borderId="22" xfId="0" applyNumberFormat="1" applyFont="1" applyFill="1" applyBorder="1"/>
    <xf numFmtId="165" fontId="13" fillId="6" borderId="21" xfId="0" applyNumberFormat="1" applyFont="1" applyFill="1" applyBorder="1"/>
    <xf numFmtId="165" fontId="13" fillId="2" borderId="0" xfId="0" applyNumberFormat="1" applyFont="1" applyFill="1"/>
    <xf numFmtId="165" fontId="13" fillId="2" borderId="0" xfId="0" applyNumberFormat="1" applyFont="1" applyFill="1" applyAlignment="1">
      <alignment horizontal="center"/>
    </xf>
    <xf numFmtId="0" fontId="21" fillId="2" borderId="14" xfId="0" applyFont="1" applyFill="1" applyBorder="1" applyAlignment="1">
      <alignment vertical="center"/>
    </xf>
    <xf numFmtId="167" fontId="21" fillId="2" borderId="23" xfId="0" applyNumberFormat="1" applyFont="1" applyFill="1" applyBorder="1"/>
    <xf numFmtId="167" fontId="21" fillId="2" borderId="24" xfId="0" applyNumberFormat="1" applyFont="1" applyFill="1" applyBorder="1"/>
    <xf numFmtId="4" fontId="11" fillId="2" borderId="7" xfId="1" applyNumberFormat="1" applyFont="1" applyFill="1" applyBorder="1"/>
    <xf numFmtId="4" fontId="11" fillId="6" borderId="7" xfId="1" applyNumberFormat="1" applyFont="1" applyFill="1" applyBorder="1"/>
    <xf numFmtId="0" fontId="39" fillId="2" borderId="0" xfId="1" applyNumberFormat="1" applyFont="1" applyFill="1" applyBorder="1" applyAlignment="1">
      <alignment horizontal="center"/>
    </xf>
    <xf numFmtId="0" fontId="40" fillId="2" borderId="0" xfId="1" applyNumberFormat="1" applyFont="1" applyFill="1" applyBorder="1" applyAlignment="1">
      <alignment horizontal="left" vertical="center" indent="2"/>
    </xf>
    <xf numFmtId="3" fontId="40" fillId="2" borderId="0" xfId="1" applyNumberFormat="1" applyFont="1" applyFill="1" applyBorder="1"/>
    <xf numFmtId="10" fontId="40" fillId="2" borderId="0" xfId="2" applyNumberFormat="1" applyFont="1" applyFill="1" applyBorder="1"/>
    <xf numFmtId="10" fontId="40" fillId="6" borderId="0" xfId="2" applyNumberFormat="1" applyFont="1" applyFill="1" applyBorder="1"/>
    <xf numFmtId="168" fontId="40" fillId="6" borderId="0" xfId="2" applyNumberFormat="1" applyFont="1" applyFill="1" applyBorder="1"/>
    <xf numFmtId="164" fontId="40" fillId="2" borderId="0" xfId="1" applyNumberFormat="1" applyFont="1" applyFill="1" applyBorder="1"/>
    <xf numFmtId="164" fontId="39" fillId="2" borderId="0" xfId="1" applyNumberFormat="1" applyFont="1" applyFill="1" applyBorder="1"/>
    <xf numFmtId="0" fontId="13" fillId="2" borderId="11" xfId="1" applyNumberFormat="1" applyFont="1" applyFill="1" applyBorder="1" applyAlignment="1">
      <alignment vertical="center"/>
    </xf>
    <xf numFmtId="4" fontId="11" fillId="2" borderId="11" xfId="1" applyNumberFormat="1" applyFont="1" applyFill="1" applyBorder="1"/>
    <xf numFmtId="4" fontId="11" fillId="6" borderId="11" xfId="1" applyNumberFormat="1" applyFont="1" applyFill="1" applyBorder="1"/>
    <xf numFmtId="0" fontId="11" fillId="2" borderId="11" xfId="1" applyNumberFormat="1" applyFont="1" applyFill="1" applyBorder="1" applyAlignment="1">
      <alignment vertical="center"/>
    </xf>
    <xf numFmtId="3" fontId="11" fillId="2" borderId="6" xfId="1" applyNumberFormat="1" applyFont="1" applyFill="1" applyBorder="1"/>
    <xf numFmtId="4" fontId="11" fillId="2" borderId="2" xfId="1" applyNumberFormat="1" applyFont="1" applyFill="1" applyBorder="1"/>
    <xf numFmtId="0" fontId="39" fillId="2" borderId="0" xfId="2" applyNumberFormat="1" applyFont="1" applyFill="1" applyBorder="1" applyAlignment="1">
      <alignment horizontal="left" vertical="center" indent="2"/>
    </xf>
    <xf numFmtId="3" fontId="39" fillId="2" borderId="0" xfId="2" applyNumberFormat="1" applyFont="1" applyFill="1" applyBorder="1"/>
    <xf numFmtId="10" fontId="40" fillId="2" borderId="2" xfId="2" applyNumberFormat="1" applyFont="1" applyFill="1" applyBorder="1"/>
    <xf numFmtId="168" fontId="39" fillId="2" borderId="0" xfId="2" applyNumberFormat="1" applyFont="1" applyFill="1" applyBorder="1"/>
    <xf numFmtId="0" fontId="41" fillId="2" borderId="0" xfId="1" applyNumberFormat="1" applyFont="1" applyFill="1" applyBorder="1" applyAlignment="1">
      <alignment horizontal="center"/>
    </xf>
    <xf numFmtId="0" fontId="41" fillId="2" borderId="0" xfId="0" applyFont="1" applyFill="1"/>
    <xf numFmtId="0" fontId="41" fillId="2" borderId="0" xfId="0" applyFont="1" applyFill="1" applyAlignment="1">
      <alignment horizontal="left" vertical="center" indent="2"/>
    </xf>
    <xf numFmtId="3" fontId="41" fillId="2" borderId="0" xfId="0" applyNumberFormat="1" applyFont="1" applyFill="1"/>
    <xf numFmtId="3" fontId="41" fillId="2" borderId="2" xfId="0" applyNumberFormat="1" applyFont="1" applyFill="1" applyBorder="1"/>
    <xf numFmtId="3" fontId="41" fillId="6" borderId="0" xfId="0" applyNumberFormat="1" applyFont="1" applyFill="1"/>
    <xf numFmtId="167" fontId="41" fillId="2" borderId="0" xfId="0" applyNumberFormat="1" applyFont="1" applyFill="1"/>
    <xf numFmtId="0" fontId="41" fillId="2" borderId="0" xfId="0" applyFont="1" applyFill="1" applyAlignment="1">
      <alignment vertical="center"/>
    </xf>
    <xf numFmtId="4" fontId="11" fillId="2" borderId="8" xfId="1" applyNumberFormat="1" applyFont="1" applyFill="1" applyBorder="1"/>
    <xf numFmtId="0" fontId="39" fillId="2" borderId="0" xfId="1" applyNumberFormat="1" applyFont="1" applyFill="1" applyBorder="1" applyAlignment="1">
      <alignment horizontal="left" vertical="center" indent="2"/>
    </xf>
    <xf numFmtId="3" fontId="39" fillId="2" borderId="0" xfId="1" applyNumberFormat="1" applyFont="1" applyFill="1" applyBorder="1"/>
    <xf numFmtId="0" fontId="15" fillId="2" borderId="0" xfId="1" applyNumberFormat="1" applyFont="1" applyFill="1" applyBorder="1" applyAlignment="1">
      <alignment horizontal="left" vertical="center" indent="2"/>
    </xf>
    <xf numFmtId="4" fontId="15" fillId="2" borderId="0" xfId="1" applyNumberFormat="1" applyFont="1" applyFill="1" applyBorder="1"/>
    <xf numFmtId="4" fontId="15" fillId="2" borderId="2" xfId="1" applyNumberFormat="1" applyFont="1" applyFill="1" applyBorder="1"/>
    <xf numFmtId="4" fontId="15" fillId="6" borderId="0" xfId="1" applyNumberFormat="1" applyFont="1" applyFill="1" applyBorder="1"/>
    <xf numFmtId="3" fontId="15" fillId="6" borderId="0" xfId="1" applyNumberFormat="1" applyFont="1" applyFill="1" applyBorder="1"/>
    <xf numFmtId="164" fontId="15" fillId="2" borderId="0" xfId="1" applyNumberFormat="1" applyFont="1" applyFill="1" applyBorder="1"/>
    <xf numFmtId="4" fontId="11" fillId="2" borderId="6" xfId="1" applyNumberFormat="1" applyFont="1" applyFill="1" applyBorder="1"/>
    <xf numFmtId="0" fontId="41" fillId="2" borderId="0" xfId="1" applyNumberFormat="1" applyFont="1" applyFill="1" applyBorder="1" applyAlignment="1">
      <alignment vertical="center"/>
    </xf>
    <xf numFmtId="0" fontId="41" fillId="2" borderId="0" xfId="1" applyNumberFormat="1" applyFont="1" applyFill="1" applyBorder="1" applyAlignment="1">
      <alignment horizontal="left" vertical="center" indent="2"/>
    </xf>
    <xf numFmtId="3" fontId="41" fillId="2" borderId="0" xfId="1" applyNumberFormat="1" applyFont="1" applyFill="1" applyBorder="1"/>
    <xf numFmtId="4" fontId="41" fillId="2" borderId="0" xfId="1" applyNumberFormat="1" applyFont="1" applyFill="1" applyBorder="1"/>
    <xf numFmtId="4" fontId="41" fillId="2" borderId="2" xfId="1" applyNumberFormat="1" applyFont="1" applyFill="1" applyBorder="1"/>
    <xf numFmtId="4" fontId="41" fillId="6" borderId="0" xfId="1" applyNumberFormat="1" applyFont="1" applyFill="1" applyBorder="1"/>
    <xf numFmtId="3" fontId="41" fillId="6" borderId="0" xfId="1" applyNumberFormat="1" applyFont="1" applyFill="1" applyBorder="1"/>
    <xf numFmtId="164" fontId="41" fillId="2" borderId="0" xfId="1" applyNumberFormat="1" applyFont="1" applyFill="1" applyBorder="1"/>
    <xf numFmtId="0" fontId="41" fillId="2" borderId="11" xfId="1" applyNumberFormat="1" applyFont="1" applyFill="1" applyBorder="1" applyAlignment="1">
      <alignment horizontal="left" vertical="center" indent="2"/>
    </xf>
    <xf numFmtId="3" fontId="41" fillId="2" borderId="11" xfId="1" applyNumberFormat="1" applyFont="1" applyFill="1" applyBorder="1"/>
    <xf numFmtId="4" fontId="41" fillId="2" borderId="11" xfId="1" applyNumberFormat="1" applyFont="1" applyFill="1" applyBorder="1"/>
    <xf numFmtId="4" fontId="41" fillId="2" borderId="6" xfId="1" applyNumberFormat="1" applyFont="1" applyFill="1" applyBorder="1"/>
    <xf numFmtId="4" fontId="41" fillId="6" borderId="11" xfId="1" applyNumberFormat="1" applyFont="1" applyFill="1" applyBorder="1"/>
    <xf numFmtId="3" fontId="41" fillId="6" borderId="11" xfId="1" applyNumberFormat="1" applyFont="1" applyFill="1" applyBorder="1"/>
    <xf numFmtId="0" fontId="39" fillId="2" borderId="0" xfId="0" applyFont="1" applyFill="1" applyAlignment="1">
      <alignment horizontal="left" vertical="center" indent="2"/>
    </xf>
    <xf numFmtId="0" fontId="39" fillId="2" borderId="0" xfId="0" applyFont="1" applyFill="1"/>
    <xf numFmtId="0" fontId="40" fillId="2" borderId="4" xfId="1" applyNumberFormat="1" applyFont="1" applyFill="1" applyBorder="1" applyAlignment="1">
      <alignment horizontal="left" vertical="center" indent="2"/>
    </xf>
    <xf numFmtId="0" fontId="39" fillId="2" borderId="4" xfId="0" applyFont="1" applyFill="1" applyBorder="1" applyAlignment="1">
      <alignment horizontal="left" vertical="center" indent="2"/>
    </xf>
    <xf numFmtId="3" fontId="39" fillId="2" borderId="4" xfId="2" applyNumberFormat="1" applyFont="1" applyFill="1" applyBorder="1"/>
    <xf numFmtId="10" fontId="40" fillId="2" borderId="4" xfId="2" applyNumberFormat="1" applyFont="1" applyFill="1" applyBorder="1"/>
    <xf numFmtId="10" fontId="40" fillId="2" borderId="5" xfId="2" applyNumberFormat="1" applyFont="1" applyFill="1" applyBorder="1"/>
    <xf numFmtId="10" fontId="40" fillId="6" borderId="4" xfId="2" applyNumberFormat="1" applyFont="1" applyFill="1" applyBorder="1"/>
    <xf numFmtId="168" fontId="40" fillId="6" borderId="25" xfId="2" applyNumberFormat="1" applyFont="1" applyFill="1" applyBorder="1"/>
    <xf numFmtId="0" fontId="11" fillId="2" borderId="25" xfId="1" applyNumberFormat="1" applyFont="1" applyFill="1" applyBorder="1" applyAlignment="1">
      <alignment vertical="center"/>
    </xf>
    <xf numFmtId="3" fontId="11" fillId="2" borderId="25" xfId="1" applyNumberFormat="1" applyFont="1" applyFill="1" applyBorder="1"/>
    <xf numFmtId="4" fontId="11" fillId="2" borderId="25" xfId="1" applyNumberFormat="1" applyFont="1" applyFill="1" applyBorder="1"/>
    <xf numFmtId="4" fontId="11" fillId="2" borderId="10" xfId="1" applyNumberFormat="1" applyFont="1" applyFill="1" applyBorder="1"/>
    <xf numFmtId="4" fontId="11" fillId="6" borderId="25" xfId="1" applyNumberFormat="1" applyFont="1" applyFill="1" applyBorder="1"/>
    <xf numFmtId="0" fontId="11" fillId="2" borderId="4" xfId="1" applyNumberFormat="1" applyFont="1" applyFill="1" applyBorder="1" applyAlignment="1">
      <alignment vertical="center"/>
    </xf>
    <xf numFmtId="3" fontId="11" fillId="2" borderId="4" xfId="1" applyNumberFormat="1" applyFont="1" applyFill="1" applyBorder="1"/>
    <xf numFmtId="4" fontId="11" fillId="2" borderId="4" xfId="1" applyNumberFormat="1" applyFont="1" applyFill="1" applyBorder="1"/>
    <xf numFmtId="4" fontId="11" fillId="2" borderId="5" xfId="1" applyNumberFormat="1" applyFont="1" applyFill="1" applyBorder="1"/>
    <xf numFmtId="4" fontId="11" fillId="6" borderId="4" xfId="1" applyNumberFormat="1" applyFont="1" applyFill="1" applyBorder="1"/>
    <xf numFmtId="3" fontId="11" fillId="6" borderId="4" xfId="1" applyNumberFormat="1" applyFont="1" applyFill="1" applyBorder="1"/>
    <xf numFmtId="4" fontId="23" fillId="2" borderId="10" xfId="1" applyNumberFormat="1" applyFont="1" applyFill="1" applyBorder="1"/>
    <xf numFmtId="164" fontId="23" fillId="2" borderId="0" xfId="1" applyNumberFormat="1" applyFont="1" applyFill="1" applyBorder="1"/>
    <xf numFmtId="0" fontId="27" fillId="2" borderId="0" xfId="1" applyNumberFormat="1" applyFont="1" applyFill="1" applyBorder="1"/>
    <xf numFmtId="3" fontId="27" fillId="2" borderId="0" xfId="1" applyNumberFormat="1" applyFont="1" applyFill="1" applyBorder="1"/>
    <xf numFmtId="3" fontId="27" fillId="2" borderId="2" xfId="1" applyNumberFormat="1" applyFont="1" applyFill="1" applyBorder="1"/>
    <xf numFmtId="3" fontId="42" fillId="2" borderId="0" xfId="1" applyNumberFormat="1" applyFont="1" applyFill="1" applyBorder="1"/>
    <xf numFmtId="164" fontId="27" fillId="2" borderId="0" xfId="1" applyNumberFormat="1" applyFont="1" applyFill="1" applyBorder="1"/>
    <xf numFmtId="4" fontId="27" fillId="2" borderId="0" xfId="1" applyNumberFormat="1" applyFont="1" applyFill="1" applyBorder="1"/>
    <xf numFmtId="0" fontId="21" fillId="2" borderId="0" xfId="0" applyFont="1" applyFill="1" applyAlignment="1">
      <alignment vertical="center"/>
    </xf>
    <xf numFmtId="0" fontId="10" fillId="2" borderId="2" xfId="0" applyFont="1" applyFill="1" applyBorder="1"/>
    <xf numFmtId="0" fontId="39" fillId="2" borderId="0" xfId="0" applyFont="1" applyFill="1" applyAlignment="1">
      <alignment horizontal="center"/>
    </xf>
    <xf numFmtId="165" fontId="13" fillId="11" borderId="0" xfId="0" applyNumberFormat="1" applyFont="1" applyFill="1" applyAlignment="1">
      <alignment vertical="center"/>
    </xf>
    <xf numFmtId="167" fontId="21" fillId="2" borderId="2" xfId="0" applyNumberFormat="1" applyFont="1" applyFill="1" applyBorder="1"/>
    <xf numFmtId="0" fontId="41" fillId="2" borderId="0" xfId="1" applyNumberFormat="1" applyFont="1" applyFill="1" applyBorder="1" applyAlignment="1">
      <alignment horizontal="left" indent="2"/>
    </xf>
    <xf numFmtId="0" fontId="41" fillId="2" borderId="0" xfId="1" applyNumberFormat="1" applyFont="1" applyFill="1" applyBorder="1"/>
    <xf numFmtId="0" fontId="22" fillId="2" borderId="0" xfId="1" applyNumberFormat="1" applyFont="1" applyFill="1" applyBorder="1"/>
    <xf numFmtId="0" fontId="43" fillId="2" borderId="0" xfId="0" applyFont="1" applyFill="1"/>
    <xf numFmtId="0" fontId="21" fillId="2" borderId="0" xfId="1" applyNumberFormat="1" applyFont="1" applyFill="1" applyBorder="1"/>
    <xf numFmtId="164" fontId="21" fillId="2" borderId="0" xfId="1" applyNumberFormat="1" applyFont="1" applyFill="1" applyBorder="1"/>
    <xf numFmtId="164" fontId="21" fillId="2" borderId="2" xfId="1" applyNumberFormat="1" applyFont="1" applyFill="1" applyBorder="1"/>
    <xf numFmtId="3" fontId="10" fillId="2" borderId="0" xfId="0" applyNumberFormat="1" applyFont="1" applyFill="1"/>
    <xf numFmtId="0" fontId="41" fillId="2" borderId="0" xfId="0" applyFont="1" applyFill="1" applyAlignment="1">
      <alignment horizontal="center"/>
    </xf>
    <xf numFmtId="3" fontId="21" fillId="2" borderId="0" xfId="1" applyNumberFormat="1" applyFont="1" applyFill="1" applyBorder="1" applyAlignment="1">
      <alignment horizontal="center"/>
    </xf>
    <xf numFmtId="3" fontId="21" fillId="2" borderId="2" xfId="1" applyNumberFormat="1" applyFont="1" applyFill="1" applyBorder="1" applyAlignment="1">
      <alignment horizontal="center"/>
    </xf>
    <xf numFmtId="3" fontId="41" fillId="2" borderId="2" xfId="1" applyNumberFormat="1" applyFont="1" applyFill="1" applyBorder="1"/>
    <xf numFmtId="0" fontId="39" fillId="2" borderId="0" xfId="1" applyNumberFormat="1" applyFont="1" applyFill="1" applyBorder="1"/>
    <xf numFmtId="0" fontId="11" fillId="0" borderId="0" xfId="1" applyNumberFormat="1" applyFont="1" applyFill="1" applyBorder="1"/>
    <xf numFmtId="0" fontId="13" fillId="2" borderId="27" xfId="1" applyNumberFormat="1" applyFont="1" applyFill="1" applyBorder="1"/>
    <xf numFmtId="3" fontId="13" fillId="2" borderId="27" xfId="1" applyNumberFormat="1" applyFont="1" applyFill="1" applyBorder="1"/>
    <xf numFmtId="4" fontId="13" fillId="2" borderId="27" xfId="1" applyNumberFormat="1" applyFont="1" applyFill="1" applyBorder="1"/>
    <xf numFmtId="4" fontId="13" fillId="2" borderId="28" xfId="1" applyNumberFormat="1" applyFont="1" applyFill="1" applyBorder="1"/>
    <xf numFmtId="4" fontId="13" fillId="6" borderId="27" xfId="1" applyNumberFormat="1" applyFont="1" applyFill="1" applyBorder="1"/>
    <xf numFmtId="3" fontId="13" fillId="6" borderId="27" xfId="1" applyNumberFormat="1" applyFont="1" applyFill="1" applyBorder="1"/>
    <xf numFmtId="0" fontId="31" fillId="2" borderId="0" xfId="1" applyNumberFormat="1" applyFont="1" applyFill="1" applyBorder="1"/>
    <xf numFmtId="3" fontId="21" fillId="2" borderId="0" xfId="1" applyNumberFormat="1" applyFont="1" applyFill="1" applyBorder="1"/>
    <xf numFmtId="3" fontId="21" fillId="2" borderId="2" xfId="1" applyNumberFormat="1" applyFont="1" applyFill="1" applyBorder="1"/>
    <xf numFmtId="4" fontId="13" fillId="2" borderId="2" xfId="1" applyNumberFormat="1" applyFont="1" applyFill="1" applyBorder="1"/>
    <xf numFmtId="0" fontId="10" fillId="18" borderId="0" xfId="0" applyFont="1" applyFill="1"/>
    <xf numFmtId="3" fontId="11" fillId="2" borderId="23" xfId="0" applyNumberFormat="1" applyFont="1" applyFill="1" applyBorder="1"/>
    <xf numFmtId="0" fontId="11" fillId="2" borderId="0" xfId="0" applyFont="1" applyFill="1" applyAlignment="1">
      <alignment horizontal="left"/>
    </xf>
    <xf numFmtId="0" fontId="13" fillId="2" borderId="0" xfId="0" applyFont="1" applyFill="1" applyAlignment="1">
      <alignment horizontal="left"/>
    </xf>
    <xf numFmtId="0" fontId="41" fillId="2" borderId="0" xfId="0" applyFont="1" applyFill="1" applyAlignment="1">
      <alignment horizontal="left"/>
    </xf>
    <xf numFmtId="0" fontId="44" fillId="2" borderId="0" xfId="0" applyFont="1" applyFill="1"/>
    <xf numFmtId="0" fontId="44" fillId="2" borderId="0" xfId="0" applyFont="1" applyFill="1" applyAlignment="1">
      <alignment horizontal="left"/>
    </xf>
    <xf numFmtId="3" fontId="44" fillId="2" borderId="0" xfId="0" applyNumberFormat="1" applyFont="1" applyFill="1"/>
    <xf numFmtId="3" fontId="44" fillId="2" borderId="0" xfId="1" applyNumberFormat="1" applyFont="1" applyFill="1" applyBorder="1"/>
    <xf numFmtId="4" fontId="44" fillId="6" borderId="0" xfId="1" applyNumberFormat="1" applyFont="1" applyFill="1" applyBorder="1"/>
    <xf numFmtId="3" fontId="44" fillId="6" borderId="0" xfId="1" applyNumberFormat="1" applyFont="1" applyFill="1" applyBorder="1"/>
    <xf numFmtId="0" fontId="45" fillId="2" borderId="0" xfId="0" applyFont="1" applyFill="1"/>
    <xf numFmtId="0" fontId="24" fillId="2" borderId="0" xfId="0" applyFont="1" applyFill="1"/>
    <xf numFmtId="0" fontId="12" fillId="2" borderId="0" xfId="0" applyFont="1" applyFill="1"/>
    <xf numFmtId="0" fontId="12" fillId="12" borderId="0" xfId="0" applyFont="1" applyFill="1"/>
    <xf numFmtId="0" fontId="13" fillId="2" borderId="27" xfId="0" applyFont="1" applyFill="1" applyBorder="1" applyAlignment="1">
      <alignment horizontal="left"/>
    </xf>
    <xf numFmtId="3" fontId="13" fillId="2" borderId="27" xfId="0" applyNumberFormat="1" applyFont="1" applyFill="1" applyBorder="1"/>
    <xf numFmtId="0" fontId="23" fillId="2" borderId="0" xfId="0" applyFont="1" applyFill="1" applyAlignment="1">
      <alignment horizontal="left"/>
    </xf>
    <xf numFmtId="4" fontId="23" fillId="2" borderId="2" xfId="0" applyNumberFormat="1" applyFont="1" applyFill="1" applyBorder="1"/>
    <xf numFmtId="3" fontId="23" fillId="19" borderId="0" xfId="0" applyNumberFormat="1" applyFont="1" applyFill="1"/>
    <xf numFmtId="0" fontId="41" fillId="2" borderId="0" xfId="0" applyFont="1" applyFill="1" applyAlignment="1">
      <alignment horizontal="left" indent="2"/>
    </xf>
    <xf numFmtId="0" fontId="13" fillId="2" borderId="27" xfId="0" applyFont="1" applyFill="1" applyBorder="1"/>
    <xf numFmtId="0" fontId="27" fillId="2" borderId="0" xfId="0" applyFont="1" applyFill="1"/>
    <xf numFmtId="0" fontId="13" fillId="2" borderId="4" xfId="0" applyFont="1" applyFill="1" applyBorder="1"/>
    <xf numFmtId="3" fontId="13" fillId="2" borderId="4" xfId="0" applyNumberFormat="1" applyFont="1" applyFill="1" applyBorder="1"/>
    <xf numFmtId="3" fontId="13" fillId="2" borderId="4" xfId="1" applyNumberFormat="1" applyFont="1" applyFill="1" applyBorder="1"/>
    <xf numFmtId="4" fontId="13" fillId="2" borderId="4" xfId="1" applyNumberFormat="1" applyFont="1" applyFill="1" applyBorder="1"/>
    <xf numFmtId="4" fontId="13" fillId="6" borderId="4" xfId="1" applyNumberFormat="1" applyFont="1" applyFill="1" applyBorder="1"/>
    <xf numFmtId="172" fontId="23" fillId="2" borderId="0" xfId="0" applyNumberFormat="1" applyFont="1" applyFill="1"/>
    <xf numFmtId="3" fontId="23" fillId="2" borderId="25" xfId="1" applyNumberFormat="1" applyFont="1" applyFill="1" applyBorder="1"/>
    <xf numFmtId="0" fontId="6" fillId="2" borderId="0" xfId="0" applyFont="1" applyFill="1" applyAlignment="1">
      <alignment horizontal="center"/>
    </xf>
    <xf numFmtId="0" fontId="6" fillId="2" borderId="0" xfId="0" applyFont="1" applyFill="1"/>
    <xf numFmtId="0" fontId="46" fillId="2" borderId="0" xfId="0" applyFont="1" applyFill="1" applyAlignment="1">
      <alignment horizontal="right"/>
    </xf>
    <xf numFmtId="0" fontId="6" fillId="6" borderId="3" xfId="0" applyFont="1" applyFill="1" applyBorder="1"/>
    <xf numFmtId="0" fontId="46" fillId="6" borderId="0" xfId="0" applyFont="1" applyFill="1" applyAlignment="1">
      <alignment horizontal="right"/>
    </xf>
    <xf numFmtId="0" fontId="46" fillId="2" borderId="0" xfId="0" applyFont="1" applyFill="1" applyAlignment="1">
      <alignment horizontal="center"/>
    </xf>
    <xf numFmtId="0" fontId="47" fillId="2" borderId="0" xfId="0" applyFont="1" applyFill="1" applyAlignment="1">
      <alignment horizontal="center"/>
    </xf>
    <xf numFmtId="165" fontId="47" fillId="2" borderId="0" xfId="0" quotePrefix="1" applyNumberFormat="1" applyFont="1" applyFill="1" applyAlignment="1">
      <alignment horizontal="center"/>
    </xf>
    <xf numFmtId="165" fontId="48" fillId="2" borderId="0" xfId="0" applyNumberFormat="1" applyFont="1" applyFill="1" applyAlignment="1">
      <alignment horizontal="center"/>
    </xf>
    <xf numFmtId="165" fontId="48" fillId="2" borderId="2" xfId="0" applyNumberFormat="1" applyFont="1" applyFill="1" applyBorder="1" applyAlignment="1">
      <alignment horizontal="center"/>
    </xf>
    <xf numFmtId="0" fontId="5" fillId="2" borderId="0" xfId="0" applyFont="1" applyFill="1" applyAlignment="1">
      <alignment horizontal="center"/>
    </xf>
    <xf numFmtId="0" fontId="49" fillId="10" borderId="0" xfId="0" applyFont="1" applyFill="1"/>
    <xf numFmtId="0" fontId="5" fillId="10" borderId="0" xfId="0" applyFont="1" applyFill="1"/>
    <xf numFmtId="0" fontId="5" fillId="10" borderId="2" xfId="0" applyFont="1" applyFill="1" applyBorder="1"/>
    <xf numFmtId="0" fontId="5" fillId="2" borderId="0" xfId="0" applyFont="1" applyFill="1"/>
    <xf numFmtId="0" fontId="5" fillId="2" borderId="2" xfId="0" applyFont="1" applyFill="1" applyBorder="1"/>
    <xf numFmtId="0" fontId="49" fillId="20" borderId="0" xfId="0" applyFont="1" applyFill="1"/>
    <xf numFmtId="0" fontId="6" fillId="2" borderId="0" xfId="0" applyFont="1" applyFill="1" applyAlignment="1">
      <alignment horizontal="left" indent="2"/>
    </xf>
    <xf numFmtId="173" fontId="6" fillId="2" borderId="0" xfId="0" applyNumberFormat="1" applyFont="1" applyFill="1"/>
    <xf numFmtId="0" fontId="46" fillId="2" borderId="7" xfId="0" applyFont="1" applyFill="1" applyBorder="1"/>
    <xf numFmtId="3" fontId="46" fillId="2" borderId="7" xfId="0" applyNumberFormat="1" applyFont="1" applyFill="1" applyBorder="1"/>
    <xf numFmtId="1" fontId="46" fillId="2" borderId="7" xfId="0" applyNumberFormat="1" applyFont="1" applyFill="1" applyBorder="1"/>
    <xf numFmtId="3" fontId="46" fillId="19" borderId="7" xfId="2" applyNumberFormat="1" applyFont="1" applyFill="1" applyBorder="1"/>
    <xf numFmtId="0" fontId="46" fillId="2" borderId="0" xfId="0" applyFont="1" applyFill="1"/>
    <xf numFmtId="3" fontId="46" fillId="2" borderId="0" xfId="0" applyNumberFormat="1" applyFont="1" applyFill="1"/>
    <xf numFmtId="0" fontId="50" fillId="2" borderId="0" xfId="0" applyFont="1" applyFill="1" applyAlignment="1">
      <alignment horizontal="center"/>
    </xf>
    <xf numFmtId="0" fontId="50" fillId="2" borderId="0" xfId="0" applyFont="1" applyFill="1"/>
    <xf numFmtId="9" fontId="50" fillId="2" borderId="0" xfId="2" applyFont="1" applyFill="1" applyBorder="1"/>
    <xf numFmtId="9" fontId="46" fillId="2" borderId="7" xfId="2" applyFont="1" applyFill="1" applyBorder="1"/>
    <xf numFmtId="9" fontId="46" fillId="2" borderId="8" xfId="2" applyFont="1" applyFill="1" applyBorder="1"/>
    <xf numFmtId="10" fontId="46" fillId="2" borderId="7" xfId="2" applyNumberFormat="1" applyFont="1" applyFill="1" applyBorder="1"/>
    <xf numFmtId="9" fontId="50" fillId="2" borderId="2" xfId="2" applyFont="1" applyFill="1" applyBorder="1"/>
    <xf numFmtId="3" fontId="6" fillId="2" borderId="0" xfId="2" applyNumberFormat="1" applyFont="1" applyFill="1" applyBorder="1"/>
    <xf numFmtId="3" fontId="6" fillId="19" borderId="0" xfId="2" applyNumberFormat="1" applyFont="1" applyFill="1" applyBorder="1"/>
    <xf numFmtId="173" fontId="46" fillId="2" borderId="7" xfId="0" applyNumberFormat="1" applyFont="1" applyFill="1" applyBorder="1"/>
    <xf numFmtId="173" fontId="46" fillId="19" borderId="7" xfId="0" applyNumberFormat="1" applyFont="1" applyFill="1" applyBorder="1"/>
    <xf numFmtId="173" fontId="46" fillId="2" borderId="0" xfId="0" applyNumberFormat="1" applyFont="1" applyFill="1"/>
    <xf numFmtId="9" fontId="46" fillId="2" borderId="0" xfId="2" applyFont="1" applyFill="1" applyBorder="1"/>
    <xf numFmtId="10" fontId="6" fillId="2" borderId="0" xfId="0" applyNumberFormat="1" applyFont="1" applyFill="1"/>
    <xf numFmtId="173" fontId="46" fillId="19" borderId="0" xfId="0" applyNumberFormat="1" applyFont="1" applyFill="1"/>
    <xf numFmtId="9" fontId="6" fillId="2" borderId="0" xfId="2" applyFont="1" applyFill="1" applyBorder="1"/>
    <xf numFmtId="10" fontId="46" fillId="2" borderId="8" xfId="2" applyNumberFormat="1" applyFont="1" applyFill="1" applyBorder="1"/>
    <xf numFmtId="173" fontId="46" fillId="2" borderId="2" xfId="0" applyNumberFormat="1" applyFont="1" applyFill="1" applyBorder="1"/>
    <xf numFmtId="0" fontId="54" fillId="2" borderId="0" xfId="0" applyFont="1" applyFill="1"/>
    <xf numFmtId="0" fontId="53" fillId="2" borderId="0" xfId="0" applyFont="1" applyFill="1"/>
    <xf numFmtId="173" fontId="53" fillId="2" borderId="0" xfId="0" applyNumberFormat="1" applyFont="1" applyFill="1"/>
    <xf numFmtId="173" fontId="53" fillId="2" borderId="2" xfId="0" applyNumberFormat="1" applyFont="1" applyFill="1" applyBorder="1"/>
    <xf numFmtId="3" fontId="46" fillId="2" borderId="0" xfId="0" applyNumberFormat="1" applyFont="1" applyFill="1" applyAlignment="1">
      <alignment horizontal="center"/>
    </xf>
    <xf numFmtId="168" fontId="46" fillId="2" borderId="0" xfId="0" applyNumberFormat="1" applyFont="1" applyFill="1"/>
    <xf numFmtId="168" fontId="46" fillId="2" borderId="2" xfId="0" applyNumberFormat="1" applyFont="1" applyFill="1" applyBorder="1"/>
    <xf numFmtId="168" fontId="46" fillId="19" borderId="0" xfId="0" applyNumberFormat="1" applyFont="1" applyFill="1"/>
    <xf numFmtId="168" fontId="6" fillId="2" borderId="0" xfId="0" applyNumberFormat="1" applyFont="1" applyFill="1"/>
    <xf numFmtId="168" fontId="6" fillId="2" borderId="2" xfId="0" applyNumberFormat="1" applyFont="1" applyFill="1" applyBorder="1"/>
    <xf numFmtId="168" fontId="6" fillId="19" borderId="0" xfId="0" applyNumberFormat="1" applyFont="1" applyFill="1"/>
    <xf numFmtId="0" fontId="49" fillId="2" borderId="0" xfId="0" applyFont="1" applyFill="1"/>
    <xf numFmtId="9" fontId="46" fillId="2" borderId="0" xfId="2" applyFont="1" applyFill="1" applyBorder="1" applyAlignment="1">
      <alignment horizontal="center"/>
    </xf>
    <xf numFmtId="9" fontId="6" fillId="2" borderId="0" xfId="2" applyFont="1" applyFill="1" applyBorder="1" applyAlignment="1">
      <alignment horizontal="center"/>
    </xf>
    <xf numFmtId="170" fontId="46" fillId="2" borderId="7" xfId="1" applyNumberFormat="1" applyFont="1" applyFill="1" applyBorder="1"/>
    <xf numFmtId="170" fontId="6" fillId="2" borderId="0" xfId="1" applyNumberFormat="1" applyFont="1" applyFill="1" applyBorder="1" applyAlignment="1">
      <alignment horizontal="left" indent="1"/>
    </xf>
    <xf numFmtId="170" fontId="6" fillId="2" borderId="0" xfId="1" applyNumberFormat="1" applyFont="1" applyFill="1" applyBorder="1"/>
    <xf numFmtId="168" fontId="6" fillId="2" borderId="0" xfId="2" applyNumberFormat="1" applyFont="1" applyFill="1" applyBorder="1"/>
    <xf numFmtId="168" fontId="6" fillId="2" borderId="2" xfId="2" applyNumberFormat="1" applyFont="1" applyFill="1" applyBorder="1"/>
    <xf numFmtId="2" fontId="6" fillId="19" borderId="0" xfId="2" applyNumberFormat="1" applyFont="1" applyFill="1" applyBorder="1"/>
    <xf numFmtId="9" fontId="5" fillId="2" borderId="0" xfId="2" applyFont="1" applyFill="1" applyBorder="1" applyAlignment="1">
      <alignment horizontal="center"/>
    </xf>
    <xf numFmtId="170" fontId="55" fillId="2" borderId="0" xfId="1" applyNumberFormat="1" applyFont="1" applyFill="1" applyBorder="1" applyAlignment="1">
      <alignment horizontal="left" indent="1"/>
    </xf>
    <xf numFmtId="170" fontId="55" fillId="2" borderId="0" xfId="1" applyNumberFormat="1" applyFont="1" applyFill="1" applyBorder="1"/>
    <xf numFmtId="168" fontId="55" fillId="2" borderId="0" xfId="2" applyNumberFormat="1" applyFont="1" applyFill="1" applyBorder="1"/>
    <xf numFmtId="2" fontId="5" fillId="2" borderId="0" xfId="2" applyNumberFormat="1" applyFont="1" applyFill="1" applyBorder="1"/>
    <xf numFmtId="9" fontId="5" fillId="2" borderId="0" xfId="2" applyFont="1" applyFill="1" applyBorder="1"/>
    <xf numFmtId="168" fontId="55" fillId="2" borderId="2" xfId="2" applyNumberFormat="1" applyFont="1" applyFill="1" applyBorder="1"/>
    <xf numFmtId="168" fontId="46" fillId="19" borderId="7" xfId="2" applyNumberFormat="1" applyFont="1" applyFill="1" applyBorder="1"/>
    <xf numFmtId="0" fontId="47" fillId="2" borderId="0" xfId="0" applyFont="1" applyFill="1"/>
    <xf numFmtId="1" fontId="6" fillId="19" borderId="0" xfId="2" applyNumberFormat="1" applyFont="1" applyFill="1" applyBorder="1"/>
    <xf numFmtId="1" fontId="50" fillId="2" borderId="0" xfId="0" applyNumberFormat="1" applyFont="1" applyFill="1"/>
    <xf numFmtId="0" fontId="52" fillId="2" borderId="0" xfId="0" applyFont="1" applyFill="1"/>
    <xf numFmtId="0" fontId="52" fillId="2" borderId="2" xfId="0" applyFont="1" applyFill="1" applyBorder="1"/>
    <xf numFmtId="0" fontId="46" fillId="2" borderId="7" xfId="1" applyNumberFormat="1" applyFont="1" applyFill="1" applyBorder="1"/>
    <xf numFmtId="9" fontId="50" fillId="2" borderId="0" xfId="2" applyFont="1" applyFill="1" applyBorder="1" applyAlignment="1">
      <alignment horizontal="center"/>
    </xf>
    <xf numFmtId="170" fontId="50" fillId="2" borderId="0" xfId="1" applyNumberFormat="1" applyFont="1" applyFill="1" applyBorder="1" applyAlignment="1">
      <alignment horizontal="left" indent="1"/>
    </xf>
    <xf numFmtId="170" fontId="50" fillId="2" borderId="0" xfId="1" applyNumberFormat="1" applyFont="1" applyFill="1" applyBorder="1"/>
    <xf numFmtId="168" fontId="50" fillId="2" borderId="0" xfId="2" applyNumberFormat="1" applyFont="1" applyFill="1" applyBorder="1"/>
    <xf numFmtId="0" fontId="55" fillId="2" borderId="0" xfId="1" applyNumberFormat="1" applyFont="1" applyFill="1" applyBorder="1" applyAlignment="1">
      <alignment horizontal="left"/>
    </xf>
    <xf numFmtId="0" fontId="18" fillId="2" borderId="0" xfId="0" applyFont="1" applyFill="1"/>
    <xf numFmtId="173" fontId="46" fillId="2" borderId="8" xfId="0" applyNumberFormat="1" applyFont="1" applyFill="1" applyBorder="1"/>
    <xf numFmtId="0" fontId="6" fillId="2" borderId="3" xfId="0" applyFont="1" applyFill="1" applyBorder="1"/>
    <xf numFmtId="0" fontId="6" fillId="2" borderId="9" xfId="0" applyFont="1" applyFill="1" applyBorder="1"/>
    <xf numFmtId="0" fontId="46" fillId="2" borderId="2" xfId="0" applyFont="1" applyFill="1" applyBorder="1" applyAlignment="1">
      <alignment horizontal="right"/>
    </xf>
    <xf numFmtId="165" fontId="46" fillId="2" borderId="21" xfId="0" quotePrefix="1" applyNumberFormat="1" applyFont="1" applyFill="1" applyBorder="1" applyAlignment="1">
      <alignment horizontal="right"/>
    </xf>
    <xf numFmtId="165" fontId="46" fillId="8" borderId="21" xfId="0" applyNumberFormat="1" applyFont="1" applyFill="1" applyBorder="1" applyAlignment="1">
      <alignment horizontal="right"/>
    </xf>
    <xf numFmtId="165" fontId="46" fillId="2" borderId="21" xfId="0" applyNumberFormat="1" applyFont="1" applyFill="1" applyBorder="1" applyAlignment="1">
      <alignment horizontal="right"/>
    </xf>
    <xf numFmtId="165" fontId="46" fillId="2" borderId="22" xfId="0" applyNumberFormat="1" applyFont="1" applyFill="1" applyBorder="1" applyAlignment="1">
      <alignment horizontal="right"/>
    </xf>
    <xf numFmtId="165" fontId="46" fillId="6" borderId="21" xfId="0" applyNumberFormat="1" applyFont="1" applyFill="1" applyBorder="1" applyAlignment="1">
      <alignment horizontal="right"/>
    </xf>
    <xf numFmtId="0" fontId="5" fillId="19" borderId="0" xfId="0" applyFont="1" applyFill="1"/>
    <xf numFmtId="0" fontId="47" fillId="2" borderId="0" xfId="0" quotePrefix="1" applyFont="1" applyFill="1" applyAlignment="1">
      <alignment horizontal="right"/>
    </xf>
    <xf numFmtId="0" fontId="47" fillId="2" borderId="2" xfId="0" quotePrefix="1" applyFont="1" applyFill="1" applyBorder="1" applyAlignment="1">
      <alignment horizontal="right"/>
    </xf>
    <xf numFmtId="0" fontId="6" fillId="2" borderId="0" xfId="0" quotePrefix="1" applyFont="1" applyFill="1" applyAlignment="1">
      <alignment horizontal="right"/>
    </xf>
    <xf numFmtId="4" fontId="6" fillId="2" borderId="0" xfId="0" quotePrefix="1" applyNumberFormat="1" applyFont="1" applyFill="1" applyAlignment="1">
      <alignment horizontal="right"/>
    </xf>
    <xf numFmtId="4" fontId="6" fillId="19" borderId="0" xfId="0" quotePrefix="1" applyNumberFormat="1" applyFont="1" applyFill="1" applyAlignment="1">
      <alignment horizontal="right"/>
    </xf>
    <xf numFmtId="3" fontId="6" fillId="19" borderId="0" xfId="0" quotePrefix="1" applyNumberFormat="1" applyFont="1" applyFill="1" applyAlignment="1">
      <alignment horizontal="right"/>
    </xf>
    <xf numFmtId="4" fontId="46" fillId="2" borderId="7" xfId="2" applyNumberFormat="1" applyFont="1" applyFill="1" applyBorder="1"/>
    <xf numFmtId="4" fontId="46" fillId="2" borderId="8" xfId="2" applyNumberFormat="1" applyFont="1" applyFill="1" applyBorder="1"/>
    <xf numFmtId="9" fontId="50" fillId="19" borderId="0" xfId="2" applyFont="1" applyFill="1" applyBorder="1"/>
    <xf numFmtId="9" fontId="6" fillId="2" borderId="0" xfId="2" quotePrefix="1" applyFont="1" applyFill="1" applyBorder="1" applyAlignment="1">
      <alignment horizontal="right"/>
    </xf>
    <xf numFmtId="9" fontId="6" fillId="2" borderId="2" xfId="2" quotePrefix="1" applyFont="1" applyFill="1" applyBorder="1" applyAlignment="1">
      <alignment horizontal="right"/>
    </xf>
    <xf numFmtId="9" fontId="6" fillId="19" borderId="0" xfId="2" quotePrefix="1" applyFont="1" applyFill="1" applyBorder="1" applyAlignment="1">
      <alignment horizontal="right"/>
    </xf>
    <xf numFmtId="0" fontId="9" fillId="0" borderId="0" xfId="0" applyFont="1"/>
    <xf numFmtId="10" fontId="51" fillId="2" borderId="0" xfId="0" applyNumberFormat="1" applyFont="1" applyFill="1"/>
    <xf numFmtId="173" fontId="53" fillId="19" borderId="0" xfId="0" applyNumberFormat="1" applyFont="1" applyFill="1"/>
    <xf numFmtId="173" fontId="6" fillId="19" borderId="0" xfId="0" applyNumberFormat="1" applyFont="1" applyFill="1"/>
    <xf numFmtId="4" fontId="6" fillId="2" borderId="0" xfId="2" applyNumberFormat="1" applyFont="1" applyFill="1" applyBorder="1"/>
    <xf numFmtId="4" fontId="6" fillId="2" borderId="2" xfId="2" applyNumberFormat="1" applyFont="1" applyFill="1" applyBorder="1"/>
    <xf numFmtId="172" fontId="6" fillId="19" borderId="0" xfId="2" applyNumberFormat="1" applyFont="1" applyFill="1" applyBorder="1"/>
    <xf numFmtId="172" fontId="46" fillId="19" borderId="7" xfId="0" applyNumberFormat="1" applyFont="1" applyFill="1" applyBorder="1"/>
    <xf numFmtId="168" fontId="6" fillId="19" borderId="0" xfId="2" applyNumberFormat="1" applyFont="1" applyFill="1" applyBorder="1"/>
    <xf numFmtId="170" fontId="6" fillId="2" borderId="7" xfId="1" applyNumberFormat="1" applyFont="1" applyFill="1" applyBorder="1"/>
    <xf numFmtId="168" fontId="6" fillId="2" borderId="7" xfId="2" applyNumberFormat="1" applyFont="1" applyFill="1" applyBorder="1"/>
    <xf numFmtId="3" fontId="6" fillId="2" borderId="7" xfId="2" applyNumberFormat="1" applyFont="1" applyFill="1" applyBorder="1"/>
    <xf numFmtId="168" fontId="6" fillId="2" borderId="8" xfId="2" applyNumberFormat="1" applyFont="1" applyFill="1" applyBorder="1"/>
    <xf numFmtId="2" fontId="6" fillId="19" borderId="7" xfId="2" applyNumberFormat="1" applyFont="1" applyFill="1" applyBorder="1"/>
    <xf numFmtId="1" fontId="5" fillId="2" borderId="0" xfId="2" applyNumberFormat="1" applyFont="1" applyFill="1" applyBorder="1" applyAlignment="1">
      <alignment horizontal="center"/>
    </xf>
    <xf numFmtId="4" fontId="46" fillId="2" borderId="7" xfId="1" applyNumberFormat="1" applyFont="1" applyFill="1" applyBorder="1"/>
    <xf numFmtId="4" fontId="46" fillId="2" borderId="8" xfId="1" applyNumberFormat="1" applyFont="1" applyFill="1" applyBorder="1"/>
    <xf numFmtId="43" fontId="46" fillId="19" borderId="7" xfId="1" applyFont="1" applyFill="1" applyBorder="1"/>
    <xf numFmtId="0" fontId="6" fillId="2" borderId="2" xfId="0" applyFont="1" applyFill="1" applyBorder="1"/>
    <xf numFmtId="10" fontId="6" fillId="2" borderId="0" xfId="2" applyNumberFormat="1" applyFont="1" applyFill="1" applyBorder="1"/>
    <xf numFmtId="10" fontId="6" fillId="2" borderId="2" xfId="2" applyNumberFormat="1" applyFont="1" applyFill="1" applyBorder="1"/>
    <xf numFmtId="168" fontId="50" fillId="2" borderId="2" xfId="2" applyNumberFormat="1" applyFont="1" applyFill="1" applyBorder="1"/>
    <xf numFmtId="2" fontId="50" fillId="2" borderId="0" xfId="2" applyNumberFormat="1" applyFont="1" applyFill="1" applyBorder="1"/>
    <xf numFmtId="10" fontId="5" fillId="2" borderId="0" xfId="0" applyNumberFormat="1" applyFont="1" applyFill="1"/>
    <xf numFmtId="4" fontId="46" fillId="23" borderId="7" xfId="2" applyNumberFormat="1" applyFont="1" applyFill="1" applyBorder="1"/>
    <xf numFmtId="9" fontId="46" fillId="23" borderId="7" xfId="2" applyFont="1" applyFill="1" applyBorder="1"/>
    <xf numFmtId="2" fontId="6" fillId="23" borderId="0" xfId="2" applyNumberFormat="1" applyFont="1" applyFill="1" applyBorder="1"/>
    <xf numFmtId="43" fontId="46" fillId="23" borderId="7" xfId="1" applyFont="1" applyFill="1" applyBorder="1"/>
    <xf numFmtId="0" fontId="6" fillId="23" borderId="0" xfId="0" applyFont="1" applyFill="1"/>
    <xf numFmtId="0" fontId="52" fillId="23" borderId="0" xfId="0" applyFont="1" applyFill="1"/>
    <xf numFmtId="0" fontId="5" fillId="23" borderId="0" xfId="0" applyFont="1" applyFill="1"/>
    <xf numFmtId="168" fontId="6" fillId="23" borderId="0" xfId="2" applyNumberFormat="1" applyFont="1" applyFill="1" applyBorder="1"/>
    <xf numFmtId="10" fontId="46" fillId="23" borderId="7" xfId="2" applyNumberFormat="1" applyFont="1" applyFill="1" applyBorder="1"/>
    <xf numFmtId="164" fontId="10" fillId="8" borderId="0" xfId="1" applyNumberFormat="1" applyFont="1" applyFill="1" applyBorder="1" applyAlignment="1">
      <alignment horizontal="right"/>
    </xf>
    <xf numFmtId="0" fontId="10" fillId="2" borderId="0" xfId="0" applyFont="1" applyFill="1" applyAlignment="1">
      <alignment horizontal="right"/>
    </xf>
    <xf numFmtId="0" fontId="12" fillId="2" borderId="0" xfId="0" applyFont="1" applyFill="1" applyAlignment="1">
      <alignment horizontal="right"/>
    </xf>
    <xf numFmtId="0" fontId="11" fillId="2" borderId="0" xfId="0" applyFont="1" applyFill="1" applyAlignment="1">
      <alignment horizontal="right"/>
    </xf>
    <xf numFmtId="0" fontId="11" fillId="2" borderId="2" xfId="0" applyFont="1" applyFill="1" applyBorder="1" applyAlignment="1">
      <alignment horizontal="right"/>
    </xf>
    <xf numFmtId="0" fontId="11" fillId="6" borderId="0" xfId="0" applyFont="1" applyFill="1" applyAlignment="1">
      <alignment horizontal="right"/>
    </xf>
    <xf numFmtId="0" fontId="56" fillId="2" borderId="0" xfId="0" applyFont="1" applyFill="1" applyAlignment="1">
      <alignment horizontal="right"/>
    </xf>
    <xf numFmtId="0" fontId="13" fillId="2" borderId="29" xfId="0" applyFont="1" applyFill="1" applyBorder="1" applyAlignment="1">
      <alignment horizontal="right"/>
    </xf>
    <xf numFmtId="0" fontId="13" fillId="2" borderId="30" xfId="0" applyFont="1" applyFill="1" applyBorder="1" applyAlignment="1">
      <alignment horizontal="right"/>
    </xf>
    <xf numFmtId="0" fontId="13" fillId="6" borderId="29" xfId="0" applyFont="1" applyFill="1" applyBorder="1" applyAlignment="1">
      <alignment horizontal="right"/>
    </xf>
    <xf numFmtId="165" fontId="13" fillId="2" borderId="21" xfId="0" quotePrefix="1" applyNumberFormat="1" applyFont="1" applyFill="1" applyBorder="1" applyAlignment="1">
      <alignment horizontal="right"/>
    </xf>
    <xf numFmtId="165" fontId="13" fillId="8" borderId="21" xfId="0" applyNumberFormat="1" applyFont="1" applyFill="1" applyBorder="1" applyAlignment="1">
      <alignment horizontal="right" vertical="center"/>
    </xf>
    <xf numFmtId="165" fontId="13" fillId="2" borderId="21" xfId="0" applyNumberFormat="1" applyFont="1" applyFill="1" applyBorder="1" applyAlignment="1">
      <alignment horizontal="right"/>
    </xf>
    <xf numFmtId="165" fontId="13" fillId="2" borderId="22" xfId="0" applyNumberFormat="1" applyFont="1" applyFill="1" applyBorder="1" applyAlignment="1">
      <alignment horizontal="right"/>
    </xf>
    <xf numFmtId="165" fontId="13" fillId="6" borderId="21" xfId="0" applyNumberFormat="1" applyFont="1" applyFill="1" applyBorder="1" applyAlignment="1">
      <alignment horizontal="right"/>
    </xf>
    <xf numFmtId="165" fontId="24" fillId="2" borderId="0" xfId="0" quotePrefix="1" applyNumberFormat="1" applyFont="1" applyFill="1" applyAlignment="1">
      <alignment horizontal="center"/>
    </xf>
    <xf numFmtId="165" fontId="31" fillId="2" borderId="0" xfId="0" applyNumberFormat="1" applyFont="1" applyFill="1" applyAlignment="1">
      <alignment horizontal="center"/>
    </xf>
    <xf numFmtId="165" fontId="31" fillId="2" borderId="2" xfId="0" applyNumberFormat="1" applyFont="1" applyFill="1" applyBorder="1" applyAlignment="1">
      <alignment horizontal="center"/>
    </xf>
    <xf numFmtId="0" fontId="18" fillId="10" borderId="0" xfId="0" applyFont="1" applyFill="1" applyAlignment="1">
      <alignment vertical="center"/>
    </xf>
    <xf numFmtId="0" fontId="10" fillId="10" borderId="0" xfId="0" applyFont="1" applyFill="1" applyAlignment="1">
      <alignment vertical="center"/>
    </xf>
    <xf numFmtId="0" fontId="10" fillId="10" borderId="2" xfId="0" applyFont="1" applyFill="1" applyBorder="1" applyAlignment="1">
      <alignment vertical="center"/>
    </xf>
    <xf numFmtId="0" fontId="10" fillId="2" borderId="0" xfId="0" applyFont="1" applyFill="1" applyAlignment="1">
      <alignment vertical="center"/>
    </xf>
    <xf numFmtId="4" fontId="13" fillId="2" borderId="0" xfId="0" applyNumberFormat="1" applyFont="1" applyFill="1"/>
    <xf numFmtId="43" fontId="11" fillId="2" borderId="2" xfId="1" applyFont="1" applyFill="1" applyBorder="1"/>
    <xf numFmtId="43" fontId="11" fillId="6" borderId="0" xfId="1" applyFont="1" applyFill="1" applyBorder="1"/>
    <xf numFmtId="164" fontId="11" fillId="6" borderId="0" xfId="1" applyNumberFormat="1" applyFont="1" applyFill="1" applyBorder="1"/>
    <xf numFmtId="168" fontId="13" fillId="2" borderId="0" xfId="2" applyNumberFormat="1" applyFont="1" applyFill="1" applyBorder="1"/>
    <xf numFmtId="173" fontId="11" fillId="2" borderId="0" xfId="1" applyNumberFormat="1" applyFont="1" applyFill="1" applyBorder="1"/>
    <xf numFmtId="172" fontId="11" fillId="2" borderId="0" xfId="1" applyNumberFormat="1" applyFont="1" applyFill="1" applyBorder="1"/>
    <xf numFmtId="173" fontId="11" fillId="6" borderId="0" xfId="1" applyNumberFormat="1" applyFont="1" applyFill="1" applyBorder="1"/>
    <xf numFmtId="0" fontId="18" fillId="24" borderId="7" xfId="0" applyFont="1" applyFill="1" applyBorder="1"/>
    <xf numFmtId="173" fontId="28" fillId="2" borderId="7" xfId="0" applyNumberFormat="1" applyFont="1" applyFill="1" applyBorder="1"/>
    <xf numFmtId="172" fontId="28" fillId="2" borderId="7" xfId="0" applyNumberFormat="1" applyFont="1" applyFill="1" applyBorder="1"/>
    <xf numFmtId="173" fontId="28" fillId="6" borderId="7" xfId="0" applyNumberFormat="1" applyFont="1" applyFill="1" applyBorder="1"/>
    <xf numFmtId="173" fontId="10" fillId="2" borderId="0" xfId="0" applyNumberFormat="1" applyFont="1" applyFill="1"/>
    <xf numFmtId="9" fontId="10" fillId="2" borderId="0" xfId="2" applyFont="1" applyFill="1" applyBorder="1"/>
    <xf numFmtId="168" fontId="13" fillId="6" borderId="0" xfId="2" applyNumberFormat="1" applyFont="1" applyFill="1" applyBorder="1"/>
    <xf numFmtId="168" fontId="11" fillId="2" borderId="2" xfId="2" applyNumberFormat="1" applyFont="1" applyFill="1" applyBorder="1"/>
    <xf numFmtId="168" fontId="13" fillId="2" borderId="0" xfId="0" applyNumberFormat="1" applyFont="1" applyFill="1"/>
    <xf numFmtId="168" fontId="28" fillId="2" borderId="7" xfId="0" applyNumberFormat="1" applyFont="1" applyFill="1" applyBorder="1"/>
    <xf numFmtId="168" fontId="28" fillId="2" borderId="7" xfId="2" applyNumberFormat="1" applyFont="1" applyFill="1" applyBorder="1"/>
    <xf numFmtId="168" fontId="28" fillId="6" borderId="7" xfId="2" applyNumberFormat="1" applyFont="1" applyFill="1" applyBorder="1"/>
    <xf numFmtId="173" fontId="10" fillId="2" borderId="0" xfId="1" applyNumberFormat="1" applyFont="1" applyFill="1" applyBorder="1" applyAlignment="1">
      <alignment horizontal="center"/>
    </xf>
    <xf numFmtId="0" fontId="13" fillId="2" borderId="11" xfId="0" applyFont="1" applyFill="1" applyBorder="1" applyAlignment="1">
      <alignment vertical="center"/>
    </xf>
    <xf numFmtId="43" fontId="13" fillId="2" borderId="0" xfId="1" applyFont="1" applyFill="1" applyBorder="1"/>
    <xf numFmtId="43" fontId="13" fillId="2" borderId="2" xfId="1" applyFont="1" applyFill="1" applyBorder="1"/>
    <xf numFmtId="43" fontId="13" fillId="6" borderId="0" xfId="1" applyFont="1" applyFill="1" applyBorder="1"/>
    <xf numFmtId="164" fontId="13" fillId="6" borderId="0" xfId="1" applyNumberFormat="1" applyFont="1" applyFill="1" applyBorder="1"/>
    <xf numFmtId="170" fontId="15" fillId="2" borderId="0" xfId="1" applyNumberFormat="1" applyFont="1" applyFill="1" applyBorder="1" applyAlignment="1">
      <alignment horizontal="left" indent="1"/>
    </xf>
    <xf numFmtId="168" fontId="15" fillId="2" borderId="0" xfId="2" applyNumberFormat="1" applyFont="1" applyFill="1" applyBorder="1"/>
    <xf numFmtId="168" fontId="15" fillId="2" borderId="2" xfId="2" applyNumberFormat="1" applyFont="1" applyFill="1" applyBorder="1"/>
    <xf numFmtId="168" fontId="15" fillId="6" borderId="0" xfId="2" applyNumberFormat="1" applyFont="1" applyFill="1" applyBorder="1"/>
    <xf numFmtId="1" fontId="11" fillId="2" borderId="0" xfId="1" applyNumberFormat="1" applyFont="1" applyFill="1" applyBorder="1"/>
    <xf numFmtId="1" fontId="11" fillId="2" borderId="0" xfId="2" applyNumberFormat="1" applyFont="1" applyFill="1" applyBorder="1"/>
    <xf numFmtId="2" fontId="11" fillId="2" borderId="0" xfId="2" applyNumberFormat="1" applyFont="1" applyFill="1" applyBorder="1"/>
    <xf numFmtId="2" fontId="11" fillId="2" borderId="2" xfId="2" applyNumberFormat="1" applyFont="1" applyFill="1" applyBorder="1"/>
    <xf numFmtId="2" fontId="11" fillId="6" borderId="0" xfId="2" applyNumberFormat="1" applyFont="1" applyFill="1" applyBorder="1"/>
    <xf numFmtId="1" fontId="11" fillId="6" borderId="0" xfId="2" applyNumberFormat="1" applyFont="1" applyFill="1" applyBorder="1"/>
    <xf numFmtId="170" fontId="18" fillId="20" borderId="7" xfId="1" applyNumberFormat="1" applyFont="1" applyFill="1" applyBorder="1" applyAlignment="1">
      <alignment horizontal="left"/>
    </xf>
    <xf numFmtId="170" fontId="18" fillId="20" borderId="7" xfId="1" applyNumberFormat="1" applyFont="1" applyFill="1" applyBorder="1"/>
    <xf numFmtId="164" fontId="28" fillId="2" borderId="7" xfId="1" applyNumberFormat="1" applyFont="1" applyFill="1" applyBorder="1"/>
    <xf numFmtId="43" fontId="28" fillId="2" borderId="7" xfId="1" applyFont="1" applyFill="1" applyBorder="1"/>
    <xf numFmtId="43" fontId="28" fillId="2" borderId="8" xfId="1" applyFont="1" applyFill="1" applyBorder="1"/>
    <xf numFmtId="43" fontId="28" fillId="6" borderId="7" xfId="1" applyFont="1" applyFill="1" applyBorder="1"/>
    <xf numFmtId="164" fontId="28" fillId="6" borderId="7" xfId="1" applyNumberFormat="1" applyFont="1" applyFill="1" applyBorder="1"/>
    <xf numFmtId="170" fontId="20" fillId="2" borderId="0" xfId="1" applyNumberFormat="1" applyFont="1" applyFill="1" applyBorder="1" applyAlignment="1">
      <alignment horizontal="left" indent="2"/>
    </xf>
    <xf numFmtId="170" fontId="20" fillId="2" borderId="0" xfId="1" applyNumberFormat="1" applyFont="1" applyFill="1" applyBorder="1"/>
    <xf numFmtId="168" fontId="20" fillId="2" borderId="0" xfId="2" applyNumberFormat="1" applyFont="1" applyFill="1" applyBorder="1"/>
    <xf numFmtId="168" fontId="20" fillId="2" borderId="2" xfId="2" applyNumberFormat="1" applyFont="1" applyFill="1" applyBorder="1"/>
    <xf numFmtId="168" fontId="20" fillId="6" borderId="0" xfId="2" applyNumberFormat="1" applyFont="1" applyFill="1" applyBorder="1"/>
    <xf numFmtId="9" fontId="20" fillId="2" borderId="0" xfId="2" applyFont="1" applyFill="1" applyBorder="1"/>
    <xf numFmtId="4" fontId="27" fillId="2" borderId="2" xfId="0" applyNumberFormat="1" applyFont="1" applyFill="1" applyBorder="1"/>
    <xf numFmtId="0" fontId="12" fillId="12" borderId="0" xfId="0" applyFont="1" applyFill="1" applyAlignment="1">
      <alignment horizontal="left" indent="4"/>
    </xf>
    <xf numFmtId="9" fontId="12" fillId="12" borderId="0" xfId="2" applyFont="1" applyFill="1" applyBorder="1"/>
    <xf numFmtId="164" fontId="12" fillId="12" borderId="0" xfId="1" applyNumberFormat="1" applyFont="1" applyFill="1" applyBorder="1"/>
    <xf numFmtId="1" fontId="12" fillId="12" borderId="0" xfId="2" applyNumberFormat="1" applyFont="1" applyFill="1" applyBorder="1"/>
    <xf numFmtId="2" fontId="12" fillId="12" borderId="0" xfId="2" applyNumberFormat="1" applyFont="1" applyFill="1" applyBorder="1"/>
    <xf numFmtId="43" fontId="28" fillId="2" borderId="0" xfId="1" applyFont="1" applyFill="1" applyBorder="1"/>
    <xf numFmtId="1" fontId="10" fillId="2" borderId="0" xfId="0" applyNumberFormat="1" applyFont="1" applyFill="1"/>
    <xf numFmtId="0" fontId="12" fillId="2" borderId="2" xfId="0" applyFont="1" applyFill="1" applyBorder="1"/>
    <xf numFmtId="0" fontId="13" fillId="2" borderId="11" xfId="0" applyFont="1" applyFill="1" applyBorder="1"/>
    <xf numFmtId="10" fontId="13" fillId="2" borderId="0" xfId="2" applyNumberFormat="1" applyFont="1" applyFill="1" applyBorder="1"/>
    <xf numFmtId="10" fontId="13" fillId="2" borderId="2" xfId="2" applyNumberFormat="1" applyFont="1" applyFill="1" applyBorder="1"/>
    <xf numFmtId="10" fontId="13" fillId="6" borderId="0" xfId="2" applyNumberFormat="1" applyFont="1" applyFill="1" applyBorder="1"/>
    <xf numFmtId="9" fontId="13" fillId="6" borderId="0" xfId="2" applyFont="1" applyFill="1" applyBorder="1"/>
    <xf numFmtId="10" fontId="11" fillId="2" borderId="2" xfId="2" applyNumberFormat="1" applyFont="1" applyFill="1" applyBorder="1"/>
    <xf numFmtId="10" fontId="12" fillId="12" borderId="0" xfId="2" applyNumberFormat="1" applyFont="1" applyFill="1" applyBorder="1"/>
    <xf numFmtId="170" fontId="18" fillId="24" borderId="7" xfId="1" applyNumberFormat="1" applyFont="1" applyFill="1" applyBorder="1" applyAlignment="1">
      <alignment horizontal="left"/>
    </xf>
    <xf numFmtId="170" fontId="18" fillId="2" borderId="7" xfId="1" applyNumberFormat="1" applyFont="1" applyFill="1" applyBorder="1"/>
    <xf numFmtId="9" fontId="28" fillId="2" borderId="7" xfId="2" applyFont="1" applyFill="1" applyBorder="1"/>
    <xf numFmtId="10" fontId="28" fillId="2" borderId="0" xfId="2" applyNumberFormat="1" applyFont="1" applyFill="1" applyBorder="1"/>
    <xf numFmtId="10" fontId="28" fillId="2" borderId="7" xfId="2" applyNumberFormat="1" applyFont="1" applyFill="1" applyBorder="1"/>
    <xf numFmtId="10" fontId="28" fillId="2" borderId="8" xfId="2" applyNumberFormat="1" applyFont="1" applyFill="1" applyBorder="1"/>
    <xf numFmtId="10" fontId="28" fillId="6" borderId="7" xfId="2" applyNumberFormat="1" applyFont="1" applyFill="1" applyBorder="1"/>
    <xf numFmtId="9" fontId="28" fillId="6" borderId="7" xfId="2" applyFont="1" applyFill="1" applyBorder="1"/>
    <xf numFmtId="3" fontId="11" fillId="2" borderId="0" xfId="2" applyNumberFormat="1" applyFont="1" applyFill="1" applyBorder="1"/>
    <xf numFmtId="4" fontId="11" fillId="2" borderId="0" xfId="2" applyNumberFormat="1" applyFont="1" applyFill="1" applyBorder="1"/>
    <xf numFmtId="4" fontId="11" fillId="6" borderId="0" xfId="2" applyNumberFormat="1" applyFont="1" applyFill="1" applyBorder="1"/>
    <xf numFmtId="3" fontId="11" fillId="6" borderId="0" xfId="2" applyNumberFormat="1" applyFont="1" applyFill="1" applyBorder="1"/>
    <xf numFmtId="170" fontId="18" fillId="20" borderId="7" xfId="1" applyNumberFormat="1" applyFont="1" applyFill="1" applyBorder="1" applyAlignment="1">
      <alignment vertical="center"/>
    </xf>
    <xf numFmtId="0" fontId="20" fillId="2" borderId="0" xfId="0" applyFont="1" applyFill="1" applyAlignment="1">
      <alignment horizontal="left" indent="2"/>
    </xf>
    <xf numFmtId="170" fontId="18" fillId="25" borderId="7" xfId="1" applyNumberFormat="1" applyFont="1" applyFill="1" applyBorder="1" applyAlignment="1">
      <alignment vertical="center"/>
    </xf>
    <xf numFmtId="9" fontId="24" fillId="2" borderId="0" xfId="2" applyFont="1" applyFill="1" applyBorder="1"/>
    <xf numFmtId="170" fontId="21" fillId="2" borderId="0" xfId="1" applyNumberFormat="1" applyFont="1" applyFill="1" applyBorder="1" applyAlignment="1">
      <alignment horizontal="left" indent="1"/>
    </xf>
    <xf numFmtId="170" fontId="21" fillId="2" borderId="0" xfId="1" applyNumberFormat="1" applyFont="1" applyFill="1" applyBorder="1"/>
    <xf numFmtId="168" fontId="21" fillId="2" borderId="0" xfId="2" applyNumberFormat="1" applyFont="1" applyFill="1" applyBorder="1"/>
    <xf numFmtId="168" fontId="21" fillId="2" borderId="2" xfId="2" applyNumberFormat="1" applyFont="1" applyFill="1" applyBorder="1"/>
    <xf numFmtId="2" fontId="10" fillId="2" borderId="0" xfId="2" applyNumberFormat="1" applyFont="1" applyFill="1" applyBorder="1"/>
    <xf numFmtId="0" fontId="10" fillId="26" borderId="0" xfId="0" applyFont="1" applyFill="1"/>
    <xf numFmtId="164" fontId="15" fillId="2" borderId="0" xfId="1" applyNumberFormat="1" applyFont="1" applyFill="1" applyBorder="1" applyAlignment="1">
      <alignment horizontal="left"/>
    </xf>
    <xf numFmtId="164" fontId="11" fillId="2" borderId="0" xfId="1" applyNumberFormat="1" applyFont="1" applyFill="1" applyBorder="1" applyAlignment="1">
      <alignment horizontal="left" indent="2"/>
    </xf>
    <xf numFmtId="164" fontId="11" fillId="2" borderId="0" xfId="1" applyNumberFormat="1" applyFont="1" applyFill="1" applyBorder="1" applyAlignment="1">
      <alignment horizontal="left" indent="4"/>
    </xf>
    <xf numFmtId="164" fontId="18" fillId="24" borderId="7" xfId="1" applyNumberFormat="1" applyFont="1" applyFill="1" applyBorder="1"/>
    <xf numFmtId="164" fontId="12" fillId="24" borderId="7" xfId="1" applyNumberFormat="1" applyFont="1" applyFill="1" applyBorder="1"/>
    <xf numFmtId="164" fontId="10" fillId="2" borderId="0" xfId="1" applyNumberFormat="1" applyFont="1" applyFill="1" applyBorder="1"/>
    <xf numFmtId="0" fontId="11" fillId="12" borderId="0" xfId="0" applyFont="1" applyFill="1"/>
    <xf numFmtId="0" fontId="11" fillId="12" borderId="2" xfId="0" applyFont="1" applyFill="1" applyBorder="1"/>
    <xf numFmtId="168" fontId="15" fillId="8" borderId="0" xfId="2" applyNumberFormat="1" applyFont="1" applyFill="1" applyBorder="1"/>
    <xf numFmtId="174" fontId="20" fillId="2" borderId="0" xfId="1" applyNumberFormat="1" applyFont="1" applyFill="1" applyBorder="1"/>
    <xf numFmtId="0" fontId="20" fillId="2" borderId="2" xfId="0" applyFont="1" applyFill="1" applyBorder="1"/>
    <xf numFmtId="174" fontId="13" fillId="2" borderId="0" xfId="1" applyNumberFormat="1" applyFont="1" applyFill="1" applyBorder="1"/>
    <xf numFmtId="168" fontId="11" fillId="2" borderId="7" xfId="0" applyNumberFormat="1" applyFont="1" applyFill="1" applyBorder="1"/>
    <xf numFmtId="168" fontId="11" fillId="2" borderId="8" xfId="0" applyNumberFormat="1" applyFont="1" applyFill="1" applyBorder="1"/>
    <xf numFmtId="168" fontId="11" fillId="6" borderId="7" xfId="0" applyNumberFormat="1" applyFont="1" applyFill="1" applyBorder="1"/>
    <xf numFmtId="9" fontId="27" fillId="2" borderId="0" xfId="2" applyFont="1" applyFill="1" applyBorder="1"/>
    <xf numFmtId="4" fontId="46" fillId="23" borderId="0" xfId="2" applyNumberFormat="1" applyFont="1" applyFill="1" applyBorder="1"/>
    <xf numFmtId="9" fontId="46" fillId="23" borderId="0" xfId="2" applyFont="1" applyFill="1" applyBorder="1"/>
    <xf numFmtId="10" fontId="46" fillId="23" borderId="0" xfId="2" applyNumberFormat="1" applyFont="1" applyFill="1" applyBorder="1"/>
    <xf numFmtId="0" fontId="6" fillId="21" borderId="0" xfId="0" applyFont="1" applyFill="1"/>
    <xf numFmtId="165" fontId="46" fillId="21" borderId="21" xfId="0" applyNumberFormat="1" applyFont="1" applyFill="1" applyBorder="1" applyAlignment="1">
      <alignment horizontal="right"/>
    </xf>
    <xf numFmtId="4" fontId="6" fillId="23" borderId="0" xfId="0" quotePrefix="1" applyNumberFormat="1" applyFont="1" applyFill="1" applyAlignment="1">
      <alignment horizontal="right"/>
    </xf>
    <xf numFmtId="9" fontId="50" fillId="23" borderId="0" xfId="2" applyFont="1" applyFill="1" applyBorder="1"/>
    <xf numFmtId="0" fontId="47" fillId="23" borderId="0" xfId="0" quotePrefix="1" applyFont="1" applyFill="1" applyAlignment="1">
      <alignment horizontal="right"/>
    </xf>
    <xf numFmtId="9" fontId="6" fillId="23" borderId="0" xfId="2" quotePrefix="1" applyFont="1" applyFill="1" applyBorder="1" applyAlignment="1">
      <alignment horizontal="right"/>
    </xf>
    <xf numFmtId="10" fontId="6" fillId="23" borderId="0" xfId="2" quotePrefix="1" applyNumberFormat="1" applyFont="1" applyFill="1" applyBorder="1" applyAlignment="1">
      <alignment horizontal="right"/>
    </xf>
    <xf numFmtId="173" fontId="53" fillId="23" borderId="0" xfId="0" applyNumberFormat="1" applyFont="1" applyFill="1"/>
    <xf numFmtId="173" fontId="46" fillId="23" borderId="0" xfId="0" applyNumberFormat="1" applyFont="1" applyFill="1"/>
    <xf numFmtId="173" fontId="6" fillId="23" borderId="0" xfId="0" applyNumberFormat="1" applyFont="1" applyFill="1"/>
    <xf numFmtId="173" fontId="46" fillId="23" borderId="7" xfId="0" applyNumberFormat="1" applyFont="1" applyFill="1" applyBorder="1"/>
    <xf numFmtId="168" fontId="46" fillId="23" borderId="0" xfId="0" applyNumberFormat="1" applyFont="1" applyFill="1"/>
    <xf numFmtId="168" fontId="6" fillId="23" borderId="0" xfId="0" applyNumberFormat="1" applyFont="1" applyFill="1"/>
    <xf numFmtId="4" fontId="46" fillId="23" borderId="0" xfId="1" applyNumberFormat="1" applyFont="1" applyFill="1" applyBorder="1"/>
    <xf numFmtId="10" fontId="6" fillId="23" borderId="0" xfId="2" applyNumberFormat="1" applyFont="1" applyFill="1" applyBorder="1"/>
    <xf numFmtId="10" fontId="6" fillId="23" borderId="20" xfId="2" applyNumberFormat="1" applyFont="1" applyFill="1" applyBorder="1"/>
    <xf numFmtId="172" fontId="6" fillId="23" borderId="0" xfId="2" applyNumberFormat="1" applyFont="1" applyFill="1" applyBorder="1"/>
    <xf numFmtId="172" fontId="46" fillId="23" borderId="0" xfId="0" applyNumberFormat="1" applyFont="1" applyFill="1"/>
    <xf numFmtId="172" fontId="46" fillId="23" borderId="7" xfId="0" applyNumberFormat="1" applyFont="1" applyFill="1" applyBorder="1"/>
    <xf numFmtId="172" fontId="28" fillId="21" borderId="7" xfId="0" applyNumberFormat="1" applyFont="1" applyFill="1" applyBorder="1"/>
    <xf numFmtId="168" fontId="13" fillId="21" borderId="0" xfId="2" applyNumberFormat="1" applyFont="1" applyFill="1" applyBorder="1"/>
    <xf numFmtId="168" fontId="28" fillId="21" borderId="7" xfId="0" applyNumberFormat="1" applyFont="1" applyFill="1" applyBorder="1"/>
    <xf numFmtId="4" fontId="27" fillId="2" borderId="0" xfId="0" applyNumberFormat="1" applyFont="1" applyFill="1"/>
    <xf numFmtId="2" fontId="12" fillId="12" borderId="2" xfId="2" applyNumberFormat="1" applyFont="1" applyFill="1" applyBorder="1"/>
    <xf numFmtId="43" fontId="13" fillId="21" borderId="0" xfId="1" applyFont="1" applyFill="1" applyBorder="1"/>
    <xf numFmtId="168" fontId="15" fillId="21" borderId="0" xfId="2" applyNumberFormat="1" applyFont="1" applyFill="1" applyBorder="1"/>
    <xf numFmtId="4" fontId="11" fillId="21" borderId="0" xfId="1" applyNumberFormat="1" applyFont="1" applyFill="1" applyBorder="1"/>
    <xf numFmtId="2" fontId="11" fillId="21" borderId="0" xfId="2" applyNumberFormat="1" applyFont="1" applyFill="1" applyBorder="1"/>
    <xf numFmtId="43" fontId="28" fillId="21" borderId="7" xfId="1" applyFont="1" applyFill="1" applyBorder="1"/>
    <xf numFmtId="168" fontId="20" fillId="21" borderId="0" xfId="2" applyNumberFormat="1" applyFont="1" applyFill="1" applyBorder="1"/>
    <xf numFmtId="10" fontId="31" fillId="2" borderId="0" xfId="2" applyNumberFormat="1" applyFont="1" applyFill="1" applyAlignment="1">
      <alignment horizontal="center"/>
    </xf>
    <xf numFmtId="168" fontId="20" fillId="22" borderId="0" xfId="2" applyNumberFormat="1" applyFont="1" applyFill="1" applyBorder="1"/>
    <xf numFmtId="0" fontId="10" fillId="22" borderId="0" xfId="0" applyFont="1" applyFill="1"/>
    <xf numFmtId="3" fontId="10" fillId="22" borderId="0" xfId="0" applyNumberFormat="1" applyFont="1" applyFill="1"/>
    <xf numFmtId="164" fontId="13" fillId="22" borderId="0" xfId="1" applyNumberFormat="1" applyFont="1" applyFill="1" applyBorder="1"/>
    <xf numFmtId="168" fontId="15" fillId="22" borderId="0" xfId="2" applyNumberFormat="1" applyFont="1" applyFill="1" applyBorder="1"/>
    <xf numFmtId="1" fontId="11" fillId="22" borderId="0" xfId="1" applyNumberFormat="1" applyFont="1" applyFill="1" applyBorder="1"/>
    <xf numFmtId="3" fontId="12" fillId="22" borderId="0" xfId="1" applyNumberFormat="1" applyFont="1" applyFill="1" applyBorder="1"/>
    <xf numFmtId="3" fontId="11" fillId="22" borderId="0" xfId="1" applyNumberFormat="1" applyFont="1" applyFill="1" applyBorder="1"/>
    <xf numFmtId="1" fontId="11" fillId="22" borderId="0" xfId="2" applyNumberFormat="1" applyFont="1" applyFill="1" applyBorder="1"/>
    <xf numFmtId="9" fontId="11" fillId="22" borderId="0" xfId="2" applyFont="1" applyFill="1" applyBorder="1"/>
    <xf numFmtId="168" fontId="57" fillId="2" borderId="0" xfId="2" applyNumberFormat="1" applyFont="1" applyFill="1" applyBorder="1"/>
    <xf numFmtId="168" fontId="57" fillId="6" borderId="0" xfId="2" applyNumberFormat="1" applyFont="1" applyFill="1" applyBorder="1"/>
    <xf numFmtId="0" fontId="12" fillId="6" borderId="0" xfId="0" applyFont="1" applyFill="1"/>
    <xf numFmtId="10" fontId="20" fillId="2" borderId="0" xfId="2" applyNumberFormat="1" applyFont="1" applyFill="1" applyBorder="1"/>
    <xf numFmtId="10" fontId="20" fillId="6" borderId="0" xfId="2" applyNumberFormat="1" applyFont="1" applyFill="1" applyBorder="1"/>
    <xf numFmtId="168" fontId="57" fillId="2" borderId="2" xfId="2" applyNumberFormat="1" applyFont="1" applyFill="1" applyBorder="1"/>
    <xf numFmtId="164" fontId="11" fillId="2" borderId="2" xfId="1" applyNumberFormat="1" applyFont="1" applyFill="1" applyBorder="1"/>
    <xf numFmtId="170" fontId="21" fillId="2" borderId="0" xfId="1" applyNumberFormat="1" applyFont="1" applyFill="1" applyBorder="1" applyAlignment="1">
      <alignment vertical="center"/>
    </xf>
    <xf numFmtId="43" fontId="21" fillId="2" borderId="0" xfId="1" applyFont="1" applyFill="1" applyBorder="1" applyAlignment="1">
      <alignment vertical="center"/>
    </xf>
    <xf numFmtId="170" fontId="11" fillId="2" borderId="2" xfId="1" applyNumberFormat="1" applyFont="1" applyFill="1" applyBorder="1" applyAlignment="1">
      <alignment vertical="center"/>
    </xf>
    <xf numFmtId="164" fontId="11" fillId="6" borderId="0" xfId="1" applyNumberFormat="1" applyFont="1" applyFill="1" applyBorder="1" applyAlignment="1">
      <alignment vertical="center"/>
    </xf>
    <xf numFmtId="170" fontId="31" fillId="2" borderId="0" xfId="1" applyNumberFormat="1" applyFont="1" applyFill="1" applyBorder="1" applyAlignment="1">
      <alignment vertical="center"/>
    </xf>
    <xf numFmtId="170" fontId="31" fillId="2" borderId="0" xfId="1" applyNumberFormat="1" applyFont="1" applyFill="1" applyBorder="1" applyAlignment="1">
      <alignment horizontal="right" vertical="center"/>
    </xf>
    <xf numFmtId="43" fontId="31" fillId="2" borderId="0" xfId="1" applyFont="1" applyFill="1" applyBorder="1" applyAlignment="1">
      <alignment horizontal="right" vertical="center"/>
    </xf>
    <xf numFmtId="43" fontId="13" fillId="2" borderId="0" xfId="1" applyFont="1" applyFill="1" applyBorder="1" applyAlignment="1">
      <alignment horizontal="right" vertical="center"/>
    </xf>
    <xf numFmtId="170" fontId="13" fillId="2" borderId="0" xfId="1" applyNumberFormat="1" applyFont="1" applyFill="1" applyBorder="1" applyAlignment="1">
      <alignment horizontal="right" vertical="center"/>
    </xf>
    <xf numFmtId="170" fontId="13" fillId="2" borderId="2" xfId="1" applyNumberFormat="1" applyFont="1" applyFill="1" applyBorder="1" applyAlignment="1">
      <alignment horizontal="right" vertical="center"/>
    </xf>
    <xf numFmtId="170" fontId="13" fillId="6" borderId="29" xfId="1" applyNumberFormat="1" applyFont="1" applyFill="1" applyBorder="1" applyAlignment="1">
      <alignment horizontal="right" vertical="center"/>
    </xf>
    <xf numFmtId="170" fontId="18" fillId="10" borderId="21" xfId="1" applyNumberFormat="1" applyFont="1" applyFill="1" applyBorder="1" applyAlignment="1">
      <alignment vertical="center"/>
    </xf>
    <xf numFmtId="165" fontId="31" fillId="2" borderId="21" xfId="1" applyNumberFormat="1" applyFont="1" applyFill="1" applyBorder="1" applyAlignment="1">
      <alignment vertical="center"/>
    </xf>
    <xf numFmtId="165" fontId="13" fillId="8" borderId="21" xfId="0" applyNumberFormat="1" applyFont="1" applyFill="1" applyBorder="1" applyAlignment="1">
      <alignment vertical="center"/>
    </xf>
    <xf numFmtId="165" fontId="13" fillId="2" borderId="21" xfId="1" applyNumberFormat="1" applyFont="1" applyFill="1" applyBorder="1" applyAlignment="1">
      <alignment vertical="center"/>
    </xf>
    <xf numFmtId="165" fontId="13" fillId="2" borderId="22" xfId="1" applyNumberFormat="1" applyFont="1" applyFill="1" applyBorder="1" applyAlignment="1">
      <alignment vertical="center"/>
    </xf>
    <xf numFmtId="165" fontId="13" fillId="6" borderId="21" xfId="1" applyNumberFormat="1" applyFont="1" applyFill="1" applyBorder="1" applyAlignment="1">
      <alignment vertical="center"/>
    </xf>
    <xf numFmtId="165" fontId="31" fillId="2" borderId="0" xfId="1" applyNumberFormat="1" applyFont="1" applyFill="1" applyBorder="1" applyAlignment="1">
      <alignment vertical="center"/>
    </xf>
    <xf numFmtId="170" fontId="13" fillId="2" borderId="0" xfId="1" applyNumberFormat="1" applyFont="1" applyFill="1" applyBorder="1" applyAlignment="1">
      <alignment horizontal="center" vertical="center"/>
    </xf>
    <xf numFmtId="170" fontId="13" fillId="2" borderId="23" xfId="1" applyNumberFormat="1" applyFont="1" applyFill="1" applyBorder="1" applyAlignment="1">
      <alignment horizontal="center" vertical="center"/>
    </xf>
    <xf numFmtId="43" fontId="13" fillId="2" borderId="0" xfId="1" applyFont="1" applyFill="1" applyBorder="1" applyAlignment="1">
      <alignment horizontal="center" vertical="center"/>
    </xf>
    <xf numFmtId="170" fontId="18" fillId="20" borderId="0" xfId="1" applyNumberFormat="1" applyFont="1" applyFill="1" applyBorder="1" applyAlignment="1" applyProtection="1">
      <alignment vertical="center"/>
    </xf>
    <xf numFmtId="170" fontId="13" fillId="2" borderId="0" xfId="1" applyNumberFormat="1" applyFont="1" applyFill="1" applyBorder="1" applyAlignment="1" applyProtection="1">
      <alignment vertical="center"/>
    </xf>
    <xf numFmtId="175" fontId="13" fillId="2" borderId="0" xfId="1" applyNumberFormat="1" applyFont="1" applyFill="1" applyBorder="1" applyAlignment="1" applyProtection="1">
      <alignment vertical="center"/>
    </xf>
    <xf numFmtId="175" fontId="13" fillId="2" borderId="0" xfId="1" applyNumberFormat="1" applyFont="1" applyFill="1" applyBorder="1" applyAlignment="1" applyProtection="1">
      <alignment horizontal="right" vertical="center"/>
    </xf>
    <xf numFmtId="175" fontId="11" fillId="2" borderId="0" xfId="1" applyNumberFormat="1" applyFont="1" applyFill="1" applyBorder="1" applyAlignment="1">
      <alignment vertical="center"/>
    </xf>
    <xf numFmtId="170" fontId="12" fillId="24" borderId="0" xfId="1" applyNumberFormat="1" applyFont="1" applyFill="1" applyBorder="1" applyAlignment="1">
      <alignment horizontal="left" vertical="center" indent="2"/>
    </xf>
    <xf numFmtId="175" fontId="11" fillId="2" borderId="0" xfId="1" applyNumberFormat="1" applyFont="1" applyFill="1" applyBorder="1" applyAlignment="1">
      <alignment horizontal="right" vertical="center"/>
    </xf>
    <xf numFmtId="176" fontId="11" fillId="2" borderId="0" xfId="1" applyNumberFormat="1" applyFont="1" applyFill="1" applyBorder="1" applyAlignment="1">
      <alignment horizontal="right" vertical="center"/>
    </xf>
    <xf numFmtId="176" fontId="11" fillId="6" borderId="0" xfId="1" applyNumberFormat="1" applyFont="1" applyFill="1" applyBorder="1" applyAlignment="1">
      <alignment horizontal="right" vertical="center"/>
    </xf>
    <xf numFmtId="177" fontId="11" fillId="2" borderId="0" xfId="1" applyNumberFormat="1" applyFont="1" applyFill="1" applyBorder="1" applyAlignment="1">
      <alignment horizontal="right" vertical="center"/>
    </xf>
    <xf numFmtId="177" fontId="11" fillId="6" borderId="0" xfId="1" applyNumberFormat="1" applyFont="1" applyFill="1" applyBorder="1" applyAlignment="1">
      <alignment horizontal="right" vertical="center"/>
    </xf>
    <xf numFmtId="164" fontId="11" fillId="2" borderId="0" xfId="1" applyNumberFormat="1" applyFont="1" applyFill="1" applyBorder="1" applyAlignment="1">
      <alignment horizontal="right" vertical="center"/>
    </xf>
    <xf numFmtId="170" fontId="14" fillId="2" borderId="0" xfId="1" applyNumberFormat="1" applyFont="1" applyFill="1" applyBorder="1" applyAlignment="1">
      <alignment horizontal="left" vertical="center" indent="3"/>
    </xf>
    <xf numFmtId="170" fontId="14" fillId="2" borderId="0" xfId="1" applyNumberFormat="1" applyFont="1" applyFill="1" applyBorder="1" applyAlignment="1">
      <alignment vertical="center"/>
    </xf>
    <xf numFmtId="175" fontId="14" fillId="2" borderId="0" xfId="1" applyNumberFormat="1" applyFont="1" applyFill="1" applyBorder="1" applyAlignment="1">
      <alignment vertical="center"/>
    </xf>
    <xf numFmtId="164" fontId="14" fillId="2" borderId="0" xfId="1" applyNumberFormat="1" applyFont="1" applyFill="1" applyBorder="1" applyAlignment="1">
      <alignment horizontal="right" vertical="center"/>
    </xf>
    <xf numFmtId="9" fontId="14" fillId="2" borderId="0" xfId="2" applyFont="1" applyFill="1" applyBorder="1" applyAlignment="1">
      <alignment horizontal="right" vertical="center"/>
    </xf>
    <xf numFmtId="10" fontId="14" fillId="2" borderId="0" xfId="2" applyNumberFormat="1" applyFont="1" applyFill="1" applyBorder="1" applyAlignment="1">
      <alignment horizontal="right" vertical="center"/>
    </xf>
    <xf numFmtId="10" fontId="14" fillId="8" borderId="0" xfId="2" applyNumberFormat="1" applyFont="1" applyFill="1" applyBorder="1" applyAlignment="1">
      <alignment horizontal="right" vertical="center"/>
    </xf>
    <xf numFmtId="175" fontId="14" fillId="2" borderId="0" xfId="1" applyNumberFormat="1" applyFont="1" applyFill="1" applyBorder="1" applyAlignment="1">
      <alignment horizontal="right" vertical="center"/>
    </xf>
    <xf numFmtId="43" fontId="14" fillId="2" borderId="0" xfId="1" applyFont="1" applyFill="1" applyBorder="1" applyAlignment="1">
      <alignment vertical="center"/>
    </xf>
    <xf numFmtId="9" fontId="14" fillId="8" borderId="0" xfId="2" applyFont="1" applyFill="1" applyBorder="1" applyAlignment="1">
      <alignment horizontal="right" vertical="center"/>
    </xf>
    <xf numFmtId="170" fontId="11" fillId="2" borderId="0" xfId="1" applyNumberFormat="1" applyFont="1" applyFill="1" applyBorder="1" applyAlignment="1">
      <alignment horizontal="left" vertical="center" indent="3"/>
    </xf>
    <xf numFmtId="170" fontId="13" fillId="2" borderId="0" xfId="1" applyNumberFormat="1" applyFont="1" applyFill="1" applyBorder="1" applyAlignment="1">
      <alignment vertical="center"/>
    </xf>
    <xf numFmtId="175" fontId="13" fillId="2" borderId="0" xfId="1" applyNumberFormat="1" applyFont="1" applyFill="1" applyBorder="1" applyAlignment="1">
      <alignment vertical="center"/>
    </xf>
    <xf numFmtId="176" fontId="11" fillId="0" borderId="31" xfId="1" applyNumberFormat="1" applyFont="1" applyFill="1" applyBorder="1" applyAlignment="1">
      <alignment vertical="center"/>
    </xf>
    <xf numFmtId="176" fontId="11" fillId="0" borderId="32" xfId="1" applyNumberFormat="1" applyFont="1" applyFill="1" applyBorder="1" applyAlignment="1">
      <alignment vertical="center"/>
    </xf>
    <xf numFmtId="176" fontId="11" fillId="6" borderId="0" xfId="1" applyNumberFormat="1" applyFont="1" applyFill="1" applyBorder="1" applyAlignment="1">
      <alignment vertical="center"/>
    </xf>
    <xf numFmtId="170" fontId="11" fillId="2" borderId="0" xfId="1" applyNumberFormat="1" applyFont="1" applyFill="1" applyBorder="1" applyAlignment="1">
      <alignment horizontal="left" vertical="center" indent="9"/>
    </xf>
    <xf numFmtId="10" fontId="11" fillId="6" borderId="0" xfId="2" applyNumberFormat="1" applyFont="1" applyFill="1" applyBorder="1" applyAlignment="1">
      <alignment horizontal="right" vertical="center"/>
    </xf>
    <xf numFmtId="9" fontId="11" fillId="6" borderId="0" xfId="2" applyFont="1" applyFill="1" applyBorder="1" applyAlignment="1">
      <alignment horizontal="right" vertical="center"/>
    </xf>
    <xf numFmtId="175" fontId="11" fillId="2" borderId="0" xfId="1" applyNumberFormat="1" applyFont="1" applyFill="1" applyBorder="1" applyAlignment="1">
      <alignment horizontal="center" vertical="center"/>
    </xf>
    <xf numFmtId="175" fontId="13" fillId="0" borderId="33" xfId="1" applyNumberFormat="1" applyFont="1" applyFill="1" applyBorder="1" applyAlignment="1" applyProtection="1">
      <alignment horizontal="right" vertical="center"/>
    </xf>
    <xf numFmtId="175" fontId="13" fillId="0" borderId="0" xfId="1" applyNumberFormat="1" applyFont="1" applyFill="1" applyBorder="1" applyAlignment="1" applyProtection="1">
      <alignment horizontal="right" vertical="center"/>
    </xf>
    <xf numFmtId="170" fontId="13" fillId="6" borderId="0" xfId="1" applyNumberFormat="1" applyFont="1" applyFill="1" applyBorder="1" applyAlignment="1">
      <alignment horizontal="left" vertical="center"/>
    </xf>
    <xf numFmtId="175" fontId="13" fillId="6" borderId="0" xfId="1" applyNumberFormat="1" applyFont="1" applyFill="1" applyBorder="1" applyAlignment="1">
      <alignment horizontal="left" vertical="center"/>
    </xf>
    <xf numFmtId="175" fontId="11" fillId="6" borderId="0" xfId="1" applyNumberFormat="1" applyFont="1" applyFill="1" applyBorder="1" applyAlignment="1">
      <alignment horizontal="center" vertical="center"/>
    </xf>
    <xf numFmtId="175" fontId="11" fillId="6" borderId="0" xfId="1" applyNumberFormat="1" applyFont="1" applyFill="1" applyBorder="1" applyAlignment="1">
      <alignment vertical="center"/>
    </xf>
    <xf numFmtId="175" fontId="11" fillId="6" borderId="2" xfId="1" applyNumberFormat="1" applyFont="1" applyFill="1" applyBorder="1" applyAlignment="1">
      <alignment vertical="center"/>
    </xf>
    <xf numFmtId="175" fontId="11" fillId="6" borderId="33" xfId="1" applyNumberFormat="1" applyFont="1" applyFill="1" applyBorder="1" applyAlignment="1">
      <alignment vertical="center"/>
    </xf>
    <xf numFmtId="175" fontId="11" fillId="6" borderId="34" xfId="1" applyNumberFormat="1" applyFont="1" applyFill="1" applyBorder="1" applyAlignment="1">
      <alignment vertical="center"/>
    </xf>
    <xf numFmtId="170" fontId="13" fillId="2" borderId="0" xfId="1" applyNumberFormat="1" applyFont="1" applyFill="1" applyBorder="1" applyAlignment="1">
      <alignment horizontal="left" vertical="center"/>
    </xf>
    <xf numFmtId="175" fontId="13" fillId="2" borderId="0" xfId="1" applyNumberFormat="1" applyFont="1" applyFill="1" applyBorder="1" applyAlignment="1">
      <alignment horizontal="left" vertical="center"/>
    </xf>
    <xf numFmtId="175" fontId="11" fillId="0" borderId="31" xfId="1" applyNumberFormat="1" applyFont="1" applyFill="1" applyBorder="1" applyAlignment="1">
      <alignment horizontal="center" vertical="center"/>
    </xf>
    <xf numFmtId="175" fontId="11" fillId="0" borderId="32" xfId="1" applyNumberFormat="1" applyFont="1" applyFill="1" applyBorder="1" applyAlignment="1">
      <alignment horizontal="center" vertical="center"/>
    </xf>
    <xf numFmtId="170" fontId="18" fillId="20" borderId="0" xfId="1" applyNumberFormat="1" applyFont="1" applyFill="1" applyBorder="1" applyAlignment="1">
      <alignment vertical="center"/>
    </xf>
    <xf numFmtId="164" fontId="5" fillId="0" borderId="0" xfId="0" applyNumberFormat="1" applyFont="1" applyAlignment="1">
      <alignment vertical="center"/>
    </xf>
    <xf numFmtId="175" fontId="11" fillId="0" borderId="31" xfId="1" applyNumberFormat="1" applyFont="1" applyFill="1" applyBorder="1" applyAlignment="1">
      <alignment vertical="center"/>
    </xf>
    <xf numFmtId="175" fontId="11" fillId="0" borderId="32" xfId="1" applyNumberFormat="1" applyFont="1" applyFill="1" applyBorder="1" applyAlignment="1">
      <alignment vertical="center"/>
    </xf>
    <xf numFmtId="164" fontId="13" fillId="2" borderId="0" xfId="1" applyNumberFormat="1" applyFont="1" applyFill="1" applyBorder="1" applyAlignment="1">
      <alignment horizontal="left" vertical="center"/>
    </xf>
    <xf numFmtId="164" fontId="11" fillId="0" borderId="31" xfId="1" applyNumberFormat="1" applyFont="1" applyFill="1" applyBorder="1" applyAlignment="1">
      <alignment vertical="center"/>
    </xf>
    <xf numFmtId="164" fontId="11" fillId="0" borderId="32" xfId="1" applyNumberFormat="1" applyFont="1" applyFill="1" applyBorder="1" applyAlignment="1">
      <alignment vertical="center"/>
    </xf>
    <xf numFmtId="170" fontId="11" fillId="2" borderId="0" xfId="1" applyNumberFormat="1" applyFont="1" applyFill="1" applyBorder="1" applyAlignment="1">
      <alignment horizontal="left" vertical="center" indent="2"/>
    </xf>
    <xf numFmtId="170" fontId="11" fillId="2" borderId="0" xfId="1" applyNumberFormat="1" applyFont="1" applyFill="1" applyBorder="1" applyAlignment="1">
      <alignment horizontal="left" vertical="center"/>
    </xf>
    <xf numFmtId="164" fontId="11" fillId="2" borderId="0" xfId="1" applyNumberFormat="1" applyFont="1" applyFill="1" applyBorder="1" applyAlignment="1">
      <alignment horizontal="left" vertical="center"/>
    </xf>
    <xf numFmtId="176" fontId="11" fillId="2" borderId="0" xfId="1" applyNumberFormat="1" applyFont="1" applyFill="1" applyBorder="1" applyAlignment="1">
      <alignment vertical="center"/>
    </xf>
    <xf numFmtId="177" fontId="11" fillId="2" borderId="0" xfId="1" applyNumberFormat="1" applyFont="1" applyFill="1" applyBorder="1" applyAlignment="1">
      <alignment vertical="center"/>
    </xf>
    <xf numFmtId="177" fontId="11" fillId="6" borderId="0" xfId="1" applyNumberFormat="1" applyFont="1" applyFill="1" applyBorder="1" applyAlignment="1">
      <alignment vertical="center"/>
    </xf>
    <xf numFmtId="43" fontId="11" fillId="2" borderId="0" xfId="1" applyFont="1" applyFill="1" applyBorder="1" applyAlignment="1">
      <alignment horizontal="left" vertical="top" wrapText="1"/>
    </xf>
    <xf numFmtId="170" fontId="11" fillId="2" borderId="11" xfId="1" applyNumberFormat="1" applyFont="1" applyFill="1" applyBorder="1" applyAlignment="1">
      <alignment horizontal="left" vertical="center" indent="2"/>
    </xf>
    <xf numFmtId="170" fontId="11" fillId="2" borderId="11" xfId="1" applyNumberFormat="1" applyFont="1" applyFill="1" applyBorder="1" applyAlignment="1">
      <alignment horizontal="left" vertical="center"/>
    </xf>
    <xf numFmtId="164" fontId="11" fillId="2" borderId="11" xfId="1" applyNumberFormat="1" applyFont="1" applyFill="1" applyBorder="1" applyAlignment="1">
      <alignment horizontal="left" vertical="center"/>
    </xf>
    <xf numFmtId="164" fontId="11" fillId="2" borderId="11" xfId="1" applyNumberFormat="1" applyFont="1" applyFill="1" applyBorder="1" applyAlignment="1">
      <alignment vertical="center"/>
    </xf>
    <xf numFmtId="176" fontId="11" fillId="2" borderId="11" xfId="1" applyNumberFormat="1" applyFont="1" applyFill="1" applyBorder="1" applyAlignment="1">
      <alignment vertical="center"/>
    </xf>
    <xf numFmtId="176" fontId="11" fillId="0" borderId="35" xfId="1" applyNumberFormat="1" applyFont="1" applyFill="1" applyBorder="1" applyAlignment="1">
      <alignment vertical="center"/>
    </xf>
    <xf numFmtId="176" fontId="11" fillId="0" borderId="36" xfId="1" applyNumberFormat="1" applyFont="1" applyFill="1" applyBorder="1" applyAlignment="1">
      <alignment vertical="center"/>
    </xf>
    <xf numFmtId="176" fontId="11" fillId="6" borderId="11" xfId="1" applyNumberFormat="1" applyFont="1" applyFill="1" applyBorder="1" applyAlignment="1">
      <alignment vertical="center"/>
    </xf>
    <xf numFmtId="170" fontId="11" fillId="2" borderId="37" xfId="1" applyNumberFormat="1" applyFont="1" applyFill="1" applyBorder="1" applyAlignment="1">
      <alignment horizontal="left" vertical="center"/>
    </xf>
    <xf numFmtId="170" fontId="13" fillId="2" borderId="7" xfId="1" applyNumberFormat="1" applyFont="1" applyFill="1" applyBorder="1" applyAlignment="1">
      <alignment horizontal="left" vertical="center"/>
    </xf>
    <xf numFmtId="176" fontId="13" fillId="2" borderId="7" xfId="1" applyNumberFormat="1" applyFont="1" applyFill="1" applyBorder="1" applyAlignment="1">
      <alignment vertical="center"/>
    </xf>
    <xf numFmtId="177" fontId="13" fillId="2" borderId="7" xfId="1" applyNumberFormat="1" applyFont="1" applyFill="1" applyBorder="1" applyAlignment="1">
      <alignment vertical="center"/>
    </xf>
    <xf numFmtId="177" fontId="13" fillId="6" borderId="7" xfId="1" applyNumberFormat="1" applyFont="1" applyFill="1" applyBorder="1" applyAlignment="1">
      <alignment vertical="center"/>
    </xf>
    <xf numFmtId="176" fontId="13" fillId="6" borderId="7" xfId="1" applyNumberFormat="1" applyFont="1" applyFill="1" applyBorder="1" applyAlignment="1">
      <alignment vertical="center"/>
    </xf>
    <xf numFmtId="170" fontId="15" fillId="2" borderId="0" xfId="1" applyNumberFormat="1" applyFont="1" applyFill="1" applyBorder="1" applyAlignment="1">
      <alignment vertical="center"/>
    </xf>
    <xf numFmtId="170" fontId="15" fillId="2" borderId="0" xfId="1" applyNumberFormat="1" applyFont="1" applyFill="1" applyBorder="1" applyAlignment="1">
      <alignment horizontal="left" vertical="center"/>
    </xf>
    <xf numFmtId="164" fontId="15" fillId="2" borderId="0" xfId="1" applyNumberFormat="1" applyFont="1" applyFill="1" applyBorder="1" applyAlignment="1">
      <alignment vertical="center"/>
    </xf>
    <xf numFmtId="176" fontId="15" fillId="2" borderId="0" xfId="1" applyNumberFormat="1" applyFont="1" applyFill="1" applyBorder="1" applyAlignment="1">
      <alignment vertical="center"/>
    </xf>
    <xf numFmtId="10" fontId="15" fillId="2" borderId="0" xfId="2" applyNumberFormat="1" applyFont="1" applyFill="1" applyBorder="1" applyAlignment="1">
      <alignment vertical="center"/>
    </xf>
    <xf numFmtId="168" fontId="15" fillId="6" borderId="0" xfId="2" applyNumberFormat="1" applyFont="1" applyFill="1" applyBorder="1" applyAlignment="1">
      <alignment vertical="center"/>
    </xf>
    <xf numFmtId="176" fontId="15" fillId="6" borderId="0" xfId="1" applyNumberFormat="1" applyFont="1" applyFill="1" applyBorder="1" applyAlignment="1">
      <alignment vertical="center"/>
    </xf>
    <xf numFmtId="175" fontId="15" fillId="2" borderId="0" xfId="1" applyNumberFormat="1" applyFont="1" applyFill="1" applyBorder="1" applyAlignment="1">
      <alignment vertical="center"/>
    </xf>
    <xf numFmtId="43" fontId="15" fillId="2" borderId="0" xfId="1" applyFont="1" applyFill="1" applyBorder="1" applyAlignment="1">
      <alignment vertical="center"/>
    </xf>
    <xf numFmtId="1" fontId="23" fillId="2" borderId="0" xfId="1" applyNumberFormat="1" applyFont="1" applyFill="1" applyBorder="1" applyAlignment="1">
      <alignment horizontal="left" vertical="center"/>
    </xf>
    <xf numFmtId="1" fontId="23" fillId="2" borderId="0" xfId="1" applyNumberFormat="1" applyFont="1" applyFill="1" applyBorder="1" applyAlignment="1">
      <alignment vertical="center"/>
    </xf>
    <xf numFmtId="176" fontId="23" fillId="2" borderId="0" xfId="1" applyNumberFormat="1" applyFont="1" applyFill="1" applyBorder="1" applyAlignment="1">
      <alignment vertical="center"/>
    </xf>
    <xf numFmtId="177" fontId="23" fillId="2" borderId="0" xfId="1" applyNumberFormat="1" applyFont="1" applyFill="1" applyBorder="1" applyAlignment="1">
      <alignment vertical="center"/>
    </xf>
    <xf numFmtId="176" fontId="5" fillId="2" borderId="0" xfId="0" applyNumberFormat="1" applyFont="1" applyFill="1" applyAlignment="1">
      <alignment vertical="center"/>
    </xf>
    <xf numFmtId="176" fontId="15" fillId="2" borderId="2" xfId="1" applyNumberFormat="1" applyFont="1" applyFill="1" applyBorder="1" applyAlignment="1">
      <alignment vertical="center"/>
    </xf>
    <xf numFmtId="176" fontId="11" fillId="2" borderId="2" xfId="1" applyNumberFormat="1" applyFont="1" applyFill="1" applyBorder="1" applyAlignment="1">
      <alignment vertical="center"/>
    </xf>
    <xf numFmtId="170" fontId="26" fillId="2" borderId="7" xfId="1" applyNumberFormat="1" applyFont="1" applyFill="1" applyBorder="1" applyAlignment="1">
      <alignment horizontal="left" vertical="center"/>
    </xf>
    <xf numFmtId="170" fontId="26" fillId="2" borderId="0" xfId="1" applyNumberFormat="1" applyFont="1" applyFill="1" applyBorder="1" applyAlignment="1">
      <alignment horizontal="left" vertical="center"/>
    </xf>
    <xf numFmtId="170" fontId="23" fillId="2" borderId="0" xfId="1" applyNumberFormat="1" applyFont="1" applyFill="1" applyBorder="1" applyAlignment="1">
      <alignment horizontal="left" vertical="center"/>
    </xf>
    <xf numFmtId="164" fontId="23" fillId="2" borderId="0" xfId="1" applyNumberFormat="1" applyFont="1" applyFill="1" applyBorder="1" applyAlignment="1">
      <alignment vertical="center"/>
    </xf>
    <xf numFmtId="176" fontId="23" fillId="6" borderId="0" xfId="1" applyNumberFormat="1" applyFont="1" applyFill="1" applyBorder="1" applyAlignment="1">
      <alignment vertical="center"/>
    </xf>
    <xf numFmtId="175" fontId="23" fillId="2" borderId="0" xfId="1" applyNumberFormat="1" applyFont="1" applyFill="1" applyBorder="1" applyAlignment="1">
      <alignment vertical="center"/>
    </xf>
    <xf numFmtId="43" fontId="23" fillId="2" borderId="0" xfId="1" applyFont="1" applyFill="1" applyBorder="1" applyAlignment="1">
      <alignment vertical="center"/>
    </xf>
    <xf numFmtId="170" fontId="58" fillId="2" borderId="0" xfId="4" quotePrefix="1" applyNumberFormat="1" applyFont="1" applyFill="1" applyBorder="1" applyAlignment="1">
      <alignment horizontal="left" vertical="center"/>
    </xf>
    <xf numFmtId="170" fontId="11" fillId="2" borderId="0" xfId="1" quotePrefix="1" applyNumberFormat="1" applyFont="1" applyFill="1" applyBorder="1" applyAlignment="1">
      <alignment horizontal="left" vertical="center"/>
    </xf>
    <xf numFmtId="164" fontId="11" fillId="2" borderId="0" xfId="1" quotePrefix="1" applyNumberFormat="1" applyFont="1" applyFill="1" applyBorder="1" applyAlignment="1">
      <alignment horizontal="left" vertical="center"/>
    </xf>
    <xf numFmtId="177" fontId="11" fillId="0" borderId="32" xfId="1" applyNumberFormat="1" applyFont="1" applyFill="1" applyBorder="1" applyAlignment="1">
      <alignment vertical="center"/>
    </xf>
    <xf numFmtId="176" fontId="11" fillId="2" borderId="31" xfId="1" applyNumberFormat="1" applyFont="1" applyFill="1" applyBorder="1" applyAlignment="1">
      <alignment vertical="center"/>
    </xf>
    <xf numFmtId="176" fontId="11" fillId="2" borderId="32" xfId="1" applyNumberFormat="1" applyFont="1" applyFill="1" applyBorder="1" applyAlignment="1">
      <alignment vertical="center"/>
    </xf>
    <xf numFmtId="164" fontId="11" fillId="2" borderId="2" xfId="1" applyNumberFormat="1" applyFont="1" applyFill="1" applyBorder="1" applyAlignment="1">
      <alignment vertical="center"/>
    </xf>
    <xf numFmtId="170" fontId="18" fillId="2" borderId="0" xfId="1" applyNumberFormat="1" applyFont="1" applyFill="1" applyBorder="1" applyAlignment="1">
      <alignment vertical="center"/>
    </xf>
    <xf numFmtId="164" fontId="18" fillId="2" borderId="0" xfId="1" applyNumberFormat="1" applyFont="1" applyFill="1" applyBorder="1" applyAlignment="1">
      <alignment vertical="center"/>
    </xf>
    <xf numFmtId="164" fontId="12" fillId="2" borderId="0" xfId="1" applyNumberFormat="1" applyFont="1" applyFill="1" applyBorder="1" applyAlignment="1">
      <alignment horizontal="center" vertical="center"/>
    </xf>
    <xf numFmtId="164" fontId="12" fillId="2" borderId="0" xfId="1" applyNumberFormat="1" applyFont="1" applyFill="1" applyBorder="1" applyAlignment="1">
      <alignment vertical="center"/>
    </xf>
    <xf numFmtId="164" fontId="12" fillId="2" borderId="2" xfId="1" applyNumberFormat="1" applyFont="1" applyFill="1" applyBorder="1" applyAlignment="1">
      <alignment vertical="center"/>
    </xf>
    <xf numFmtId="175" fontId="12" fillId="2" borderId="0" xfId="1" applyNumberFormat="1" applyFont="1" applyFill="1" applyBorder="1" applyAlignment="1">
      <alignment vertical="center"/>
    </xf>
    <xf numFmtId="43" fontId="12" fillId="2" borderId="0" xfId="1" applyFont="1" applyFill="1" applyBorder="1" applyAlignment="1">
      <alignment vertical="center"/>
    </xf>
    <xf numFmtId="170" fontId="12" fillId="2" borderId="0" xfId="1" applyNumberFormat="1" applyFont="1" applyFill="1" applyBorder="1" applyAlignment="1">
      <alignment vertical="center"/>
    </xf>
    <xf numFmtId="176" fontId="11" fillId="2" borderId="6" xfId="1" applyNumberFormat="1" applyFont="1" applyFill="1" applyBorder="1" applyAlignment="1">
      <alignment vertical="center"/>
    </xf>
    <xf numFmtId="175" fontId="20" fillId="2" borderId="0" xfId="1" applyNumberFormat="1" applyFont="1" applyFill="1" applyBorder="1" applyAlignment="1">
      <alignment vertical="center"/>
    </xf>
    <xf numFmtId="164" fontId="59" fillId="2" borderId="0" xfId="0" applyNumberFormat="1" applyFont="1" applyFill="1" applyAlignment="1">
      <alignment vertical="center"/>
    </xf>
    <xf numFmtId="0" fontId="59" fillId="2" borderId="0" xfId="0" applyFont="1" applyFill="1" applyAlignment="1">
      <alignment vertical="center"/>
    </xf>
    <xf numFmtId="164" fontId="15" fillId="2" borderId="2" xfId="1" applyNumberFormat="1" applyFont="1" applyFill="1" applyBorder="1" applyAlignment="1">
      <alignment vertical="center"/>
    </xf>
    <xf numFmtId="177" fontId="15" fillId="2" borderId="2" xfId="1" applyNumberFormat="1" applyFont="1" applyFill="1" applyBorder="1" applyAlignment="1">
      <alignment vertical="center"/>
    </xf>
    <xf numFmtId="177" fontId="15" fillId="6" borderId="0" xfId="1" applyNumberFormat="1" applyFont="1" applyFill="1" applyBorder="1" applyAlignment="1">
      <alignment vertical="center"/>
    </xf>
    <xf numFmtId="170" fontId="13" fillId="20" borderId="0" xfId="1" applyNumberFormat="1" applyFont="1" applyFill="1" applyBorder="1" applyAlignment="1">
      <alignment vertical="center"/>
    </xf>
    <xf numFmtId="164" fontId="13" fillId="20" borderId="0" xfId="1" applyNumberFormat="1" applyFont="1" applyFill="1" applyBorder="1" applyAlignment="1">
      <alignment vertical="center"/>
    </xf>
    <xf numFmtId="164" fontId="11" fillId="20" borderId="0" xfId="1" applyNumberFormat="1" applyFont="1" applyFill="1" applyBorder="1" applyAlignment="1">
      <alignment horizontal="center" vertical="center"/>
    </xf>
    <xf numFmtId="164" fontId="11" fillId="20" borderId="0" xfId="1" applyNumberFormat="1" applyFont="1" applyFill="1" applyBorder="1" applyAlignment="1">
      <alignment vertical="center"/>
    </xf>
    <xf numFmtId="164" fontId="11" fillId="20" borderId="2" xfId="1" applyNumberFormat="1" applyFont="1" applyFill="1" applyBorder="1" applyAlignment="1">
      <alignment vertical="center"/>
    </xf>
    <xf numFmtId="175" fontId="11" fillId="20" borderId="0" xfId="1" applyNumberFormat="1" applyFont="1" applyFill="1" applyBorder="1" applyAlignment="1">
      <alignment vertical="center"/>
    </xf>
    <xf numFmtId="43" fontId="11" fillId="20" borderId="0" xfId="1" applyFont="1" applyFill="1" applyBorder="1" applyAlignment="1">
      <alignment vertical="center"/>
    </xf>
    <xf numFmtId="170" fontId="11" fillId="20" borderId="0" xfId="1" applyNumberFormat="1" applyFont="1" applyFill="1" applyBorder="1" applyAlignment="1">
      <alignment vertical="center"/>
    </xf>
    <xf numFmtId="164" fontId="5" fillId="2" borderId="0" xfId="0" applyNumberFormat="1" applyFont="1" applyFill="1" applyAlignment="1">
      <alignment vertical="center"/>
    </xf>
    <xf numFmtId="0" fontId="5" fillId="2" borderId="0" xfId="0" applyFont="1" applyFill="1" applyAlignment="1">
      <alignment vertical="center"/>
    </xf>
    <xf numFmtId="164" fontId="21" fillId="2" borderId="0" xfId="1" applyNumberFormat="1" applyFont="1" applyFill="1" applyBorder="1" applyAlignment="1">
      <alignment vertical="center"/>
    </xf>
    <xf numFmtId="164" fontId="21" fillId="2" borderId="2" xfId="1" applyNumberFormat="1" applyFont="1" applyFill="1" applyBorder="1" applyAlignment="1">
      <alignment vertical="center"/>
    </xf>
    <xf numFmtId="170" fontId="18" fillId="20" borderId="0" xfId="1" applyNumberFormat="1" applyFont="1" applyFill="1" applyBorder="1" applyAlignment="1">
      <alignment horizontal="left" vertical="center"/>
    </xf>
    <xf numFmtId="164" fontId="11" fillId="2" borderId="0" xfId="1" applyNumberFormat="1" applyFont="1" applyFill="1" applyBorder="1" applyAlignment="1">
      <alignment horizontal="center" vertical="center"/>
    </xf>
    <xf numFmtId="164" fontId="11" fillId="2" borderId="2" xfId="1" applyNumberFormat="1" applyFont="1" applyFill="1" applyBorder="1" applyAlignment="1">
      <alignment horizontal="center" vertical="center"/>
    </xf>
    <xf numFmtId="170" fontId="13" fillId="2" borderId="0" xfId="1" applyNumberFormat="1" applyFont="1" applyFill="1" applyBorder="1" applyAlignment="1">
      <alignment horizontal="left" vertical="center" indent="2"/>
    </xf>
    <xf numFmtId="164" fontId="13" fillId="2" borderId="2" xfId="1" applyNumberFormat="1" applyFont="1" applyFill="1" applyBorder="1" applyAlignment="1">
      <alignment vertical="center"/>
    </xf>
    <xf numFmtId="43" fontId="13" fillId="2" borderId="0" xfId="1" applyFont="1" applyFill="1" applyBorder="1" applyAlignment="1">
      <alignment vertical="center"/>
    </xf>
    <xf numFmtId="170" fontId="60" fillId="2" borderId="0" xfId="1" applyNumberFormat="1" applyFont="1" applyFill="1" applyBorder="1" applyAlignment="1">
      <alignment horizontal="left" vertical="center"/>
    </xf>
    <xf numFmtId="170" fontId="11" fillId="2" borderId="0" xfId="1" quotePrefix="1" applyNumberFormat="1" applyFont="1" applyFill="1" applyBorder="1" applyAlignment="1">
      <alignment horizontal="left" vertical="center" indent="4"/>
    </xf>
    <xf numFmtId="170" fontId="60" fillId="2" borderId="0" xfId="1" quotePrefix="1" applyNumberFormat="1" applyFont="1" applyFill="1" applyBorder="1" applyAlignment="1">
      <alignment horizontal="left" vertical="center"/>
    </xf>
    <xf numFmtId="176" fontId="13" fillId="2" borderId="0" xfId="1" applyNumberFormat="1" applyFont="1" applyFill="1" applyBorder="1" applyAlignment="1">
      <alignment vertical="center"/>
    </xf>
    <xf numFmtId="176" fontId="13" fillId="2" borderId="2" xfId="1" applyNumberFormat="1" applyFont="1" applyFill="1" applyBorder="1" applyAlignment="1">
      <alignment vertical="center"/>
    </xf>
    <xf numFmtId="176" fontId="13" fillId="6" borderId="0" xfId="1" applyNumberFormat="1" applyFont="1" applyFill="1" applyBorder="1" applyAlignment="1">
      <alignment vertical="center"/>
    </xf>
    <xf numFmtId="164" fontId="13" fillId="2" borderId="7" xfId="1" applyNumberFormat="1" applyFont="1" applyFill="1" applyBorder="1" applyAlignment="1">
      <alignment horizontal="left" vertical="center"/>
    </xf>
    <xf numFmtId="164" fontId="11" fillId="2" borderId="7" xfId="1" applyNumberFormat="1" applyFont="1" applyFill="1" applyBorder="1" applyAlignment="1">
      <alignment vertical="center"/>
    </xf>
    <xf numFmtId="176" fontId="11" fillId="2" borderId="7" xfId="1" applyNumberFormat="1" applyFont="1" applyFill="1" applyBorder="1" applyAlignment="1">
      <alignment vertical="center"/>
    </xf>
    <xf numFmtId="177" fontId="11" fillId="2" borderId="7" xfId="1" applyNumberFormat="1" applyFont="1" applyFill="1" applyBorder="1" applyAlignment="1">
      <alignment vertical="center"/>
    </xf>
    <xf numFmtId="177" fontId="11" fillId="6" borderId="7" xfId="1" applyNumberFormat="1" applyFont="1" applyFill="1" applyBorder="1" applyAlignment="1">
      <alignment vertical="center"/>
    </xf>
    <xf numFmtId="2" fontId="23" fillId="2" borderId="0" xfId="1" applyNumberFormat="1" applyFont="1" applyFill="1" applyBorder="1" applyAlignment="1">
      <alignment vertical="center"/>
    </xf>
    <xf numFmtId="170" fontId="13" fillId="19" borderId="1" xfId="1" applyNumberFormat="1" applyFont="1" applyFill="1" applyBorder="1" applyAlignment="1">
      <alignment horizontal="center" vertical="center" wrapText="1"/>
    </xf>
    <xf numFmtId="164" fontId="13" fillId="19" borderId="1" xfId="1" applyNumberFormat="1" applyFont="1" applyFill="1" applyBorder="1" applyAlignment="1">
      <alignment horizontal="center" vertical="center" wrapText="1"/>
    </xf>
    <xf numFmtId="164" fontId="11" fillId="2" borderId="0" xfId="1" applyNumberFormat="1" applyFont="1" applyFill="1" applyBorder="1" applyAlignment="1">
      <alignment horizontal="center" vertical="center" wrapText="1"/>
    </xf>
    <xf numFmtId="170" fontId="11" fillId="2" borderId="1" xfId="1" applyNumberFormat="1" applyFont="1" applyFill="1" applyBorder="1" applyAlignment="1">
      <alignment horizontal="left" vertical="center"/>
    </xf>
    <xf numFmtId="164" fontId="11" fillId="9" borderId="1" xfId="1" quotePrefix="1" applyNumberFormat="1" applyFont="1" applyFill="1" applyBorder="1" applyAlignment="1">
      <alignment horizontal="left" vertical="center"/>
    </xf>
    <xf numFmtId="164" fontId="11" fillId="9" borderId="1" xfId="1" quotePrefix="1" applyNumberFormat="1" applyFont="1" applyFill="1" applyBorder="1" applyAlignment="1">
      <alignment vertical="center"/>
    </xf>
    <xf numFmtId="170" fontId="11" fillId="2" borderId="1" xfId="1" applyNumberFormat="1" applyFont="1" applyFill="1" applyBorder="1" applyAlignment="1">
      <alignment horizontal="center" vertical="center"/>
    </xf>
    <xf numFmtId="164" fontId="11" fillId="2" borderId="1" xfId="1" applyNumberFormat="1" applyFont="1" applyFill="1" applyBorder="1" applyAlignment="1">
      <alignment horizontal="center" vertical="center"/>
    </xf>
    <xf numFmtId="164" fontId="11" fillId="9" borderId="1" xfId="1" applyNumberFormat="1" applyFont="1" applyFill="1" applyBorder="1" applyAlignment="1">
      <alignment horizontal="left" vertical="center"/>
    </xf>
    <xf numFmtId="164" fontId="11" fillId="9" borderId="1" xfId="1" applyNumberFormat="1" applyFont="1" applyFill="1" applyBorder="1" applyAlignment="1">
      <alignment vertical="center"/>
    </xf>
    <xf numFmtId="170" fontId="11" fillId="2" borderId="0" xfId="1" applyNumberFormat="1" applyFont="1" applyFill="1" applyBorder="1" applyAlignment="1">
      <alignment horizontal="center" vertical="center"/>
    </xf>
    <xf numFmtId="170" fontId="21" fillId="2" borderId="2" xfId="1" applyNumberFormat="1" applyFont="1" applyFill="1" applyBorder="1" applyAlignment="1">
      <alignment vertical="center"/>
    </xf>
    <xf numFmtId="175" fontId="11" fillId="6" borderId="2" xfId="1" applyNumberFormat="1" applyFont="1" applyFill="1" applyBorder="1" applyAlignment="1">
      <alignment horizontal="center" vertical="center"/>
    </xf>
    <xf numFmtId="176" fontId="61" fillId="2" borderId="0" xfId="1" applyNumberFormat="1" applyFont="1" applyFill="1" applyBorder="1" applyAlignment="1">
      <alignment horizontal="right" vertical="center"/>
    </xf>
    <xf numFmtId="176" fontId="61" fillId="2" borderId="0" xfId="1" applyNumberFormat="1" applyFont="1" applyFill="1" applyBorder="1" applyAlignment="1">
      <alignment vertical="center"/>
    </xf>
    <xf numFmtId="170" fontId="58" fillId="2" borderId="0" xfId="4" applyNumberFormat="1" applyFont="1" applyFill="1" applyBorder="1" applyAlignment="1">
      <alignment vertical="center"/>
    </xf>
    <xf numFmtId="176" fontId="21" fillId="2" borderId="0" xfId="1" applyNumberFormat="1" applyFont="1" applyFill="1" applyBorder="1" applyAlignment="1">
      <alignment vertical="center"/>
    </xf>
    <xf numFmtId="177" fontId="21" fillId="2" borderId="2" xfId="1" applyNumberFormat="1" applyFont="1" applyFill="1" applyBorder="1" applyAlignment="1">
      <alignment vertical="center"/>
    </xf>
    <xf numFmtId="177" fontId="21" fillId="6" borderId="0" xfId="1" applyNumberFormat="1" applyFont="1" applyFill="1" applyBorder="1" applyAlignment="1">
      <alignment vertical="center"/>
    </xf>
    <xf numFmtId="176" fontId="21" fillId="6" borderId="0" xfId="1" applyNumberFormat="1" applyFont="1" applyFill="1" applyBorder="1" applyAlignment="1">
      <alignment vertical="center"/>
    </xf>
    <xf numFmtId="176" fontId="21" fillId="2" borderId="2" xfId="1" applyNumberFormat="1" applyFont="1" applyFill="1" applyBorder="1" applyAlignment="1">
      <alignment vertical="center"/>
    </xf>
    <xf numFmtId="170" fontId="58" fillId="2" borderId="7" xfId="4" applyNumberFormat="1" applyFont="1" applyFill="1" applyBorder="1" applyAlignment="1">
      <alignment vertical="center"/>
    </xf>
    <xf numFmtId="170" fontId="21" fillId="2" borderId="7" xfId="1" applyNumberFormat="1" applyFont="1" applyFill="1" applyBorder="1" applyAlignment="1">
      <alignment vertical="center"/>
    </xf>
    <xf numFmtId="43" fontId="21" fillId="2" borderId="7" xfId="1" applyFont="1" applyFill="1" applyBorder="1" applyAlignment="1">
      <alignment vertical="center"/>
    </xf>
    <xf numFmtId="176" fontId="21" fillId="2" borderId="7" xfId="1" applyNumberFormat="1" applyFont="1" applyFill="1" applyBorder="1" applyAlignment="1">
      <alignment vertical="center"/>
    </xf>
    <xf numFmtId="177" fontId="21" fillId="6" borderId="7" xfId="1" applyNumberFormat="1" applyFont="1" applyFill="1" applyBorder="1" applyAlignment="1">
      <alignment vertical="center"/>
    </xf>
    <xf numFmtId="2" fontId="62" fillId="0" borderId="0" xfId="0" applyNumberFormat="1" applyFont="1"/>
    <xf numFmtId="10" fontId="15" fillId="6" borderId="0" xfId="2" applyNumberFormat="1" applyFont="1" applyFill="1" applyBorder="1" applyAlignment="1">
      <alignment vertical="center"/>
    </xf>
    <xf numFmtId="170" fontId="21" fillId="6" borderId="0" xfId="1" applyNumberFormat="1" applyFont="1" applyFill="1" applyBorder="1" applyAlignment="1">
      <alignment vertical="center"/>
    </xf>
    <xf numFmtId="43" fontId="21" fillId="6" borderId="0" xfId="1" applyFont="1" applyFill="1" applyBorder="1" applyAlignment="1">
      <alignment vertical="center"/>
    </xf>
    <xf numFmtId="43" fontId="21" fillId="21" borderId="0" xfId="1" applyFont="1" applyFill="1" applyBorder="1" applyAlignment="1">
      <alignment vertical="center"/>
    </xf>
    <xf numFmtId="177" fontId="21" fillId="22" borderId="0" xfId="1" applyNumberFormat="1" applyFont="1" applyFill="1" applyBorder="1" applyAlignment="1">
      <alignment vertical="center"/>
    </xf>
    <xf numFmtId="170" fontId="21" fillId="22" borderId="0" xfId="1" applyNumberFormat="1" applyFont="1" applyFill="1" applyBorder="1" applyAlignment="1">
      <alignment vertical="center"/>
    </xf>
    <xf numFmtId="43" fontId="21" fillId="22" borderId="0" xfId="1" applyFont="1" applyFill="1" applyBorder="1" applyAlignment="1">
      <alignment vertical="center"/>
    </xf>
    <xf numFmtId="177" fontId="21" fillId="22" borderId="7" xfId="1" applyNumberFormat="1" applyFont="1" applyFill="1" applyBorder="1" applyAlignment="1">
      <alignment vertical="center"/>
    </xf>
    <xf numFmtId="10" fontId="11" fillId="2" borderId="2" xfId="2" applyNumberFormat="1" applyFont="1" applyFill="1" applyBorder="1" applyAlignment="1">
      <alignment horizontal="right" vertical="center"/>
    </xf>
    <xf numFmtId="10" fontId="15" fillId="2" borderId="2" xfId="2" applyNumberFormat="1" applyFont="1" applyFill="1" applyBorder="1" applyAlignment="1">
      <alignment vertical="center"/>
    </xf>
    <xf numFmtId="2" fontId="23" fillId="2" borderId="2" xfId="1" applyNumberFormat="1" applyFont="1" applyFill="1" applyBorder="1" applyAlignment="1">
      <alignment vertical="center"/>
    </xf>
    <xf numFmtId="176" fontId="61" fillId="2" borderId="2" xfId="1" applyNumberFormat="1" applyFont="1" applyFill="1" applyBorder="1" applyAlignment="1">
      <alignment horizontal="right" vertical="center"/>
    </xf>
    <xf numFmtId="177" fontId="21" fillId="2" borderId="8" xfId="1" applyNumberFormat="1" applyFont="1" applyFill="1" applyBorder="1" applyAlignment="1">
      <alignment vertical="center"/>
    </xf>
    <xf numFmtId="43" fontId="21" fillId="2" borderId="2" xfId="1" applyFont="1" applyFill="1" applyBorder="1" applyAlignment="1">
      <alignment vertical="center"/>
    </xf>
    <xf numFmtId="176" fontId="21" fillId="2" borderId="6" xfId="1" applyNumberFormat="1" applyFont="1" applyFill="1" applyBorder="1" applyAlignment="1">
      <alignment vertical="center"/>
    </xf>
    <xf numFmtId="176" fontId="21" fillId="6" borderId="11" xfId="1" applyNumberFormat="1" applyFont="1" applyFill="1" applyBorder="1" applyAlignment="1">
      <alignment vertical="center"/>
    </xf>
    <xf numFmtId="176" fontId="21" fillId="6" borderId="20" xfId="1" applyNumberFormat="1" applyFont="1" applyFill="1" applyBorder="1" applyAlignment="1">
      <alignment vertical="center"/>
    </xf>
    <xf numFmtId="0" fontId="55" fillId="2" borderId="0" xfId="0" applyFont="1" applyFill="1" applyAlignment="1">
      <alignment horizontal="left"/>
    </xf>
    <xf numFmtId="0" fontId="55" fillId="2" borderId="0" xfId="0" applyFont="1" applyFill="1"/>
    <xf numFmtId="0" fontId="49" fillId="2" borderId="0" xfId="0" applyFont="1" applyFill="1" applyAlignment="1">
      <alignment horizontal="center"/>
    </xf>
    <xf numFmtId="165" fontId="55" fillId="2" borderId="0" xfId="0" applyNumberFormat="1" applyFont="1" applyFill="1"/>
    <xf numFmtId="164" fontId="11" fillId="6" borderId="40" xfId="1" applyNumberFormat="1" applyFont="1" applyFill="1" applyBorder="1" applyAlignment="1">
      <alignment horizontal="right" vertical="center"/>
    </xf>
    <xf numFmtId="0" fontId="48" fillId="2" borderId="0" xfId="0" applyFont="1" applyFill="1"/>
    <xf numFmtId="0" fontId="48" fillId="2" borderId="0" xfId="0" applyFont="1" applyFill="1" applyAlignment="1">
      <alignment horizontal="center"/>
    </xf>
    <xf numFmtId="0" fontId="48" fillId="2" borderId="0" xfId="0" applyFont="1" applyFill="1" applyAlignment="1">
      <alignment horizontal="right"/>
    </xf>
    <xf numFmtId="0" fontId="48" fillId="6" borderId="0" xfId="0" applyFont="1" applyFill="1" applyAlignment="1">
      <alignment horizontal="right"/>
    </xf>
    <xf numFmtId="0" fontId="55" fillId="2" borderId="0" xfId="0" applyFont="1" applyFill="1" applyAlignment="1">
      <alignment horizontal="left" vertical="center" wrapText="1"/>
    </xf>
    <xf numFmtId="0" fontId="49" fillId="10" borderId="4" xfId="0" applyFont="1" applyFill="1" applyBorder="1" applyAlignment="1">
      <alignment horizontal="center" vertical="center" wrapText="1"/>
    </xf>
    <xf numFmtId="165" fontId="48" fillId="6" borderId="41" xfId="0" applyNumberFormat="1" applyFont="1" applyFill="1" applyBorder="1" applyAlignment="1">
      <alignment horizontal="center" vertical="center" wrapText="1"/>
    </xf>
    <xf numFmtId="168" fontId="48" fillId="6" borderId="41" xfId="2" applyNumberFormat="1" applyFont="1" applyFill="1" applyBorder="1" applyAlignment="1">
      <alignment horizontal="center" vertical="center" wrapText="1"/>
    </xf>
    <xf numFmtId="165" fontId="48" fillId="2" borderId="4" xfId="0" applyNumberFormat="1" applyFont="1" applyFill="1" applyBorder="1" applyAlignment="1">
      <alignment horizontal="center" vertical="center" wrapText="1"/>
    </xf>
    <xf numFmtId="165" fontId="48" fillId="6" borderId="4" xfId="0" applyNumberFormat="1" applyFont="1" applyFill="1" applyBorder="1" applyAlignment="1">
      <alignment horizontal="right" vertical="center" wrapText="1"/>
    </xf>
    <xf numFmtId="0" fontId="55" fillId="2" borderId="0" xfId="0" applyFont="1" applyFill="1" applyAlignment="1">
      <alignment horizontal="center" vertical="center" wrapText="1"/>
    </xf>
    <xf numFmtId="0" fontId="48" fillId="2" borderId="0" xfId="0" applyFont="1" applyFill="1" applyAlignment="1">
      <alignment horizontal="center" vertical="center" wrapText="1"/>
    </xf>
    <xf numFmtId="0" fontId="49" fillId="2" borderId="0" xfId="0" applyFont="1" applyFill="1" applyAlignment="1">
      <alignment horizontal="center" vertical="center" wrapText="1"/>
    </xf>
    <xf numFmtId="165" fontId="48" fillId="2" borderId="0" xfId="0" applyNumberFormat="1" applyFont="1" applyFill="1" applyAlignment="1">
      <alignment horizontal="center" vertical="center" wrapText="1"/>
    </xf>
    <xf numFmtId="168" fontId="48" fillId="2" borderId="0" xfId="2" applyNumberFormat="1" applyFont="1" applyFill="1" applyBorder="1" applyAlignment="1">
      <alignment horizontal="center" vertical="center" wrapText="1"/>
    </xf>
    <xf numFmtId="0" fontId="48" fillId="27" borderId="0" xfId="0" applyFont="1" applyFill="1"/>
    <xf numFmtId="165" fontId="55" fillId="2" borderId="0" xfId="1" applyNumberFormat="1" applyFont="1" applyFill="1" applyBorder="1"/>
    <xf numFmtId="10" fontId="55" fillId="11" borderId="0" xfId="0" applyNumberFormat="1" applyFont="1" applyFill="1"/>
    <xf numFmtId="0" fontId="55" fillId="2" borderId="0" xfId="0" applyFont="1" applyFill="1" applyAlignment="1">
      <alignment horizontal="left" indent="3"/>
    </xf>
    <xf numFmtId="174" fontId="55" fillId="2" borderId="0" xfId="1" applyNumberFormat="1" applyFont="1" applyFill="1" applyBorder="1"/>
    <xf numFmtId="174" fontId="55" fillId="6" borderId="0" xfId="1" applyNumberFormat="1" applyFont="1" applyFill="1" applyBorder="1"/>
    <xf numFmtId="170" fontId="55" fillId="6" borderId="0" xfId="1" applyNumberFormat="1" applyFont="1" applyFill="1" applyBorder="1"/>
    <xf numFmtId="0" fontId="63" fillId="2" borderId="0" xfId="0" applyFont="1" applyFill="1" applyAlignment="1">
      <alignment horizontal="left"/>
    </xf>
    <xf numFmtId="0" fontId="64" fillId="2" borderId="0" xfId="0" quotePrefix="1" applyFont="1" applyFill="1" applyAlignment="1">
      <alignment horizontal="left" indent="3"/>
    </xf>
    <xf numFmtId="170" fontId="63" fillId="2" borderId="0" xfId="1" applyNumberFormat="1" applyFont="1" applyFill="1" applyBorder="1"/>
    <xf numFmtId="165" fontId="63" fillId="2" borderId="0" xfId="1" applyNumberFormat="1" applyFont="1" applyFill="1" applyBorder="1"/>
    <xf numFmtId="168" fontId="63" fillId="2" borderId="0" xfId="2" applyNumberFormat="1" applyFont="1" applyFill="1" applyBorder="1"/>
    <xf numFmtId="174" fontId="63" fillId="2" borderId="0" xfId="1" applyNumberFormat="1" applyFont="1" applyFill="1" applyBorder="1"/>
    <xf numFmtId="174" fontId="63" fillId="6" borderId="0" xfId="1" applyNumberFormat="1" applyFont="1" applyFill="1" applyBorder="1"/>
    <xf numFmtId="170" fontId="63" fillId="6" borderId="0" xfId="1" applyNumberFormat="1" applyFont="1" applyFill="1" applyBorder="1"/>
    <xf numFmtId="0" fontId="63" fillId="2" borderId="0" xfId="0" applyFont="1" applyFill="1"/>
    <xf numFmtId="10" fontId="63" fillId="2" borderId="0" xfId="1" applyNumberFormat="1" applyFont="1" applyFill="1" applyBorder="1"/>
    <xf numFmtId="43" fontId="63" fillId="2" borderId="0" xfId="1" applyFont="1" applyFill="1" applyBorder="1"/>
    <xf numFmtId="10" fontId="63" fillId="6" borderId="0" xfId="2" applyNumberFormat="1" applyFont="1" applyFill="1" applyBorder="1"/>
    <xf numFmtId="168" fontId="63" fillId="6" borderId="0" xfId="2" applyNumberFormat="1" applyFont="1" applyFill="1" applyBorder="1"/>
    <xf numFmtId="43" fontId="55" fillId="2" borderId="0" xfId="1" applyFont="1" applyFill="1" applyBorder="1"/>
    <xf numFmtId="43" fontId="55" fillId="6" borderId="0" xfId="1" applyFont="1" applyFill="1" applyBorder="1"/>
    <xf numFmtId="0" fontId="64" fillId="2" borderId="0" xfId="0" applyFont="1" applyFill="1" applyAlignment="1">
      <alignment horizontal="left"/>
    </xf>
    <xf numFmtId="170" fontId="64" fillId="2" borderId="0" xfId="1" applyNumberFormat="1" applyFont="1" applyFill="1" applyBorder="1"/>
    <xf numFmtId="165" fontId="64" fillId="2" borderId="0" xfId="1" applyNumberFormat="1" applyFont="1" applyFill="1" applyBorder="1"/>
    <xf numFmtId="168" fontId="64" fillId="2" borderId="0" xfId="2" applyNumberFormat="1" applyFont="1" applyFill="1" applyBorder="1"/>
    <xf numFmtId="43" fontId="64" fillId="2" borderId="0" xfId="1" applyFont="1" applyFill="1" applyBorder="1"/>
    <xf numFmtId="43" fontId="64" fillId="6" borderId="0" xfId="1" applyFont="1" applyFill="1" applyBorder="1"/>
    <xf numFmtId="170" fontId="64" fillId="6" borderId="0" xfId="1" applyNumberFormat="1" applyFont="1" applyFill="1" applyBorder="1"/>
    <xf numFmtId="0" fontId="64" fillId="2" borderId="0" xfId="0" applyFont="1" applyFill="1"/>
    <xf numFmtId="2" fontId="55" fillId="2" borderId="0" xfId="1" applyNumberFormat="1" applyFont="1" applyFill="1" applyBorder="1"/>
    <xf numFmtId="0" fontId="48" fillId="2" borderId="12" xfId="0" applyFont="1" applyFill="1" applyBorder="1"/>
    <xf numFmtId="170" fontId="48" fillId="2" borderId="12" xfId="1" applyNumberFormat="1" applyFont="1" applyFill="1" applyBorder="1"/>
    <xf numFmtId="165" fontId="48" fillId="2" borderId="12" xfId="1" applyNumberFormat="1" applyFont="1" applyFill="1" applyBorder="1"/>
    <xf numFmtId="168" fontId="48" fillId="2" borderId="12" xfId="2" applyNumberFormat="1" applyFont="1" applyFill="1" applyBorder="1"/>
    <xf numFmtId="170" fontId="48" fillId="2" borderId="0" xfId="1" applyNumberFormat="1" applyFont="1" applyFill="1" applyBorder="1"/>
    <xf numFmtId="172" fontId="48" fillId="2" borderId="12" xfId="0" applyNumberFormat="1" applyFont="1" applyFill="1" applyBorder="1"/>
    <xf numFmtId="165" fontId="48" fillId="2" borderId="0" xfId="1" applyNumberFormat="1" applyFont="1" applyFill="1" applyBorder="1"/>
    <xf numFmtId="168" fontId="48" fillId="2" borderId="0" xfId="2" applyNumberFormat="1" applyFont="1" applyFill="1" applyBorder="1"/>
    <xf numFmtId="172" fontId="48" fillId="2" borderId="0" xfId="0" applyNumberFormat="1" applyFont="1" applyFill="1"/>
    <xf numFmtId="0" fontId="65" fillId="2" borderId="0" xfId="0" applyFont="1" applyFill="1"/>
    <xf numFmtId="170" fontId="48" fillId="2" borderId="38" xfId="1" applyNumberFormat="1" applyFont="1" applyFill="1" applyBorder="1"/>
    <xf numFmtId="165" fontId="48" fillId="2" borderId="38" xfId="1" applyNumberFormat="1" applyFont="1" applyFill="1" applyBorder="1"/>
    <xf numFmtId="168" fontId="48" fillId="2" borderId="38" xfId="2" applyNumberFormat="1" applyFont="1" applyFill="1" applyBorder="1"/>
    <xf numFmtId="0" fontId="55" fillId="2" borderId="0" xfId="0" applyFont="1" applyFill="1" applyAlignment="1">
      <alignment horizontal="left" indent="1"/>
    </xf>
    <xf numFmtId="170" fontId="59" fillId="2" borderId="42" xfId="1" applyNumberFormat="1" applyFont="1" applyFill="1" applyBorder="1"/>
    <xf numFmtId="165" fontId="55" fillId="2" borderId="42" xfId="1" applyNumberFormat="1" applyFont="1" applyFill="1" applyBorder="1"/>
    <xf numFmtId="170" fontId="55" fillId="2" borderId="42" xfId="1" applyNumberFormat="1" applyFont="1" applyFill="1" applyBorder="1"/>
    <xf numFmtId="168" fontId="55" fillId="9" borderId="42" xfId="2" applyNumberFormat="1" applyFont="1" applyFill="1" applyBorder="1"/>
    <xf numFmtId="170" fontId="55" fillId="19" borderId="42" xfId="1" applyNumberFormat="1" applyFont="1" applyFill="1" applyBorder="1"/>
    <xf numFmtId="0" fontId="5" fillId="2" borderId="0" xfId="0" applyFont="1" applyFill="1" applyAlignment="1">
      <alignment horizontal="left"/>
    </xf>
    <xf numFmtId="0" fontId="5" fillId="2" borderId="0" xfId="0" applyFont="1" applyFill="1" applyAlignment="1">
      <alignment horizontal="left" indent="3"/>
    </xf>
    <xf numFmtId="170" fontId="5" fillId="2" borderId="42" xfId="1" applyNumberFormat="1" applyFont="1" applyFill="1" applyBorder="1"/>
    <xf numFmtId="165" fontId="5" fillId="2" borderId="42" xfId="1" applyNumberFormat="1" applyFont="1" applyFill="1" applyBorder="1"/>
    <xf numFmtId="168" fontId="5" fillId="2" borderId="42" xfId="2" applyNumberFormat="1" applyFont="1" applyFill="1" applyBorder="1"/>
    <xf numFmtId="170" fontId="5" fillId="19" borderId="42" xfId="1" applyNumberFormat="1" applyFont="1" applyFill="1" applyBorder="1"/>
    <xf numFmtId="170" fontId="5" fillId="2" borderId="0" xfId="1" applyNumberFormat="1" applyFont="1" applyFill="1" applyBorder="1"/>
    <xf numFmtId="43" fontId="5" fillId="2" borderId="0" xfId="1" applyFont="1" applyFill="1" applyBorder="1"/>
    <xf numFmtId="43" fontId="5" fillId="6" borderId="0" xfId="1" applyFont="1" applyFill="1" applyBorder="1"/>
    <xf numFmtId="170" fontId="5" fillId="6" borderId="0" xfId="1" applyNumberFormat="1" applyFont="1" applyFill="1" applyBorder="1"/>
    <xf numFmtId="170" fontId="64" fillId="2" borderId="42" xfId="1" applyNumberFormat="1" applyFont="1" applyFill="1" applyBorder="1"/>
    <xf numFmtId="165" fontId="64" fillId="2" borderId="42" xfId="1" applyNumberFormat="1" applyFont="1" applyFill="1" applyBorder="1"/>
    <xf numFmtId="168" fontId="64" fillId="2" borderId="42" xfId="2" applyNumberFormat="1" applyFont="1" applyFill="1" applyBorder="1"/>
    <xf numFmtId="170" fontId="64" fillId="19" borderId="42" xfId="1" applyNumberFormat="1" applyFont="1" applyFill="1" applyBorder="1"/>
    <xf numFmtId="168" fontId="55" fillId="2" borderId="42" xfId="2" applyNumberFormat="1" applyFont="1" applyFill="1" applyBorder="1"/>
    <xf numFmtId="170" fontId="64" fillId="2" borderId="43" xfId="1" applyNumberFormat="1" applyFont="1" applyFill="1" applyBorder="1"/>
    <xf numFmtId="165" fontId="64" fillId="2" borderId="43" xfId="1" applyNumberFormat="1" applyFont="1" applyFill="1" applyBorder="1"/>
    <xf numFmtId="168" fontId="64" fillId="2" borderId="43" xfId="2" applyNumberFormat="1" applyFont="1" applyFill="1" applyBorder="1"/>
    <xf numFmtId="170" fontId="64" fillId="19" borderId="43" xfId="1" applyNumberFormat="1" applyFont="1" applyFill="1" applyBorder="1"/>
    <xf numFmtId="10" fontId="64" fillId="6" borderId="0" xfId="2" applyNumberFormat="1" applyFont="1" applyFill="1" applyBorder="1"/>
    <xf numFmtId="168" fontId="64" fillId="6" borderId="0" xfId="2" applyNumberFormat="1" applyFont="1" applyFill="1" applyBorder="1"/>
    <xf numFmtId="0" fontId="66" fillId="2" borderId="0" xfId="0" applyFont="1" applyFill="1"/>
    <xf numFmtId="170" fontId="55" fillId="2" borderId="12" xfId="1" applyNumberFormat="1" applyFont="1" applyFill="1" applyBorder="1"/>
    <xf numFmtId="165" fontId="55" fillId="2" borderId="12" xfId="1" applyNumberFormat="1" applyFont="1" applyFill="1" applyBorder="1"/>
    <xf numFmtId="168" fontId="55" fillId="2" borderId="12" xfId="2" applyNumberFormat="1" applyFont="1" applyFill="1" applyBorder="1"/>
    <xf numFmtId="0" fontId="55" fillId="2" borderId="12" xfId="0" applyFont="1" applyFill="1" applyBorder="1"/>
    <xf numFmtId="170" fontId="52" fillId="5" borderId="38" xfId="1" applyNumberFormat="1" applyFont="1" applyFill="1" applyBorder="1"/>
    <xf numFmtId="165" fontId="52" fillId="5" borderId="38" xfId="1" applyNumberFormat="1" applyFont="1" applyFill="1" applyBorder="1"/>
    <xf numFmtId="168" fontId="52" fillId="5" borderId="38" xfId="2" applyNumberFormat="1" applyFont="1" applyFill="1" applyBorder="1"/>
    <xf numFmtId="170" fontId="52" fillId="5" borderId="0" xfId="1" applyNumberFormat="1" applyFont="1" applyFill="1" applyBorder="1"/>
    <xf numFmtId="43" fontId="55" fillId="2" borderId="42" xfId="1" applyFont="1" applyFill="1" applyBorder="1"/>
    <xf numFmtId="165" fontId="55" fillId="9" borderId="42" xfId="1" applyNumberFormat="1" applyFont="1" applyFill="1" applyBorder="1"/>
    <xf numFmtId="170" fontId="55" fillId="9" borderId="42" xfId="1" applyNumberFormat="1" applyFont="1" applyFill="1" applyBorder="1"/>
    <xf numFmtId="170" fontId="63" fillId="2" borderId="42" xfId="1" applyNumberFormat="1" applyFont="1" applyFill="1" applyBorder="1"/>
    <xf numFmtId="165" fontId="63" fillId="2" borderId="42" xfId="1" applyNumberFormat="1" applyFont="1" applyFill="1" applyBorder="1"/>
    <xf numFmtId="168" fontId="63" fillId="2" borderId="42" xfId="2" applyNumberFormat="1" applyFont="1" applyFill="1" applyBorder="1"/>
    <xf numFmtId="170" fontId="63" fillId="19" borderId="42" xfId="1" applyNumberFormat="1" applyFont="1" applyFill="1" applyBorder="1"/>
    <xf numFmtId="43" fontId="63" fillId="6" borderId="0" xfId="1" applyFont="1" applyFill="1" applyBorder="1"/>
    <xf numFmtId="170" fontId="64" fillId="2" borderId="44" xfId="1" applyNumberFormat="1" applyFont="1" applyFill="1" applyBorder="1"/>
    <xf numFmtId="10" fontId="64" fillId="2" borderId="0" xfId="2" applyNumberFormat="1" applyFont="1" applyFill="1" applyBorder="1"/>
    <xf numFmtId="170" fontId="55" fillId="2" borderId="44" xfId="1" applyNumberFormat="1" applyFont="1" applyFill="1" applyBorder="1"/>
    <xf numFmtId="170" fontId="55" fillId="2" borderId="45" xfId="1" applyNumberFormat="1" applyFont="1" applyFill="1" applyBorder="1"/>
    <xf numFmtId="170" fontId="55" fillId="2" borderId="39" xfId="1" applyNumberFormat="1" applyFont="1" applyFill="1" applyBorder="1"/>
    <xf numFmtId="165" fontId="55" fillId="2" borderId="46" xfId="1" applyNumberFormat="1" applyFont="1" applyFill="1" applyBorder="1"/>
    <xf numFmtId="170" fontId="55" fillId="2" borderId="46" xfId="1" applyNumberFormat="1" applyFont="1" applyFill="1" applyBorder="1"/>
    <xf numFmtId="168" fontId="55" fillId="2" borderId="46" xfId="2" applyNumberFormat="1" applyFont="1" applyFill="1" applyBorder="1"/>
    <xf numFmtId="170" fontId="64" fillId="19" borderId="0" xfId="1" applyNumberFormat="1" applyFont="1" applyFill="1" applyBorder="1"/>
    <xf numFmtId="170" fontId="48" fillId="2" borderId="39" xfId="1" applyNumberFormat="1" applyFont="1" applyFill="1" applyBorder="1"/>
    <xf numFmtId="165" fontId="48" fillId="2" borderId="46" xfId="1" applyNumberFormat="1" applyFont="1" applyFill="1" applyBorder="1"/>
    <xf numFmtId="170" fontId="48" fillId="2" borderId="46" xfId="1" applyNumberFormat="1" applyFont="1" applyFill="1" applyBorder="1"/>
    <xf numFmtId="168" fontId="48" fillId="2" borderId="46" xfId="2" applyNumberFormat="1" applyFont="1" applyFill="1" applyBorder="1"/>
    <xf numFmtId="170" fontId="48" fillId="19" borderId="42" xfId="1" applyNumberFormat="1" applyFont="1" applyFill="1" applyBorder="1"/>
    <xf numFmtId="170" fontId="48" fillId="19" borderId="0" xfId="1" applyNumberFormat="1" applyFont="1" applyFill="1" applyBorder="1"/>
    <xf numFmtId="170" fontId="55" fillId="19" borderId="0" xfId="1" applyNumberFormat="1" applyFont="1" applyFill="1" applyBorder="1"/>
    <xf numFmtId="170" fontId="48" fillId="2" borderId="42" xfId="1" applyNumberFormat="1" applyFont="1" applyFill="1" applyBorder="1"/>
    <xf numFmtId="165" fontId="48" fillId="2" borderId="42" xfId="1" applyNumberFormat="1" applyFont="1" applyFill="1" applyBorder="1"/>
    <xf numFmtId="168" fontId="48" fillId="2" borderId="42" xfId="2" applyNumberFormat="1" applyFont="1" applyFill="1" applyBorder="1"/>
    <xf numFmtId="170" fontId="55" fillId="2" borderId="43" xfId="1" applyNumberFormat="1" applyFont="1" applyFill="1" applyBorder="1"/>
    <xf numFmtId="165" fontId="55" fillId="2" borderId="43" xfId="1" applyNumberFormat="1" applyFont="1" applyFill="1" applyBorder="1"/>
    <xf numFmtId="168" fontId="55" fillId="2" borderId="43" xfId="2" applyNumberFormat="1" applyFont="1" applyFill="1" applyBorder="1"/>
    <xf numFmtId="170" fontId="55" fillId="19" borderId="43" xfId="1" applyNumberFormat="1" applyFont="1" applyFill="1" applyBorder="1"/>
    <xf numFmtId="170" fontId="55" fillId="2" borderId="47" xfId="1" applyNumberFormat="1" applyFont="1" applyFill="1" applyBorder="1"/>
    <xf numFmtId="165" fontId="55" fillId="2" borderId="47" xfId="1" applyNumberFormat="1" applyFont="1" applyFill="1" applyBorder="1"/>
    <xf numFmtId="168" fontId="55" fillId="2" borderId="47" xfId="2" applyNumberFormat="1" applyFont="1" applyFill="1" applyBorder="1"/>
    <xf numFmtId="170" fontId="55" fillId="19" borderId="47" xfId="1" applyNumberFormat="1" applyFont="1" applyFill="1" applyBorder="1"/>
    <xf numFmtId="170" fontId="48" fillId="2" borderId="48" xfId="1" applyNumberFormat="1" applyFont="1" applyFill="1" applyBorder="1"/>
    <xf numFmtId="165" fontId="48" fillId="2" borderId="48" xfId="1" applyNumberFormat="1" applyFont="1" applyFill="1" applyBorder="1"/>
    <xf numFmtId="168" fontId="48" fillId="2" borderId="48" xfId="2" applyNumberFormat="1" applyFont="1" applyFill="1" applyBorder="1"/>
    <xf numFmtId="170" fontId="48" fillId="19" borderId="48" xfId="1" applyNumberFormat="1" applyFont="1" applyFill="1" applyBorder="1"/>
    <xf numFmtId="170" fontId="48" fillId="19" borderId="12" xfId="1" applyNumberFormat="1" applyFont="1" applyFill="1" applyBorder="1"/>
    <xf numFmtId="170" fontId="55" fillId="19" borderId="46" xfId="1" applyNumberFormat="1" applyFont="1" applyFill="1" applyBorder="1"/>
    <xf numFmtId="0" fontId="55" fillId="2" borderId="0" xfId="0" applyFont="1" applyFill="1" applyAlignment="1">
      <alignment horizontal="left" indent="2"/>
    </xf>
    <xf numFmtId="170" fontId="48" fillId="2" borderId="49" xfId="1" applyNumberFormat="1" applyFont="1" applyFill="1" applyBorder="1"/>
    <xf numFmtId="165" fontId="48" fillId="2" borderId="49" xfId="1" applyNumberFormat="1" applyFont="1" applyFill="1" applyBorder="1"/>
    <xf numFmtId="168" fontId="48" fillId="2" borderId="49" xfId="2" applyNumberFormat="1" applyFont="1" applyFill="1" applyBorder="1"/>
    <xf numFmtId="170" fontId="48" fillId="19" borderId="49" xfId="1" applyNumberFormat="1" applyFont="1" applyFill="1" applyBorder="1"/>
    <xf numFmtId="0" fontId="59" fillId="2" borderId="0" xfId="0" applyFont="1" applyFill="1" applyAlignment="1">
      <alignment horizontal="left"/>
    </xf>
    <xf numFmtId="0" fontId="59" fillId="2" borderId="0" xfId="0" applyFont="1" applyFill="1"/>
    <xf numFmtId="165" fontId="59" fillId="2" borderId="42" xfId="1" applyNumberFormat="1" applyFont="1" applyFill="1" applyBorder="1"/>
    <xf numFmtId="168" fontId="59" fillId="2" borderId="42" xfId="2" applyNumberFormat="1" applyFont="1" applyFill="1" applyBorder="1"/>
    <xf numFmtId="170" fontId="59" fillId="19" borderId="42" xfId="1" applyNumberFormat="1" applyFont="1" applyFill="1" applyBorder="1"/>
    <xf numFmtId="170" fontId="59" fillId="2" borderId="0" xfId="1" applyNumberFormat="1" applyFont="1" applyFill="1" applyBorder="1"/>
    <xf numFmtId="170" fontId="59" fillId="19" borderId="0" xfId="1" applyNumberFormat="1" applyFont="1" applyFill="1" applyBorder="1"/>
    <xf numFmtId="0" fontId="59" fillId="2" borderId="0" xfId="0" applyFont="1" applyFill="1" applyAlignment="1">
      <alignment horizontal="left" indent="2"/>
    </xf>
    <xf numFmtId="170" fontId="59" fillId="2" borderId="43" xfId="1" applyNumberFormat="1" applyFont="1" applyFill="1" applyBorder="1"/>
    <xf numFmtId="165" fontId="59" fillId="2" borderId="43" xfId="1" applyNumberFormat="1" applyFont="1" applyFill="1" applyBorder="1"/>
    <xf numFmtId="168" fontId="59" fillId="2" borderId="43" xfId="2" applyNumberFormat="1" applyFont="1" applyFill="1" applyBorder="1"/>
    <xf numFmtId="170" fontId="59" fillId="19" borderId="43" xfId="1" applyNumberFormat="1" applyFont="1" applyFill="1" applyBorder="1"/>
    <xf numFmtId="0" fontId="48" fillId="2" borderId="14" xfId="0" applyFont="1" applyFill="1" applyBorder="1" applyAlignment="1">
      <alignment horizontal="center"/>
    </xf>
    <xf numFmtId="170" fontId="48" fillId="2" borderId="14" xfId="1" applyNumberFormat="1" applyFont="1" applyFill="1" applyBorder="1"/>
    <xf numFmtId="165" fontId="48" fillId="2" borderId="14" xfId="1" applyNumberFormat="1" applyFont="1" applyFill="1" applyBorder="1"/>
    <xf numFmtId="168" fontId="48" fillId="2" borderId="14" xfId="2" applyNumberFormat="1" applyFont="1" applyFill="1" applyBorder="1"/>
    <xf numFmtId="164" fontId="48" fillId="2" borderId="12" xfId="1" applyNumberFormat="1" applyFont="1" applyFill="1" applyBorder="1"/>
    <xf numFmtId="164" fontId="48" fillId="2" borderId="0" xfId="1" applyNumberFormat="1" applyFont="1" applyFill="1" applyBorder="1"/>
    <xf numFmtId="0" fontId="52" fillId="5" borderId="0" xfId="0" applyFont="1" applyFill="1"/>
    <xf numFmtId="170" fontId="55" fillId="2" borderId="38" xfId="1" applyNumberFormat="1" applyFont="1" applyFill="1" applyBorder="1"/>
    <xf numFmtId="168" fontId="55" fillId="2" borderId="38" xfId="2" applyNumberFormat="1" applyFont="1" applyFill="1" applyBorder="1"/>
    <xf numFmtId="43" fontId="55" fillId="11" borderId="42" xfId="1" applyFont="1" applyFill="1" applyBorder="1" applyAlignment="1">
      <alignment horizontal="right"/>
    </xf>
    <xf numFmtId="165" fontId="55" fillId="11" borderId="42" xfId="1" applyNumberFormat="1" applyFont="1" applyFill="1" applyBorder="1"/>
    <xf numFmtId="170" fontId="55" fillId="11" borderId="42" xfId="1" applyNumberFormat="1" applyFont="1" applyFill="1" applyBorder="1"/>
    <xf numFmtId="10" fontId="55" fillId="2" borderId="42" xfId="2" applyNumberFormat="1" applyFont="1" applyFill="1" applyBorder="1"/>
    <xf numFmtId="170" fontId="55" fillId="2" borderId="50" xfId="1" applyNumberFormat="1" applyFont="1" applyFill="1" applyBorder="1"/>
    <xf numFmtId="165" fontId="55" fillId="2" borderId="51" xfId="1" applyNumberFormat="1" applyFont="1" applyFill="1" applyBorder="1"/>
    <xf numFmtId="170" fontId="55" fillId="2" borderId="51" xfId="1" applyNumberFormat="1" applyFont="1" applyFill="1" applyBorder="1"/>
    <xf numFmtId="168" fontId="55" fillId="2" borderId="51" xfId="2" applyNumberFormat="1" applyFont="1" applyFill="1" applyBorder="1"/>
    <xf numFmtId="170" fontId="55" fillId="19" borderId="51" xfId="1" applyNumberFormat="1" applyFont="1" applyFill="1" applyBorder="1"/>
    <xf numFmtId="170" fontId="48" fillId="19" borderId="46" xfId="1" applyNumberFormat="1" applyFont="1" applyFill="1" applyBorder="1"/>
    <xf numFmtId="10" fontId="55" fillId="2" borderId="0" xfId="1" applyNumberFormat="1" applyFont="1" applyFill="1" applyBorder="1" applyAlignment="1">
      <alignment horizontal="center"/>
    </xf>
    <xf numFmtId="165" fontId="55" fillId="2" borderId="38" xfId="1" applyNumberFormat="1" applyFont="1" applyFill="1" applyBorder="1"/>
    <xf numFmtId="43" fontId="55" fillId="11" borderId="42" xfId="1" applyFont="1" applyFill="1" applyBorder="1"/>
    <xf numFmtId="4" fontId="11" fillId="8" borderId="0" xfId="1" applyNumberFormat="1" applyFont="1" applyFill="1" applyBorder="1" applyAlignment="1"/>
    <xf numFmtId="10" fontId="67" fillId="2" borderId="0" xfId="2" applyNumberFormat="1" applyFont="1" applyFill="1"/>
    <xf numFmtId="4" fontId="20" fillId="6" borderId="0" xfId="1" applyNumberFormat="1" applyFont="1" applyFill="1" applyBorder="1"/>
    <xf numFmtId="10" fontId="19" fillId="2" borderId="2" xfId="2" applyNumberFormat="1" applyFont="1" applyFill="1" applyBorder="1"/>
    <xf numFmtId="4" fontId="11" fillId="2" borderId="2" xfId="0" applyNumberFormat="1" applyFont="1" applyFill="1" applyBorder="1" applyAlignment="1">
      <alignment vertical="center"/>
    </xf>
    <xf numFmtId="4" fontId="16" fillId="2" borderId="2" xfId="2" applyNumberFormat="1" applyFont="1" applyFill="1" applyBorder="1" applyAlignment="1">
      <alignment vertical="center"/>
    </xf>
    <xf numFmtId="4" fontId="16" fillId="2" borderId="2" xfId="0" applyNumberFormat="1" applyFont="1" applyFill="1" applyBorder="1" applyAlignment="1">
      <alignment vertical="center"/>
    </xf>
    <xf numFmtId="10" fontId="13" fillId="2" borderId="2" xfId="1" applyNumberFormat="1" applyFont="1" applyFill="1" applyBorder="1" applyAlignment="1">
      <alignment vertical="center"/>
    </xf>
    <xf numFmtId="10" fontId="19" fillId="2" borderId="6" xfId="2" applyNumberFormat="1" applyFont="1" applyFill="1" applyBorder="1" applyAlignment="1">
      <alignment vertical="center"/>
    </xf>
    <xf numFmtId="167" fontId="11" fillId="2" borderId="52" xfId="0" applyNumberFormat="1" applyFont="1" applyFill="1" applyBorder="1" applyAlignment="1">
      <alignment vertical="center"/>
    </xf>
    <xf numFmtId="10" fontId="15" fillId="2" borderId="2" xfId="2" applyNumberFormat="1" applyFont="1" applyFill="1" applyBorder="1"/>
    <xf numFmtId="0" fontId="69" fillId="2" borderId="0" xfId="0" applyFont="1" applyFill="1"/>
    <xf numFmtId="0" fontId="70" fillId="2" borderId="0" xfId="0" applyFont="1" applyFill="1"/>
    <xf numFmtId="168" fontId="70" fillId="2" borderId="0" xfId="2" applyNumberFormat="1" applyFont="1" applyFill="1" applyBorder="1"/>
    <xf numFmtId="0" fontId="4" fillId="2" borderId="0" xfId="3" applyFont="1" applyFill="1" applyBorder="1"/>
    <xf numFmtId="0" fontId="71" fillId="2" borderId="0" xfId="0" applyFont="1" applyFill="1"/>
    <xf numFmtId="0" fontId="72" fillId="2" borderId="4" xfId="0" applyFont="1" applyFill="1" applyBorder="1"/>
    <xf numFmtId="0" fontId="72" fillId="2" borderId="4" xfId="0" applyFont="1" applyFill="1" applyBorder="1" applyAlignment="1">
      <alignment horizontal="center"/>
    </xf>
    <xf numFmtId="0" fontId="72" fillId="2" borderId="0" xfId="0" applyFont="1" applyFill="1"/>
    <xf numFmtId="0" fontId="73" fillId="2" borderId="0" xfId="0" applyFont="1" applyFill="1"/>
    <xf numFmtId="0" fontId="74" fillId="2" borderId="4" xfId="0" applyFont="1" applyFill="1" applyBorder="1" applyAlignment="1">
      <alignment horizontal="centerContinuous"/>
    </xf>
    <xf numFmtId="0" fontId="72" fillId="2" borderId="11" xfId="0" applyFont="1" applyFill="1" applyBorder="1" applyAlignment="1">
      <alignment horizontal="center"/>
    </xf>
    <xf numFmtId="0" fontId="72" fillId="2" borderId="11" xfId="0" applyFont="1" applyFill="1" applyBorder="1"/>
    <xf numFmtId="0" fontId="58" fillId="2" borderId="0" xfId="0" applyFont="1" applyFill="1"/>
    <xf numFmtId="0" fontId="58" fillId="2" borderId="11" xfId="0" applyFont="1" applyFill="1" applyBorder="1"/>
    <xf numFmtId="0" fontId="58" fillId="2" borderId="53" xfId="0" applyFont="1" applyFill="1" applyBorder="1"/>
    <xf numFmtId="0" fontId="70" fillId="0" borderId="0" xfId="0" applyFont="1"/>
    <xf numFmtId="15" fontId="70" fillId="0" borderId="0" xfId="0" applyNumberFormat="1" applyFont="1"/>
    <xf numFmtId="4" fontId="70" fillId="0" borderId="0" xfId="0" applyNumberFormat="1" applyFont="1"/>
    <xf numFmtId="10" fontId="58" fillId="2" borderId="0" xfId="2" applyNumberFormat="1" applyFont="1" applyFill="1" applyBorder="1"/>
    <xf numFmtId="168" fontId="58" fillId="2" borderId="0" xfId="2" applyNumberFormat="1" applyFont="1" applyFill="1" applyBorder="1"/>
    <xf numFmtId="178" fontId="58" fillId="2" borderId="7" xfId="0" applyNumberFormat="1" applyFont="1" applyFill="1" applyBorder="1"/>
    <xf numFmtId="2" fontId="58" fillId="2" borderId="7" xfId="0" applyNumberFormat="1" applyFont="1" applyFill="1" applyBorder="1"/>
    <xf numFmtId="10" fontId="70" fillId="2" borderId="0" xfId="2" applyNumberFormat="1" applyFont="1" applyFill="1" applyBorder="1"/>
    <xf numFmtId="0" fontId="75" fillId="2" borderId="0" xfId="0" applyFont="1" applyFill="1"/>
    <xf numFmtId="0" fontId="76" fillId="2" borderId="0" xfId="0" applyFont="1" applyFill="1"/>
    <xf numFmtId="0" fontId="58" fillId="2" borderId="7" xfId="0" applyFont="1" applyFill="1" applyBorder="1"/>
    <xf numFmtId="10" fontId="58" fillId="9" borderId="7" xfId="2" applyNumberFormat="1" applyFont="1" applyFill="1" applyBorder="1"/>
    <xf numFmtId="0" fontId="70" fillId="0" borderId="12" xfId="0" applyFont="1" applyBorder="1"/>
    <xf numFmtId="2" fontId="58" fillId="2" borderId="0" xfId="0" applyNumberFormat="1" applyFont="1" applyFill="1"/>
    <xf numFmtId="0" fontId="3" fillId="20" borderId="0" xfId="0" applyFont="1" applyFill="1"/>
    <xf numFmtId="10" fontId="3" fillId="20" borderId="0" xfId="2" applyNumberFormat="1" applyFont="1" applyFill="1" applyBorder="1"/>
    <xf numFmtId="0" fontId="77" fillId="2" borderId="54" xfId="0" applyFont="1" applyFill="1" applyBorder="1" applyAlignment="1">
      <alignment horizontal="center"/>
    </xf>
    <xf numFmtId="10" fontId="58" fillId="2" borderId="7" xfId="2" applyNumberFormat="1" applyFont="1" applyFill="1" applyBorder="1"/>
    <xf numFmtId="10" fontId="58" fillId="9" borderId="0" xfId="2" applyNumberFormat="1" applyFont="1" applyFill="1" applyBorder="1"/>
    <xf numFmtId="0" fontId="70" fillId="2" borderId="12" xfId="0" applyFont="1" applyFill="1" applyBorder="1"/>
    <xf numFmtId="0" fontId="58" fillId="9" borderId="0" xfId="0" applyFont="1" applyFill="1"/>
    <xf numFmtId="0" fontId="73" fillId="2" borderId="0" xfId="0" applyFont="1" applyFill="1" applyAlignment="1">
      <alignment horizontal="center"/>
    </xf>
    <xf numFmtId="0" fontId="37" fillId="7" borderId="0" xfId="0" applyFont="1" applyFill="1"/>
    <xf numFmtId="43" fontId="37" fillId="7" borderId="0" xfId="1" applyFont="1" applyFill="1" applyBorder="1"/>
    <xf numFmtId="10" fontId="37" fillId="7" borderId="0" xfId="0" applyNumberFormat="1" applyFont="1" applyFill="1"/>
    <xf numFmtId="9" fontId="37" fillId="7" borderId="0" xfId="0" applyNumberFormat="1" applyFont="1" applyFill="1"/>
    <xf numFmtId="0" fontId="3" fillId="10" borderId="0" xfId="0" applyFont="1" applyFill="1"/>
    <xf numFmtId="43" fontId="3" fillId="10" borderId="0" xfId="1" applyFont="1" applyFill="1" applyBorder="1"/>
    <xf numFmtId="0" fontId="3" fillId="2" borderId="0" xfId="0" applyFont="1" applyFill="1"/>
    <xf numFmtId="43" fontId="3" fillId="2" borderId="0" xfId="1" applyFont="1" applyFill="1" applyBorder="1"/>
    <xf numFmtId="2" fontId="70" fillId="2" borderId="0" xfId="0" applyNumberFormat="1" applyFont="1" applyFill="1"/>
    <xf numFmtId="10" fontId="3" fillId="2" borderId="0" xfId="2" applyNumberFormat="1" applyFont="1" applyFill="1" applyBorder="1"/>
    <xf numFmtId="0" fontId="73" fillId="2" borderId="11" xfId="0" applyFont="1" applyFill="1" applyBorder="1" applyAlignment="1">
      <alignment horizontal="center"/>
    </xf>
    <xf numFmtId="0" fontId="71" fillId="2" borderId="11" xfId="0" applyFont="1" applyFill="1" applyBorder="1" applyAlignment="1">
      <alignment horizontal="center"/>
    </xf>
    <xf numFmtId="0" fontId="71" fillId="2" borderId="11" xfId="0" applyFont="1" applyFill="1" applyBorder="1" applyAlignment="1">
      <alignment horizontal="right"/>
    </xf>
    <xf numFmtId="3" fontId="70" fillId="0" borderId="0" xfId="0" applyNumberFormat="1" applyFont="1"/>
    <xf numFmtId="10" fontId="70" fillId="2" borderId="0" xfId="2" applyNumberFormat="1" applyFont="1" applyFill="1" applyBorder="1" applyAlignment="1">
      <alignment horizontal="right"/>
    </xf>
    <xf numFmtId="179" fontId="70" fillId="2" borderId="0" xfId="0" applyNumberFormat="1" applyFont="1" applyFill="1" applyAlignment="1">
      <alignment horizontal="center"/>
    </xf>
    <xf numFmtId="1" fontId="70" fillId="2" borderId="0" xfId="0" applyNumberFormat="1" applyFont="1" applyFill="1" applyAlignment="1">
      <alignment horizontal="right"/>
    </xf>
    <xf numFmtId="1" fontId="70" fillId="2" borderId="0" xfId="1" applyNumberFormat="1" applyFont="1" applyFill="1" applyBorder="1" applyAlignment="1">
      <alignment horizontal="right"/>
    </xf>
    <xf numFmtId="9" fontId="70" fillId="2" borderId="0" xfId="2" applyFont="1" applyFill="1" applyBorder="1" applyAlignment="1">
      <alignment horizontal="right"/>
    </xf>
    <xf numFmtId="9" fontId="70" fillId="2" borderId="0" xfId="2" applyFont="1" applyFill="1" applyBorder="1" applyAlignment="1">
      <alignment horizontal="center"/>
    </xf>
    <xf numFmtId="4" fontId="13" fillId="22" borderId="7" xfId="1" applyNumberFormat="1" applyFont="1" applyFill="1" applyBorder="1" applyAlignment="1">
      <alignment vertical="center"/>
    </xf>
    <xf numFmtId="4" fontId="23" fillId="6" borderId="0" xfId="1" applyNumberFormat="1" applyFont="1" applyFill="1" applyBorder="1"/>
    <xf numFmtId="4" fontId="12" fillId="6" borderId="0" xfId="1" applyNumberFormat="1" applyFont="1" applyFill="1" applyBorder="1"/>
    <xf numFmtId="0" fontId="78" fillId="29" borderId="0" xfId="0" quotePrefix="1" applyFont="1" applyFill="1" applyAlignment="1">
      <alignment horizontal="left" indent="2"/>
    </xf>
    <xf numFmtId="0" fontId="44" fillId="29" borderId="0" xfId="0" quotePrefix="1" applyFont="1" applyFill="1" applyAlignment="1">
      <alignment horizontal="left" indent="4"/>
    </xf>
    <xf numFmtId="0" fontId="12" fillId="22" borderId="0" xfId="0" applyFont="1" applyFill="1" applyAlignment="1">
      <alignment horizontal="left"/>
    </xf>
    <xf numFmtId="3" fontId="12" fillId="22" borderId="0" xfId="0" applyNumberFormat="1" applyFont="1" applyFill="1"/>
    <xf numFmtId="0" fontId="11" fillId="22" borderId="0" xfId="0" applyFont="1" applyFill="1" applyAlignment="1">
      <alignment horizontal="left"/>
    </xf>
    <xf numFmtId="3" fontId="11" fillId="22" borderId="0" xfId="0" applyNumberFormat="1" applyFont="1" applyFill="1"/>
    <xf numFmtId="0" fontId="21" fillId="22" borderId="0" xfId="0" applyFont="1" applyFill="1" applyAlignment="1">
      <alignment horizontal="left"/>
    </xf>
    <xf numFmtId="3" fontId="21" fillId="22" borderId="0" xfId="0" applyNumberFormat="1" applyFont="1" applyFill="1"/>
    <xf numFmtId="3" fontId="21" fillId="22" borderId="0" xfId="1" applyNumberFormat="1" applyFont="1" applyFill="1" applyBorder="1"/>
    <xf numFmtId="0" fontId="21" fillId="2" borderId="0" xfId="0" applyFont="1" applyFill="1" applyAlignment="1">
      <alignment horizontal="left"/>
    </xf>
    <xf numFmtId="4" fontId="21" fillId="2" borderId="0" xfId="1" applyNumberFormat="1" applyFont="1" applyFill="1" applyBorder="1"/>
    <xf numFmtId="3" fontId="21" fillId="6" borderId="0" xfId="1" applyNumberFormat="1" applyFont="1" applyFill="1" applyBorder="1"/>
    <xf numFmtId="3" fontId="11" fillId="2" borderId="24" xfId="0" applyNumberFormat="1" applyFont="1" applyFill="1" applyBorder="1"/>
    <xf numFmtId="3" fontId="12" fillId="6" borderId="0" xfId="1" applyNumberFormat="1" applyFont="1" applyFill="1" applyBorder="1"/>
    <xf numFmtId="4" fontId="23" fillId="6" borderId="0" xfId="0" applyNumberFormat="1" applyFont="1" applyFill="1"/>
    <xf numFmtId="3" fontId="23" fillId="6" borderId="0" xfId="0" applyNumberFormat="1" applyFont="1" applyFill="1"/>
    <xf numFmtId="3" fontId="23" fillId="6" borderId="0" xfId="1" applyNumberFormat="1" applyFont="1" applyFill="1" applyBorder="1"/>
    <xf numFmtId="3" fontId="23" fillId="6" borderId="25" xfId="1" applyNumberFormat="1" applyFont="1" applyFill="1" applyBorder="1"/>
    <xf numFmtId="0" fontId="26" fillId="2" borderId="0" xfId="6" applyFont="1" applyFill="1" applyBorder="1" applyAlignment="1" applyProtection="1">
      <alignment vertical="center"/>
    </xf>
    <xf numFmtId="0" fontId="21" fillId="2" borderId="0" xfId="7" applyFont="1" applyFill="1" applyAlignment="1">
      <alignment vertical="center"/>
    </xf>
    <xf numFmtId="0" fontId="21" fillId="2" borderId="0" xfId="7" applyFont="1" applyFill="1" applyAlignment="1">
      <alignment horizontal="right" vertical="center"/>
    </xf>
    <xf numFmtId="10" fontId="21" fillId="2" borderId="0" xfId="7" applyNumberFormat="1" applyFont="1" applyFill="1" applyAlignment="1">
      <alignment horizontal="right" vertical="center"/>
    </xf>
    <xf numFmtId="0" fontId="21" fillId="2" borderId="2" xfId="7" applyFont="1" applyFill="1" applyBorder="1" applyAlignment="1">
      <alignment horizontal="right" vertical="center"/>
    </xf>
    <xf numFmtId="0" fontId="31" fillId="2" borderId="0" xfId="6" applyFont="1" applyFill="1" applyBorder="1" applyAlignment="1" applyProtection="1">
      <alignment horizontal="left" vertical="center"/>
    </xf>
    <xf numFmtId="180" fontId="26" fillId="2" borderId="56" xfId="8" applyNumberFormat="1" applyFont="1" applyFill="1" applyBorder="1" applyAlignment="1">
      <alignment horizontal="right"/>
    </xf>
    <xf numFmtId="181" fontId="21" fillId="2" borderId="0" xfId="7" applyNumberFormat="1" applyFont="1" applyFill="1" applyAlignment="1">
      <alignment horizontal="right" vertical="center"/>
    </xf>
    <xf numFmtId="181" fontId="21" fillId="2" borderId="2" xfId="7" applyNumberFormat="1" applyFont="1" applyFill="1" applyBorder="1" applyAlignment="1">
      <alignment horizontal="right" vertical="center"/>
    </xf>
    <xf numFmtId="0" fontId="21" fillId="2" borderId="0" xfId="6" applyFont="1" applyFill="1" applyBorder="1" applyAlignment="1" applyProtection="1">
      <alignment horizontal="left" vertical="center"/>
    </xf>
    <xf numFmtId="43" fontId="21" fillId="2" borderId="0" xfId="1" applyFont="1" applyFill="1" applyBorder="1" applyAlignment="1" applyProtection="1">
      <alignment horizontal="right" vertical="center"/>
    </xf>
    <xf numFmtId="0" fontId="18" fillId="10" borderId="0" xfId="6" applyFont="1" applyFill="1" applyBorder="1" applyAlignment="1" applyProtection="1">
      <alignment horizontal="left" vertical="center"/>
    </xf>
    <xf numFmtId="181" fontId="12" fillId="2" borderId="0" xfId="7" applyNumberFormat="1" applyFont="1" applyFill="1" applyAlignment="1">
      <alignment horizontal="right" vertical="center"/>
    </xf>
    <xf numFmtId="181" fontId="11" fillId="2" borderId="0" xfId="7" applyNumberFormat="1" applyFont="1" applyFill="1" applyAlignment="1">
      <alignment horizontal="right" vertical="center"/>
    </xf>
    <xf numFmtId="181" fontId="11" fillId="2" borderId="2" xfId="7" applyNumberFormat="1" applyFont="1" applyFill="1" applyBorder="1" applyAlignment="1">
      <alignment horizontal="right" vertical="center"/>
    </xf>
    <xf numFmtId="164" fontId="9" fillId="6" borderId="3" xfId="8" quotePrefix="1" applyNumberFormat="1" applyFont="1" applyFill="1" applyBorder="1" applyAlignment="1">
      <alignment horizontal="right" vertical="center"/>
    </xf>
    <xf numFmtId="164" fontId="17" fillId="6" borderId="0" xfId="8" quotePrefix="1" applyNumberFormat="1" applyFont="1" applyFill="1" applyAlignment="1">
      <alignment horizontal="right" vertical="center"/>
    </xf>
    <xf numFmtId="0" fontId="31" fillId="2" borderId="0" xfId="8" applyFont="1" applyFill="1" applyAlignment="1">
      <alignment horizontal="left" vertical="center"/>
    </xf>
    <xf numFmtId="0" fontId="18" fillId="10" borderId="21" xfId="7" applyFont="1" applyFill="1" applyBorder="1" applyAlignment="1">
      <alignment horizontal="left" vertical="center"/>
    </xf>
    <xf numFmtId="165" fontId="18" fillId="8" borderId="21" xfId="7" applyNumberFormat="1" applyFont="1" applyFill="1" applyBorder="1" applyAlignment="1">
      <alignment horizontal="right" vertical="center"/>
    </xf>
    <xf numFmtId="165" fontId="13" fillId="2" borderId="21" xfId="0" applyNumberFormat="1" applyFont="1" applyFill="1" applyBorder="1" applyAlignment="1">
      <alignment vertical="center"/>
    </xf>
    <xf numFmtId="165" fontId="13" fillId="2" borderId="22" xfId="0" applyNumberFormat="1" applyFont="1" applyFill="1" applyBorder="1" applyAlignment="1">
      <alignment vertical="center"/>
    </xf>
    <xf numFmtId="165" fontId="17" fillId="6" borderId="21" xfId="0" applyNumberFormat="1" applyFont="1" applyFill="1" applyBorder="1" applyAlignment="1">
      <alignment vertical="center"/>
    </xf>
    <xf numFmtId="0" fontId="18" fillId="2" borderId="0" xfId="7" applyFont="1" applyFill="1" applyAlignment="1">
      <alignment vertical="center"/>
    </xf>
    <xf numFmtId="0" fontId="18" fillId="2" borderId="0" xfId="7" applyFont="1" applyFill="1" applyAlignment="1">
      <alignment horizontal="center" vertical="center" wrapText="1"/>
    </xf>
    <xf numFmtId="0" fontId="11" fillId="2" borderId="0" xfId="7" applyFont="1" applyFill="1" applyAlignment="1">
      <alignment vertical="center"/>
    </xf>
    <xf numFmtId="3" fontId="11" fillId="2" borderId="2" xfId="8" quotePrefix="1" applyNumberFormat="1" applyFont="1" applyFill="1" applyBorder="1" applyAlignment="1">
      <alignment horizontal="right" vertical="center"/>
    </xf>
    <xf numFmtId="3" fontId="11" fillId="2" borderId="0" xfId="8" quotePrefix="1" applyNumberFormat="1" applyFont="1" applyFill="1" applyAlignment="1">
      <alignment horizontal="right" vertical="center"/>
    </xf>
    <xf numFmtId="3" fontId="11" fillId="2" borderId="23" xfId="8" quotePrefix="1" applyNumberFormat="1" applyFont="1" applyFill="1" applyBorder="1" applyAlignment="1">
      <alignment horizontal="right" vertical="center"/>
    </xf>
    <xf numFmtId="4" fontId="11" fillId="2" borderId="23" xfId="8" quotePrefix="1" applyNumberFormat="1" applyFont="1" applyFill="1" applyBorder="1" applyAlignment="1">
      <alignment horizontal="right" vertical="center"/>
    </xf>
    <xf numFmtId="4" fontId="11" fillId="2" borderId="0" xfId="8" quotePrefix="1" applyNumberFormat="1" applyFont="1" applyFill="1" applyAlignment="1">
      <alignment horizontal="right" vertical="center"/>
    </xf>
    <xf numFmtId="0" fontId="13" fillId="2" borderId="0" xfId="7" applyFont="1" applyFill="1" applyAlignment="1">
      <alignment vertical="center"/>
    </xf>
    <xf numFmtId="4" fontId="11" fillId="2" borderId="2" xfId="8" quotePrefix="1" applyNumberFormat="1" applyFont="1" applyFill="1" applyBorder="1" applyAlignment="1">
      <alignment horizontal="right" vertical="center"/>
    </xf>
    <xf numFmtId="164" fontId="28" fillId="2" borderId="6" xfId="0" applyNumberFormat="1" applyFont="1" applyFill="1" applyBorder="1" applyAlignment="1">
      <alignment vertical="center"/>
    </xf>
    <xf numFmtId="168" fontId="13" fillId="2" borderId="0" xfId="2" applyNumberFormat="1" applyFont="1" applyFill="1" applyBorder="1" applyAlignment="1">
      <alignment horizontal="center" vertical="center"/>
    </xf>
    <xf numFmtId="168" fontId="13" fillId="2" borderId="7" xfId="2" applyNumberFormat="1" applyFont="1" applyFill="1" applyBorder="1" applyAlignment="1">
      <alignment horizontal="center" vertical="center"/>
    </xf>
    <xf numFmtId="168" fontId="13" fillId="2" borderId="0" xfId="2" applyNumberFormat="1" applyFont="1" applyFill="1" applyBorder="1" applyAlignment="1">
      <alignment horizontal="right" vertical="center"/>
    </xf>
    <xf numFmtId="3" fontId="11" fillId="2" borderId="0" xfId="2" applyNumberFormat="1" applyFont="1" applyFill="1" applyBorder="1" applyAlignment="1">
      <alignment horizontal="center" vertical="center"/>
    </xf>
    <xf numFmtId="3" fontId="11" fillId="2" borderId="55" xfId="2" applyNumberFormat="1" applyFont="1" applyFill="1" applyBorder="1" applyAlignment="1">
      <alignment horizontal="center" vertical="center"/>
    </xf>
    <xf numFmtId="3" fontId="11" fillId="2" borderId="0" xfId="1" applyNumberFormat="1" applyFont="1" applyFill="1" applyBorder="1" applyAlignment="1">
      <alignment horizontal="center" vertical="center"/>
    </xf>
    <xf numFmtId="3" fontId="11" fillId="2" borderId="55" xfId="1" applyNumberFormat="1" applyFont="1" applyFill="1" applyBorder="1" applyAlignment="1">
      <alignment horizontal="center" vertical="center"/>
    </xf>
    <xf numFmtId="3" fontId="11" fillId="2" borderId="27" xfId="1" applyNumberFormat="1" applyFont="1" applyFill="1" applyBorder="1" applyAlignment="1">
      <alignment horizontal="center" vertical="center"/>
    </xf>
    <xf numFmtId="3" fontId="11" fillId="2" borderId="1" xfId="1" applyNumberFormat="1" applyFont="1" applyFill="1" applyBorder="1" applyAlignment="1">
      <alignment horizontal="center" vertical="center"/>
    </xf>
    <xf numFmtId="164" fontId="11" fillId="2" borderId="0" xfId="1" applyNumberFormat="1" applyFont="1" applyFill="1" applyBorder="1" applyAlignment="1" applyProtection="1">
      <alignment vertical="center"/>
    </xf>
    <xf numFmtId="172" fontId="11" fillId="2" borderId="0" xfId="7" applyNumberFormat="1" applyFont="1" applyFill="1" applyAlignment="1">
      <alignment vertical="center"/>
    </xf>
    <xf numFmtId="0" fontId="13" fillId="2" borderId="7" xfId="7" applyFont="1" applyFill="1" applyBorder="1" applyAlignment="1">
      <alignment vertical="center"/>
    </xf>
    <xf numFmtId="3" fontId="13" fillId="2" borderId="8" xfId="8" quotePrefix="1" applyNumberFormat="1" applyFont="1" applyFill="1" applyBorder="1" applyAlignment="1">
      <alignment horizontal="right" vertical="center"/>
    </xf>
    <xf numFmtId="3" fontId="13" fillId="2" borderId="7" xfId="8" quotePrefix="1" applyNumberFormat="1" applyFont="1" applyFill="1" applyBorder="1" applyAlignment="1">
      <alignment horizontal="right" vertical="center"/>
    </xf>
    <xf numFmtId="4" fontId="13" fillId="2" borderId="7" xfId="8" quotePrefix="1" applyNumberFormat="1" applyFont="1" applyFill="1" applyBorder="1" applyAlignment="1">
      <alignment horizontal="right" vertical="center"/>
    </xf>
    <xf numFmtId="3" fontId="11" fillId="2" borderId="11" xfId="8" quotePrefix="1" applyNumberFormat="1" applyFont="1" applyFill="1" applyBorder="1" applyAlignment="1">
      <alignment horizontal="right" vertical="center"/>
    </xf>
    <xf numFmtId="4" fontId="11" fillId="2" borderId="11" xfId="8" quotePrefix="1" applyNumberFormat="1" applyFont="1" applyFill="1" applyBorder="1" applyAlignment="1">
      <alignment horizontal="right" vertical="center"/>
    </xf>
    <xf numFmtId="164" fontId="13" fillId="2" borderId="0" xfId="1" applyNumberFormat="1" applyFont="1" applyFill="1" applyBorder="1" applyAlignment="1" applyProtection="1">
      <alignment vertical="center"/>
    </xf>
    <xf numFmtId="164" fontId="13" fillId="2" borderId="0" xfId="8" quotePrefix="1" applyNumberFormat="1" applyFont="1" applyFill="1" applyAlignment="1">
      <alignment horizontal="right" vertical="center"/>
    </xf>
    <xf numFmtId="164" fontId="13" fillId="2" borderId="2" xfId="8" quotePrefix="1" applyNumberFormat="1" applyFont="1" applyFill="1" applyBorder="1" applyAlignment="1">
      <alignment horizontal="right" vertical="center"/>
    </xf>
    <xf numFmtId="3" fontId="13" fillId="2" borderId="0" xfId="8" quotePrefix="1" applyNumberFormat="1" applyFont="1" applyFill="1" applyAlignment="1">
      <alignment horizontal="right" vertical="center"/>
    </xf>
    <xf numFmtId="4" fontId="13" fillId="2" borderId="0" xfId="8" quotePrefix="1" applyNumberFormat="1" applyFont="1" applyFill="1" applyAlignment="1">
      <alignment horizontal="right" vertical="center"/>
    </xf>
    <xf numFmtId="0" fontId="11" fillId="2" borderId="0" xfId="7" applyFont="1" applyFill="1" applyAlignment="1">
      <alignment horizontal="right" vertical="center"/>
    </xf>
    <xf numFmtId="168" fontId="13" fillId="2" borderId="0" xfId="2" applyNumberFormat="1" applyFont="1" applyFill="1" applyBorder="1" applyAlignment="1" applyProtection="1">
      <alignment vertical="center"/>
    </xf>
    <xf numFmtId="164" fontId="11" fillId="2" borderId="0" xfId="8" quotePrefix="1" applyNumberFormat="1" applyFont="1" applyFill="1" applyAlignment="1">
      <alignment horizontal="right" vertical="center"/>
    </xf>
    <xf numFmtId="164" fontId="11" fillId="2" borderId="2" xfId="8" quotePrefix="1" applyNumberFormat="1" applyFont="1" applyFill="1" applyBorder="1" applyAlignment="1">
      <alignment horizontal="right" vertical="center"/>
    </xf>
    <xf numFmtId="168" fontId="11" fillId="2" borderId="0" xfId="2" applyNumberFormat="1" applyFont="1" applyFill="1" applyBorder="1" applyAlignment="1" applyProtection="1">
      <alignment vertical="center"/>
    </xf>
    <xf numFmtId="10" fontId="13" fillId="2" borderId="0" xfId="2" quotePrefix="1" applyNumberFormat="1" applyFont="1" applyFill="1" applyBorder="1" applyAlignment="1" applyProtection="1">
      <alignment horizontal="right" vertical="center"/>
    </xf>
    <xf numFmtId="43" fontId="11" fillId="2" borderId="0" xfId="1" quotePrefix="1" applyFont="1" applyFill="1" applyBorder="1" applyAlignment="1" applyProtection="1">
      <alignment horizontal="right" vertical="center"/>
    </xf>
    <xf numFmtId="2" fontId="11" fillId="2" borderId="2" xfId="1" quotePrefix="1" applyNumberFormat="1" applyFont="1" applyFill="1" applyBorder="1" applyAlignment="1" applyProtection="1">
      <alignment horizontal="right" vertical="center"/>
    </xf>
    <xf numFmtId="4" fontId="11" fillId="2" borderId="0" xfId="1" quotePrefix="1" applyNumberFormat="1" applyFont="1" applyFill="1" applyBorder="1" applyAlignment="1" applyProtection="1">
      <alignment horizontal="right" vertical="center"/>
    </xf>
    <xf numFmtId="169" fontId="11" fillId="2" borderId="0" xfId="1" quotePrefix="1" applyNumberFormat="1" applyFont="1" applyFill="1" applyBorder="1" applyAlignment="1" applyProtection="1">
      <alignment horizontal="right" vertical="center"/>
    </xf>
    <xf numFmtId="169" fontId="11" fillId="2" borderId="0" xfId="8" quotePrefix="1" applyNumberFormat="1" applyFont="1" applyFill="1" applyAlignment="1">
      <alignment horizontal="right" vertical="center"/>
    </xf>
    <xf numFmtId="164" fontId="81" fillId="2" borderId="7" xfId="8" quotePrefix="1" applyNumberFormat="1" applyFont="1" applyFill="1" applyBorder="1" applyAlignment="1">
      <alignment horizontal="right" vertical="center"/>
    </xf>
    <xf numFmtId="164" fontId="81" fillId="2" borderId="8" xfId="8" quotePrefix="1" applyNumberFormat="1" applyFont="1" applyFill="1" applyBorder="1" applyAlignment="1">
      <alignment horizontal="right" vertical="center"/>
    </xf>
    <xf numFmtId="3" fontId="11" fillId="2" borderId="0" xfId="1" applyNumberFormat="1" applyFont="1" applyFill="1" applyBorder="1" applyAlignment="1" applyProtection="1">
      <alignment vertical="center"/>
    </xf>
    <xf numFmtId="167" fontId="27" fillId="2" borderId="0" xfId="7" applyNumberFormat="1" applyFont="1" applyFill="1" applyAlignment="1">
      <alignment vertical="center"/>
    </xf>
    <xf numFmtId="167" fontId="27" fillId="2" borderId="2" xfId="7" applyNumberFormat="1" applyFont="1" applyFill="1" applyBorder="1" applyAlignment="1">
      <alignment vertical="center"/>
    </xf>
    <xf numFmtId="4" fontId="11" fillId="2" borderId="0" xfId="7" applyNumberFormat="1" applyFont="1" applyFill="1" applyAlignment="1">
      <alignment vertical="center"/>
    </xf>
    <xf numFmtId="167" fontId="11" fillId="2" borderId="0" xfId="7" applyNumberFormat="1" applyFont="1" applyFill="1" applyAlignment="1">
      <alignment vertical="center"/>
    </xf>
    <xf numFmtId="0" fontId="27" fillId="2" borderId="0" xfId="7" applyFont="1" applyFill="1" applyAlignment="1">
      <alignment horizontal="right" vertical="center"/>
    </xf>
    <xf numFmtId="0" fontId="27" fillId="2" borderId="2" xfId="7" applyFont="1" applyFill="1" applyBorder="1" applyAlignment="1">
      <alignment horizontal="right" vertical="center"/>
    </xf>
    <xf numFmtId="0" fontId="13" fillId="2" borderId="0" xfId="0" applyFont="1" applyFill="1" applyAlignment="1">
      <alignment vertical="center" textRotation="90"/>
    </xf>
    <xf numFmtId="0" fontId="18" fillId="7" borderId="0" xfId="7" applyFont="1" applyFill="1" applyAlignment="1">
      <alignment vertical="center"/>
    </xf>
    <xf numFmtId="3" fontId="18" fillId="7" borderId="0" xfId="1" applyNumberFormat="1" applyFont="1" applyFill="1" applyBorder="1" applyAlignment="1" applyProtection="1">
      <alignment vertical="center"/>
    </xf>
    <xf numFmtId="164" fontId="27" fillId="2" borderId="0" xfId="7" applyNumberFormat="1" applyFont="1" applyFill="1" applyAlignment="1">
      <alignment horizontal="right" vertical="center"/>
    </xf>
    <xf numFmtId="164" fontId="21" fillId="2" borderId="0" xfId="7" applyNumberFormat="1" applyFont="1" applyFill="1" applyAlignment="1">
      <alignment horizontal="right" vertical="center"/>
    </xf>
    <xf numFmtId="0" fontId="24" fillId="2" borderId="0" xfId="0" applyFont="1" applyFill="1" applyAlignment="1">
      <alignment vertical="center" textRotation="90"/>
    </xf>
    <xf numFmtId="0" fontId="31" fillId="2" borderId="0" xfId="7" applyFont="1" applyFill="1" applyAlignment="1">
      <alignment vertical="center"/>
    </xf>
    <xf numFmtId="0" fontId="11" fillId="2" borderId="0" xfId="7" quotePrefix="1" applyFont="1" applyFill="1" applyAlignment="1">
      <alignment vertical="center"/>
    </xf>
    <xf numFmtId="3" fontId="11" fillId="8" borderId="0" xfId="1" applyNumberFormat="1" applyFont="1" applyFill="1" applyBorder="1" applyAlignment="1" applyProtection="1">
      <alignment vertical="center"/>
    </xf>
    <xf numFmtId="164" fontId="81" fillId="2" borderId="0" xfId="7" applyNumberFormat="1" applyFont="1" applyFill="1" applyAlignment="1">
      <alignment vertical="center"/>
    </xf>
    <xf numFmtId="0" fontId="81" fillId="2" borderId="0" xfId="7" applyFont="1" applyFill="1" applyAlignment="1">
      <alignment vertical="center"/>
    </xf>
    <xf numFmtId="0" fontId="81" fillId="2" borderId="2" xfId="7" applyFont="1" applyFill="1" applyBorder="1" applyAlignment="1">
      <alignment vertical="center"/>
    </xf>
    <xf numFmtId="164" fontId="28" fillId="2" borderId="0" xfId="0" applyNumberFormat="1" applyFont="1" applyFill="1" applyAlignment="1">
      <alignment vertical="center"/>
    </xf>
    <xf numFmtId="168" fontId="24" fillId="2" borderId="0" xfId="2" applyNumberFormat="1" applyFont="1" applyFill="1" applyBorder="1" applyAlignment="1">
      <alignment horizontal="right" vertical="center"/>
    </xf>
    <xf numFmtId="3" fontId="13" fillId="2" borderId="0" xfId="2" applyNumberFormat="1" applyFont="1" applyFill="1" applyBorder="1" applyAlignment="1">
      <alignment horizontal="center" vertical="center"/>
    </xf>
    <xf numFmtId="3" fontId="18" fillId="2" borderId="0" xfId="1" applyNumberFormat="1" applyFont="1" applyFill="1" applyBorder="1" applyAlignment="1" applyProtection="1">
      <alignment vertical="center"/>
    </xf>
    <xf numFmtId="3" fontId="10" fillId="2" borderId="0" xfId="1" applyNumberFormat="1" applyFont="1" applyFill="1" applyBorder="1" applyAlignment="1">
      <alignment horizontal="center" vertical="center"/>
    </xf>
    <xf numFmtId="169" fontId="11" fillId="2" borderId="0" xfId="1" applyNumberFormat="1" applyFont="1" applyFill="1" applyBorder="1" applyAlignment="1" applyProtection="1">
      <alignment vertical="center"/>
    </xf>
    <xf numFmtId="170" fontId="27" fillId="2" borderId="0" xfId="7" applyNumberFormat="1" applyFont="1" applyFill="1" applyAlignment="1">
      <alignment horizontal="right" vertical="center"/>
    </xf>
    <xf numFmtId="0" fontId="18" fillId="27" borderId="0" xfId="7" applyFont="1" applyFill="1" applyAlignment="1">
      <alignment vertical="center"/>
    </xf>
    <xf numFmtId="3" fontId="18" fillId="27" borderId="0" xfId="1" applyNumberFormat="1" applyFont="1" applyFill="1" applyBorder="1" applyAlignment="1" applyProtection="1">
      <alignment vertical="center"/>
    </xf>
    <xf numFmtId="164" fontId="81" fillId="2" borderId="0" xfId="1" applyNumberFormat="1" applyFont="1" applyFill="1" applyBorder="1" applyAlignment="1" applyProtection="1">
      <alignment vertical="center"/>
    </xf>
    <xf numFmtId="3" fontId="21" fillId="2" borderId="0" xfId="7" applyNumberFormat="1" applyFont="1" applyFill="1" applyAlignment="1">
      <alignment vertical="center"/>
    </xf>
    <xf numFmtId="167" fontId="21" fillId="2" borderId="0" xfId="7" applyNumberFormat="1" applyFont="1" applyFill="1" applyAlignment="1">
      <alignment vertical="center"/>
    </xf>
    <xf numFmtId="0" fontId="18" fillId="7" borderId="57" xfId="7" applyFont="1" applyFill="1" applyBorder="1" applyAlignment="1">
      <alignment vertical="center"/>
    </xf>
    <xf numFmtId="0" fontId="31" fillId="2" borderId="14" xfId="7" applyFont="1" applyFill="1" applyBorder="1" applyAlignment="1">
      <alignment vertical="center"/>
    </xf>
    <xf numFmtId="0" fontId="31" fillId="2" borderId="14" xfId="7" applyFont="1" applyFill="1" applyBorder="1" applyAlignment="1">
      <alignment horizontal="right" vertical="center"/>
    </xf>
    <xf numFmtId="0" fontId="31" fillId="2" borderId="52" xfId="7" applyFont="1" applyFill="1" applyBorder="1" applyAlignment="1">
      <alignment horizontal="right" vertical="center"/>
    </xf>
    <xf numFmtId="0" fontId="13" fillId="2" borderId="58" xfId="7" applyFont="1" applyFill="1" applyBorder="1" applyAlignment="1">
      <alignment vertical="center"/>
    </xf>
    <xf numFmtId="10" fontId="13" fillId="2" borderId="0" xfId="7" applyNumberFormat="1" applyFont="1" applyFill="1" applyAlignment="1">
      <alignment vertical="center"/>
    </xf>
    <xf numFmtId="0" fontId="11" fillId="2" borderId="2" xfId="7" applyFont="1" applyFill="1" applyBorder="1" applyAlignment="1">
      <alignment horizontal="right" vertical="center"/>
    </xf>
    <xf numFmtId="0" fontId="13" fillId="2" borderId="0" xfId="7" applyFont="1" applyFill="1" applyAlignment="1">
      <alignment horizontal="right" vertical="center"/>
    </xf>
    <xf numFmtId="2" fontId="13" fillId="2" borderId="0" xfId="7" applyNumberFormat="1" applyFont="1" applyFill="1" applyAlignment="1">
      <alignment vertical="center"/>
    </xf>
    <xf numFmtId="10" fontId="13" fillId="2" borderId="0" xfId="2" applyNumberFormat="1" applyFont="1" applyFill="1" applyBorder="1" applyAlignment="1" applyProtection="1">
      <alignment vertical="center"/>
    </xf>
    <xf numFmtId="0" fontId="11" fillId="2" borderId="58" xfId="7" applyFont="1" applyFill="1" applyBorder="1" applyAlignment="1">
      <alignment vertical="center"/>
    </xf>
    <xf numFmtId="2" fontId="11" fillId="2" borderId="0" xfId="7" applyNumberFormat="1" applyFont="1" applyFill="1" applyAlignment="1">
      <alignment horizontal="right" vertical="center"/>
    </xf>
    <xf numFmtId="43" fontId="11" fillId="2" borderId="0" xfId="1" applyFont="1" applyFill="1" applyBorder="1" applyAlignment="1" applyProtection="1">
      <alignment horizontal="right" vertical="center"/>
    </xf>
    <xf numFmtId="9" fontId="11" fillId="2" borderId="0" xfId="7" applyNumberFormat="1" applyFont="1" applyFill="1" applyAlignment="1">
      <alignment vertical="center"/>
    </xf>
    <xf numFmtId="10" fontId="11" fillId="2" borderId="0" xfId="7" applyNumberFormat="1" applyFont="1" applyFill="1" applyAlignment="1">
      <alignment vertical="center"/>
    </xf>
    <xf numFmtId="10" fontId="13" fillId="2" borderId="0" xfId="2" applyNumberFormat="1" applyFont="1" applyFill="1" applyBorder="1" applyAlignment="1" applyProtection="1">
      <alignment horizontal="right" vertical="center"/>
    </xf>
    <xf numFmtId="168" fontId="13" fillId="2" borderId="2" xfId="2" applyNumberFormat="1" applyFont="1" applyFill="1" applyBorder="1" applyAlignment="1" applyProtection="1">
      <alignment horizontal="right" vertical="center"/>
    </xf>
    <xf numFmtId="168" fontId="13" fillId="2" borderId="0" xfId="2" applyNumberFormat="1" applyFont="1" applyFill="1" applyBorder="1" applyAlignment="1" applyProtection="1">
      <alignment horizontal="right" vertical="center"/>
    </xf>
    <xf numFmtId="168" fontId="11" fillId="2" borderId="0" xfId="2" applyNumberFormat="1" applyFont="1" applyFill="1" applyBorder="1" applyAlignment="1" applyProtection="1">
      <alignment horizontal="right" vertical="center"/>
    </xf>
    <xf numFmtId="168" fontId="11" fillId="2" borderId="2" xfId="2" applyNumberFormat="1" applyFont="1" applyFill="1" applyBorder="1" applyAlignment="1" applyProtection="1">
      <alignment horizontal="right" vertical="center"/>
    </xf>
    <xf numFmtId="10" fontId="11" fillId="2" borderId="0" xfId="2" applyNumberFormat="1" applyFont="1" applyFill="1" applyBorder="1" applyAlignment="1" applyProtection="1">
      <alignment horizontal="right" vertical="center"/>
    </xf>
    <xf numFmtId="2" fontId="11" fillId="2" borderId="2" xfId="7" applyNumberFormat="1" applyFont="1" applyFill="1" applyBorder="1" applyAlignment="1">
      <alignment horizontal="right" vertical="center"/>
    </xf>
    <xf numFmtId="9" fontId="11" fillId="2" borderId="0" xfId="2" applyFont="1" applyFill="1" applyBorder="1" applyAlignment="1" applyProtection="1">
      <alignment horizontal="right" vertical="center"/>
    </xf>
    <xf numFmtId="0" fontId="13" fillId="2" borderId="12" xfId="7" applyFont="1" applyFill="1" applyBorder="1" applyAlignment="1">
      <alignment vertical="center"/>
    </xf>
    <xf numFmtId="0" fontId="13" fillId="2" borderId="12" xfId="7" applyFont="1" applyFill="1" applyBorder="1" applyAlignment="1">
      <alignment horizontal="right" vertical="center"/>
    </xf>
    <xf numFmtId="168" fontId="13" fillId="2" borderId="12" xfId="2" applyNumberFormat="1" applyFont="1" applyFill="1" applyBorder="1" applyAlignment="1" applyProtection="1">
      <alignment horizontal="right" vertical="center"/>
    </xf>
    <xf numFmtId="168" fontId="13" fillId="2" borderId="13" xfId="2" applyNumberFormat="1" applyFont="1" applyFill="1" applyBorder="1" applyAlignment="1" applyProtection="1">
      <alignment horizontal="right" vertical="center"/>
    </xf>
    <xf numFmtId="10" fontId="13" fillId="2" borderId="12" xfId="2" applyNumberFormat="1" applyFont="1" applyFill="1" applyBorder="1" applyAlignment="1" applyProtection="1">
      <alignment horizontal="right" vertical="center"/>
    </xf>
    <xf numFmtId="43" fontId="13" fillId="2" borderId="0" xfId="1" applyFont="1" applyFill="1" applyBorder="1" applyAlignment="1" applyProtection="1">
      <alignment horizontal="right" vertical="center"/>
    </xf>
    <xf numFmtId="0" fontId="13" fillId="2" borderId="2" xfId="7" applyFont="1" applyFill="1" applyBorder="1" applyAlignment="1">
      <alignment horizontal="right" vertical="center"/>
    </xf>
    <xf numFmtId="10" fontId="31" fillId="2" borderId="0" xfId="7" applyNumberFormat="1" applyFont="1" applyFill="1" applyAlignment="1">
      <alignment vertical="center"/>
    </xf>
    <xf numFmtId="0" fontId="31" fillId="2" borderId="0" xfId="7" applyFont="1" applyFill="1" applyAlignment="1">
      <alignment horizontal="right" vertical="center"/>
    </xf>
    <xf numFmtId="43" fontId="31" fillId="2" borderId="0" xfId="1" applyFont="1" applyFill="1" applyBorder="1" applyAlignment="1" applyProtection="1">
      <alignment horizontal="right" vertical="center"/>
    </xf>
    <xf numFmtId="0" fontId="31" fillId="2" borderId="2" xfId="7" applyFont="1" applyFill="1" applyBorder="1" applyAlignment="1">
      <alignment horizontal="right" vertical="center"/>
    </xf>
    <xf numFmtId="0" fontId="18" fillId="10" borderId="11" xfId="7" applyFont="1" applyFill="1" applyBorder="1" applyAlignment="1">
      <alignment horizontal="left" vertical="center"/>
    </xf>
    <xf numFmtId="165" fontId="18" fillId="10" borderId="11" xfId="7" applyNumberFormat="1" applyFont="1" applyFill="1" applyBorder="1" applyAlignment="1">
      <alignment horizontal="right" vertical="center"/>
    </xf>
    <xf numFmtId="165" fontId="18" fillId="10" borderId="6" xfId="7" applyNumberFormat="1" applyFont="1" applyFill="1" applyBorder="1" applyAlignment="1">
      <alignment horizontal="right" vertical="center"/>
    </xf>
    <xf numFmtId="0" fontId="21" fillId="31" borderId="0" xfId="7" applyFont="1" applyFill="1" applyAlignment="1">
      <alignment vertical="center"/>
    </xf>
    <xf numFmtId="3" fontId="11" fillId="2" borderId="0" xfId="7" applyNumberFormat="1" applyFont="1" applyFill="1" applyAlignment="1">
      <alignment vertical="center"/>
    </xf>
    <xf numFmtId="168" fontId="13" fillId="2" borderId="19" xfId="2" applyNumberFormat="1" applyFont="1" applyFill="1" applyBorder="1" applyAlignment="1">
      <alignment horizontal="right" vertical="center"/>
    </xf>
    <xf numFmtId="168" fontId="13" fillId="2" borderId="15" xfId="2" applyNumberFormat="1" applyFont="1" applyFill="1" applyBorder="1" applyAlignment="1">
      <alignment horizontal="right" vertical="center"/>
    </xf>
    <xf numFmtId="4" fontId="10" fillId="2" borderId="0" xfId="0" applyNumberFormat="1" applyFont="1" applyFill="1" applyAlignment="1">
      <alignment vertical="center"/>
    </xf>
    <xf numFmtId="3" fontId="10" fillId="2" borderId="0" xfId="0" applyNumberFormat="1" applyFont="1" applyFill="1" applyAlignment="1">
      <alignment vertical="center"/>
    </xf>
    <xf numFmtId="164" fontId="13" fillId="2" borderId="7" xfId="8" quotePrefix="1" applyNumberFormat="1" applyFont="1" applyFill="1" applyBorder="1" applyAlignment="1">
      <alignment horizontal="right" vertical="center"/>
    </xf>
    <xf numFmtId="164" fontId="13" fillId="2" borderId="8" xfId="8" quotePrefix="1" applyNumberFormat="1" applyFont="1" applyFill="1" applyBorder="1" applyAlignment="1">
      <alignment horizontal="right" vertical="center"/>
    </xf>
    <xf numFmtId="43" fontId="11" fillId="2" borderId="2" xfId="1" quotePrefix="1" applyFont="1" applyFill="1" applyBorder="1" applyAlignment="1" applyProtection="1">
      <alignment horizontal="right" vertical="center"/>
    </xf>
    <xf numFmtId="3" fontId="10" fillId="0" borderId="0" xfId="0" applyNumberFormat="1" applyFont="1" applyAlignment="1">
      <alignment vertical="center"/>
    </xf>
    <xf numFmtId="4" fontId="11" fillId="2" borderId="0" xfId="7" applyNumberFormat="1" applyFont="1" applyFill="1" applyAlignment="1">
      <alignment horizontal="right" vertical="center"/>
    </xf>
    <xf numFmtId="4" fontId="21" fillId="2" borderId="0" xfId="7" applyNumberFormat="1" applyFont="1" applyFill="1" applyAlignment="1">
      <alignment horizontal="right" vertical="center"/>
    </xf>
    <xf numFmtId="3" fontId="21" fillId="2" borderId="0" xfId="7" applyNumberFormat="1" applyFont="1" applyFill="1" applyAlignment="1">
      <alignment horizontal="right" vertical="center"/>
    </xf>
    <xf numFmtId="3" fontId="21" fillId="2" borderId="0" xfId="8" quotePrefix="1" applyNumberFormat="1" applyFont="1" applyFill="1" applyAlignment="1">
      <alignment horizontal="right" vertical="center"/>
    </xf>
    <xf numFmtId="3" fontId="21" fillId="2" borderId="2" xfId="8" quotePrefix="1" applyNumberFormat="1" applyFont="1" applyFill="1" applyBorder="1" applyAlignment="1">
      <alignment horizontal="right" vertical="center"/>
    </xf>
    <xf numFmtId="0" fontId="21" fillId="2" borderId="2" xfId="7" applyFont="1" applyFill="1" applyBorder="1" applyAlignment="1">
      <alignment vertical="center"/>
    </xf>
    <xf numFmtId="0" fontId="21" fillId="32" borderId="0" xfId="7" applyFont="1" applyFill="1" applyAlignment="1">
      <alignment horizontal="right" vertical="center"/>
    </xf>
    <xf numFmtId="0" fontId="82" fillId="32" borderId="0" xfId="7" applyFont="1" applyFill="1" applyAlignment="1">
      <alignment horizontal="right" vertical="center"/>
    </xf>
    <xf numFmtId="9" fontId="16" fillId="22" borderId="0" xfId="2" applyFont="1" applyFill="1" applyBorder="1"/>
    <xf numFmtId="167" fontId="12" fillId="22" borderId="0" xfId="0" applyNumberFormat="1" applyFont="1" applyFill="1"/>
    <xf numFmtId="9" fontId="29" fillId="22" borderId="0" xfId="2" applyFont="1" applyFill="1" applyBorder="1" applyAlignment="1">
      <alignment vertical="center" wrapText="1"/>
    </xf>
    <xf numFmtId="9" fontId="29" fillId="22" borderId="0" xfId="2" applyFont="1" applyFill="1" applyBorder="1" applyAlignment="1">
      <alignment vertical="center"/>
    </xf>
    <xf numFmtId="9" fontId="29" fillId="22" borderId="11" xfId="2" applyFont="1" applyFill="1" applyBorder="1" applyAlignment="1">
      <alignment vertical="center"/>
    </xf>
    <xf numFmtId="0" fontId="26" fillId="2" borderId="0" xfId="0" applyFont="1" applyFill="1" applyAlignment="1">
      <alignment horizontal="center"/>
    </xf>
    <xf numFmtId="0" fontId="21" fillId="2" borderId="19" xfId="0" applyFont="1" applyFill="1" applyBorder="1"/>
    <xf numFmtId="0" fontId="21" fillId="2" borderId="7" xfId="0" applyFont="1" applyFill="1" applyBorder="1"/>
    <xf numFmtId="0" fontId="21" fillId="2" borderId="8" xfId="0" applyFont="1" applyFill="1" applyBorder="1"/>
    <xf numFmtId="0" fontId="21" fillId="2" borderId="15" xfId="0" applyFont="1" applyFill="1" applyBorder="1" applyAlignment="1">
      <alignment vertical="center"/>
    </xf>
    <xf numFmtId="0" fontId="21" fillId="2" borderId="2" xfId="0" applyFont="1" applyFill="1" applyBorder="1" applyAlignment="1">
      <alignment vertical="center"/>
    </xf>
    <xf numFmtId="0" fontId="18" fillId="2" borderId="0" xfId="0" applyFont="1" applyFill="1" applyAlignment="1">
      <alignment horizontal="center" vertical="center" wrapText="1"/>
    </xf>
    <xf numFmtId="0" fontId="18" fillId="10" borderId="0" xfId="7" applyFont="1" applyFill="1" applyAlignment="1">
      <alignment horizontal="center" vertical="center"/>
    </xf>
    <xf numFmtId="0" fontId="21" fillId="2" borderId="15" xfId="0" applyFont="1" applyFill="1" applyBorder="1"/>
    <xf numFmtId="0" fontId="18" fillId="2" borderId="0" xfId="0" applyFont="1" applyFill="1" applyAlignment="1">
      <alignment horizontal="center"/>
    </xf>
    <xf numFmtId="0" fontId="21" fillId="2" borderId="2" xfId="0" applyFont="1" applyFill="1" applyBorder="1"/>
    <xf numFmtId="168" fontId="13" fillId="2" borderId="0" xfId="2" quotePrefix="1" applyNumberFormat="1" applyFont="1" applyFill="1" applyBorder="1" applyAlignment="1" applyProtection="1">
      <alignment horizontal="right" vertical="center"/>
    </xf>
    <xf numFmtId="14" fontId="11" fillId="2" borderId="0" xfId="0" applyNumberFormat="1" applyFont="1" applyFill="1" applyAlignment="1">
      <alignment horizontal="left"/>
    </xf>
    <xf numFmtId="0" fontId="31" fillId="2" borderId="15" xfId="0" applyFont="1" applyFill="1" applyBorder="1"/>
    <xf numFmtId="3" fontId="11" fillId="2" borderId="0" xfId="2" quotePrefix="1" applyNumberFormat="1" applyFont="1" applyFill="1" applyBorder="1" applyAlignment="1" applyProtection="1">
      <alignment horizontal="right" vertical="center"/>
    </xf>
    <xf numFmtId="0" fontId="31" fillId="2" borderId="2" xfId="0" applyFont="1" applyFill="1" applyBorder="1"/>
    <xf numFmtId="10" fontId="84" fillId="33" borderId="56" xfId="0" applyNumberFormat="1" applyFont="1" applyFill="1" applyBorder="1"/>
    <xf numFmtId="10" fontId="84" fillId="2" borderId="0" xfId="0" applyNumberFormat="1" applyFont="1" applyFill="1"/>
    <xf numFmtId="9" fontId="84" fillId="33" borderId="56" xfId="0" applyNumberFormat="1" applyFont="1" applyFill="1" applyBorder="1"/>
    <xf numFmtId="164" fontId="11" fillId="8" borderId="56" xfId="5" applyNumberFormat="1" applyFont="1" applyFill="1" applyBorder="1"/>
    <xf numFmtId="172" fontId="84" fillId="33" borderId="56" xfId="4" applyFont="1" applyFill="1" applyBorder="1"/>
    <xf numFmtId="172" fontId="84" fillId="2" borderId="0" xfId="4" applyFont="1" applyFill="1" applyBorder="1"/>
    <xf numFmtId="10" fontId="11" fillId="33" borderId="56" xfId="9" applyNumberFormat="1" applyFont="1" applyFill="1" applyBorder="1"/>
    <xf numFmtId="0" fontId="11" fillId="2" borderId="0" xfId="7" applyFont="1" applyFill="1" applyAlignment="1">
      <alignment horizontal="left" vertical="center"/>
    </xf>
    <xf numFmtId="168" fontId="11" fillId="2" borderId="0" xfId="2" quotePrefix="1" applyNumberFormat="1" applyFont="1" applyFill="1" applyBorder="1" applyAlignment="1" applyProtection="1">
      <alignment horizontal="right" vertical="center"/>
    </xf>
    <xf numFmtId="0" fontId="84" fillId="2" borderId="0" xfId="0" applyFont="1" applyFill="1"/>
    <xf numFmtId="43" fontId="11" fillId="33" borderId="56" xfId="1" applyFont="1" applyFill="1" applyBorder="1"/>
    <xf numFmtId="0" fontId="13" fillId="6" borderId="2" xfId="0" applyFont="1" applyFill="1" applyBorder="1" applyAlignment="1">
      <alignment horizontal="left"/>
    </xf>
    <xf numFmtId="10" fontId="13" fillId="33" borderId="56" xfId="9" applyNumberFormat="1" applyFont="1" applyFill="1" applyBorder="1"/>
    <xf numFmtId="3" fontId="13" fillId="2" borderId="0" xfId="2" quotePrefix="1" applyNumberFormat="1" applyFont="1" applyFill="1" applyBorder="1" applyAlignment="1" applyProtection="1">
      <alignment horizontal="right" vertical="center"/>
    </xf>
    <xf numFmtId="0" fontId="13" fillId="2" borderId="0" xfId="7" applyFont="1" applyFill="1" applyAlignment="1">
      <alignment horizontal="left" vertical="center"/>
    </xf>
    <xf numFmtId="0" fontId="5" fillId="2" borderId="11" xfId="0" applyFont="1" applyFill="1" applyBorder="1"/>
    <xf numFmtId="172" fontId="5" fillId="2" borderId="11" xfId="4" applyFont="1" applyFill="1" applyBorder="1"/>
    <xf numFmtId="3" fontId="18" fillId="24" borderId="0" xfId="1" quotePrefix="1" applyNumberFormat="1" applyFont="1" applyFill="1" applyBorder="1" applyAlignment="1" applyProtection="1">
      <alignment horizontal="right" vertical="center"/>
    </xf>
    <xf numFmtId="10" fontId="11" fillId="8" borderId="56" xfId="9" applyNumberFormat="1" applyFont="1" applyFill="1" applyBorder="1"/>
    <xf numFmtId="0" fontId="86" fillId="2" borderId="0" xfId="7" applyFont="1" applyFill="1" applyAlignment="1">
      <alignment vertical="center"/>
    </xf>
    <xf numFmtId="3" fontId="86" fillId="2" borderId="0" xfId="1" applyNumberFormat="1" applyFont="1" applyFill="1" applyBorder="1" applyAlignment="1" applyProtection="1">
      <alignment vertical="center"/>
    </xf>
    <xf numFmtId="10" fontId="11" fillId="2" borderId="0" xfId="0" applyNumberFormat="1" applyFont="1" applyFill="1"/>
    <xf numFmtId="0" fontId="81" fillId="2" borderId="11" xfId="7" applyFont="1" applyFill="1" applyBorder="1" applyAlignment="1">
      <alignment vertical="center"/>
    </xf>
    <xf numFmtId="168" fontId="81" fillId="2" borderId="11" xfId="2" applyNumberFormat="1" applyFont="1" applyFill="1" applyBorder="1" applyAlignment="1" applyProtection="1">
      <alignment vertical="center"/>
    </xf>
    <xf numFmtId="10" fontId="11" fillId="33" borderId="56" xfId="9" applyNumberFormat="1" applyFont="1" applyFill="1" applyBorder="1" applyAlignment="1">
      <alignment vertical="center"/>
    </xf>
    <xf numFmtId="14" fontId="11" fillId="2" borderId="0" xfId="0" applyNumberFormat="1" applyFont="1" applyFill="1" applyAlignment="1">
      <alignment horizontal="left" vertical="center"/>
    </xf>
    <xf numFmtId="0" fontId="87" fillId="10" borderId="0" xfId="0" applyFont="1" applyFill="1" applyAlignment="1">
      <alignment vertical="center"/>
    </xf>
    <xf numFmtId="0" fontId="18" fillId="10" borderId="0" xfId="0" applyFont="1" applyFill="1" applyAlignment="1">
      <alignment horizontal="right" vertical="center"/>
    </xf>
    <xf numFmtId="0" fontId="18" fillId="10" borderId="0" xfId="0" applyFont="1" applyFill="1" applyAlignment="1">
      <alignment horizontal="right" vertical="center" wrapText="1"/>
    </xf>
    <xf numFmtId="10" fontId="11" fillId="8" borderId="56" xfId="5" applyNumberFormat="1" applyFont="1" applyFill="1" applyBorder="1"/>
    <xf numFmtId="9" fontId="11" fillId="2" borderId="0" xfId="0" applyNumberFormat="1" applyFont="1" applyFill="1"/>
    <xf numFmtId="164" fontId="11" fillId="2" borderId="0" xfId="0" applyNumberFormat="1" applyFont="1" applyFill="1"/>
    <xf numFmtId="0" fontId="18" fillId="24" borderId="0" xfId="0" applyFont="1" applyFill="1"/>
    <xf numFmtId="164" fontId="18" fillId="24" borderId="0" xfId="0" applyNumberFormat="1" applyFont="1" applyFill="1"/>
    <xf numFmtId="0" fontId="27" fillId="10" borderId="0" xfId="0" applyFont="1" applyFill="1"/>
    <xf numFmtId="0" fontId="27" fillId="10" borderId="0" xfId="0" applyFont="1" applyFill="1" applyAlignment="1">
      <alignment vertical="center"/>
    </xf>
    <xf numFmtId="0" fontId="21" fillId="2" borderId="20" xfId="0" applyFont="1" applyFill="1" applyBorder="1"/>
    <xf numFmtId="0" fontId="11" fillId="2" borderId="11" xfId="0" applyFont="1" applyFill="1" applyBorder="1"/>
    <xf numFmtId="0" fontId="11" fillId="2" borderId="6" xfId="0" applyFont="1" applyFill="1" applyBorder="1"/>
    <xf numFmtId="0" fontId="21" fillId="24" borderId="0" xfId="0" applyFont="1" applyFill="1"/>
    <xf numFmtId="168" fontId="18" fillId="24" borderId="0" xfId="2" applyNumberFormat="1" applyFont="1" applyFill="1" applyBorder="1"/>
    <xf numFmtId="0" fontId="21" fillId="2" borderId="11" xfId="0" applyFont="1" applyFill="1" applyBorder="1"/>
    <xf numFmtId="0" fontId="21" fillId="2" borderId="6" xfId="0" applyFont="1" applyFill="1" applyBorder="1"/>
    <xf numFmtId="168" fontId="81" fillId="2" borderId="0" xfId="2" applyNumberFormat="1" applyFont="1" applyFill="1" applyBorder="1" applyAlignment="1" applyProtection="1"/>
    <xf numFmtId="0" fontId="81" fillId="2" borderId="0" xfId="0" applyFont="1" applyFill="1"/>
    <xf numFmtId="165" fontId="21" fillId="2" borderId="0" xfId="7" applyNumberFormat="1" applyFont="1" applyFill="1" applyAlignment="1">
      <alignment horizontal="right" vertical="center"/>
    </xf>
    <xf numFmtId="0" fontId="11" fillId="0" borderId="0" xfId="0" applyFont="1"/>
    <xf numFmtId="0" fontId="11" fillId="0" borderId="0" xfId="0" applyFont="1" applyAlignment="1">
      <alignment horizontal="center"/>
    </xf>
    <xf numFmtId="0" fontId="11" fillId="0" borderId="0" xfId="10" applyFont="1"/>
    <xf numFmtId="0" fontId="13" fillId="0" borderId="0" xfId="10" applyFont="1" applyAlignment="1">
      <alignment horizontal="right"/>
    </xf>
    <xf numFmtId="0" fontId="18" fillId="0" borderId="0" xfId="10" applyFont="1" applyAlignment="1">
      <alignment horizontal="right"/>
    </xf>
    <xf numFmtId="0" fontId="13" fillId="2" borderId="0" xfId="10" applyFont="1" applyFill="1" applyAlignment="1">
      <alignment horizontal="right"/>
    </xf>
    <xf numFmtId="0" fontId="13" fillId="2" borderId="2" xfId="10" applyFont="1" applyFill="1" applyBorder="1" applyAlignment="1">
      <alignment horizontal="right"/>
    </xf>
    <xf numFmtId="0" fontId="13" fillId="6" borderId="0" xfId="10" applyFont="1" applyFill="1" applyAlignment="1">
      <alignment horizontal="right"/>
    </xf>
    <xf numFmtId="0" fontId="13" fillId="0" borderId="0" xfId="10" applyFont="1"/>
    <xf numFmtId="0" fontId="13" fillId="2" borderId="4" xfId="10" applyFont="1" applyFill="1" applyBorder="1"/>
    <xf numFmtId="0" fontId="11" fillId="0" borderId="2" xfId="0" applyFont="1" applyBorder="1"/>
    <xf numFmtId="0" fontId="13" fillId="2" borderId="12" xfId="0" applyFont="1" applyFill="1" applyBorder="1"/>
    <xf numFmtId="0" fontId="11" fillId="0" borderId="12" xfId="0" applyFont="1" applyBorder="1"/>
    <xf numFmtId="164" fontId="11" fillId="0" borderId="12" xfId="0" applyNumberFormat="1" applyFont="1" applyBorder="1"/>
    <xf numFmtId="164" fontId="11" fillId="0" borderId="13" xfId="0" applyNumberFormat="1" applyFont="1" applyBorder="1"/>
    <xf numFmtId="164" fontId="11" fillId="0" borderId="0" xfId="0" applyNumberFormat="1" applyFont="1"/>
    <xf numFmtId="43" fontId="11" fillId="0" borderId="0" xfId="0" applyNumberFormat="1" applyFont="1"/>
    <xf numFmtId="183" fontId="11" fillId="0" borderId="0" xfId="0" applyNumberFormat="1" applyFont="1"/>
    <xf numFmtId="177" fontId="11" fillId="0" borderId="0" xfId="0" applyNumberFormat="1" applyFont="1"/>
    <xf numFmtId="0" fontId="39" fillId="0" borderId="0" xfId="0" applyFont="1"/>
    <xf numFmtId="0" fontId="41" fillId="0" borderId="0" xfId="0" applyFont="1"/>
    <xf numFmtId="168" fontId="41" fillId="0" borderId="0" xfId="2" applyNumberFormat="1" applyFont="1" applyFill="1" applyBorder="1"/>
    <xf numFmtId="164" fontId="41" fillId="0" borderId="0" xfId="0" applyNumberFormat="1" applyFont="1"/>
    <xf numFmtId="3" fontId="11" fillId="0" borderId="0" xfId="0" applyNumberFormat="1" applyFont="1"/>
    <xf numFmtId="4" fontId="11" fillId="0" borderId="0" xfId="0" applyNumberFormat="1" applyFont="1"/>
    <xf numFmtId="168" fontId="41" fillId="0" borderId="0" xfId="2" applyNumberFormat="1" applyFont="1" applyFill="1" applyBorder="1" applyAlignment="1"/>
    <xf numFmtId="10" fontId="41" fillId="0" borderId="0" xfId="2" applyNumberFormat="1" applyFont="1" applyFill="1" applyBorder="1"/>
    <xf numFmtId="183" fontId="11" fillId="0" borderId="0" xfId="2" applyNumberFormat="1" applyFont="1" applyFill="1" applyBorder="1" applyAlignment="1"/>
    <xf numFmtId="177" fontId="11" fillId="0" borderId="0" xfId="2" applyNumberFormat="1" applyFont="1" applyFill="1" applyBorder="1" applyAlignment="1"/>
    <xf numFmtId="0" fontId="9" fillId="2" borderId="0" xfId="7" applyFont="1" applyFill="1"/>
    <xf numFmtId="3" fontId="41" fillId="0" borderId="0" xfId="0" applyNumberFormat="1" applyFont="1"/>
    <xf numFmtId="3" fontId="41" fillId="2" borderId="0" xfId="0" applyNumberFormat="1" applyFont="1" applyFill="1" applyAlignment="1">
      <alignment horizontal="left" indent="2"/>
    </xf>
    <xf numFmtId="3" fontId="41" fillId="0" borderId="0" xfId="1" applyNumberFormat="1" applyFont="1" applyFill="1" applyBorder="1"/>
    <xf numFmtId="3" fontId="41" fillId="0" borderId="0" xfId="2" applyNumberFormat="1" applyFont="1" applyFill="1" applyBorder="1"/>
    <xf numFmtId="4" fontId="41" fillId="0" borderId="0" xfId="1" applyNumberFormat="1" applyFont="1" applyFill="1" applyBorder="1"/>
    <xf numFmtId="183" fontId="11" fillId="0" borderId="0" xfId="1" applyNumberFormat="1" applyFont="1" applyFill="1" applyBorder="1"/>
    <xf numFmtId="177" fontId="11" fillId="0" borderId="0" xfId="1" applyNumberFormat="1" applyFont="1" applyFill="1" applyBorder="1"/>
    <xf numFmtId="177" fontId="11" fillId="0" borderId="2" xfId="1" applyNumberFormat="1" applyFont="1" applyFill="1" applyBorder="1"/>
    <xf numFmtId="164" fontId="11" fillId="0" borderId="0" xfId="1" applyNumberFormat="1" applyFont="1" applyFill="1" applyBorder="1"/>
    <xf numFmtId="168" fontId="11" fillId="0" borderId="0" xfId="2" applyNumberFormat="1" applyFont="1" applyFill="1" applyBorder="1"/>
    <xf numFmtId="164" fontId="11" fillId="0" borderId="2" xfId="0" applyNumberFormat="1" applyFont="1" applyBorder="1"/>
    <xf numFmtId="43" fontId="11" fillId="0" borderId="12" xfId="0" applyNumberFormat="1" applyFont="1" applyBorder="1"/>
    <xf numFmtId="10" fontId="11" fillId="0" borderId="0" xfId="2" applyNumberFormat="1" applyFont="1" applyFill="1" applyBorder="1"/>
    <xf numFmtId="9" fontId="11" fillId="0" borderId="0" xfId="2" applyFont="1" applyFill="1" applyBorder="1"/>
    <xf numFmtId="183" fontId="11" fillId="0" borderId="0" xfId="2" applyNumberFormat="1" applyFont="1" applyFill="1" applyBorder="1"/>
    <xf numFmtId="177" fontId="11" fillId="0" borderId="0" xfId="2" applyNumberFormat="1" applyFont="1" applyFill="1" applyBorder="1"/>
    <xf numFmtId="168" fontId="11" fillId="0" borderId="2" xfId="2" applyNumberFormat="1" applyFont="1" applyFill="1" applyBorder="1"/>
    <xf numFmtId="168" fontId="11" fillId="0" borderId="12" xfId="2" applyNumberFormat="1" applyFont="1" applyFill="1" applyBorder="1"/>
    <xf numFmtId="168" fontId="11" fillId="0" borderId="13" xfId="2" applyNumberFormat="1" applyFont="1" applyFill="1" applyBorder="1"/>
    <xf numFmtId="170" fontId="11" fillId="0" borderId="0" xfId="2" applyNumberFormat="1" applyFont="1" applyFill="1" applyBorder="1"/>
    <xf numFmtId="176" fontId="11" fillId="0" borderId="0" xfId="4" applyNumberFormat="1" applyFont="1" applyFill="1" applyBorder="1"/>
    <xf numFmtId="177" fontId="11" fillId="0" borderId="0" xfId="4" applyNumberFormat="1" applyFont="1" applyFill="1" applyBorder="1"/>
    <xf numFmtId="184" fontId="11" fillId="0" borderId="0" xfId="4" applyNumberFormat="1" applyFont="1" applyFill="1" applyBorder="1"/>
    <xf numFmtId="176" fontId="11" fillId="0" borderId="0" xfId="1" applyNumberFormat="1" applyFont="1" applyFill="1" applyBorder="1"/>
    <xf numFmtId="170" fontId="11" fillId="0" borderId="0" xfId="1" applyNumberFormat="1" applyFont="1" applyFill="1" applyBorder="1"/>
    <xf numFmtId="164" fontId="11" fillId="0" borderId="0" xfId="2" applyNumberFormat="1" applyFont="1" applyFill="1" applyBorder="1"/>
    <xf numFmtId="176" fontId="11" fillId="0" borderId="0" xfId="2" applyNumberFormat="1" applyFont="1" applyFill="1" applyBorder="1"/>
    <xf numFmtId="168" fontId="12" fillId="2" borderId="0" xfId="2" applyNumberFormat="1" applyFont="1" applyFill="1" applyBorder="1"/>
    <xf numFmtId="164" fontId="11" fillId="0" borderId="0" xfId="4" applyNumberFormat="1" applyFont="1" applyFill="1" applyBorder="1"/>
    <xf numFmtId="0" fontId="6" fillId="2" borderId="0" xfId="0" applyFont="1" applyFill="1" applyAlignment="1">
      <alignment horizontal="left" indent="3"/>
    </xf>
    <xf numFmtId="183" fontId="11" fillId="2" borderId="0" xfId="1" applyNumberFormat="1" applyFont="1" applyFill="1" applyBorder="1"/>
    <xf numFmtId="0" fontId="6" fillId="2" borderId="11" xfId="0" applyFont="1" applyFill="1" applyBorder="1" applyAlignment="1">
      <alignment horizontal="left" indent="3"/>
    </xf>
    <xf numFmtId="0" fontId="11" fillId="0" borderId="11" xfId="0" applyFont="1" applyBorder="1"/>
    <xf numFmtId="183" fontId="11" fillId="0" borderId="11" xfId="1" applyNumberFormat="1" applyFont="1" applyFill="1" applyBorder="1"/>
    <xf numFmtId="183" fontId="11" fillId="0" borderId="6" xfId="1" applyNumberFormat="1" applyFont="1" applyFill="1" applyBorder="1"/>
    <xf numFmtId="164" fontId="11" fillId="0" borderId="11" xfId="1" applyNumberFormat="1" applyFont="1" applyFill="1" applyBorder="1"/>
    <xf numFmtId="183" fontId="11" fillId="0" borderId="2" xfId="1" applyNumberFormat="1" applyFont="1" applyFill="1" applyBorder="1"/>
    <xf numFmtId="177" fontId="11" fillId="0" borderId="11" xfId="1" applyNumberFormat="1" applyFont="1" applyFill="1" applyBorder="1"/>
    <xf numFmtId="177" fontId="11" fillId="0" borderId="6" xfId="1" applyNumberFormat="1" applyFont="1" applyFill="1" applyBorder="1"/>
    <xf numFmtId="177" fontId="11" fillId="16" borderId="0" xfId="1" applyNumberFormat="1" applyFont="1" applyFill="1" applyBorder="1"/>
    <xf numFmtId="177" fontId="11" fillId="16" borderId="2" xfId="1" applyNumberFormat="1" applyFont="1" applyFill="1" applyBorder="1"/>
    <xf numFmtId="0" fontId="12" fillId="0" borderId="0" xfId="0" applyFont="1"/>
    <xf numFmtId="168" fontId="12" fillId="0" borderId="0" xfId="2" applyNumberFormat="1" applyFont="1" applyFill="1" applyBorder="1"/>
    <xf numFmtId="10" fontId="12" fillId="0" borderId="0" xfId="2" applyNumberFormat="1" applyFont="1" applyFill="1" applyBorder="1"/>
    <xf numFmtId="170" fontId="64" fillId="2" borderId="0" xfId="1" applyNumberFormat="1" applyFont="1" applyFill="1" applyBorder="1" applyAlignment="1">
      <alignment wrapText="1"/>
    </xf>
    <xf numFmtId="43" fontId="27" fillId="2" borderId="0" xfId="7" applyNumberFormat="1" applyFont="1" applyFill="1" applyAlignment="1">
      <alignment horizontal="right" vertical="center"/>
    </xf>
    <xf numFmtId="9" fontId="27" fillId="2" borderId="0" xfId="2" applyFont="1" applyFill="1" applyAlignment="1">
      <alignment horizontal="right" vertical="center"/>
    </xf>
    <xf numFmtId="170" fontId="27" fillId="0" borderId="0" xfId="1" applyNumberFormat="1" applyFont="1" applyFill="1" applyBorder="1"/>
    <xf numFmtId="168" fontId="27" fillId="0" borderId="0" xfId="2" applyNumberFormat="1" applyFont="1" applyFill="1" applyBorder="1"/>
    <xf numFmtId="168" fontId="27" fillId="2" borderId="0" xfId="2" applyNumberFormat="1" applyFont="1" applyFill="1" applyBorder="1"/>
    <xf numFmtId="0" fontId="89" fillId="2" borderId="0" xfId="0" applyFont="1" applyFill="1"/>
    <xf numFmtId="0" fontId="89" fillId="0" borderId="0" xfId="0" applyFont="1"/>
    <xf numFmtId="0" fontId="90" fillId="0" borderId="12" xfId="0" applyFont="1" applyBorder="1"/>
    <xf numFmtId="0" fontId="91" fillId="2" borderId="0" xfId="0" applyFont="1" applyFill="1"/>
    <xf numFmtId="9" fontId="89" fillId="0" borderId="0" xfId="2" applyFont="1" applyFill="1" applyBorder="1"/>
    <xf numFmtId="168" fontId="89" fillId="0" borderId="0" xfId="2" applyNumberFormat="1" applyFont="1" applyFill="1" applyBorder="1"/>
    <xf numFmtId="10" fontId="89" fillId="0" borderId="0" xfId="2" applyNumberFormat="1" applyFont="1" applyFill="1" applyBorder="1"/>
    <xf numFmtId="0" fontId="89" fillId="0" borderId="12" xfId="0" applyFont="1" applyBorder="1"/>
    <xf numFmtId="168" fontId="89" fillId="0" borderId="12" xfId="2" applyNumberFormat="1" applyFont="1" applyFill="1" applyBorder="1"/>
    <xf numFmtId="168" fontId="89" fillId="0" borderId="13" xfId="2" applyNumberFormat="1" applyFont="1" applyFill="1" applyBorder="1"/>
    <xf numFmtId="183" fontId="11" fillId="34" borderId="0" xfId="1" applyNumberFormat="1" applyFont="1" applyFill="1"/>
    <xf numFmtId="183" fontId="11" fillId="34" borderId="0" xfId="1" applyNumberFormat="1" applyFont="1" applyFill="1" applyBorder="1"/>
    <xf numFmtId="183" fontId="11" fillId="34" borderId="2" xfId="1" applyNumberFormat="1" applyFont="1" applyFill="1" applyBorder="1"/>
    <xf numFmtId="183" fontId="11" fillId="0" borderId="11" xfId="1" applyNumberFormat="1" applyFont="1" applyBorder="1"/>
    <xf numFmtId="183" fontId="11" fillId="0" borderId="6" xfId="1" applyNumberFormat="1" applyFont="1" applyBorder="1"/>
    <xf numFmtId="177" fontId="11" fillId="0" borderId="0" xfId="1" applyNumberFormat="1" applyFont="1"/>
    <xf numFmtId="177" fontId="11" fillId="0" borderId="2" xfId="1" applyNumberFormat="1" applyFont="1" applyBorder="1"/>
    <xf numFmtId="167" fontId="21" fillId="6" borderId="0" xfId="0" applyNumberFormat="1" applyFont="1" applyFill="1"/>
    <xf numFmtId="0" fontId="41" fillId="2" borderId="0" xfId="0" quotePrefix="1" applyFont="1" applyFill="1" applyAlignment="1">
      <alignment horizontal="left" indent="2"/>
    </xf>
    <xf numFmtId="0" fontId="44" fillId="2" borderId="0" xfId="0" quotePrefix="1" applyFont="1" applyFill="1" applyAlignment="1">
      <alignment horizontal="left" indent="4"/>
    </xf>
    <xf numFmtId="4" fontId="44" fillId="2" borderId="0" xfId="1" applyNumberFormat="1" applyFont="1" applyFill="1" applyBorder="1"/>
    <xf numFmtId="0" fontId="23" fillId="2" borderId="25" xfId="0" applyFont="1" applyFill="1" applyBorder="1" applyAlignment="1">
      <alignment horizontal="left"/>
    </xf>
    <xf numFmtId="172" fontId="23" fillId="2" borderId="25" xfId="0" applyNumberFormat="1" applyFont="1" applyFill="1" applyBorder="1"/>
    <xf numFmtId="3" fontId="23" fillId="2" borderId="25" xfId="0" applyNumberFormat="1" applyFont="1" applyFill="1" applyBorder="1"/>
    <xf numFmtId="4" fontId="23" fillId="2" borderId="25" xfId="1" applyNumberFormat="1" applyFont="1" applyFill="1" applyBorder="1"/>
    <xf numFmtId="164" fontId="11" fillId="2" borderId="11" xfId="1" applyNumberFormat="1" applyFont="1" applyFill="1" applyBorder="1"/>
    <xf numFmtId="0" fontId="35" fillId="2" borderId="0" xfId="3" applyFill="1"/>
    <xf numFmtId="0" fontId="11" fillId="2" borderId="2" xfId="0" quotePrefix="1" applyFont="1" applyFill="1" applyBorder="1"/>
    <xf numFmtId="0" fontId="11" fillId="2" borderId="0" xfId="0" quotePrefix="1" applyFont="1" applyFill="1"/>
    <xf numFmtId="4" fontId="23" fillId="6" borderId="25" xfId="1" applyNumberFormat="1" applyFont="1" applyFill="1" applyBorder="1"/>
    <xf numFmtId="0" fontId="92" fillId="2" borderId="0" xfId="0" applyFont="1" applyFill="1"/>
    <xf numFmtId="0" fontId="93" fillId="2" borderId="3" xfId="0" applyFont="1" applyFill="1" applyBorder="1"/>
    <xf numFmtId="0" fontId="93" fillId="2" borderId="9" xfId="0" applyFont="1" applyFill="1" applyBorder="1"/>
    <xf numFmtId="0" fontId="93" fillId="6" borderId="3" xfId="0" applyFont="1" applyFill="1" applyBorder="1"/>
    <xf numFmtId="0" fontId="92" fillId="0" borderId="0" xfId="10" applyFont="1"/>
    <xf numFmtId="0" fontId="94" fillId="0" borderId="0" xfId="10" applyFont="1" applyAlignment="1">
      <alignment horizontal="right"/>
    </xf>
    <xf numFmtId="0" fontId="95" fillId="0" borderId="0" xfId="10" applyFont="1" applyAlignment="1">
      <alignment horizontal="right"/>
    </xf>
    <xf numFmtId="0" fontId="95" fillId="2" borderId="0" xfId="10" applyFont="1" applyFill="1" applyAlignment="1">
      <alignment horizontal="right"/>
    </xf>
    <xf numFmtId="0" fontId="95" fillId="6" borderId="0" xfId="10" applyFont="1" applyFill="1" applyAlignment="1">
      <alignment horizontal="right"/>
    </xf>
    <xf numFmtId="0" fontId="95" fillId="2" borderId="4" xfId="10" applyFont="1" applyFill="1" applyBorder="1"/>
    <xf numFmtId="165" fontId="96" fillId="11" borderId="4" xfId="0" applyNumberFormat="1" applyFont="1" applyFill="1" applyBorder="1" applyAlignment="1">
      <alignment vertical="center"/>
    </xf>
    <xf numFmtId="165" fontId="96" fillId="2" borderId="21" xfId="0" applyNumberFormat="1" applyFont="1" applyFill="1" applyBorder="1"/>
    <xf numFmtId="165" fontId="95" fillId="2" borderId="4" xfId="10" applyNumberFormat="1" applyFont="1" applyFill="1" applyBorder="1"/>
    <xf numFmtId="165" fontId="95" fillId="6" borderId="4" xfId="10" applyNumberFormat="1" applyFont="1" applyFill="1" applyBorder="1"/>
    <xf numFmtId="0" fontId="95" fillId="0" borderId="0" xfId="10" applyFont="1"/>
    <xf numFmtId="0" fontId="92" fillId="0" borderId="0" xfId="0" applyFont="1"/>
    <xf numFmtId="0" fontId="92" fillId="0" borderId="23" xfId="0" applyFont="1" applyBorder="1"/>
    <xf numFmtId="0" fontId="92" fillId="0" borderId="10" xfId="0" applyFont="1" applyBorder="1"/>
    <xf numFmtId="168" fontId="92" fillId="0" borderId="0" xfId="2" applyNumberFormat="1" applyFont="1" applyFill="1" applyBorder="1"/>
    <xf numFmtId="10" fontId="92" fillId="0" borderId="0" xfId="2" applyNumberFormat="1" applyFont="1" applyFill="1" applyBorder="1"/>
    <xf numFmtId="10" fontId="92" fillId="0" borderId="2" xfId="2" applyNumberFormat="1" applyFont="1" applyFill="1" applyBorder="1"/>
    <xf numFmtId="0" fontId="95" fillId="0" borderId="7" xfId="0" applyFont="1" applyBorder="1"/>
    <xf numFmtId="168" fontId="95" fillId="0" borderId="7" xfId="2" applyNumberFormat="1" applyFont="1" applyFill="1" applyBorder="1"/>
    <xf numFmtId="10" fontId="95" fillId="0" borderId="7" xfId="2" applyNumberFormat="1" applyFont="1" applyFill="1" applyBorder="1"/>
    <xf numFmtId="10" fontId="95" fillId="0" borderId="8" xfId="2" applyNumberFormat="1" applyFont="1" applyFill="1" applyBorder="1"/>
    <xf numFmtId="0" fontId="95" fillId="0" borderId="0" xfId="0" applyFont="1"/>
    <xf numFmtId="168" fontId="92" fillId="0" borderId="2" xfId="2" applyNumberFormat="1" applyFont="1" applyFill="1" applyBorder="1"/>
    <xf numFmtId="10" fontId="95" fillId="0" borderId="0" xfId="2" applyNumberFormat="1" applyFont="1" applyFill="1" applyBorder="1"/>
    <xf numFmtId="10" fontId="95" fillId="0" borderId="2" xfId="2" applyNumberFormat="1" applyFont="1" applyFill="1" applyBorder="1"/>
    <xf numFmtId="0" fontId="95" fillId="0" borderId="17" xfId="0" applyFont="1" applyBorder="1"/>
    <xf numFmtId="168" fontId="95" fillId="0" borderId="17" xfId="2" applyNumberFormat="1" applyFont="1" applyFill="1" applyBorder="1"/>
    <xf numFmtId="10" fontId="95" fillId="0" borderId="17" xfId="2" applyNumberFormat="1" applyFont="1" applyFill="1" applyBorder="1"/>
    <xf numFmtId="10" fontId="95" fillId="0" borderId="26" xfId="2" applyNumberFormat="1" applyFont="1" applyFill="1" applyBorder="1"/>
    <xf numFmtId="0" fontId="92" fillId="0" borderId="2" xfId="0" applyFont="1" applyBorder="1"/>
    <xf numFmtId="0" fontId="97" fillId="2" borderId="0" xfId="0" applyFont="1" applyFill="1"/>
    <xf numFmtId="0" fontId="95" fillId="0" borderId="2" xfId="10" applyFont="1" applyBorder="1" applyAlignment="1">
      <alignment horizontal="right"/>
    </xf>
    <xf numFmtId="0" fontId="94" fillId="10" borderId="4" xfId="10" applyFont="1" applyFill="1" applyBorder="1"/>
    <xf numFmtId="0" fontId="95" fillId="10" borderId="4" xfId="10" applyFont="1" applyFill="1" applyBorder="1"/>
    <xf numFmtId="165" fontId="95" fillId="0" borderId="4" xfId="10" applyNumberFormat="1" applyFont="1" applyBorder="1"/>
    <xf numFmtId="165" fontId="95" fillId="0" borderId="5" xfId="10" applyNumberFormat="1" applyFont="1" applyBorder="1"/>
    <xf numFmtId="0" fontId="95" fillId="0" borderId="10" xfId="0" applyFont="1" applyBorder="1"/>
    <xf numFmtId="168" fontId="95" fillId="0" borderId="0" xfId="2" applyNumberFormat="1" applyFont="1" applyFill="1" applyBorder="1"/>
    <xf numFmtId="168" fontId="95" fillId="0" borderId="2" xfId="2" applyNumberFormat="1" applyFont="1" applyFill="1" applyBorder="1"/>
    <xf numFmtId="0" fontId="92" fillId="0" borderId="11" xfId="0" applyFont="1" applyBorder="1"/>
    <xf numFmtId="168" fontId="92" fillId="0" borderId="11" xfId="2" applyNumberFormat="1" applyFont="1" applyFill="1" applyBorder="1"/>
    <xf numFmtId="10" fontId="92" fillId="0" borderId="11" xfId="2" applyNumberFormat="1" applyFont="1" applyFill="1" applyBorder="1"/>
    <xf numFmtId="10" fontId="92" fillId="0" borderId="6" xfId="2" applyNumberFormat="1" applyFont="1" applyFill="1" applyBorder="1"/>
    <xf numFmtId="0" fontId="96" fillId="0" borderId="0" xfId="0" applyFont="1"/>
    <xf numFmtId="168" fontId="92" fillId="0" borderId="27" xfId="2" applyNumberFormat="1" applyFont="1" applyFill="1" applyBorder="1"/>
    <xf numFmtId="0" fontId="95" fillId="0" borderId="27" xfId="0" applyFont="1" applyBorder="1"/>
    <xf numFmtId="168" fontId="95" fillId="0" borderId="27" xfId="2" applyNumberFormat="1" applyFont="1" applyFill="1" applyBorder="1"/>
    <xf numFmtId="10" fontId="95" fillId="0" borderId="27" xfId="2" applyNumberFormat="1" applyFont="1" applyFill="1" applyBorder="1"/>
    <xf numFmtId="10" fontId="95" fillId="0" borderId="28" xfId="2" applyNumberFormat="1" applyFont="1" applyFill="1" applyBorder="1"/>
    <xf numFmtId="10" fontId="92" fillId="35" borderId="0" xfId="2" applyNumberFormat="1" applyFont="1" applyFill="1" applyBorder="1"/>
    <xf numFmtId="10" fontId="95" fillId="35" borderId="7" xfId="2" applyNumberFormat="1" applyFont="1" applyFill="1" applyBorder="1"/>
    <xf numFmtId="168" fontId="92" fillId="35" borderId="0" xfId="2" applyNumberFormat="1" applyFont="1" applyFill="1" applyBorder="1"/>
    <xf numFmtId="0" fontId="92" fillId="35" borderId="0" xfId="0" applyFont="1" applyFill="1"/>
    <xf numFmtId="10" fontId="95" fillId="35" borderId="0" xfId="2" applyNumberFormat="1" applyFont="1" applyFill="1" applyBorder="1"/>
    <xf numFmtId="10" fontId="95" fillId="35" borderId="17" xfId="2" applyNumberFormat="1" applyFont="1" applyFill="1" applyBorder="1"/>
    <xf numFmtId="165" fontId="95" fillId="35" borderId="4" xfId="10" applyNumberFormat="1" applyFont="1" applyFill="1" applyBorder="1"/>
    <xf numFmtId="10" fontId="95" fillId="35" borderId="27" xfId="2" applyNumberFormat="1" applyFont="1" applyFill="1" applyBorder="1"/>
    <xf numFmtId="0" fontId="12" fillId="36" borderId="0" xfId="0" applyFont="1" applyFill="1" applyAlignment="1">
      <alignment vertical="center"/>
    </xf>
    <xf numFmtId="0" fontId="12" fillId="36" borderId="0" xfId="0" applyFont="1" applyFill="1" applyAlignment="1">
      <alignment horizontal="right" vertical="center"/>
    </xf>
    <xf numFmtId="2" fontId="11" fillId="2" borderId="7" xfId="0" applyNumberFormat="1" applyFont="1" applyFill="1" applyBorder="1" applyAlignment="1">
      <alignment horizontal="right" vertical="center"/>
    </xf>
    <xf numFmtId="0" fontId="98" fillId="2" borderId="7" xfId="0" applyFont="1" applyFill="1" applyBorder="1"/>
    <xf numFmtId="3" fontId="98" fillId="2" borderId="7" xfId="0" applyNumberFormat="1" applyFont="1" applyFill="1" applyBorder="1"/>
    <xf numFmtId="166" fontId="11" fillId="0" borderId="0" xfId="0" applyNumberFormat="1" applyFont="1"/>
    <xf numFmtId="166" fontId="16" fillId="0" borderId="0" xfId="0" applyNumberFormat="1" applyFont="1"/>
    <xf numFmtId="166" fontId="11" fillId="0" borderId="7" xfId="0" applyNumberFormat="1" applyFont="1" applyBorder="1"/>
    <xf numFmtId="10" fontId="20" fillId="2" borderId="0" xfId="2" applyNumberFormat="1" applyFont="1" applyFill="1" applyBorder="1" applyAlignment="1">
      <alignment vertical="center"/>
    </xf>
    <xf numFmtId="10" fontId="20" fillId="6" borderId="0" xfId="2" applyNumberFormat="1" applyFont="1" applyFill="1" applyBorder="1" applyAlignment="1">
      <alignment vertical="center"/>
    </xf>
    <xf numFmtId="0" fontId="3" fillId="3" borderId="1" xfId="0" applyFont="1" applyFill="1" applyBorder="1" applyAlignment="1">
      <alignment vertical="center"/>
    </xf>
    <xf numFmtId="49" fontId="70" fillId="0" borderId="1" xfId="0" applyNumberFormat="1" applyFont="1" applyBorder="1" applyAlignment="1">
      <alignment vertical="center"/>
    </xf>
    <xf numFmtId="49" fontId="70" fillId="0" borderId="0" xfId="0" applyNumberFormat="1" applyFont="1" applyAlignment="1">
      <alignment vertical="center"/>
    </xf>
    <xf numFmtId="14" fontId="70" fillId="0" borderId="1" xfId="0" applyNumberFormat="1" applyFont="1" applyBorder="1" applyAlignment="1">
      <alignment vertical="center"/>
    </xf>
    <xf numFmtId="14" fontId="70" fillId="0" borderId="0" xfId="0" applyNumberFormat="1" applyFont="1" applyAlignment="1">
      <alignment vertical="center"/>
    </xf>
    <xf numFmtId="14" fontId="70" fillId="0" borderId="0" xfId="1" applyNumberFormat="1" applyFont="1" applyFill="1" applyBorder="1"/>
    <xf numFmtId="0" fontId="70" fillId="0" borderId="1" xfId="0" applyFont="1" applyBorder="1" applyAlignment="1">
      <alignment vertical="center"/>
    </xf>
    <xf numFmtId="0" fontId="70" fillId="0" borderId="1" xfId="0" applyFont="1" applyBorder="1"/>
    <xf numFmtId="0" fontId="3" fillId="37" borderId="1" xfId="0" applyFont="1" applyFill="1" applyBorder="1" applyAlignment="1">
      <alignment vertical="center" wrapText="1"/>
    </xf>
    <xf numFmtId="4" fontId="73" fillId="0" borderId="1" xfId="0" applyNumberFormat="1" applyFont="1" applyBorder="1"/>
    <xf numFmtId="4" fontId="70" fillId="0" borderId="1" xfId="0" applyNumberFormat="1" applyFont="1" applyBorder="1"/>
    <xf numFmtId="0" fontId="99" fillId="0" borderId="0" xfId="0" applyFont="1"/>
    <xf numFmtId="0" fontId="100" fillId="0" borderId="0" xfId="0" applyFont="1"/>
    <xf numFmtId="0" fontId="101" fillId="0" borderId="0" xfId="3" applyFont="1" applyFill="1" applyBorder="1"/>
    <xf numFmtId="0" fontId="102" fillId="0" borderId="0" xfId="0" applyFont="1"/>
    <xf numFmtId="0" fontId="103" fillId="5" borderId="0" xfId="11" quotePrefix="1" applyNumberFormat="1" applyFont="1" applyFill="1" applyBorder="1" applyAlignment="1">
      <alignment horizontal="right"/>
    </xf>
    <xf numFmtId="0" fontId="103" fillId="5" borderId="0" xfId="11" quotePrefix="1" applyNumberFormat="1" applyFont="1" applyFill="1" applyBorder="1"/>
    <xf numFmtId="38" fontId="104" fillId="2" borderId="0" xfId="7" applyNumberFormat="1" applyFont="1" applyFill="1" applyAlignment="1">
      <alignment vertical="center"/>
    </xf>
    <xf numFmtId="38" fontId="105" fillId="2" borderId="0" xfId="7" applyNumberFormat="1" applyFont="1" applyFill="1" applyAlignment="1">
      <alignment vertical="center"/>
    </xf>
    <xf numFmtId="0" fontId="104" fillId="2" borderId="0" xfId="12" applyNumberFormat="1" applyFont="1" applyFill="1" applyBorder="1"/>
    <xf numFmtId="38" fontId="104" fillId="2" borderId="0" xfId="11" applyNumberFormat="1" applyFont="1" applyFill="1" applyBorder="1"/>
    <xf numFmtId="9" fontId="106" fillId="2" borderId="0" xfId="13" applyFont="1" applyFill="1" applyBorder="1" applyAlignment="1">
      <alignment vertical="center"/>
    </xf>
    <xf numFmtId="3" fontId="106" fillId="2" borderId="0" xfId="13" applyNumberFormat="1" applyFont="1" applyFill="1" applyBorder="1" applyAlignment="1">
      <alignment vertical="center"/>
    </xf>
    <xf numFmtId="9" fontId="107" fillId="2" borderId="0" xfId="2" applyFont="1" applyFill="1" applyBorder="1"/>
    <xf numFmtId="9" fontId="108" fillId="2" borderId="0" xfId="13" applyFont="1" applyFill="1" applyBorder="1" applyAlignment="1">
      <alignment vertical="center"/>
    </xf>
    <xf numFmtId="38" fontId="108" fillId="2" borderId="0" xfId="7" applyNumberFormat="1" applyFont="1" applyFill="1" applyAlignment="1">
      <alignment vertical="center"/>
    </xf>
    <xf numFmtId="38" fontId="105" fillId="38" borderId="0" xfId="7" applyNumberFormat="1" applyFont="1" applyFill="1" applyAlignment="1">
      <alignment vertical="center"/>
    </xf>
    <xf numFmtId="9" fontId="106" fillId="2" borderId="0" xfId="2" applyFont="1" applyFill="1" applyBorder="1" applyAlignment="1">
      <alignment vertical="center"/>
    </xf>
    <xf numFmtId="38" fontId="105" fillId="2" borderId="57" xfId="7" applyNumberFormat="1" applyFont="1" applyFill="1" applyBorder="1" applyAlignment="1">
      <alignment vertical="center"/>
    </xf>
    <xf numFmtId="38" fontId="104" fillId="2" borderId="14" xfId="7" applyNumberFormat="1" applyFont="1" applyFill="1" applyBorder="1" applyAlignment="1">
      <alignment vertical="center"/>
    </xf>
    <xf numFmtId="0" fontId="104" fillId="2" borderId="14" xfId="12" applyNumberFormat="1" applyFont="1" applyFill="1" applyBorder="1"/>
    <xf numFmtId="9" fontId="106" fillId="2" borderId="7" xfId="13" applyFont="1" applyFill="1" applyBorder="1" applyAlignment="1">
      <alignment vertical="center"/>
    </xf>
    <xf numFmtId="9" fontId="106" fillId="2" borderId="8" xfId="13" applyFont="1" applyFill="1" applyBorder="1" applyAlignment="1">
      <alignment vertical="center"/>
    </xf>
    <xf numFmtId="38" fontId="104" fillId="0" borderId="58" xfId="7" applyNumberFormat="1" applyFont="1" applyBorder="1"/>
    <xf numFmtId="38" fontId="104" fillId="0" borderId="0" xfId="7" applyNumberFormat="1" applyFont="1"/>
    <xf numFmtId="38" fontId="104" fillId="0" borderId="2" xfId="7" applyNumberFormat="1" applyFont="1" applyBorder="1"/>
    <xf numFmtId="38" fontId="104" fillId="2" borderId="0" xfId="7" applyNumberFormat="1" applyFont="1" applyFill="1"/>
    <xf numFmtId="38" fontId="108" fillId="0" borderId="0" xfId="7" applyNumberFormat="1" applyFont="1"/>
    <xf numFmtId="164" fontId="104" fillId="0" borderId="0" xfId="1" applyNumberFormat="1" applyFont="1" applyFill="1" applyBorder="1"/>
    <xf numFmtId="38" fontId="107" fillId="0" borderId="58" xfId="7" applyNumberFormat="1" applyFont="1" applyBorder="1"/>
    <xf numFmtId="168" fontId="107" fillId="0" borderId="0" xfId="2" applyNumberFormat="1" applyFont="1" applyFill="1" applyBorder="1"/>
    <xf numFmtId="38" fontId="107" fillId="0" borderId="0" xfId="7" applyNumberFormat="1" applyFont="1"/>
    <xf numFmtId="38" fontId="111" fillId="0" borderId="0" xfId="7" applyNumberFormat="1" applyFont="1"/>
    <xf numFmtId="38" fontId="104" fillId="0" borderId="58" xfId="11" applyNumberFormat="1" applyFont="1" applyFill="1" applyBorder="1"/>
    <xf numFmtId="38" fontId="104" fillId="0" borderId="0" xfId="11" applyNumberFormat="1" applyFont="1" applyFill="1" applyBorder="1"/>
    <xf numFmtId="38" fontId="106" fillId="0" borderId="0" xfId="11" applyNumberFormat="1" applyFont="1" applyFill="1" applyBorder="1"/>
    <xf numFmtId="38" fontId="104" fillId="0" borderId="2" xfId="11" applyNumberFormat="1" applyFont="1" applyFill="1" applyBorder="1"/>
    <xf numFmtId="38" fontId="108" fillId="0" borderId="0" xfId="11" applyNumberFormat="1" applyFont="1" applyFill="1" applyBorder="1"/>
    <xf numFmtId="9" fontId="104" fillId="0" borderId="0" xfId="2" applyFont="1" applyFill="1" applyBorder="1"/>
    <xf numFmtId="168" fontId="104" fillId="0" borderId="0" xfId="2" applyNumberFormat="1" applyFont="1" applyFill="1" applyBorder="1"/>
    <xf numFmtId="168" fontId="104" fillId="0" borderId="2" xfId="2" applyNumberFormat="1" applyFont="1" applyFill="1" applyBorder="1"/>
    <xf numFmtId="38" fontId="104" fillId="0" borderId="59" xfId="7" applyNumberFormat="1" applyFont="1" applyBorder="1"/>
    <xf numFmtId="38" fontId="106" fillId="0" borderId="12" xfId="11" applyNumberFormat="1" applyFont="1" applyFill="1" applyBorder="1"/>
    <xf numFmtId="38" fontId="104" fillId="0" borderId="11" xfId="11" applyNumberFormat="1" applyFont="1" applyFill="1" applyBorder="1"/>
    <xf numFmtId="38" fontId="104" fillId="0" borderId="6" xfId="11" applyNumberFormat="1" applyFont="1" applyFill="1" applyBorder="1"/>
    <xf numFmtId="9" fontId="106" fillId="0" borderId="0" xfId="2" applyFont="1" applyFill="1" applyBorder="1"/>
    <xf numFmtId="9" fontId="106" fillId="2" borderId="0" xfId="2" applyFont="1" applyFill="1" applyBorder="1"/>
    <xf numFmtId="38" fontId="113" fillId="2" borderId="0" xfId="11" applyNumberFormat="1" applyFont="1" applyFill="1" applyBorder="1"/>
    <xf numFmtId="9" fontId="113" fillId="2" borderId="0" xfId="2" applyFont="1" applyFill="1" applyBorder="1"/>
    <xf numFmtId="9" fontId="105" fillId="2" borderId="0" xfId="2" applyFont="1" applyFill="1" applyBorder="1"/>
    <xf numFmtId="38" fontId="114" fillId="0" borderId="0" xfId="11" applyNumberFormat="1" applyFont="1" applyFill="1" applyBorder="1"/>
    <xf numFmtId="38" fontId="105" fillId="0" borderId="0" xfId="11" applyNumberFormat="1" applyFont="1" applyFill="1" applyBorder="1"/>
    <xf numFmtId="38" fontId="115" fillId="0" borderId="0" xfId="11" applyNumberFormat="1" applyFont="1" applyFill="1" applyBorder="1"/>
    <xf numFmtId="9" fontId="115" fillId="0" borderId="0" xfId="2" applyFont="1" applyFill="1" applyBorder="1"/>
    <xf numFmtId="164" fontId="115" fillId="0" borderId="0" xfId="1" applyNumberFormat="1" applyFont="1" applyFill="1" applyBorder="1"/>
    <xf numFmtId="164" fontId="104" fillId="2" borderId="0" xfId="1" applyNumberFormat="1" applyFont="1" applyFill="1" applyBorder="1"/>
    <xf numFmtId="38" fontId="106" fillId="2" borderId="0" xfId="11" applyNumberFormat="1" applyFont="1" applyFill="1" applyBorder="1"/>
    <xf numFmtId="168" fontId="116" fillId="0" borderId="0" xfId="2" applyNumberFormat="1" applyFont="1" applyFill="1" applyBorder="1"/>
    <xf numFmtId="168" fontId="116" fillId="2" borderId="0" xfId="2" applyNumberFormat="1" applyFont="1" applyFill="1" applyBorder="1"/>
    <xf numFmtId="168" fontId="111" fillId="0" borderId="0" xfId="2" applyNumberFormat="1" applyFont="1" applyFill="1" applyBorder="1"/>
    <xf numFmtId="168" fontId="104" fillId="2" borderId="0" xfId="2" applyNumberFormat="1" applyFont="1" applyFill="1" applyBorder="1"/>
    <xf numFmtId="38" fontId="106" fillId="0" borderId="0" xfId="14" applyNumberFormat="1" applyFont="1"/>
    <xf numFmtId="38" fontId="106" fillId="2" borderId="0" xfId="14" applyNumberFormat="1" applyFont="1" applyFill="1"/>
    <xf numFmtId="168" fontId="104" fillId="2" borderId="0" xfId="7" applyNumberFormat="1" applyFont="1" applyFill="1"/>
    <xf numFmtId="168" fontId="117" fillId="2" borderId="0" xfId="7" applyNumberFormat="1" applyFont="1" applyFill="1"/>
    <xf numFmtId="168" fontId="104" fillId="2" borderId="0" xfId="12" applyNumberFormat="1" applyFont="1" applyFill="1" applyBorder="1"/>
    <xf numFmtId="38" fontId="117" fillId="0" borderId="0" xfId="11" applyNumberFormat="1" applyFont="1" applyFill="1" applyBorder="1"/>
    <xf numFmtId="168" fontId="104" fillId="0" borderId="0" xfId="7" applyNumberFormat="1" applyFont="1"/>
    <xf numFmtId="164" fontId="106" fillId="0" borderId="0" xfId="1" applyNumberFormat="1" applyFont="1" applyFill="1" applyBorder="1"/>
    <xf numFmtId="37" fontId="104" fillId="0" borderId="0" xfId="15" applyNumberFormat="1" applyFont="1"/>
    <xf numFmtId="186" fontId="106" fillId="0" borderId="0" xfId="16" applyNumberFormat="1" applyFont="1" applyFill="1" applyBorder="1"/>
    <xf numFmtId="38" fontId="106" fillId="0" borderId="0" xfId="7" applyNumberFormat="1" applyFont="1"/>
    <xf numFmtId="40" fontId="104" fillId="0" borderId="0" xfId="12" applyNumberFormat="1" applyFont="1" applyFill="1" applyBorder="1"/>
    <xf numFmtId="38" fontId="119" fillId="0" borderId="0" xfId="7" applyNumberFormat="1" applyFont="1"/>
    <xf numFmtId="38" fontId="116" fillId="2" borderId="57" xfId="7" applyNumberFormat="1" applyFont="1" applyFill="1" applyBorder="1"/>
    <xf numFmtId="168" fontId="116" fillId="2" borderId="14" xfId="2" applyNumberFormat="1" applyFont="1" applyFill="1" applyBorder="1"/>
    <xf numFmtId="168" fontId="117" fillId="2" borderId="0" xfId="2" applyNumberFormat="1" applyFont="1" applyFill="1" applyBorder="1"/>
    <xf numFmtId="38" fontId="116" fillId="2" borderId="58" xfId="7" applyNumberFormat="1" applyFont="1" applyFill="1" applyBorder="1"/>
    <xf numFmtId="168" fontId="119" fillId="2" borderId="0" xfId="2" applyNumberFormat="1" applyFont="1" applyFill="1" applyBorder="1"/>
    <xf numFmtId="38" fontId="116" fillId="2" borderId="59" xfId="7" applyNumberFormat="1" applyFont="1" applyFill="1" applyBorder="1"/>
    <xf numFmtId="168" fontId="116" fillId="2" borderId="12" xfId="2" applyNumberFormat="1" applyFont="1" applyFill="1" applyBorder="1"/>
    <xf numFmtId="38" fontId="105" fillId="2" borderId="0" xfId="11" applyNumberFormat="1" applyFont="1" applyFill="1" applyBorder="1"/>
    <xf numFmtId="38" fontId="105" fillId="2" borderId="0" xfId="11" quotePrefix="1" applyNumberFormat="1" applyFont="1" applyFill="1" applyBorder="1"/>
    <xf numFmtId="168" fontId="107" fillId="2" borderId="0" xfId="11" applyNumberFormat="1" applyFont="1" applyFill="1" applyBorder="1"/>
    <xf numFmtId="38" fontId="114" fillId="2" borderId="0" xfId="11" applyNumberFormat="1" applyFont="1" applyFill="1" applyBorder="1"/>
    <xf numFmtId="38" fontId="105" fillId="38" borderId="0" xfId="11" applyNumberFormat="1" applyFont="1" applyFill="1" applyBorder="1"/>
    <xf numFmtId="38" fontId="104" fillId="2" borderId="0" xfId="11" quotePrefix="1" applyNumberFormat="1" applyFont="1" applyFill="1" applyBorder="1"/>
    <xf numFmtId="38" fontId="117" fillId="2" borderId="0" xfId="11" applyNumberFormat="1" applyFont="1" applyFill="1" applyBorder="1"/>
    <xf numFmtId="38" fontId="120" fillId="2" borderId="0" xfId="11" quotePrefix="1" applyNumberFormat="1" applyFont="1" applyFill="1" applyBorder="1"/>
    <xf numFmtId="9" fontId="104" fillId="2" borderId="0" xfId="2" quotePrefix="1" applyFont="1" applyFill="1" applyBorder="1"/>
    <xf numFmtId="38" fontId="117" fillId="2" borderId="0" xfId="11" quotePrefix="1" applyNumberFormat="1" applyFont="1" applyFill="1" applyBorder="1"/>
    <xf numFmtId="38" fontId="105" fillId="2" borderId="7" xfId="11" applyNumberFormat="1" applyFont="1" applyFill="1" applyBorder="1"/>
    <xf numFmtId="38" fontId="105" fillId="2" borderId="7" xfId="11" quotePrefix="1" applyNumberFormat="1" applyFont="1" applyFill="1" applyBorder="1"/>
    <xf numFmtId="38" fontId="114" fillId="2" borderId="7" xfId="11" applyNumberFormat="1" applyFont="1" applyFill="1" applyBorder="1"/>
    <xf numFmtId="38" fontId="121" fillId="2" borderId="0" xfId="11" applyNumberFormat="1" applyFont="1" applyFill="1" applyBorder="1"/>
    <xf numFmtId="38" fontId="105" fillId="2" borderId="11" xfId="11" applyNumberFormat="1" applyFont="1" applyFill="1" applyBorder="1"/>
    <xf numFmtId="38" fontId="105" fillId="2" borderId="11" xfId="11" quotePrefix="1" applyNumberFormat="1" applyFont="1" applyFill="1" applyBorder="1"/>
    <xf numFmtId="38" fontId="114" fillId="2" borderId="11" xfId="11" applyNumberFormat="1" applyFont="1" applyFill="1" applyBorder="1"/>
    <xf numFmtId="38" fontId="105" fillId="2" borderId="27" xfId="11" applyNumberFormat="1" applyFont="1" applyFill="1" applyBorder="1"/>
    <xf numFmtId="38" fontId="105" fillId="2" borderId="27" xfId="11" quotePrefix="1" applyNumberFormat="1" applyFont="1" applyFill="1" applyBorder="1"/>
    <xf numFmtId="38" fontId="114" fillId="2" borderId="27" xfId="11" applyNumberFormat="1" applyFont="1" applyFill="1" applyBorder="1"/>
    <xf numFmtId="38" fontId="122" fillId="2" borderId="0" xfId="11" applyNumberFormat="1" applyFont="1" applyFill="1" applyBorder="1"/>
    <xf numFmtId="38" fontId="106" fillId="2" borderId="0" xfId="11" quotePrefix="1" applyNumberFormat="1" applyFont="1" applyFill="1" applyBorder="1"/>
    <xf numFmtId="38" fontId="122" fillId="2" borderId="27" xfId="11" applyNumberFormat="1" applyFont="1" applyFill="1" applyBorder="1"/>
    <xf numFmtId="38" fontId="122" fillId="2" borderId="27" xfId="11" quotePrefix="1" applyNumberFormat="1" applyFont="1" applyFill="1" applyBorder="1"/>
    <xf numFmtId="38" fontId="122" fillId="0" borderId="57" xfId="11" applyNumberFormat="1" applyFont="1" applyFill="1" applyBorder="1"/>
    <xf numFmtId="38" fontId="116" fillId="0" borderId="14" xfId="11" applyNumberFormat="1" applyFont="1" applyFill="1" applyBorder="1"/>
    <xf numFmtId="9" fontId="116" fillId="0" borderId="14" xfId="2" applyFont="1" applyFill="1" applyBorder="1"/>
    <xf numFmtId="9" fontId="116" fillId="0" borderId="60" xfId="2" applyFont="1" applyFill="1" applyBorder="1"/>
    <xf numFmtId="9" fontId="116" fillId="0" borderId="0" xfId="2" applyFont="1" applyFill="1" applyBorder="1"/>
    <xf numFmtId="9" fontId="116" fillId="2" borderId="0" xfId="2" applyFont="1" applyFill="1" applyBorder="1"/>
    <xf numFmtId="38" fontId="116" fillId="0" borderId="0" xfId="11" applyNumberFormat="1" applyFont="1" applyFill="1" applyBorder="1"/>
    <xf numFmtId="38" fontId="116" fillId="0" borderId="58" xfId="11" applyNumberFormat="1" applyFont="1" applyFill="1" applyBorder="1"/>
    <xf numFmtId="168" fontId="116" fillId="0" borderId="61" xfId="2" applyNumberFormat="1" applyFont="1" applyFill="1" applyBorder="1"/>
    <xf numFmtId="9" fontId="116" fillId="0" borderId="61" xfId="2" applyFont="1" applyFill="1" applyBorder="1"/>
    <xf numFmtId="38" fontId="123" fillId="0" borderId="58" xfId="11" applyNumberFormat="1" applyFont="1" applyFill="1" applyBorder="1"/>
    <xf numFmtId="38" fontId="123" fillId="0" borderId="0" xfId="11" applyNumberFormat="1" applyFont="1" applyFill="1" applyBorder="1"/>
    <xf numFmtId="9" fontId="123" fillId="0" borderId="0" xfId="2" applyFont="1" applyFill="1" applyBorder="1"/>
    <xf numFmtId="9" fontId="123" fillId="0" borderId="61" xfId="2" applyFont="1" applyFill="1" applyBorder="1"/>
    <xf numFmtId="9" fontId="123" fillId="2" borderId="0" xfId="2" applyFont="1" applyFill="1" applyBorder="1"/>
    <xf numFmtId="168" fontId="123" fillId="0" borderId="0" xfId="2" applyNumberFormat="1" applyFont="1" applyFill="1" applyBorder="1"/>
    <xf numFmtId="9" fontId="116" fillId="0" borderId="0" xfId="1" applyNumberFormat="1" applyFont="1" applyFill="1" applyBorder="1"/>
    <xf numFmtId="9" fontId="116" fillId="0" borderId="61" xfId="1" applyNumberFormat="1" applyFont="1" applyFill="1" applyBorder="1"/>
    <xf numFmtId="38" fontId="116" fillId="0" borderId="59" xfId="11" applyNumberFormat="1" applyFont="1" applyFill="1" applyBorder="1"/>
    <xf numFmtId="38" fontId="116" fillId="0" borderId="12" xfId="11" applyNumberFormat="1" applyFont="1" applyFill="1" applyBorder="1"/>
    <xf numFmtId="9" fontId="116" fillId="0" borderId="12" xfId="2" applyFont="1" applyFill="1" applyBorder="1"/>
    <xf numFmtId="9" fontId="116" fillId="0" borderId="62" xfId="2" applyFont="1" applyFill="1" applyBorder="1"/>
    <xf numFmtId="38" fontId="122" fillId="0" borderId="0" xfId="11" applyNumberFormat="1" applyFont="1" applyFill="1" applyBorder="1"/>
    <xf numFmtId="38" fontId="105" fillId="39" borderId="0" xfId="7" applyNumberFormat="1" applyFont="1" applyFill="1"/>
    <xf numFmtId="38" fontId="104" fillId="39" borderId="0" xfId="7" applyNumberFormat="1" applyFont="1" applyFill="1"/>
    <xf numFmtId="168" fontId="105" fillId="2" borderId="0" xfId="2" applyNumberFormat="1" applyFont="1" applyFill="1" applyBorder="1"/>
    <xf numFmtId="38" fontId="120" fillId="0" borderId="0" xfId="11" applyNumberFormat="1" applyFont="1" applyFill="1" applyBorder="1"/>
    <xf numFmtId="38" fontId="119" fillId="0" borderId="0" xfId="11" applyNumberFormat="1" applyFont="1" applyFill="1" applyBorder="1"/>
    <xf numFmtId="9" fontId="119" fillId="0" borderId="0" xfId="2" applyFont="1" applyFill="1" applyBorder="1"/>
    <xf numFmtId="168" fontId="106" fillId="0" borderId="0" xfId="2" applyNumberFormat="1" applyFont="1" applyFill="1" applyBorder="1"/>
    <xf numFmtId="38" fontId="124" fillId="0" borderId="0" xfId="11" applyNumberFormat="1" applyFont="1" applyFill="1" applyBorder="1"/>
    <xf numFmtId="168" fontId="125" fillId="0" borderId="0" xfId="2" applyNumberFormat="1" applyFont="1" applyFill="1" applyBorder="1"/>
    <xf numFmtId="168" fontId="116" fillId="17" borderId="0" xfId="2" applyNumberFormat="1" applyFont="1" applyFill="1" applyBorder="1"/>
    <xf numFmtId="178" fontId="116" fillId="0" borderId="0" xfId="2" applyNumberFormat="1" applyFont="1" applyFill="1" applyBorder="1"/>
    <xf numFmtId="1" fontId="116" fillId="0" borderId="0" xfId="2" applyNumberFormat="1" applyFont="1" applyFill="1" applyBorder="1"/>
    <xf numFmtId="178" fontId="104" fillId="0" borderId="0" xfId="11" applyNumberFormat="1" applyFont="1" applyFill="1" applyBorder="1"/>
    <xf numFmtId="38" fontId="125" fillId="0" borderId="0" xfId="11" applyNumberFormat="1" applyFont="1" applyFill="1" applyBorder="1"/>
    <xf numFmtId="9" fontId="125" fillId="0" borderId="0" xfId="2" applyFont="1" applyFill="1" applyBorder="1"/>
    <xf numFmtId="9" fontId="126" fillId="2" borderId="0" xfId="2" applyFont="1" applyFill="1" applyBorder="1"/>
    <xf numFmtId="38" fontId="111" fillId="0" borderId="0" xfId="11" applyNumberFormat="1" applyFont="1" applyFill="1" applyBorder="1"/>
    <xf numFmtId="38" fontId="125" fillId="2" borderId="0" xfId="11" applyNumberFormat="1" applyFont="1" applyFill="1" applyBorder="1"/>
    <xf numFmtId="38" fontId="105" fillId="0" borderId="0" xfId="7" applyNumberFormat="1" applyFont="1"/>
    <xf numFmtId="38" fontId="105" fillId="2" borderId="0" xfId="7" applyNumberFormat="1" applyFont="1" applyFill="1"/>
    <xf numFmtId="38" fontId="114" fillId="0" borderId="0" xfId="7" applyNumberFormat="1" applyFont="1"/>
    <xf numFmtId="38" fontId="108" fillId="2" borderId="0" xfId="11" applyNumberFormat="1" applyFont="1" applyFill="1" applyBorder="1"/>
    <xf numFmtId="187" fontId="108" fillId="0" borderId="0" xfId="11" applyNumberFormat="1" applyFont="1" applyFill="1" applyBorder="1"/>
    <xf numFmtId="38" fontId="104" fillId="40" borderId="57" xfId="11" applyNumberFormat="1" applyFont="1" applyFill="1" applyBorder="1"/>
    <xf numFmtId="38" fontId="106" fillId="0" borderId="14" xfId="11" applyNumberFormat="1" applyFont="1" applyFill="1" applyBorder="1"/>
    <xf numFmtId="38" fontId="104" fillId="0" borderId="14" xfId="11" applyNumberFormat="1" applyFont="1" applyFill="1" applyBorder="1"/>
    <xf numFmtId="38" fontId="107" fillId="0" borderId="59" xfId="11" applyNumberFormat="1" applyFont="1" applyFill="1" applyBorder="1"/>
    <xf numFmtId="168" fontId="106" fillId="0" borderId="12" xfId="11" applyNumberFormat="1" applyFont="1" applyFill="1" applyBorder="1"/>
    <xf numFmtId="38" fontId="104" fillId="40" borderId="0" xfId="11" applyNumberFormat="1" applyFont="1" applyFill="1" applyBorder="1"/>
    <xf numFmtId="168" fontId="108" fillId="0" borderId="0" xfId="11" applyNumberFormat="1" applyFont="1" applyFill="1" applyBorder="1"/>
    <xf numFmtId="38" fontId="104" fillId="0" borderId="0" xfId="11" applyNumberFormat="1" applyFont="1" applyFill="1" applyBorder="1" applyAlignment="1"/>
    <xf numFmtId="38" fontId="106" fillId="9" borderId="0" xfId="11" applyNumberFormat="1" applyFont="1" applyFill="1" applyBorder="1"/>
    <xf numFmtId="38" fontId="107" fillId="0" borderId="0" xfId="11" applyNumberFormat="1" applyFont="1" applyFill="1" applyBorder="1"/>
    <xf numFmtId="168" fontId="106" fillId="0" borderId="0" xfId="11" applyNumberFormat="1" applyFont="1" applyFill="1" applyBorder="1"/>
    <xf numFmtId="10" fontId="104" fillId="0" borderId="0" xfId="2" applyNumberFormat="1" applyFont="1" applyFill="1" applyBorder="1"/>
    <xf numFmtId="38" fontId="104" fillId="9" borderId="0" xfId="11" applyNumberFormat="1" applyFont="1" applyFill="1" applyBorder="1"/>
    <xf numFmtId="40" fontId="104" fillId="0" borderId="0" xfId="11" applyNumberFormat="1" applyFont="1" applyFill="1" applyBorder="1"/>
    <xf numFmtId="38" fontId="104" fillId="41" borderId="0" xfId="11" applyNumberFormat="1" applyFont="1" applyFill="1" applyBorder="1"/>
    <xf numFmtId="177" fontId="104" fillId="0" borderId="0" xfId="11" applyNumberFormat="1" applyFont="1" applyFill="1" applyBorder="1"/>
    <xf numFmtId="177" fontId="120" fillId="0" borderId="0" xfId="11" applyNumberFormat="1" applyFont="1" applyFill="1" applyBorder="1"/>
    <xf numFmtId="40" fontId="106" fillId="0" borderId="0" xfId="11" applyNumberFormat="1" applyFont="1" applyFill="1" applyBorder="1"/>
    <xf numFmtId="43" fontId="117" fillId="2" borderId="0" xfId="1" applyFont="1" applyFill="1" applyBorder="1"/>
    <xf numFmtId="40" fontId="116" fillId="0" borderId="0" xfId="11" applyNumberFormat="1" applyFont="1" applyFill="1" applyBorder="1"/>
    <xf numFmtId="9" fontId="116" fillId="0" borderId="0" xfId="11" applyNumberFormat="1" applyFont="1" applyFill="1" applyBorder="1"/>
    <xf numFmtId="43" fontId="116" fillId="2" borderId="0" xfId="1" applyFont="1" applyFill="1" applyBorder="1"/>
    <xf numFmtId="9" fontId="104" fillId="2" borderId="0" xfId="1" applyNumberFormat="1" applyFont="1" applyFill="1" applyBorder="1"/>
    <xf numFmtId="170" fontId="108" fillId="0" borderId="0" xfId="1" applyNumberFormat="1" applyFont="1" applyFill="1" applyBorder="1"/>
    <xf numFmtId="9" fontId="106" fillId="2" borderId="0" xfId="11" applyNumberFormat="1" applyFont="1" applyFill="1" applyBorder="1"/>
    <xf numFmtId="2" fontId="111" fillId="0" borderId="0" xfId="13" applyNumberFormat="1" applyFont="1" applyFill="1" applyBorder="1"/>
    <xf numFmtId="38" fontId="105" fillId="41" borderId="57" xfId="11" applyNumberFormat="1" applyFont="1" applyFill="1" applyBorder="1"/>
    <xf numFmtId="38" fontId="104" fillId="0" borderId="60" xfId="11" applyNumberFormat="1" applyFont="1" applyFill="1" applyBorder="1"/>
    <xf numFmtId="38" fontId="105" fillId="41" borderId="59" xfId="11" applyNumberFormat="1" applyFont="1" applyFill="1" applyBorder="1"/>
    <xf numFmtId="168" fontId="104" fillId="0" borderId="12" xfId="11" applyNumberFormat="1" applyFont="1" applyFill="1" applyBorder="1"/>
    <xf numFmtId="168" fontId="104" fillId="0" borderId="62" xfId="11" applyNumberFormat="1" applyFont="1" applyFill="1" applyBorder="1"/>
    <xf numFmtId="9" fontId="111" fillId="0" borderId="0" xfId="2" applyFont="1" applyFill="1" applyBorder="1"/>
    <xf numFmtId="168" fontId="104" fillId="0" borderId="0" xfId="11" applyNumberFormat="1" applyFont="1" applyFill="1" applyBorder="1"/>
    <xf numFmtId="168" fontId="106" fillId="0" borderId="0" xfId="13" applyNumberFormat="1" applyFont="1" applyFill="1" applyBorder="1"/>
    <xf numFmtId="168" fontId="106" fillId="2" borderId="0" xfId="13" applyNumberFormat="1" applyFont="1" applyFill="1" applyBorder="1"/>
    <xf numFmtId="9" fontId="108" fillId="0" borderId="0" xfId="2" applyFont="1" applyFill="1" applyBorder="1"/>
    <xf numFmtId="168" fontId="108" fillId="0" borderId="0" xfId="2" applyNumberFormat="1" applyFont="1" applyFill="1" applyBorder="1"/>
    <xf numFmtId="9" fontId="104" fillId="2" borderId="0" xfId="2" applyFont="1" applyFill="1" applyBorder="1"/>
    <xf numFmtId="38" fontId="124" fillId="2" borderId="0" xfId="11" applyNumberFormat="1" applyFont="1" applyFill="1" applyBorder="1"/>
    <xf numFmtId="9" fontId="120" fillId="2" borderId="0" xfId="2" applyFont="1" applyFill="1" applyBorder="1"/>
    <xf numFmtId="38" fontId="105" fillId="0" borderId="19" xfId="11" applyNumberFormat="1" applyFont="1" applyFill="1" applyBorder="1" applyAlignment="1">
      <alignment horizontal="left" indent="1"/>
    </xf>
    <xf numFmtId="38" fontId="106" fillId="0" borderId="7" xfId="11" applyNumberFormat="1" applyFont="1" applyFill="1" applyBorder="1"/>
    <xf numFmtId="38" fontId="105" fillId="0" borderId="15" xfId="11" applyNumberFormat="1" applyFont="1" applyFill="1" applyBorder="1" applyAlignment="1">
      <alignment horizontal="left" indent="1"/>
    </xf>
    <xf numFmtId="38" fontId="105" fillId="0" borderId="20" xfId="11" applyNumberFormat="1" applyFont="1" applyFill="1" applyBorder="1" applyAlignment="1">
      <alignment horizontal="left" indent="1"/>
    </xf>
    <xf numFmtId="38" fontId="106" fillId="0" borderId="11" xfId="11" applyNumberFormat="1" applyFont="1" applyFill="1" applyBorder="1"/>
    <xf numFmtId="9" fontId="125" fillId="2" borderId="0" xfId="2" applyFont="1" applyFill="1" applyBorder="1"/>
    <xf numFmtId="168" fontId="125" fillId="2" borderId="0" xfId="2" applyNumberFormat="1" applyFont="1" applyFill="1" applyBorder="1"/>
    <xf numFmtId="168" fontId="119" fillId="0" borderId="0" xfId="2" applyNumberFormat="1" applyFont="1" applyFill="1" applyBorder="1"/>
    <xf numFmtId="9" fontId="120" fillId="0" borderId="0" xfId="2" applyFont="1" applyFill="1" applyBorder="1"/>
    <xf numFmtId="9" fontId="126" fillId="0" borderId="0" xfId="2" applyFont="1" applyFill="1" applyBorder="1"/>
    <xf numFmtId="168" fontId="126" fillId="0" borderId="0" xfId="2" applyNumberFormat="1" applyFont="1" applyFill="1" applyBorder="1"/>
    <xf numFmtId="43" fontId="124" fillId="0" borderId="0" xfId="1" applyFont="1" applyFill="1" applyBorder="1"/>
    <xf numFmtId="9" fontId="125" fillId="0" borderId="0" xfId="11" applyNumberFormat="1" applyFont="1" applyFill="1" applyBorder="1"/>
    <xf numFmtId="168" fontId="125" fillId="0" borderId="0" xfId="11" applyNumberFormat="1" applyFont="1" applyFill="1" applyBorder="1"/>
    <xf numFmtId="9" fontId="119" fillId="2" borderId="0" xfId="2" applyFont="1" applyFill="1" applyBorder="1"/>
    <xf numFmtId="9" fontId="122" fillId="2" borderId="0" xfId="2" applyFont="1" applyFill="1" applyBorder="1"/>
    <xf numFmtId="3" fontId="119" fillId="2" borderId="0" xfId="2" applyNumberFormat="1" applyFont="1" applyFill="1" applyBorder="1"/>
    <xf numFmtId="3" fontId="106" fillId="2" borderId="0" xfId="2" applyNumberFormat="1" applyFont="1" applyFill="1" applyBorder="1"/>
    <xf numFmtId="9" fontId="122" fillId="0" borderId="0" xfId="2" applyFont="1" applyFill="1" applyBorder="1"/>
    <xf numFmtId="164" fontId="120" fillId="0" borderId="0" xfId="1" applyNumberFormat="1" applyFont="1" applyFill="1" applyBorder="1"/>
    <xf numFmtId="164" fontId="120" fillId="0" borderId="0" xfId="2" applyNumberFormat="1" applyFont="1" applyFill="1" applyBorder="1"/>
    <xf numFmtId="168" fontId="116" fillId="0" borderId="0" xfId="1" applyNumberFormat="1" applyFont="1" applyFill="1" applyBorder="1"/>
    <xf numFmtId="43" fontId="106" fillId="2" borderId="0" xfId="1" applyFont="1" applyFill="1" applyBorder="1"/>
    <xf numFmtId="9" fontId="106" fillId="0" borderId="0" xfId="1" applyNumberFormat="1" applyFont="1" applyFill="1" applyBorder="1"/>
    <xf numFmtId="9" fontId="120" fillId="0" borderId="0" xfId="1" applyNumberFormat="1" applyFont="1" applyFill="1" applyBorder="1"/>
    <xf numFmtId="164" fontId="106" fillId="0" borderId="0" xfId="2" applyNumberFormat="1" applyFont="1" applyFill="1" applyBorder="1"/>
    <xf numFmtId="164" fontId="116" fillId="0" borderId="0" xfId="1" applyNumberFormat="1" applyFont="1" applyFill="1" applyBorder="1"/>
    <xf numFmtId="38" fontId="116" fillId="2" borderId="0" xfId="11" applyNumberFormat="1" applyFont="1" applyFill="1" applyBorder="1"/>
    <xf numFmtId="38" fontId="105" fillId="0" borderId="0" xfId="11" applyNumberFormat="1" applyFont="1" applyFill="1" applyBorder="1" applyAlignment="1">
      <alignment horizontal="left" indent="2"/>
    </xf>
    <xf numFmtId="38" fontId="104" fillId="0" borderId="0" xfId="11" applyNumberFormat="1" applyFont="1" applyFill="1" applyBorder="1" applyAlignment="1">
      <alignment horizontal="left" indent="2"/>
    </xf>
    <xf numFmtId="38" fontId="125" fillId="0" borderId="0" xfId="11" applyNumberFormat="1" applyFont="1" applyFill="1" applyBorder="1" applyAlignment="1">
      <alignment horizontal="left" indent="2"/>
    </xf>
    <xf numFmtId="9" fontId="119" fillId="0" borderId="0" xfId="2" applyFont="1" applyFill="1" applyBorder="1" applyAlignment="1">
      <alignment horizontal="left" indent="2"/>
    </xf>
    <xf numFmtId="9" fontId="116" fillId="0" borderId="0" xfId="2" applyFont="1" applyFill="1" applyBorder="1" applyAlignment="1">
      <alignment horizontal="left" indent="2"/>
    </xf>
    <xf numFmtId="38" fontId="116" fillId="0" borderId="11" xfId="11" applyNumberFormat="1" applyFont="1" applyFill="1" applyBorder="1"/>
    <xf numFmtId="9" fontId="116" fillId="0" borderId="11" xfId="2" applyFont="1" applyFill="1" applyBorder="1"/>
    <xf numFmtId="9" fontId="116" fillId="2" borderId="11" xfId="2" applyFont="1" applyFill="1" applyBorder="1"/>
    <xf numFmtId="168" fontId="116" fillId="0" borderId="11" xfId="2" applyNumberFormat="1" applyFont="1" applyFill="1" applyBorder="1"/>
    <xf numFmtId="9" fontId="119" fillId="0" borderId="7" xfId="2" applyFont="1" applyFill="1" applyBorder="1"/>
    <xf numFmtId="38" fontId="119" fillId="2" borderId="0" xfId="11" applyNumberFormat="1" applyFont="1" applyFill="1" applyBorder="1"/>
    <xf numFmtId="164" fontId="106" fillId="2" borderId="0" xfId="1" applyNumberFormat="1" applyFont="1" applyFill="1" applyBorder="1"/>
    <xf numFmtId="38" fontId="125" fillId="0" borderId="0" xfId="11" applyNumberFormat="1" applyFont="1" applyFill="1" applyBorder="1" applyAlignment="1">
      <alignment horizontal="left" indent="1"/>
    </xf>
    <xf numFmtId="9" fontId="129" fillId="0" borderId="0" xfId="2" applyFont="1" applyFill="1" applyBorder="1"/>
    <xf numFmtId="1" fontId="106" fillId="2" borderId="0" xfId="1" applyNumberFormat="1" applyFont="1" applyFill="1" applyBorder="1"/>
    <xf numFmtId="9" fontId="130" fillId="2" borderId="0" xfId="2" applyFont="1" applyFill="1" applyBorder="1"/>
    <xf numFmtId="38" fontId="131" fillId="2" borderId="0" xfId="11" applyNumberFormat="1" applyFont="1" applyFill="1" applyBorder="1"/>
    <xf numFmtId="38" fontId="119" fillId="2" borderId="0" xfId="11" applyNumberFormat="1" applyFont="1" applyFill="1" applyBorder="1" applyAlignment="1">
      <alignment horizontal="left" indent="1"/>
    </xf>
    <xf numFmtId="38" fontId="119" fillId="0" borderId="0" xfId="11" applyNumberFormat="1" applyFont="1" applyFill="1" applyBorder="1" applyAlignment="1">
      <alignment horizontal="left" indent="1"/>
    </xf>
    <xf numFmtId="38" fontId="121" fillId="42" borderId="57" xfId="11" applyNumberFormat="1" applyFont="1" applyFill="1" applyBorder="1"/>
    <xf numFmtId="9" fontId="119" fillId="42" borderId="14" xfId="2" applyFont="1" applyFill="1" applyBorder="1"/>
    <xf numFmtId="168" fontId="119" fillId="42" borderId="14" xfId="2" applyNumberFormat="1" applyFont="1" applyFill="1" applyBorder="1"/>
    <xf numFmtId="9" fontId="119" fillId="42" borderId="60" xfId="2" applyFont="1" applyFill="1" applyBorder="1"/>
    <xf numFmtId="2" fontId="133" fillId="42" borderId="58" xfId="1" applyNumberFormat="1" applyFont="1" applyFill="1" applyBorder="1"/>
    <xf numFmtId="2" fontId="133" fillId="42" borderId="0" xfId="1" applyNumberFormat="1" applyFont="1" applyFill="1" applyBorder="1"/>
    <xf numFmtId="164" fontId="133" fillId="42" borderId="0" xfId="1" applyNumberFormat="1" applyFont="1" applyFill="1" applyBorder="1"/>
    <xf numFmtId="2" fontId="114" fillId="0" borderId="0" xfId="1" applyNumberFormat="1" applyFont="1" applyFill="1" applyBorder="1"/>
    <xf numFmtId="2" fontId="133" fillId="0" borderId="0" xfId="1" applyNumberFormat="1" applyFont="1" applyFill="1" applyBorder="1"/>
    <xf numFmtId="0" fontId="105" fillId="42" borderId="58" xfId="0" applyFont="1" applyFill="1" applyBorder="1"/>
    <xf numFmtId="9" fontId="119" fillId="42" borderId="0" xfId="2" applyFont="1" applyFill="1" applyBorder="1"/>
    <xf numFmtId="168" fontId="119" fillId="42" borderId="0" xfId="2" applyNumberFormat="1" applyFont="1" applyFill="1" applyBorder="1"/>
    <xf numFmtId="167" fontId="104" fillId="42" borderId="0" xfId="0" applyNumberFormat="1" applyFont="1" applyFill="1"/>
    <xf numFmtId="167" fontId="104" fillId="42" borderId="61" xfId="0" applyNumberFormat="1" applyFont="1" applyFill="1" applyBorder="1"/>
    <xf numFmtId="167" fontId="104" fillId="2" borderId="0" xfId="0" applyNumberFormat="1" applyFont="1" applyFill="1"/>
    <xf numFmtId="0" fontId="107" fillId="42" borderId="58" xfId="0" applyFont="1" applyFill="1" applyBorder="1"/>
    <xf numFmtId="43" fontId="133" fillId="42" borderId="0" xfId="1" applyFont="1" applyFill="1" applyBorder="1"/>
    <xf numFmtId="43" fontId="133" fillId="2" borderId="0" xfId="1" applyFont="1" applyFill="1" applyBorder="1"/>
    <xf numFmtId="43" fontId="104" fillId="2" borderId="0" xfId="0" applyNumberFormat="1" applyFont="1" applyFill="1"/>
    <xf numFmtId="0" fontId="134" fillId="42" borderId="58" xfId="0" applyFont="1" applyFill="1" applyBorder="1"/>
    <xf numFmtId="0" fontId="104" fillId="42" borderId="0" xfId="0" applyFont="1" applyFill="1"/>
    <xf numFmtId="0" fontId="104" fillId="42" borderId="61" xfId="0" applyFont="1" applyFill="1" applyBorder="1"/>
    <xf numFmtId="0" fontId="104" fillId="2" borderId="0" xfId="0" applyFont="1" applyFill="1"/>
    <xf numFmtId="168" fontId="133" fillId="42" borderId="0" xfId="2" applyNumberFormat="1" applyFont="1" applyFill="1" applyBorder="1"/>
    <xf numFmtId="9" fontId="121" fillId="42" borderId="0" xfId="0" applyNumberFormat="1" applyFont="1" applyFill="1"/>
    <xf numFmtId="9" fontId="121" fillId="42" borderId="61" xfId="0" applyNumberFormat="1" applyFont="1" applyFill="1" applyBorder="1"/>
    <xf numFmtId="9" fontId="121" fillId="2" borderId="0" xfId="0" applyNumberFormat="1" applyFont="1" applyFill="1"/>
    <xf numFmtId="0" fontId="121" fillId="42" borderId="0" xfId="0" applyFont="1" applyFill="1"/>
    <xf numFmtId="0" fontId="121" fillId="2" borderId="0" xfId="0" applyFont="1" applyFill="1"/>
    <xf numFmtId="1" fontId="104" fillId="2" borderId="0" xfId="0" applyNumberFormat="1" applyFont="1" applyFill="1"/>
    <xf numFmtId="1" fontId="104" fillId="2" borderId="0" xfId="2" applyNumberFormat="1" applyFont="1" applyFill="1" applyBorder="1"/>
    <xf numFmtId="9" fontId="119" fillId="42" borderId="61" xfId="2" applyFont="1" applyFill="1" applyBorder="1"/>
    <xf numFmtId="0" fontId="130" fillId="42" borderId="59" xfId="0" applyFont="1" applyFill="1" applyBorder="1"/>
    <xf numFmtId="9" fontId="119" fillId="42" borderId="12" xfId="2" applyFont="1" applyFill="1" applyBorder="1"/>
    <xf numFmtId="9" fontId="106" fillId="42" borderId="12" xfId="2" applyFont="1" applyFill="1" applyBorder="1"/>
    <xf numFmtId="9" fontId="117" fillId="2" borderId="0" xfId="2" applyFont="1" applyFill="1" applyBorder="1"/>
    <xf numFmtId="0" fontId="130" fillId="2" borderId="11" xfId="0" applyFont="1" applyFill="1" applyBorder="1"/>
    <xf numFmtId="9" fontId="119" fillId="2" borderId="11" xfId="2" applyFont="1" applyFill="1" applyBorder="1"/>
    <xf numFmtId="9" fontId="106" fillId="2" borderId="11" xfId="2" applyFont="1" applyFill="1" applyBorder="1"/>
    <xf numFmtId="9" fontId="117" fillId="2" borderId="11" xfId="2" applyFont="1" applyFill="1" applyBorder="1"/>
    <xf numFmtId="38" fontId="108" fillId="2" borderId="11" xfId="11" applyNumberFormat="1" applyFont="1" applyFill="1" applyBorder="1"/>
    <xf numFmtId="38" fontId="119" fillId="2" borderId="11" xfId="11" applyNumberFormat="1" applyFont="1" applyFill="1" applyBorder="1"/>
    <xf numFmtId="0" fontId="130" fillId="2" borderId="0" xfId="0" applyFont="1" applyFill="1"/>
    <xf numFmtId="38" fontId="116" fillId="2" borderId="0" xfId="7" applyNumberFormat="1" applyFont="1" applyFill="1"/>
    <xf numFmtId="38" fontId="125" fillId="2" borderId="0" xfId="7" applyNumberFormat="1" applyFont="1" applyFill="1"/>
    <xf numFmtId="38" fontId="106" fillId="2" borderId="0" xfId="7" applyNumberFormat="1" applyFont="1" applyFill="1"/>
    <xf numFmtId="38" fontId="108" fillId="2" borderId="0" xfId="7" applyNumberFormat="1" applyFont="1" applyFill="1"/>
    <xf numFmtId="38" fontId="119" fillId="2" borderId="0" xfId="7" applyNumberFormat="1" applyFont="1" applyFill="1"/>
    <xf numFmtId="38" fontId="104" fillId="38" borderId="0" xfId="7" applyNumberFormat="1" applyFont="1" applyFill="1"/>
    <xf numFmtId="0" fontId="135" fillId="2" borderId="0" xfId="0" applyFont="1" applyFill="1"/>
    <xf numFmtId="3" fontId="106" fillId="0" borderId="0" xfId="7" applyNumberFormat="1" applyFont="1"/>
    <xf numFmtId="38" fontId="134" fillId="43" borderId="57" xfId="11" applyNumberFormat="1" applyFont="1" applyFill="1" applyBorder="1"/>
    <xf numFmtId="9" fontId="116" fillId="2" borderId="14" xfId="2" applyFont="1" applyFill="1" applyBorder="1"/>
    <xf numFmtId="9" fontId="107" fillId="2" borderId="14" xfId="2" applyFont="1" applyFill="1" applyBorder="1"/>
    <xf numFmtId="38" fontId="136" fillId="0" borderId="0" xfId="7" applyNumberFormat="1" applyFont="1"/>
    <xf numFmtId="0" fontId="137" fillId="2" borderId="58" xfId="0" applyFont="1" applyFill="1" applyBorder="1"/>
    <xf numFmtId="9" fontId="107" fillId="0" borderId="0" xfId="2" applyFont="1" applyFill="1" applyBorder="1"/>
    <xf numFmtId="38" fontId="134" fillId="0" borderId="0" xfId="7" applyNumberFormat="1" applyFont="1"/>
    <xf numFmtId="0" fontId="135" fillId="2" borderId="58" xfId="0" applyFont="1" applyFill="1" applyBorder="1"/>
    <xf numFmtId="38" fontId="134" fillId="43" borderId="58" xfId="11" applyNumberFormat="1" applyFont="1" applyFill="1" applyBorder="1"/>
    <xf numFmtId="38" fontId="107" fillId="2" borderId="0" xfId="11" applyNumberFormat="1" applyFont="1" applyFill="1" applyBorder="1"/>
    <xf numFmtId="38" fontId="116" fillId="0" borderId="0" xfId="7" applyNumberFormat="1" applyFont="1"/>
    <xf numFmtId="38" fontId="117" fillId="0" borderId="59" xfId="7" applyNumberFormat="1" applyFont="1" applyBorder="1"/>
    <xf numFmtId="38" fontId="117" fillId="0" borderId="12" xfId="7" applyNumberFormat="1" applyFont="1" applyBorder="1"/>
    <xf numFmtId="9" fontId="117" fillId="0" borderId="12" xfId="2" applyFont="1" applyFill="1" applyBorder="1"/>
    <xf numFmtId="38" fontId="117" fillId="0" borderId="0" xfId="7" applyNumberFormat="1" applyFont="1"/>
    <xf numFmtId="38" fontId="117" fillId="2" borderId="0" xfId="7" applyNumberFormat="1" applyFont="1" applyFill="1"/>
    <xf numFmtId="3" fontId="104" fillId="0" borderId="0" xfId="0" applyNumberFormat="1" applyFont="1" applyAlignment="1">
      <alignment horizontal="right" vertical="center"/>
    </xf>
    <xf numFmtId="187" fontId="104" fillId="0" borderId="0" xfId="7" applyNumberFormat="1" applyFont="1"/>
    <xf numFmtId="38" fontId="104" fillId="5" borderId="0" xfId="7" applyNumberFormat="1" applyFont="1" applyFill="1"/>
    <xf numFmtId="0" fontId="103" fillId="44" borderId="0" xfId="11" quotePrefix="1" applyNumberFormat="1" applyFont="1" applyFill="1" applyBorder="1"/>
    <xf numFmtId="38" fontId="107" fillId="0" borderId="0" xfId="7" applyNumberFormat="1" applyFont="1" applyAlignment="1">
      <alignment horizontal="right"/>
    </xf>
    <xf numFmtId="188" fontId="104" fillId="0" borderId="0" xfId="7" applyNumberFormat="1" applyFont="1"/>
    <xf numFmtId="40" fontId="104" fillId="0" borderId="0" xfId="7" applyNumberFormat="1" applyFont="1"/>
    <xf numFmtId="38" fontId="107" fillId="41" borderId="0" xfId="7" applyNumberFormat="1" applyFont="1" applyFill="1" applyAlignment="1">
      <alignment horizontal="right"/>
    </xf>
    <xf numFmtId="38" fontId="104" fillId="9" borderId="0" xfId="7" applyNumberFormat="1" applyFont="1" applyFill="1"/>
    <xf numFmtId="38" fontId="130" fillId="0" borderId="0" xfId="7" applyNumberFormat="1" applyFont="1" applyAlignment="1">
      <alignment horizontal="right"/>
    </xf>
    <xf numFmtId="38" fontId="107" fillId="40" borderId="0" xfId="7" applyNumberFormat="1" applyFont="1" applyFill="1" applyAlignment="1">
      <alignment horizontal="right"/>
    </xf>
    <xf numFmtId="0" fontId="105" fillId="0" borderId="57" xfId="0" applyFont="1" applyBorder="1"/>
    <xf numFmtId="0" fontId="104" fillId="0" borderId="14" xfId="0" applyFont="1" applyBorder="1" applyAlignment="1">
      <alignment horizontal="right"/>
    </xf>
    <xf numFmtId="38" fontId="104" fillId="0" borderId="14" xfId="7" applyNumberFormat="1" applyFont="1" applyBorder="1"/>
    <xf numFmtId="0" fontId="104" fillId="0" borderId="0" xfId="0" applyFont="1" applyAlignment="1">
      <alignment horizontal="right"/>
    </xf>
    <xf numFmtId="0" fontId="104" fillId="0" borderId="58" xfId="0" applyFont="1" applyBorder="1" applyAlignment="1">
      <alignment vertical="center"/>
    </xf>
    <xf numFmtId="0" fontId="104" fillId="9" borderId="58" xfId="0" applyFont="1" applyFill="1" applyBorder="1" applyAlignment="1">
      <alignment vertical="center"/>
    </xf>
    <xf numFmtId="164" fontId="104" fillId="9" borderId="0" xfId="1" applyNumberFormat="1" applyFont="1" applyFill="1" applyBorder="1"/>
    <xf numFmtId="164" fontId="115" fillId="9" borderId="0" xfId="1" applyNumberFormat="1" applyFont="1" applyFill="1" applyBorder="1"/>
    <xf numFmtId="0" fontId="105" fillId="0" borderId="58" xfId="0" applyFont="1" applyBorder="1"/>
    <xf numFmtId="164" fontId="105" fillId="0" borderId="0" xfId="0" applyNumberFormat="1" applyFont="1"/>
    <xf numFmtId="173" fontId="105" fillId="0" borderId="0" xfId="0" applyNumberFormat="1" applyFont="1"/>
    <xf numFmtId="0" fontId="104" fillId="0" borderId="58" xfId="0" applyFont="1" applyBorder="1"/>
    <xf numFmtId="0" fontId="104" fillId="0" borderId="0" xfId="0" applyFont="1"/>
    <xf numFmtId="164" fontId="104" fillId="0" borderId="0" xfId="0" applyNumberFormat="1" applyFont="1"/>
    <xf numFmtId="173" fontId="104" fillId="0" borderId="0" xfId="0" applyNumberFormat="1" applyFont="1"/>
    <xf numFmtId="1" fontId="104" fillId="0" borderId="0" xfId="0" applyNumberFormat="1" applyFont="1"/>
    <xf numFmtId="0" fontId="104" fillId="0" borderId="59" xfId="0" applyFont="1" applyBorder="1"/>
    <xf numFmtId="0" fontId="104" fillId="0" borderId="12" xfId="0" applyFont="1" applyBorder="1"/>
    <xf numFmtId="38" fontId="104" fillId="0" borderId="12" xfId="7" applyNumberFormat="1" applyFont="1" applyBorder="1"/>
    <xf numFmtId="38" fontId="105" fillId="0" borderId="58" xfId="7" applyNumberFormat="1" applyFont="1" applyBorder="1"/>
    <xf numFmtId="189" fontId="104" fillId="0" borderId="0" xfId="7" applyNumberFormat="1" applyFont="1"/>
    <xf numFmtId="190" fontId="104" fillId="0" borderId="0" xfId="7" applyNumberFormat="1" applyFont="1"/>
    <xf numFmtId="169" fontId="104" fillId="0" borderId="0" xfId="7" applyNumberFormat="1" applyFont="1"/>
    <xf numFmtId="3" fontId="104" fillId="0" borderId="0" xfId="7" applyNumberFormat="1" applyFont="1"/>
    <xf numFmtId="38" fontId="103" fillId="45" borderId="0" xfId="11" applyNumberFormat="1" applyFont="1" applyFill="1" applyBorder="1"/>
    <xf numFmtId="0" fontId="103" fillId="45" borderId="0" xfId="11" quotePrefix="1" applyNumberFormat="1" applyFont="1" applyFill="1" applyBorder="1" applyAlignment="1">
      <alignment horizontal="right"/>
    </xf>
    <xf numFmtId="0" fontId="103" fillId="45" borderId="0" xfId="11" quotePrefix="1" applyNumberFormat="1" applyFont="1" applyFill="1" applyBorder="1"/>
    <xf numFmtId="0" fontId="103" fillId="45" borderId="2" xfId="11" quotePrefix="1" applyNumberFormat="1" applyFont="1" applyFill="1" applyBorder="1"/>
    <xf numFmtId="0" fontId="104" fillId="2" borderId="2" xfId="12" applyNumberFormat="1" applyFont="1" applyFill="1" applyBorder="1"/>
    <xf numFmtId="0" fontId="104" fillId="2" borderId="52" xfId="12" applyNumberFormat="1" applyFont="1" applyFill="1" applyBorder="1"/>
    <xf numFmtId="38" fontId="106" fillId="0" borderId="2" xfId="11" applyNumberFormat="1" applyFont="1" applyFill="1" applyBorder="1"/>
    <xf numFmtId="9" fontId="113" fillId="2" borderId="2" xfId="2" applyFont="1" applyFill="1" applyBorder="1"/>
    <xf numFmtId="9" fontId="115" fillId="0" borderId="2" xfId="2" applyFont="1" applyFill="1" applyBorder="1"/>
    <xf numFmtId="38" fontId="105" fillId="0" borderId="2" xfId="11" applyNumberFormat="1" applyFont="1" applyFill="1" applyBorder="1"/>
    <xf numFmtId="168" fontId="116" fillId="0" borderId="2" xfId="2" applyNumberFormat="1" applyFont="1" applyFill="1" applyBorder="1"/>
    <xf numFmtId="38" fontId="106" fillId="0" borderId="2" xfId="14" applyNumberFormat="1" applyFont="1" applyBorder="1"/>
    <xf numFmtId="168" fontId="104" fillId="2" borderId="2" xfId="7" applyNumberFormat="1" applyFont="1" applyFill="1" applyBorder="1"/>
    <xf numFmtId="164" fontId="106" fillId="0" borderId="2" xfId="1" applyNumberFormat="1" applyFont="1" applyFill="1" applyBorder="1"/>
    <xf numFmtId="186" fontId="106" fillId="0" borderId="2" xfId="16" applyNumberFormat="1" applyFont="1" applyFill="1" applyBorder="1"/>
    <xf numFmtId="40" fontId="104" fillId="0" borderId="2" xfId="12" applyNumberFormat="1" applyFont="1" applyFill="1" applyBorder="1"/>
    <xf numFmtId="168" fontId="116" fillId="2" borderId="52" xfId="2" applyNumberFormat="1" applyFont="1" applyFill="1" applyBorder="1"/>
    <xf numFmtId="168" fontId="116" fillId="2" borderId="2" xfId="2" applyNumberFormat="1" applyFont="1" applyFill="1" applyBorder="1"/>
    <xf numFmtId="168" fontId="116" fillId="2" borderId="13" xfId="2" applyNumberFormat="1" applyFont="1" applyFill="1" applyBorder="1"/>
    <xf numFmtId="9" fontId="107" fillId="2" borderId="2" xfId="11" applyNumberFormat="1" applyFont="1" applyFill="1" applyBorder="1"/>
    <xf numFmtId="38" fontId="104" fillId="2" borderId="2" xfId="11" quotePrefix="1" applyNumberFormat="1" applyFont="1" applyFill="1" applyBorder="1"/>
    <xf numFmtId="38" fontId="120" fillId="2" borderId="2" xfId="11" quotePrefix="1" applyNumberFormat="1" applyFont="1" applyFill="1" applyBorder="1"/>
    <xf numFmtId="9" fontId="104" fillId="2" borderId="2" xfId="2" quotePrefix="1" applyFont="1" applyFill="1" applyBorder="1"/>
    <xf numFmtId="38" fontId="105" fillId="2" borderId="8" xfId="11" quotePrefix="1" applyNumberFormat="1" applyFont="1" applyFill="1" applyBorder="1"/>
    <xf numFmtId="38" fontId="105" fillId="2" borderId="2" xfId="11" quotePrefix="1" applyNumberFormat="1" applyFont="1" applyFill="1" applyBorder="1"/>
    <xf numFmtId="38" fontId="105" fillId="2" borderId="6" xfId="11" quotePrefix="1" applyNumberFormat="1" applyFont="1" applyFill="1" applyBorder="1"/>
    <xf numFmtId="38" fontId="105" fillId="2" borderId="28" xfId="11" quotePrefix="1" applyNumberFormat="1" applyFont="1" applyFill="1" applyBorder="1"/>
    <xf numFmtId="38" fontId="106" fillId="2" borderId="2" xfId="11" quotePrefix="1" applyNumberFormat="1" applyFont="1" applyFill="1" applyBorder="1"/>
    <xf numFmtId="38" fontId="122" fillId="2" borderId="28" xfId="11" quotePrefix="1" applyNumberFormat="1" applyFont="1" applyFill="1" applyBorder="1"/>
    <xf numFmtId="9" fontId="116" fillId="0" borderId="52" xfId="2" applyFont="1" applyFill="1" applyBorder="1"/>
    <xf numFmtId="9" fontId="116" fillId="0" borderId="2" xfId="2" applyFont="1" applyFill="1" applyBorder="1"/>
    <xf numFmtId="9" fontId="123" fillId="0" borderId="2" xfId="2" applyFont="1" applyFill="1" applyBorder="1"/>
    <xf numFmtId="9" fontId="116" fillId="0" borderId="2" xfId="1" applyNumberFormat="1" applyFont="1" applyFill="1" applyBorder="1"/>
    <xf numFmtId="9" fontId="116" fillId="0" borderId="13" xfId="2" applyFont="1" applyFill="1" applyBorder="1"/>
    <xf numFmtId="168" fontId="105" fillId="2" borderId="2" xfId="2" applyNumberFormat="1" applyFont="1" applyFill="1" applyBorder="1"/>
    <xf numFmtId="38" fontId="120" fillId="0" borderId="2" xfId="11" applyNumberFormat="1" applyFont="1" applyFill="1" applyBorder="1"/>
    <xf numFmtId="9" fontId="119" fillId="0" borderId="2" xfId="2" applyFont="1" applyFill="1" applyBorder="1"/>
    <xf numFmtId="168" fontId="125" fillId="0" borderId="2" xfId="2" applyNumberFormat="1" applyFont="1" applyFill="1" applyBorder="1"/>
    <xf numFmtId="9" fontId="125" fillId="0" borderId="2" xfId="2" applyFont="1" applyFill="1" applyBorder="1"/>
    <xf numFmtId="38" fontId="105" fillId="0" borderId="2" xfId="7" applyNumberFormat="1" applyFont="1" applyBorder="1"/>
    <xf numFmtId="38" fontId="104" fillId="2" borderId="2" xfId="11" applyNumberFormat="1" applyFont="1" applyFill="1" applyBorder="1"/>
    <xf numFmtId="10" fontId="104" fillId="0" borderId="2" xfId="2" applyNumberFormat="1" applyFont="1" applyFill="1" applyBorder="1"/>
    <xf numFmtId="38" fontId="122" fillId="0" borderId="2" xfId="11" applyNumberFormat="1" applyFont="1" applyFill="1" applyBorder="1"/>
    <xf numFmtId="38" fontId="124" fillId="2" borderId="2" xfId="11" applyNumberFormat="1" applyFont="1" applyFill="1" applyBorder="1"/>
    <xf numFmtId="168" fontId="119" fillId="0" borderId="2" xfId="2" applyNumberFormat="1" applyFont="1" applyFill="1" applyBorder="1"/>
    <xf numFmtId="9" fontId="125" fillId="0" borderId="2" xfId="11" applyNumberFormat="1" applyFont="1" applyFill="1" applyBorder="1"/>
    <xf numFmtId="164" fontId="116" fillId="0" borderId="2" xfId="1" applyNumberFormat="1" applyFont="1" applyFill="1" applyBorder="1"/>
    <xf numFmtId="9" fontId="116" fillId="2" borderId="2" xfId="2" applyFont="1" applyFill="1" applyBorder="1"/>
    <xf numFmtId="38" fontId="106" fillId="2" borderId="2" xfId="11" applyNumberFormat="1" applyFont="1" applyFill="1" applyBorder="1"/>
    <xf numFmtId="164" fontId="120" fillId="0" borderId="2" xfId="1" applyNumberFormat="1" applyFont="1" applyFill="1" applyBorder="1"/>
    <xf numFmtId="9" fontId="106" fillId="0" borderId="2" xfId="1" applyNumberFormat="1" applyFont="1" applyFill="1" applyBorder="1"/>
    <xf numFmtId="9" fontId="116" fillId="0" borderId="2" xfId="11" applyNumberFormat="1" applyFont="1" applyFill="1" applyBorder="1"/>
    <xf numFmtId="9" fontId="116" fillId="0" borderId="6" xfId="2" applyFont="1" applyFill="1" applyBorder="1"/>
    <xf numFmtId="9" fontId="106" fillId="2" borderId="2" xfId="2" applyFont="1" applyFill="1" applyBorder="1"/>
    <xf numFmtId="168" fontId="119" fillId="2" borderId="2" xfId="2" applyNumberFormat="1" applyFont="1" applyFill="1" applyBorder="1"/>
    <xf numFmtId="9" fontId="119" fillId="2" borderId="2" xfId="2" applyFont="1" applyFill="1" applyBorder="1"/>
    <xf numFmtId="9" fontId="119" fillId="42" borderId="52" xfId="2" applyFont="1" applyFill="1" applyBorder="1"/>
    <xf numFmtId="164" fontId="133" fillId="42" borderId="2" xfId="1" applyNumberFormat="1" applyFont="1" applyFill="1" applyBorder="1"/>
    <xf numFmtId="9" fontId="119" fillId="42" borderId="2" xfId="2" applyFont="1" applyFill="1" applyBorder="1"/>
    <xf numFmtId="43" fontId="133" fillId="42" borderId="2" xfId="1" applyFont="1" applyFill="1" applyBorder="1"/>
    <xf numFmtId="9" fontId="106" fillId="2" borderId="6" xfId="2" applyFont="1" applyFill="1" applyBorder="1"/>
    <xf numFmtId="168" fontId="106" fillId="0" borderId="2" xfId="2" applyNumberFormat="1" applyFont="1" applyFill="1" applyBorder="1"/>
    <xf numFmtId="9" fontId="107" fillId="2" borderId="52" xfId="2" applyFont="1" applyFill="1" applyBorder="1"/>
    <xf numFmtId="9" fontId="107" fillId="2" borderId="2" xfId="2" applyFont="1" applyFill="1" applyBorder="1"/>
    <xf numFmtId="9" fontId="117" fillId="0" borderId="13" xfId="2" applyFont="1" applyFill="1" applyBorder="1"/>
    <xf numFmtId="3" fontId="104" fillId="0" borderId="2" xfId="0" applyNumberFormat="1" applyFont="1" applyBorder="1" applyAlignment="1">
      <alignment horizontal="right" vertical="center"/>
    </xf>
    <xf numFmtId="187" fontId="104" fillId="0" borderId="2" xfId="7" applyNumberFormat="1" applyFont="1" applyBorder="1"/>
    <xf numFmtId="168" fontId="104" fillId="0" borderId="2" xfId="7" applyNumberFormat="1" applyFont="1" applyBorder="1"/>
    <xf numFmtId="0" fontId="103" fillId="5" borderId="2" xfId="11" quotePrefix="1" applyNumberFormat="1" applyFont="1" applyFill="1" applyBorder="1"/>
    <xf numFmtId="188" fontId="104" fillId="0" borderId="2" xfId="7" applyNumberFormat="1" applyFont="1" applyBorder="1"/>
    <xf numFmtId="40" fontId="104" fillId="0" borderId="2" xfId="7" applyNumberFormat="1" applyFont="1" applyBorder="1"/>
    <xf numFmtId="38" fontId="104" fillId="0" borderId="52" xfId="7" applyNumberFormat="1" applyFont="1" applyBorder="1"/>
    <xf numFmtId="38" fontId="104" fillId="0" borderId="13" xfId="7" applyNumberFormat="1" applyFont="1" applyBorder="1"/>
    <xf numFmtId="0" fontId="103" fillId="22" borderId="0" xfId="11" quotePrefix="1" applyNumberFormat="1" applyFont="1" applyFill="1" applyBorder="1"/>
    <xf numFmtId="0" fontId="103" fillId="22" borderId="0" xfId="11" applyNumberFormat="1" applyFont="1" applyFill="1" applyBorder="1"/>
    <xf numFmtId="38" fontId="103" fillId="22" borderId="0" xfId="11" applyNumberFormat="1" applyFont="1" applyFill="1" applyBorder="1"/>
    <xf numFmtId="38" fontId="103" fillId="29" borderId="0" xfId="11" applyNumberFormat="1" applyFont="1" applyFill="1" applyBorder="1"/>
    <xf numFmtId="10" fontId="125" fillId="0" borderId="0" xfId="2" applyNumberFormat="1" applyFont="1" applyFill="1" applyBorder="1"/>
    <xf numFmtId="0" fontId="138" fillId="0" borderId="0" xfId="0" applyFont="1"/>
    <xf numFmtId="9" fontId="106" fillId="18" borderId="0" xfId="13" applyFont="1" applyFill="1" applyBorder="1" applyAlignment="1">
      <alignment vertical="center"/>
    </xf>
    <xf numFmtId="3" fontId="106" fillId="18" borderId="0" xfId="13" applyNumberFormat="1" applyFont="1" applyFill="1" applyBorder="1" applyAlignment="1">
      <alignment vertical="center"/>
    </xf>
    <xf numFmtId="9" fontId="107" fillId="18" borderId="0" xfId="2" applyFont="1" applyFill="1" applyBorder="1"/>
    <xf numFmtId="38" fontId="35" fillId="2" borderId="0" xfId="3" applyNumberFormat="1" applyFill="1" applyAlignment="1">
      <alignment vertical="center"/>
    </xf>
    <xf numFmtId="38" fontId="108" fillId="34" borderId="0" xfId="11" applyNumberFormat="1" applyFont="1" applyFill="1" applyBorder="1"/>
    <xf numFmtId="10" fontId="104" fillId="0" borderId="0" xfId="2" applyNumberFormat="1" applyFont="1"/>
    <xf numFmtId="1" fontId="127" fillId="0" borderId="0" xfId="2" applyNumberFormat="1" applyFont="1" applyFill="1" applyBorder="1"/>
    <xf numFmtId="1" fontId="128" fillId="0" borderId="0" xfId="2" applyNumberFormat="1" applyFont="1" applyFill="1" applyBorder="1"/>
    <xf numFmtId="1" fontId="128" fillId="0" borderId="0" xfId="2" applyNumberFormat="1" applyFont="1" applyFill="1" applyBorder="1" applyAlignment="1">
      <alignment horizontal="center"/>
    </xf>
    <xf numFmtId="1" fontId="132" fillId="0" borderId="0" xfId="2" applyNumberFormat="1" applyFont="1" applyFill="1" applyBorder="1"/>
    <xf numFmtId="10" fontId="106" fillId="2" borderId="0" xfId="2" applyNumberFormat="1" applyFont="1" applyFill="1" applyBorder="1"/>
    <xf numFmtId="38" fontId="106" fillId="34" borderId="0" xfId="11" applyNumberFormat="1" applyFont="1" applyFill="1" applyBorder="1"/>
    <xf numFmtId="40" fontId="122" fillId="0" borderId="0" xfId="11" applyNumberFormat="1" applyFont="1" applyFill="1" applyBorder="1"/>
    <xf numFmtId="43" fontId="119" fillId="42" borderId="0" xfId="1" applyFont="1" applyFill="1" applyBorder="1"/>
    <xf numFmtId="43" fontId="119" fillId="42" borderId="2" xfId="1" applyFont="1" applyFill="1" applyBorder="1"/>
    <xf numFmtId="40" fontId="119" fillId="0" borderId="0" xfId="11" applyNumberFormat="1" applyFont="1" applyFill="1" applyBorder="1"/>
    <xf numFmtId="164" fontId="112" fillId="0" borderId="0" xfId="1" applyNumberFormat="1" applyFont="1" applyFill="1" applyBorder="1"/>
    <xf numFmtId="9" fontId="112" fillId="0" borderId="0" xfId="2" applyFont="1" applyFill="1" applyBorder="1"/>
    <xf numFmtId="9" fontId="119" fillId="42" borderId="13" xfId="2" applyFont="1" applyFill="1" applyBorder="1"/>
    <xf numFmtId="38" fontId="105" fillId="2" borderId="14" xfId="7" applyNumberFormat="1" applyFont="1" applyFill="1" applyBorder="1" applyAlignment="1">
      <alignment vertical="center"/>
    </xf>
    <xf numFmtId="38" fontId="116" fillId="2" borderId="14" xfId="7" applyNumberFormat="1" applyFont="1" applyFill="1" applyBorder="1"/>
    <xf numFmtId="38" fontId="116" fillId="2" borderId="12" xfId="7" applyNumberFormat="1" applyFont="1" applyFill="1" applyBorder="1"/>
    <xf numFmtId="38" fontId="104" fillId="40" borderId="14" xfId="11" applyNumberFormat="1" applyFont="1" applyFill="1" applyBorder="1"/>
    <xf numFmtId="38" fontId="107" fillId="0" borderId="12" xfId="11" applyNumberFormat="1" applyFont="1" applyFill="1" applyBorder="1"/>
    <xf numFmtId="38" fontId="105" fillId="41" borderId="14" xfId="11" applyNumberFormat="1" applyFont="1" applyFill="1" applyBorder="1"/>
    <xf numFmtId="38" fontId="105" fillId="41" borderId="12" xfId="11" applyNumberFormat="1" applyFont="1" applyFill="1" applyBorder="1"/>
    <xf numFmtId="38" fontId="105" fillId="0" borderId="7" xfId="11" applyNumberFormat="1" applyFont="1" applyFill="1" applyBorder="1" applyAlignment="1">
      <alignment horizontal="left" indent="1"/>
    </xf>
    <xf numFmtId="38" fontId="105" fillId="0" borderId="0" xfId="11" applyNumberFormat="1" applyFont="1" applyFill="1" applyBorder="1" applyAlignment="1">
      <alignment horizontal="left" indent="1"/>
    </xf>
    <xf numFmtId="38" fontId="105" fillId="0" borderId="11" xfId="11" applyNumberFormat="1" applyFont="1" applyFill="1" applyBorder="1" applyAlignment="1">
      <alignment horizontal="left" indent="1"/>
    </xf>
    <xf numFmtId="38" fontId="121" fillId="42" borderId="14" xfId="11" applyNumberFormat="1" applyFont="1" applyFill="1" applyBorder="1"/>
    <xf numFmtId="0" fontId="105" fillId="42" borderId="0" xfId="0" applyFont="1" applyFill="1"/>
    <xf numFmtId="0" fontId="107" fillId="42" borderId="0" xfId="0" applyFont="1" applyFill="1"/>
    <xf numFmtId="0" fontId="134" fillId="42" borderId="0" xfId="0" applyFont="1" applyFill="1"/>
    <xf numFmtId="0" fontId="130" fillId="42" borderId="12" xfId="0" applyFont="1" applyFill="1" applyBorder="1"/>
    <xf numFmtId="38" fontId="134" fillId="43" borderId="14" xfId="11" applyNumberFormat="1" applyFont="1" applyFill="1" applyBorder="1"/>
    <xf numFmtId="0" fontId="137" fillId="2" borderId="0" xfId="0" applyFont="1" applyFill="1"/>
    <xf numFmtId="38" fontId="134" fillId="43" borderId="0" xfId="11" applyNumberFormat="1" applyFont="1" applyFill="1" applyBorder="1"/>
    <xf numFmtId="0" fontId="105" fillId="0" borderId="14" xfId="0" applyFont="1" applyBorder="1"/>
    <xf numFmtId="0" fontId="104" fillId="0" borderId="0" xfId="0" applyFont="1" applyAlignment="1">
      <alignment vertical="center"/>
    </xf>
    <xf numFmtId="0" fontId="104" fillId="9" borderId="0" xfId="0" applyFont="1" applyFill="1" applyAlignment="1">
      <alignment vertical="center"/>
    </xf>
    <xf numFmtId="0" fontId="105" fillId="0" borderId="0" xfId="0" applyFont="1"/>
    <xf numFmtId="9" fontId="119" fillId="2" borderId="0" xfId="2" applyFont="1" applyFill="1" applyBorder="1" applyAlignment="1">
      <alignment horizontal="left" indent="1"/>
    </xf>
    <xf numFmtId="43" fontId="104" fillId="0" borderId="0" xfId="1" applyFont="1" applyFill="1" applyBorder="1"/>
    <xf numFmtId="43" fontId="104" fillId="0" borderId="12" xfId="1" applyFont="1" applyFill="1" applyBorder="1"/>
    <xf numFmtId="10" fontId="107" fillId="0" borderId="0" xfId="2" applyNumberFormat="1" applyFont="1" applyFill="1" applyBorder="1"/>
    <xf numFmtId="4" fontId="106" fillId="0" borderId="0" xfId="7" applyNumberFormat="1" applyFont="1"/>
    <xf numFmtId="9" fontId="106" fillId="9" borderId="0" xfId="2" applyFont="1" applyFill="1" applyBorder="1"/>
    <xf numFmtId="43" fontId="106" fillId="9" borderId="0" xfId="1" applyFont="1" applyFill="1" applyBorder="1"/>
    <xf numFmtId="0" fontId="116" fillId="0" borderId="0" xfId="1" applyNumberFormat="1" applyFont="1" applyFill="1" applyBorder="1"/>
    <xf numFmtId="0" fontId="103" fillId="0" borderId="0" xfId="11" quotePrefix="1" applyNumberFormat="1" applyFont="1" applyFill="1" applyBorder="1"/>
    <xf numFmtId="43" fontId="106" fillId="0" borderId="0" xfId="1" applyFont="1" applyFill="1" applyBorder="1"/>
    <xf numFmtId="10" fontId="116" fillId="0" borderId="0" xfId="2" applyNumberFormat="1" applyFont="1" applyFill="1" applyBorder="1"/>
    <xf numFmtId="10" fontId="125" fillId="2" borderId="0" xfId="2" applyNumberFormat="1" applyFont="1" applyFill="1" applyBorder="1"/>
    <xf numFmtId="10" fontId="119" fillId="0" borderId="0" xfId="2" applyNumberFormat="1" applyFont="1" applyFill="1" applyBorder="1"/>
    <xf numFmtId="38" fontId="104" fillId="2" borderId="0" xfId="11" applyNumberFormat="1" applyFont="1" applyFill="1" applyBorder="1" applyAlignment="1">
      <alignment vertical="center" wrapText="1"/>
    </xf>
    <xf numFmtId="38" fontId="104" fillId="2" borderId="0" xfId="11" applyNumberFormat="1" applyFont="1" applyFill="1" applyBorder="1" applyAlignment="1">
      <alignment vertical="center"/>
    </xf>
    <xf numFmtId="38" fontId="139" fillId="34" borderId="0" xfId="7" applyNumberFormat="1" applyFont="1" applyFill="1"/>
    <xf numFmtId="43" fontId="117" fillId="0" borderId="0" xfId="1" applyFont="1" applyFill="1" applyBorder="1"/>
    <xf numFmtId="9" fontId="126" fillId="0" borderId="0" xfId="1" applyNumberFormat="1" applyFont="1" applyFill="1" applyBorder="1"/>
    <xf numFmtId="43" fontId="116" fillId="0" borderId="0" xfId="1" applyFont="1" applyFill="1" applyBorder="1"/>
    <xf numFmtId="9" fontId="104" fillId="0" borderId="0" xfId="1" applyNumberFormat="1" applyFont="1" applyFill="1" applyBorder="1"/>
    <xf numFmtId="168" fontId="120" fillId="0" borderId="0" xfId="11" applyNumberFormat="1" applyFont="1" applyFill="1" applyBorder="1"/>
    <xf numFmtId="9" fontId="106" fillId="0" borderId="0" xfId="11" applyNumberFormat="1" applyFont="1" applyFill="1" applyBorder="1"/>
    <xf numFmtId="10" fontId="116" fillId="0" borderId="0" xfId="11" applyNumberFormat="1" applyFont="1" applyFill="1" applyBorder="1"/>
    <xf numFmtId="40" fontId="117" fillId="0" borderId="0" xfId="7" applyNumberFormat="1" applyFont="1"/>
    <xf numFmtId="40" fontId="105" fillId="0" borderId="0" xfId="11" applyNumberFormat="1" applyFont="1" applyFill="1" applyBorder="1"/>
    <xf numFmtId="168" fontId="106" fillId="0" borderId="12" xfId="2" applyNumberFormat="1" applyFont="1" applyFill="1" applyBorder="1"/>
    <xf numFmtId="38" fontId="107" fillId="0" borderId="0" xfId="11" applyNumberFormat="1" applyFont="1" applyFill="1" applyBorder="1" applyAlignment="1">
      <alignment horizontal="right"/>
    </xf>
    <xf numFmtId="38" fontId="140" fillId="47" borderId="0" xfId="11" applyNumberFormat="1" applyFont="1" applyFill="1" applyBorder="1"/>
    <xf numFmtId="38" fontId="140" fillId="48" borderId="0" xfId="11" applyNumberFormat="1" applyFont="1" applyFill="1" applyBorder="1"/>
    <xf numFmtId="10" fontId="106" fillId="0" borderId="12" xfId="2" applyNumberFormat="1" applyFont="1" applyFill="1" applyBorder="1"/>
    <xf numFmtId="10" fontId="106" fillId="0" borderId="12" xfId="11" applyNumberFormat="1" applyFont="1" applyFill="1" applyBorder="1"/>
    <xf numFmtId="38" fontId="104" fillId="0" borderId="0" xfId="11" quotePrefix="1" applyNumberFormat="1" applyFont="1" applyFill="1" applyBorder="1"/>
    <xf numFmtId="4" fontId="117" fillId="0" borderId="0" xfId="7" applyNumberFormat="1" applyFont="1"/>
    <xf numFmtId="4" fontId="0" fillId="0" borderId="0" xfId="0" applyNumberFormat="1"/>
    <xf numFmtId="38" fontId="105" fillId="34" borderId="0" xfId="11" applyNumberFormat="1" applyFont="1" applyFill="1" applyBorder="1"/>
    <xf numFmtId="38" fontId="125" fillId="34" borderId="0" xfId="11" applyNumberFormat="1" applyFont="1" applyFill="1" applyBorder="1"/>
    <xf numFmtId="168" fontId="125" fillId="34" borderId="0" xfId="2" applyNumberFormat="1" applyFont="1" applyFill="1" applyBorder="1"/>
    <xf numFmtId="10" fontId="125" fillId="34" borderId="0" xfId="2" applyNumberFormat="1" applyFont="1" applyFill="1" applyBorder="1"/>
    <xf numFmtId="38" fontId="114" fillId="34" borderId="0" xfId="11" applyNumberFormat="1" applyFont="1" applyFill="1" applyBorder="1"/>
    <xf numFmtId="168" fontId="141" fillId="49" borderId="0" xfId="11" applyNumberFormat="1" applyFont="1" applyFill="1" applyBorder="1"/>
    <xf numFmtId="168" fontId="141" fillId="49" borderId="0" xfId="13" applyNumberFormat="1" applyFont="1" applyFill="1" applyBorder="1"/>
    <xf numFmtId="168" fontId="141" fillId="27" borderId="0" xfId="13" applyNumberFormat="1" applyFont="1" applyFill="1" applyBorder="1"/>
    <xf numFmtId="9" fontId="141" fillId="49" borderId="0" xfId="2" applyFont="1" applyFill="1" applyBorder="1"/>
    <xf numFmtId="168" fontId="141" fillId="49" borderId="0" xfId="2" applyNumberFormat="1" applyFont="1" applyFill="1" applyBorder="1"/>
    <xf numFmtId="168" fontId="35" fillId="0" borderId="0" xfId="3" applyNumberFormat="1" applyFill="1" applyBorder="1"/>
    <xf numFmtId="38" fontId="142" fillId="49" borderId="0" xfId="11" applyNumberFormat="1" applyFont="1" applyFill="1" applyBorder="1"/>
    <xf numFmtId="9" fontId="142" fillId="27" borderId="0" xfId="2" applyFont="1" applyFill="1" applyBorder="1"/>
    <xf numFmtId="38" fontId="142" fillId="27" borderId="0" xfId="11" applyNumberFormat="1" applyFont="1" applyFill="1" applyBorder="1" applyAlignment="1">
      <alignment vertical="center"/>
    </xf>
    <xf numFmtId="38" fontId="142" fillId="49" borderId="0" xfId="11" applyNumberFormat="1" applyFont="1" applyFill="1" applyBorder="1" applyAlignment="1">
      <alignment horizontal="left" indent="1"/>
    </xf>
    <xf numFmtId="10" fontId="142" fillId="27" borderId="0" xfId="2" applyNumberFormat="1" applyFont="1" applyFill="1" applyBorder="1"/>
    <xf numFmtId="9" fontId="142" fillId="49" borderId="0" xfId="2" applyFont="1" applyFill="1" applyBorder="1"/>
    <xf numFmtId="38" fontId="142" fillId="0" borderId="0" xfId="11" applyNumberFormat="1" applyFont="1" applyFill="1" applyBorder="1"/>
    <xf numFmtId="38" fontId="143" fillId="0" borderId="0" xfId="11" applyNumberFormat="1" applyFont="1" applyFill="1" applyBorder="1"/>
    <xf numFmtId="9" fontId="143" fillId="0" borderId="0" xfId="2" applyFont="1" applyFill="1" applyBorder="1"/>
    <xf numFmtId="43" fontId="143" fillId="0" borderId="0" xfId="1" applyFont="1" applyFill="1" applyBorder="1"/>
    <xf numFmtId="38" fontId="143" fillId="0" borderId="0" xfId="11" applyNumberFormat="1" applyFont="1" applyFill="1" applyBorder="1" applyAlignment="1">
      <alignment vertical="center"/>
    </xf>
    <xf numFmtId="38" fontId="143" fillId="0" borderId="2" xfId="11" applyNumberFormat="1" applyFont="1" applyFill="1" applyBorder="1"/>
    <xf numFmtId="40" fontId="120" fillId="0" borderId="0" xfId="11" applyNumberFormat="1" applyFont="1" applyFill="1" applyBorder="1"/>
    <xf numFmtId="40" fontId="124" fillId="0" borderId="0" xfId="11" applyNumberFormat="1" applyFont="1" applyFill="1" applyBorder="1"/>
    <xf numFmtId="10" fontId="104" fillId="0" borderId="0" xfId="11" applyNumberFormat="1" applyFont="1" applyFill="1" applyBorder="1"/>
    <xf numFmtId="40" fontId="124" fillId="2" borderId="0" xfId="11" applyNumberFormat="1" applyFont="1" applyFill="1" applyBorder="1"/>
    <xf numFmtId="10" fontId="116" fillId="2" borderId="0" xfId="2" applyNumberFormat="1" applyFont="1" applyFill="1" applyBorder="1"/>
    <xf numFmtId="38" fontId="142" fillId="49" borderId="58" xfId="11" applyNumberFormat="1" applyFont="1" applyFill="1" applyBorder="1"/>
    <xf numFmtId="10" fontId="142" fillId="49" borderId="0" xfId="2" applyNumberFormat="1" applyFont="1" applyFill="1" applyBorder="1"/>
    <xf numFmtId="38" fontId="142" fillId="49" borderId="0" xfId="7" applyNumberFormat="1" applyFont="1" applyFill="1"/>
    <xf numFmtId="38" fontId="142" fillId="49" borderId="58" xfId="7" applyNumberFormat="1" applyFont="1" applyFill="1" applyBorder="1"/>
    <xf numFmtId="43" fontId="142" fillId="49" borderId="0" xfId="1" applyFont="1" applyFill="1"/>
    <xf numFmtId="40" fontId="142" fillId="49" borderId="0" xfId="7" applyNumberFormat="1" applyFont="1" applyFill="1"/>
    <xf numFmtId="43" fontId="142" fillId="49" borderId="0" xfId="1" applyFont="1" applyFill="1" applyBorder="1"/>
    <xf numFmtId="40" fontId="142" fillId="49" borderId="0" xfId="11" applyNumberFormat="1" applyFont="1" applyFill="1" applyBorder="1"/>
    <xf numFmtId="38" fontId="142" fillId="0" borderId="0" xfId="7" applyNumberFormat="1" applyFont="1"/>
    <xf numFmtId="38" fontId="109" fillId="0" borderId="0" xfId="7" applyNumberFormat="1" applyFont="1"/>
    <xf numFmtId="38" fontId="110" fillId="0" borderId="0" xfId="7" applyNumberFormat="1" applyFont="1"/>
    <xf numFmtId="3" fontId="142" fillId="0" borderId="0" xfId="7" applyNumberFormat="1" applyFont="1"/>
    <xf numFmtId="3" fontId="107" fillId="0" borderId="0" xfId="7" applyNumberFormat="1" applyFont="1"/>
    <xf numFmtId="168" fontId="142" fillId="0" borderId="0" xfId="2" applyNumberFormat="1" applyFont="1" applyFill="1" applyBorder="1"/>
    <xf numFmtId="43" fontId="6" fillId="2" borderId="2" xfId="1" applyFont="1" applyFill="1" applyBorder="1"/>
    <xf numFmtId="172" fontId="46" fillId="2" borderId="2" xfId="0" applyNumberFormat="1" applyFont="1" applyFill="1" applyBorder="1"/>
    <xf numFmtId="173" fontId="6" fillId="2" borderId="6" xfId="0" applyNumberFormat="1" applyFont="1" applyFill="1" applyBorder="1"/>
    <xf numFmtId="10" fontId="6" fillId="23" borderId="11" xfId="2" applyNumberFormat="1" applyFont="1" applyFill="1" applyBorder="1"/>
    <xf numFmtId="10" fontId="6" fillId="23" borderId="0" xfId="0" applyNumberFormat="1" applyFont="1" applyFill="1"/>
    <xf numFmtId="43" fontId="6" fillId="2" borderId="0" xfId="1" applyFont="1" applyFill="1" applyBorder="1"/>
    <xf numFmtId="43" fontId="6" fillId="23" borderId="0" xfId="1" applyFont="1" applyFill="1" applyBorder="1"/>
    <xf numFmtId="10" fontId="46" fillId="23" borderId="0" xfId="0" applyNumberFormat="1" applyFont="1" applyFill="1"/>
    <xf numFmtId="43" fontId="11" fillId="21" borderId="0" xfId="1" applyFont="1" applyFill="1" applyBorder="1"/>
    <xf numFmtId="172" fontId="11" fillId="21" borderId="0" xfId="1" applyNumberFormat="1" applyFont="1" applyFill="1" applyBorder="1"/>
    <xf numFmtId="172" fontId="10" fillId="2" borderId="0" xfId="0" applyNumberFormat="1" applyFont="1" applyFill="1"/>
    <xf numFmtId="172" fontId="10" fillId="21" borderId="0" xfId="0" applyNumberFormat="1" applyFont="1" applyFill="1"/>
    <xf numFmtId="10" fontId="13" fillId="21" borderId="0" xfId="2" applyNumberFormat="1" applyFont="1" applyFill="1" applyBorder="1"/>
    <xf numFmtId="170" fontId="18" fillId="20" borderId="0" xfId="1" applyNumberFormat="1" applyFont="1" applyFill="1" applyBorder="1" applyAlignment="1">
      <alignment horizontal="left"/>
    </xf>
    <xf numFmtId="170" fontId="18" fillId="20" borderId="0" xfId="1" applyNumberFormat="1" applyFont="1" applyFill="1" applyBorder="1"/>
    <xf numFmtId="164" fontId="28" fillId="2" borderId="0" xfId="1" applyNumberFormat="1" applyFont="1" applyFill="1" applyBorder="1"/>
    <xf numFmtId="43" fontId="28" fillId="21" borderId="0" xfId="1" applyFont="1" applyFill="1" applyBorder="1"/>
    <xf numFmtId="164" fontId="28" fillId="6" borderId="0" xfId="1" applyNumberFormat="1" applyFont="1" applyFill="1" applyBorder="1"/>
    <xf numFmtId="10" fontId="20" fillId="21" borderId="0" xfId="2" applyNumberFormat="1" applyFont="1" applyFill="1" applyBorder="1"/>
    <xf numFmtId="4" fontId="11" fillId="21" borderId="0" xfId="2" applyNumberFormat="1" applyFont="1" applyFill="1" applyBorder="1"/>
    <xf numFmtId="4" fontId="13" fillId="21" borderId="0" xfId="0" applyNumberFormat="1" applyFont="1" applyFill="1"/>
    <xf numFmtId="10" fontId="11" fillId="21" borderId="0" xfId="2" applyNumberFormat="1" applyFont="1" applyFill="1" applyBorder="1"/>
    <xf numFmtId="173" fontId="28" fillId="2" borderId="0" xfId="0" applyNumberFormat="1" applyFont="1" applyFill="1"/>
    <xf numFmtId="172" fontId="28" fillId="2" borderId="0" xfId="0" applyNumberFormat="1" applyFont="1" applyFill="1"/>
    <xf numFmtId="172" fontId="28" fillId="21" borderId="0" xfId="0" applyNumberFormat="1" applyFont="1" applyFill="1"/>
    <xf numFmtId="173" fontId="28" fillId="6" borderId="0" xfId="0" applyNumberFormat="1" applyFont="1" applyFill="1"/>
    <xf numFmtId="0" fontId="18" fillId="0" borderId="0" xfId="0" applyFont="1"/>
    <xf numFmtId="0" fontId="81" fillId="0" borderId="0" xfId="0" applyFont="1"/>
    <xf numFmtId="167" fontId="81" fillId="2" borderId="0" xfId="1" applyNumberFormat="1" applyFont="1" applyFill="1" applyBorder="1"/>
    <xf numFmtId="167" fontId="81" fillId="21" borderId="0" xfId="1" applyNumberFormat="1" applyFont="1" applyFill="1" applyBorder="1"/>
    <xf numFmtId="10" fontId="20" fillId="2" borderId="2" xfId="2" applyNumberFormat="1" applyFont="1" applyFill="1" applyBorder="1"/>
    <xf numFmtId="4" fontId="11" fillId="2" borderId="2" xfId="2" applyNumberFormat="1" applyFont="1" applyFill="1" applyBorder="1"/>
    <xf numFmtId="38" fontId="104" fillId="34" borderId="0" xfId="7" applyNumberFormat="1" applyFont="1" applyFill="1" applyAlignment="1">
      <alignment horizontal="right"/>
    </xf>
    <xf numFmtId="38" fontId="104" fillId="34" borderId="0" xfId="7" applyNumberFormat="1" applyFont="1" applyFill="1"/>
    <xf numFmtId="0" fontId="12" fillId="22" borderId="0" xfId="0" applyFont="1" applyFill="1" applyAlignment="1">
      <alignment horizontal="center"/>
    </xf>
    <xf numFmtId="43" fontId="11" fillId="2" borderId="0" xfId="1" applyFont="1" applyFill="1" applyBorder="1" applyAlignment="1">
      <alignment vertical="top" wrapText="1"/>
    </xf>
    <xf numFmtId="1" fontId="144" fillId="49" borderId="0" xfId="2" applyNumberFormat="1" applyFont="1" applyFill="1" applyBorder="1"/>
    <xf numFmtId="43" fontId="142" fillId="27" borderId="0" xfId="1" applyFont="1" applyFill="1" applyBorder="1"/>
    <xf numFmtId="164" fontId="142" fillId="49" borderId="0" xfId="1" applyNumberFormat="1" applyFont="1" applyFill="1" applyBorder="1"/>
    <xf numFmtId="9" fontId="141" fillId="27" borderId="0" xfId="2" applyFont="1" applyFill="1" applyBorder="1"/>
    <xf numFmtId="38" fontId="141" fillId="49" borderId="0" xfId="11" applyNumberFormat="1" applyFont="1" applyFill="1" applyBorder="1"/>
    <xf numFmtId="38" fontId="141" fillId="0" borderId="0" xfId="11" applyNumberFormat="1" applyFont="1" applyFill="1" applyBorder="1"/>
    <xf numFmtId="0" fontId="81" fillId="2" borderId="0" xfId="1" applyNumberFormat="1" applyFont="1" applyFill="1" applyBorder="1"/>
    <xf numFmtId="0" fontId="81" fillId="21" borderId="0" xfId="1" applyNumberFormat="1" applyFont="1" applyFill="1" applyBorder="1"/>
    <xf numFmtId="0" fontId="11" fillId="2" borderId="0" xfId="0" applyFont="1" applyFill="1" applyAlignment="1">
      <alignment horizontal="left" wrapText="1" indent="2"/>
    </xf>
    <xf numFmtId="43" fontId="11" fillId="8" borderId="0" xfId="1" applyFont="1" applyFill="1" applyBorder="1"/>
    <xf numFmtId="164" fontId="11" fillId="8" borderId="0" xfId="1" applyNumberFormat="1" applyFont="1" applyFill="1" applyBorder="1"/>
    <xf numFmtId="10" fontId="11" fillId="8" borderId="0" xfId="1" applyNumberFormat="1" applyFont="1" applyFill="1" applyBorder="1"/>
    <xf numFmtId="10" fontId="27" fillId="2" borderId="0" xfId="2" applyNumberFormat="1" applyFont="1" applyFill="1"/>
    <xf numFmtId="10" fontId="27" fillId="6" borderId="0" xfId="2" applyNumberFormat="1" applyFont="1" applyFill="1"/>
    <xf numFmtId="4" fontId="27" fillId="6" borderId="0" xfId="0" applyNumberFormat="1" applyFont="1" applyFill="1"/>
    <xf numFmtId="4" fontId="13" fillId="2" borderId="2" xfId="0" applyNumberFormat="1" applyFont="1" applyFill="1" applyBorder="1"/>
    <xf numFmtId="172" fontId="11" fillId="2" borderId="2" xfId="1" applyNumberFormat="1" applyFont="1" applyFill="1" applyBorder="1"/>
    <xf numFmtId="172" fontId="28" fillId="2" borderId="8" xfId="0" applyNumberFormat="1" applyFont="1" applyFill="1" applyBorder="1"/>
    <xf numFmtId="167" fontId="81" fillId="2" borderId="2" xfId="1" applyNumberFormat="1" applyFont="1" applyFill="1" applyBorder="1"/>
    <xf numFmtId="172" fontId="10" fillId="2" borderId="2" xfId="0" applyNumberFormat="1" applyFont="1" applyFill="1" applyBorder="1"/>
    <xf numFmtId="168" fontId="13" fillId="2" borderId="2" xfId="2" applyNumberFormat="1" applyFont="1" applyFill="1" applyBorder="1"/>
    <xf numFmtId="168" fontId="28" fillId="2" borderId="8" xfId="0" applyNumberFormat="1" applyFont="1" applyFill="1" applyBorder="1"/>
    <xf numFmtId="0" fontId="81" fillId="2" borderId="2" xfId="1" applyNumberFormat="1" applyFont="1" applyFill="1" applyBorder="1"/>
    <xf numFmtId="10" fontId="27" fillId="2" borderId="2" xfId="2" applyNumberFormat="1" applyFont="1" applyFill="1" applyBorder="1"/>
    <xf numFmtId="168" fontId="11" fillId="2" borderId="6" xfId="2" applyNumberFormat="1" applyFont="1" applyFill="1" applyBorder="1"/>
    <xf numFmtId="0" fontId="11" fillId="6" borderId="0" xfId="0" applyFont="1" applyFill="1" applyAlignment="1">
      <alignment vertical="center"/>
    </xf>
    <xf numFmtId="4" fontId="11" fillId="6" borderId="0" xfId="1" applyNumberFormat="1" applyFont="1" applyFill="1" applyBorder="1" applyAlignment="1"/>
    <xf numFmtId="43" fontId="11" fillId="9" borderId="0" xfId="1" applyFont="1" applyFill="1" applyBorder="1" applyAlignment="1">
      <alignment vertical="top" wrapText="1"/>
    </xf>
    <xf numFmtId="10" fontId="13" fillId="2" borderId="0" xfId="1" applyNumberFormat="1" applyFont="1" applyFill="1" applyBorder="1" applyAlignment="1">
      <alignment horizontal="center" vertical="center"/>
    </xf>
    <xf numFmtId="175" fontId="81" fillId="2" borderId="0" xfId="1" applyNumberFormat="1" applyFont="1" applyFill="1" applyBorder="1" applyAlignment="1" applyProtection="1">
      <alignment horizontal="right" vertical="center"/>
    </xf>
    <xf numFmtId="175" fontId="81" fillId="2" borderId="2" xfId="1" applyNumberFormat="1" applyFont="1" applyFill="1" applyBorder="1" applyAlignment="1" applyProtection="1">
      <alignment horizontal="right" vertical="center"/>
    </xf>
    <xf numFmtId="175" fontId="81" fillId="2" borderId="0" xfId="1" applyNumberFormat="1" applyFont="1" applyFill="1" applyBorder="1" applyAlignment="1" applyProtection="1">
      <alignment vertical="center"/>
    </xf>
    <xf numFmtId="164" fontId="106" fillId="34" borderId="0" xfId="1" applyNumberFormat="1" applyFont="1" applyFill="1" applyBorder="1"/>
    <xf numFmtId="9" fontId="130" fillId="9" borderId="0" xfId="2" applyFont="1" applyFill="1" applyBorder="1"/>
    <xf numFmtId="38" fontId="104" fillId="9" borderId="0" xfId="11" applyNumberFormat="1" applyFont="1" applyFill="1" applyBorder="1" applyAlignment="1">
      <alignment vertical="center"/>
    </xf>
    <xf numFmtId="168" fontId="11" fillId="21" borderId="0" xfId="2" applyNumberFormat="1" applyFont="1" applyFill="1" applyBorder="1" applyAlignment="1"/>
    <xf numFmtId="4" fontId="13" fillId="21" borderId="7" xfId="1" applyNumberFormat="1" applyFont="1" applyFill="1" applyBorder="1" applyAlignment="1">
      <alignment vertical="center"/>
    </xf>
    <xf numFmtId="4" fontId="11" fillId="0" borderId="0" xfId="1" applyNumberFormat="1" applyFont="1" applyFill="1" applyBorder="1"/>
    <xf numFmtId="43" fontId="81" fillId="27" borderId="0" xfId="1" applyFont="1" applyFill="1" applyBorder="1" applyAlignment="1">
      <alignment vertical="top" wrapText="1"/>
    </xf>
    <xf numFmtId="9" fontId="13" fillId="0" borderId="0" xfId="2" applyFont="1" applyFill="1" applyBorder="1" applyAlignment="1" applyProtection="1">
      <alignment horizontal="right" vertical="center"/>
    </xf>
    <xf numFmtId="9" fontId="13" fillId="35" borderId="0" xfId="2" applyFont="1" applyFill="1" applyBorder="1" applyAlignment="1" applyProtection="1">
      <alignment horizontal="right" vertical="center"/>
    </xf>
    <xf numFmtId="43" fontId="81" fillId="27" borderId="0" xfId="1" applyFont="1" applyFill="1" applyBorder="1" applyAlignment="1">
      <alignment vertical="center"/>
    </xf>
    <xf numFmtId="177" fontId="23" fillId="6" borderId="0" xfId="1" applyNumberFormat="1" applyFont="1" applyFill="1" applyBorder="1" applyAlignment="1">
      <alignment vertical="center"/>
    </xf>
    <xf numFmtId="175" fontId="23" fillId="6" borderId="0" xfId="1" applyNumberFormat="1" applyFont="1" applyFill="1" applyBorder="1" applyAlignment="1">
      <alignment vertical="center"/>
    </xf>
    <xf numFmtId="175" fontId="15" fillId="6" borderId="0" xfId="1" applyNumberFormat="1" applyFont="1" applyFill="1" applyBorder="1" applyAlignment="1">
      <alignment vertical="center"/>
    </xf>
    <xf numFmtId="43" fontId="13" fillId="9" borderId="0" xfId="1" applyFont="1" applyFill="1" applyBorder="1" applyAlignment="1">
      <alignment vertical="center"/>
    </xf>
    <xf numFmtId="43" fontId="81" fillId="9" borderId="0" xfId="1" applyFont="1" applyFill="1" applyBorder="1" applyAlignment="1">
      <alignment vertical="top" wrapText="1"/>
    </xf>
    <xf numFmtId="43" fontId="13" fillId="9" borderId="0" xfId="1" applyFont="1" applyFill="1" applyBorder="1" applyAlignment="1">
      <alignment horizontal="center" vertical="top" wrapText="1"/>
    </xf>
    <xf numFmtId="177" fontId="21" fillId="0" borderId="0" xfId="1" applyNumberFormat="1" applyFont="1" applyFill="1" applyBorder="1" applyAlignment="1">
      <alignment vertical="center"/>
    </xf>
    <xf numFmtId="177" fontId="11" fillId="21" borderId="7" xfId="1" applyNumberFormat="1" applyFont="1" applyFill="1" applyBorder="1" applyAlignment="1">
      <alignment vertical="center"/>
    </xf>
    <xf numFmtId="177" fontId="11" fillId="21" borderId="0" xfId="1" applyNumberFormat="1" applyFont="1" applyFill="1" applyBorder="1" applyAlignment="1">
      <alignment vertical="center"/>
    </xf>
    <xf numFmtId="177" fontId="13" fillId="21" borderId="7" xfId="1" applyNumberFormat="1" applyFont="1" applyFill="1" applyBorder="1" applyAlignment="1">
      <alignment vertical="center"/>
    </xf>
    <xf numFmtId="177" fontId="23" fillId="21" borderId="0" xfId="1" applyNumberFormat="1" applyFont="1" applyFill="1" applyBorder="1" applyAlignment="1">
      <alignment vertical="center"/>
    </xf>
    <xf numFmtId="10" fontId="13" fillId="2" borderId="24" xfId="1" applyNumberFormat="1" applyFont="1" applyFill="1" applyBorder="1" applyAlignment="1">
      <alignment horizontal="center" vertical="center"/>
    </xf>
    <xf numFmtId="176" fontId="11" fillId="2" borderId="2" xfId="1" applyNumberFormat="1" applyFont="1" applyFill="1" applyBorder="1" applyAlignment="1">
      <alignment horizontal="right" vertical="center"/>
    </xf>
    <xf numFmtId="177" fontId="11" fillId="2" borderId="2" xfId="1" applyNumberFormat="1" applyFont="1" applyFill="1" applyBorder="1" applyAlignment="1">
      <alignment horizontal="right" vertical="center"/>
    </xf>
    <xf numFmtId="10" fontId="14" fillId="2" borderId="2" xfId="2" applyNumberFormat="1" applyFont="1" applyFill="1" applyBorder="1" applyAlignment="1">
      <alignment horizontal="right" vertical="center"/>
    </xf>
    <xf numFmtId="176" fontId="11" fillId="0" borderId="63" xfId="1" applyNumberFormat="1" applyFont="1" applyFill="1" applyBorder="1" applyAlignment="1">
      <alignment vertical="center"/>
    </xf>
    <xf numFmtId="176" fontId="11" fillId="0" borderId="64" xfId="1" applyNumberFormat="1" applyFont="1" applyFill="1" applyBorder="1" applyAlignment="1">
      <alignment vertical="center"/>
    </xf>
    <xf numFmtId="10" fontId="11" fillId="2" borderId="30" xfId="2" applyNumberFormat="1" applyFont="1" applyFill="1" applyBorder="1" applyAlignment="1">
      <alignment horizontal="right" vertical="center"/>
    </xf>
    <xf numFmtId="9" fontId="13" fillId="0" borderId="2" xfId="2" applyFont="1" applyFill="1" applyBorder="1" applyAlignment="1" applyProtection="1">
      <alignment horizontal="right" vertical="center"/>
    </xf>
    <xf numFmtId="177" fontId="11" fillId="2" borderId="2" xfId="1" applyNumberFormat="1" applyFont="1" applyFill="1" applyBorder="1" applyAlignment="1">
      <alignment vertical="center"/>
    </xf>
    <xf numFmtId="177" fontId="13" fillId="2" borderId="8" xfId="1" applyNumberFormat="1" applyFont="1" applyFill="1" applyBorder="1" applyAlignment="1">
      <alignment vertical="center"/>
    </xf>
    <xf numFmtId="177" fontId="23" fillId="2" borderId="2" xfId="1" applyNumberFormat="1" applyFont="1" applyFill="1" applyBorder="1" applyAlignment="1">
      <alignment vertical="center"/>
    </xf>
    <xf numFmtId="176" fontId="23" fillId="2" borderId="9" xfId="1" applyNumberFormat="1" applyFont="1" applyFill="1" applyBorder="1" applyAlignment="1">
      <alignment vertical="center"/>
    </xf>
    <xf numFmtId="176" fontId="13" fillId="2" borderId="8" xfId="1" applyNumberFormat="1" applyFont="1" applyFill="1" applyBorder="1" applyAlignment="1">
      <alignment vertical="center"/>
    </xf>
    <xf numFmtId="176" fontId="23" fillId="2" borderId="2" xfId="1" applyNumberFormat="1" applyFont="1" applyFill="1" applyBorder="1" applyAlignment="1">
      <alignment vertical="center"/>
    </xf>
    <xf numFmtId="177" fontId="11" fillId="2" borderId="8" xfId="1" applyNumberFormat="1" applyFont="1" applyFill="1" applyBorder="1" applyAlignment="1">
      <alignment vertical="center"/>
    </xf>
    <xf numFmtId="177" fontId="21" fillId="0" borderId="8" xfId="1" applyNumberFormat="1" applyFont="1" applyFill="1" applyBorder="1" applyAlignment="1">
      <alignment vertical="center"/>
    </xf>
    <xf numFmtId="43" fontId="13" fillId="0" borderId="0" xfId="1" applyFont="1" applyFill="1" applyBorder="1" applyAlignment="1">
      <alignment vertical="center"/>
    </xf>
    <xf numFmtId="9" fontId="11" fillId="2" borderId="0" xfId="1" applyNumberFormat="1" applyFont="1" applyFill="1" applyBorder="1" applyAlignment="1">
      <alignment vertical="center"/>
    </xf>
    <xf numFmtId="170" fontId="11" fillId="9" borderId="0" xfId="1" applyNumberFormat="1" applyFont="1" applyFill="1" applyBorder="1" applyAlignment="1">
      <alignment vertical="center"/>
    </xf>
    <xf numFmtId="165" fontId="11" fillId="9" borderId="0" xfId="1" applyNumberFormat="1" applyFont="1" applyFill="1" applyBorder="1" applyAlignment="1">
      <alignment vertical="center"/>
    </xf>
    <xf numFmtId="0" fontId="13" fillId="2" borderId="15" xfId="0" applyFont="1" applyFill="1" applyBorder="1" applyAlignment="1">
      <alignment wrapText="1"/>
    </xf>
    <xf numFmtId="0" fontId="13" fillId="2" borderId="0" xfId="0" applyFont="1" applyFill="1" applyAlignment="1">
      <alignment wrapText="1"/>
    </xf>
    <xf numFmtId="0" fontId="13" fillId="2" borderId="2" xfId="0" applyFont="1" applyFill="1" applyBorder="1" applyAlignment="1">
      <alignment wrapText="1"/>
    </xf>
    <xf numFmtId="43" fontId="145" fillId="27" borderId="0" xfId="1" applyFont="1" applyFill="1" applyBorder="1" applyAlignment="1">
      <alignment vertical="center"/>
    </xf>
    <xf numFmtId="3" fontId="142" fillId="49" borderId="0" xfId="11" applyNumberFormat="1" applyFont="1" applyFill="1" applyBorder="1"/>
    <xf numFmtId="38" fontId="105" fillId="0" borderId="0" xfId="11" applyNumberFormat="1" applyFont="1" applyFill="1" applyBorder="1" applyAlignment="1">
      <alignment vertical="center"/>
    </xf>
    <xf numFmtId="40" fontId="117" fillId="0" borderId="0" xfId="11" applyNumberFormat="1" applyFont="1" applyFill="1" applyBorder="1" applyAlignment="1">
      <alignment vertical="center"/>
    </xf>
    <xf numFmtId="191" fontId="117" fillId="0" borderId="0" xfId="11" applyNumberFormat="1" applyFont="1" applyFill="1" applyBorder="1" applyAlignment="1">
      <alignment vertical="center"/>
    </xf>
    <xf numFmtId="4" fontId="35" fillId="2" borderId="7" xfId="3" applyNumberFormat="1" applyFill="1" applyBorder="1"/>
    <xf numFmtId="4" fontId="16" fillId="2" borderId="0" xfId="2" applyNumberFormat="1" applyFont="1" applyFill="1" applyBorder="1"/>
    <xf numFmtId="4" fontId="16" fillId="8" borderId="0" xfId="0" applyNumberFormat="1" applyFont="1" applyFill="1" applyAlignment="1">
      <alignment vertical="center"/>
    </xf>
    <xf numFmtId="10" fontId="30" fillId="8" borderId="0" xfId="2" applyNumberFormat="1" applyFont="1" applyFill="1" applyBorder="1" applyAlignment="1">
      <alignment vertical="center"/>
    </xf>
    <xf numFmtId="10" fontId="11" fillId="6" borderId="0" xfId="2" applyNumberFormat="1" applyFont="1" applyFill="1" applyAlignment="1">
      <alignment vertical="center"/>
    </xf>
    <xf numFmtId="170" fontId="59" fillId="9" borderId="0" xfId="1" applyNumberFormat="1" applyFont="1" applyFill="1" applyBorder="1"/>
    <xf numFmtId="165" fontId="59" fillId="9" borderId="0" xfId="1" applyNumberFormat="1" applyFont="1" applyFill="1" applyBorder="1"/>
    <xf numFmtId="168" fontId="59" fillId="9" borderId="0" xfId="2" applyNumberFormat="1" applyFont="1" applyFill="1" applyBorder="1"/>
    <xf numFmtId="0" fontId="19" fillId="2" borderId="11" xfId="0" applyFont="1" applyFill="1" applyBorder="1"/>
    <xf numFmtId="3" fontId="19" fillId="2" borderId="11" xfId="1" applyNumberFormat="1" applyFont="1" applyFill="1" applyBorder="1" applyAlignment="1">
      <alignment vertical="center"/>
    </xf>
    <xf numFmtId="4" fontId="19" fillId="2" borderId="11" xfId="1" applyNumberFormat="1" applyFont="1" applyFill="1" applyBorder="1" applyAlignment="1">
      <alignment vertical="center"/>
    </xf>
    <xf numFmtId="4" fontId="19" fillId="6" borderId="11" xfId="1" applyNumberFormat="1" applyFont="1" applyFill="1" applyBorder="1" applyAlignment="1">
      <alignment vertical="center"/>
    </xf>
    <xf numFmtId="167" fontId="19" fillId="2" borderId="11" xfId="1" applyNumberFormat="1" applyFont="1" applyFill="1" applyBorder="1" applyAlignment="1">
      <alignment vertical="center"/>
    </xf>
    <xf numFmtId="167" fontId="19" fillId="2" borderId="11" xfId="0" applyNumberFormat="1" applyFont="1" applyFill="1" applyBorder="1"/>
    <xf numFmtId="0" fontId="11" fillId="2" borderId="11" xfId="2" applyNumberFormat="1" applyFont="1" applyFill="1" applyBorder="1" applyAlignment="1">
      <alignment horizontal="left" vertical="center" wrapText="1"/>
    </xf>
    <xf numFmtId="4" fontId="21" fillId="6" borderId="0" xfId="1" applyNumberFormat="1" applyFont="1" applyFill="1" applyBorder="1" applyAlignment="1">
      <alignment vertical="center"/>
    </xf>
    <xf numFmtId="3" fontId="23" fillId="6" borderId="0" xfId="2" applyNumberFormat="1" applyFont="1" applyFill="1" applyBorder="1"/>
    <xf numFmtId="4" fontId="23" fillId="35" borderId="0" xfId="2" applyNumberFormat="1" applyFont="1" applyFill="1" applyBorder="1"/>
    <xf numFmtId="166" fontId="15" fillId="0" borderId="0" xfId="0" applyNumberFormat="1" applyFont="1"/>
    <xf numFmtId="166" fontId="14" fillId="0" borderId="0" xfId="1" applyNumberFormat="1" applyFont="1" applyFill="1" applyBorder="1"/>
    <xf numFmtId="166" fontId="13" fillId="0" borderId="0" xfId="1" applyNumberFormat="1" applyFont="1" applyFill="1" applyBorder="1"/>
    <xf numFmtId="166" fontId="16" fillId="0" borderId="0" xfId="2" applyNumberFormat="1" applyFont="1" applyFill="1" applyBorder="1"/>
    <xf numFmtId="166" fontId="11" fillId="0" borderId="0" xfId="1" applyNumberFormat="1" applyFont="1" applyFill="1" applyBorder="1"/>
    <xf numFmtId="166" fontId="17" fillId="0" borderId="7" xfId="0" applyNumberFormat="1" applyFont="1" applyBorder="1"/>
    <xf numFmtId="166" fontId="9" fillId="0" borderId="0" xfId="0" applyNumberFormat="1" applyFont="1"/>
    <xf numFmtId="3" fontId="11" fillId="0" borderId="7" xfId="0" applyNumberFormat="1" applyFont="1" applyBorder="1"/>
    <xf numFmtId="10" fontId="16" fillId="9" borderId="0" xfId="2" applyNumberFormat="1" applyFont="1" applyFill="1" applyBorder="1"/>
    <xf numFmtId="4" fontId="11" fillId="9" borderId="0" xfId="1" applyNumberFormat="1" applyFont="1" applyFill="1" applyBorder="1"/>
    <xf numFmtId="4" fontId="15" fillId="9" borderId="0" xfId="1" applyNumberFormat="1" applyFont="1" applyFill="1" applyBorder="1"/>
    <xf numFmtId="10" fontId="67" fillId="6" borderId="0" xfId="2" applyNumberFormat="1" applyFont="1" applyFill="1"/>
    <xf numFmtId="4" fontId="13" fillId="2" borderId="0" xfId="1" applyNumberFormat="1" applyFont="1" applyFill="1" applyBorder="1" applyAlignment="1">
      <alignment horizontal="right" vertical="center"/>
    </xf>
    <xf numFmtId="10" fontId="25" fillId="2" borderId="0" xfId="2" applyNumberFormat="1" applyFont="1" applyFill="1"/>
    <xf numFmtId="10" fontId="25" fillId="6" borderId="0" xfId="2" applyNumberFormat="1" applyFont="1" applyFill="1"/>
    <xf numFmtId="9" fontId="25" fillId="6" borderId="0" xfId="2" applyFont="1" applyFill="1" applyBorder="1" applyAlignment="1">
      <alignment vertical="center"/>
    </xf>
    <xf numFmtId="4" fontId="13" fillId="6" borderId="0" xfId="1" applyNumberFormat="1" applyFont="1" applyFill="1" applyBorder="1" applyAlignment="1">
      <alignment horizontal="right" vertical="center"/>
    </xf>
    <xf numFmtId="10" fontId="11" fillId="2" borderId="0" xfId="2" applyNumberFormat="1" applyFont="1" applyFill="1" applyAlignment="1">
      <alignment vertical="center"/>
    </xf>
    <xf numFmtId="4" fontId="11" fillId="2" borderId="2" xfId="1" applyNumberFormat="1" applyFont="1" applyFill="1" applyBorder="1" applyAlignment="1">
      <alignment horizontal="right" vertical="center"/>
    </xf>
    <xf numFmtId="4" fontId="23" fillId="6" borderId="0" xfId="2" applyNumberFormat="1" applyFont="1" applyFill="1" applyBorder="1" applyAlignment="1">
      <alignment vertical="center"/>
    </xf>
    <xf numFmtId="43" fontId="13" fillId="6" borderId="7" xfId="1" applyFont="1" applyFill="1" applyBorder="1"/>
    <xf numFmtId="4" fontId="23" fillId="6" borderId="0" xfId="1" applyNumberFormat="1" applyFont="1" applyFill="1" applyBorder="1" applyAlignment="1">
      <alignment vertical="center"/>
    </xf>
    <xf numFmtId="167" fontId="27" fillId="2" borderId="0" xfId="0" applyNumberFormat="1" applyFont="1" applyFill="1" applyAlignment="1">
      <alignment vertical="center"/>
    </xf>
    <xf numFmtId="4" fontId="27" fillId="2" borderId="0" xfId="0" applyNumberFormat="1" applyFont="1" applyFill="1" applyAlignment="1">
      <alignment vertical="center"/>
    </xf>
    <xf numFmtId="164" fontId="31" fillId="27" borderId="0" xfId="1" applyNumberFormat="1" applyFont="1" applyFill="1"/>
    <xf numFmtId="167" fontId="27" fillId="9" borderId="10" xfId="0" applyNumberFormat="1" applyFont="1" applyFill="1" applyBorder="1" applyAlignment="1">
      <alignment vertical="center"/>
    </xf>
    <xf numFmtId="165" fontId="13" fillId="21" borderId="21" xfId="0" applyNumberFormat="1" applyFont="1" applyFill="1" applyBorder="1"/>
    <xf numFmtId="165" fontId="13" fillId="0" borderId="0" xfId="0" applyNumberFormat="1" applyFont="1" applyAlignment="1">
      <alignment vertical="center"/>
    </xf>
    <xf numFmtId="165" fontId="13" fillId="6" borderId="0" xfId="0" applyNumberFormat="1" applyFont="1" applyFill="1" applyAlignment="1">
      <alignment vertical="center"/>
    </xf>
    <xf numFmtId="10" fontId="31" fillId="27" borderId="0" xfId="2" applyNumberFormat="1" applyFont="1" applyFill="1"/>
    <xf numFmtId="43" fontId="31" fillId="2" borderId="0" xfId="0" applyNumberFormat="1" applyFont="1" applyFill="1"/>
    <xf numFmtId="10" fontId="81" fillId="9" borderId="0" xfId="2" applyNumberFormat="1" applyFont="1" applyFill="1" applyBorder="1"/>
    <xf numFmtId="4" fontId="41" fillId="21" borderId="0" xfId="1" applyNumberFormat="1" applyFont="1" applyFill="1" applyBorder="1"/>
    <xf numFmtId="4" fontId="13" fillId="21" borderId="7" xfId="1" applyNumberFormat="1" applyFont="1" applyFill="1" applyBorder="1"/>
    <xf numFmtId="4" fontId="23" fillId="21" borderId="0" xfId="1" applyNumberFormat="1" applyFont="1" applyFill="1" applyBorder="1"/>
    <xf numFmtId="4" fontId="13" fillId="21" borderId="17" xfId="1" applyNumberFormat="1" applyFont="1" applyFill="1" applyBorder="1"/>
    <xf numFmtId="4" fontId="15" fillId="21" borderId="0" xfId="1" applyNumberFormat="1" applyFont="1" applyFill="1" applyBorder="1"/>
    <xf numFmtId="4" fontId="13" fillId="21" borderId="27" xfId="1" applyNumberFormat="1" applyFont="1" applyFill="1" applyBorder="1"/>
    <xf numFmtId="4" fontId="13" fillId="21" borderId="0" xfId="1" applyNumberFormat="1" applyFont="1" applyFill="1" applyBorder="1"/>
    <xf numFmtId="4" fontId="11" fillId="21" borderId="11" xfId="1" applyNumberFormat="1" applyFont="1" applyFill="1" applyBorder="1"/>
    <xf numFmtId="10" fontId="42" fillId="2" borderId="0" xfId="2" applyNumberFormat="1" applyFont="1" applyFill="1" applyBorder="1"/>
    <xf numFmtId="4" fontId="10" fillId="2" borderId="0" xfId="0" applyNumberFormat="1" applyFont="1" applyFill="1"/>
    <xf numFmtId="0" fontId="10" fillId="9" borderId="0" xfId="0" applyFont="1" applyFill="1"/>
    <xf numFmtId="0" fontId="11" fillId="9" borderId="0" xfId="0" applyFont="1" applyFill="1" applyAlignment="1">
      <alignment horizontal="left"/>
    </xf>
    <xf numFmtId="3" fontId="11" fillId="9" borderId="0" xfId="1" applyNumberFormat="1" applyFont="1" applyFill="1" applyBorder="1"/>
    <xf numFmtId="4" fontId="11" fillId="35" borderId="0" xfId="1" applyNumberFormat="1" applyFont="1" applyFill="1" applyBorder="1"/>
    <xf numFmtId="0" fontId="13" fillId="0" borderId="7" xfId="1" applyNumberFormat="1" applyFont="1" applyFill="1" applyBorder="1"/>
    <xf numFmtId="0" fontId="23" fillId="0" borderId="0" xfId="1" applyNumberFormat="1" applyFont="1" applyFill="1" applyBorder="1"/>
    <xf numFmtId="0" fontId="27" fillId="0" borderId="0" xfId="1" applyNumberFormat="1" applyFont="1" applyFill="1" applyBorder="1"/>
    <xf numFmtId="9" fontId="27" fillId="9" borderId="0" xfId="2" applyFont="1" applyFill="1" applyBorder="1" applyAlignment="1">
      <alignment horizontal="left" indent="2"/>
    </xf>
    <xf numFmtId="9" fontId="27" fillId="9" borderId="0" xfId="2" applyFont="1" applyFill="1" applyBorder="1"/>
    <xf numFmtId="9" fontId="27" fillId="9" borderId="0" xfId="2" applyFont="1" applyFill="1" applyBorder="1" applyAlignment="1">
      <alignment vertical="center"/>
    </xf>
    <xf numFmtId="10" fontId="19" fillId="8" borderId="0" xfId="2" applyNumberFormat="1" applyFont="1" applyFill="1" applyBorder="1" applyAlignment="1">
      <alignment vertical="center"/>
    </xf>
    <xf numFmtId="167" fontId="11" fillId="8" borderId="0" xfId="0" applyNumberFormat="1" applyFont="1" applyFill="1" applyAlignment="1">
      <alignment vertical="center"/>
    </xf>
    <xf numFmtId="0" fontId="11" fillId="8" borderId="0" xfId="1" applyNumberFormat="1" applyFont="1" applyFill="1" applyBorder="1"/>
    <xf numFmtId="3" fontId="27" fillId="6" borderId="0" xfId="1" applyNumberFormat="1" applyFont="1" applyFill="1" applyBorder="1"/>
    <xf numFmtId="0" fontId="10" fillId="6" borderId="0" xfId="0" applyFont="1" applyFill="1"/>
    <xf numFmtId="164" fontId="21" fillId="6" borderId="0" xfId="1" applyNumberFormat="1" applyFont="1" applyFill="1" applyBorder="1"/>
    <xf numFmtId="3" fontId="21" fillId="6" borderId="0" xfId="1" applyNumberFormat="1" applyFont="1" applyFill="1" applyBorder="1" applyAlignment="1">
      <alignment horizontal="center"/>
    </xf>
    <xf numFmtId="4" fontId="44" fillId="2" borderId="2" xfId="1" applyNumberFormat="1" applyFont="1" applyFill="1" applyBorder="1"/>
    <xf numFmtId="165" fontId="13" fillId="6" borderId="2" xfId="0" applyNumberFormat="1" applyFont="1" applyFill="1" applyBorder="1" applyAlignment="1">
      <alignment vertical="center"/>
    </xf>
    <xf numFmtId="4" fontId="13" fillId="2" borderId="26" xfId="1" applyNumberFormat="1" applyFont="1" applyFill="1" applyBorder="1"/>
    <xf numFmtId="4" fontId="23" fillId="2" borderId="2" xfId="1" applyNumberFormat="1" applyFont="1" applyFill="1" applyBorder="1"/>
    <xf numFmtId="4" fontId="13" fillId="2" borderId="8" xfId="1" applyNumberFormat="1" applyFont="1" applyFill="1" applyBorder="1"/>
    <xf numFmtId="10" fontId="11" fillId="2" borderId="2" xfId="1" applyNumberFormat="1" applyFont="1" applyFill="1" applyBorder="1" applyAlignment="1" applyProtection="1">
      <alignment horizontal="right" vertical="center"/>
    </xf>
    <xf numFmtId="43" fontId="11" fillId="33" borderId="56" xfId="1" quotePrefix="1" applyFont="1" applyFill="1" applyBorder="1"/>
    <xf numFmtId="38" fontId="121" fillId="49" borderId="0" xfId="11" applyNumberFormat="1" applyFont="1" applyFill="1" applyBorder="1"/>
    <xf numFmtId="40" fontId="121" fillId="49" borderId="0" xfId="11" applyNumberFormat="1" applyFont="1" applyFill="1" applyBorder="1"/>
    <xf numFmtId="191" fontId="121" fillId="49" borderId="0" xfId="11" applyNumberFormat="1" applyFont="1" applyFill="1" applyBorder="1"/>
    <xf numFmtId="38" fontId="121" fillId="49" borderId="2" xfId="11" applyNumberFormat="1" applyFont="1" applyFill="1" applyBorder="1"/>
    <xf numFmtId="38" fontId="149" fillId="49" borderId="0" xfId="3" applyNumberFormat="1" applyFont="1" applyFill="1" applyBorder="1"/>
    <xf numFmtId="38" fontId="117" fillId="49" borderId="0" xfId="11" applyNumberFormat="1" applyFont="1" applyFill="1" applyBorder="1"/>
    <xf numFmtId="9" fontId="117" fillId="27" borderId="0" xfId="2" applyFont="1" applyFill="1" applyBorder="1"/>
    <xf numFmtId="1" fontId="150" fillId="49" borderId="0" xfId="2" applyNumberFormat="1" applyFont="1" applyFill="1" applyBorder="1"/>
    <xf numFmtId="43" fontId="117" fillId="27" borderId="0" xfId="1" applyFont="1" applyFill="1" applyBorder="1"/>
    <xf numFmtId="164" fontId="117" fillId="49" borderId="0" xfId="1" applyNumberFormat="1" applyFont="1" applyFill="1" applyBorder="1"/>
    <xf numFmtId="164" fontId="117" fillId="27" borderId="0" xfId="1" applyNumberFormat="1" applyFont="1" applyFill="1" applyBorder="1"/>
    <xf numFmtId="38" fontId="117" fillId="27" borderId="0" xfId="11" applyNumberFormat="1" applyFont="1" applyFill="1" applyBorder="1" applyAlignment="1">
      <alignment vertical="center"/>
    </xf>
    <xf numFmtId="0" fontId="81" fillId="27" borderId="0" xfId="0" applyFont="1" applyFill="1" applyAlignment="1">
      <alignment horizontal="center"/>
    </xf>
    <xf numFmtId="0" fontId="81" fillId="27" borderId="0" xfId="0" applyFont="1" applyFill="1" applyAlignment="1">
      <alignment horizontal="left" indent="2"/>
    </xf>
    <xf numFmtId="168" fontId="81" fillId="27" borderId="0" xfId="2" applyNumberFormat="1" applyFont="1" applyFill="1" applyBorder="1"/>
    <xf numFmtId="10" fontId="81" fillId="27" borderId="0" xfId="2" applyNumberFormat="1" applyFont="1" applyFill="1" applyBorder="1"/>
    <xf numFmtId="0" fontId="81" fillId="27" borderId="0" xfId="2" applyNumberFormat="1" applyFont="1" applyFill="1" applyBorder="1" applyAlignment="1">
      <alignment vertical="center"/>
    </xf>
    <xf numFmtId="167" fontId="81" fillId="27" borderId="0" xfId="0" applyNumberFormat="1" applyFont="1" applyFill="1"/>
    <xf numFmtId="0" fontId="81" fillId="27" borderId="0" xfId="0" applyFont="1" applyFill="1"/>
    <xf numFmtId="10" fontId="27" fillId="27" borderId="0" xfId="2" applyNumberFormat="1" applyFont="1" applyFill="1" applyBorder="1" applyAlignment="1">
      <alignment vertical="center"/>
    </xf>
    <xf numFmtId="9" fontId="81" fillId="27" borderId="0" xfId="2" applyFont="1" applyFill="1" applyBorder="1" applyAlignment="1">
      <alignment horizontal="center"/>
    </xf>
    <xf numFmtId="9" fontId="81" fillId="27" borderId="0" xfId="2" applyFont="1" applyFill="1" applyBorder="1" applyAlignment="1">
      <alignment horizontal="left" indent="2"/>
    </xf>
    <xf numFmtId="9" fontId="81" fillId="27" borderId="0" xfId="2" applyFont="1" applyFill="1" applyBorder="1"/>
    <xf numFmtId="168" fontId="81" fillId="27" borderId="0" xfId="2" applyNumberFormat="1" applyFont="1" applyFill="1" applyBorder="1" applyAlignment="1">
      <alignment vertical="center"/>
    </xf>
    <xf numFmtId="10" fontId="81" fillId="27" borderId="0" xfId="2" applyNumberFormat="1" applyFont="1" applyFill="1" applyBorder="1" applyAlignment="1">
      <alignment vertical="center"/>
    </xf>
    <xf numFmtId="38" fontId="146" fillId="49" borderId="0" xfId="11" applyNumberFormat="1" applyFont="1" applyFill="1" applyBorder="1"/>
    <xf numFmtId="40" fontId="146" fillId="49" borderId="0" xfId="11" applyNumberFormat="1" applyFont="1" applyFill="1" applyBorder="1"/>
    <xf numFmtId="187" fontId="146" fillId="49" borderId="0" xfId="11" applyNumberFormat="1" applyFont="1" applyFill="1" applyBorder="1"/>
    <xf numFmtId="9" fontId="151" fillId="27" borderId="0" xfId="2" applyFont="1" applyFill="1" applyBorder="1"/>
    <xf numFmtId="10" fontId="151" fillId="27" borderId="0" xfId="2" applyNumberFormat="1" applyFont="1" applyFill="1" applyBorder="1"/>
    <xf numFmtId="10" fontId="152" fillId="27" borderId="0" xfId="2" applyNumberFormat="1" applyFont="1" applyFill="1" applyBorder="1" applyAlignment="1">
      <alignment vertical="center"/>
    </xf>
    <xf numFmtId="10" fontId="81" fillId="27" borderId="0" xfId="1" applyNumberFormat="1" applyFont="1" applyFill="1" applyBorder="1" applyAlignment="1">
      <alignment vertical="center"/>
    </xf>
    <xf numFmtId="10" fontId="53" fillId="27" borderId="0" xfId="2" applyNumberFormat="1" applyFont="1" applyFill="1" applyBorder="1"/>
    <xf numFmtId="10" fontId="153" fillId="27" borderId="0" xfId="2" applyNumberFormat="1" applyFont="1" applyFill="1" applyBorder="1"/>
    <xf numFmtId="10" fontId="53" fillId="27" borderId="42" xfId="2" applyNumberFormat="1" applyFont="1" applyFill="1" applyBorder="1"/>
    <xf numFmtId="10" fontId="81" fillId="27" borderId="12" xfId="2" applyNumberFormat="1" applyFont="1" applyFill="1" applyBorder="1" applyAlignment="1" applyProtection="1">
      <alignment horizontal="right" vertical="center"/>
    </xf>
    <xf numFmtId="10" fontId="81" fillId="27" borderId="0" xfId="2" applyNumberFormat="1" applyFont="1" applyFill="1" applyBorder="1" applyAlignment="1" applyProtection="1">
      <alignment horizontal="right" vertical="center"/>
    </xf>
    <xf numFmtId="0" fontId="81" fillId="27" borderId="58" xfId="7" applyFont="1" applyFill="1" applyBorder="1" applyAlignment="1">
      <alignment vertical="center"/>
    </xf>
    <xf numFmtId="0" fontId="81" fillId="27" borderId="59" xfId="7" applyFont="1" applyFill="1" applyBorder="1" applyAlignment="1">
      <alignment vertical="center"/>
    </xf>
    <xf numFmtId="43" fontId="11" fillId="35" borderId="0" xfId="0" applyNumberFormat="1" applyFont="1" applyFill="1"/>
    <xf numFmtId="177" fontId="11" fillId="35" borderId="0" xfId="0" applyNumberFormat="1" applyFont="1" applyFill="1"/>
    <xf numFmtId="10" fontId="41" fillId="35" borderId="0" xfId="2" applyNumberFormat="1" applyFont="1" applyFill="1" applyBorder="1"/>
    <xf numFmtId="4" fontId="11" fillId="35" borderId="0" xfId="0" applyNumberFormat="1" applyFont="1" applyFill="1"/>
    <xf numFmtId="177" fontId="11" fillId="35" borderId="0" xfId="2" applyNumberFormat="1" applyFont="1" applyFill="1" applyBorder="1" applyAlignment="1"/>
    <xf numFmtId="3" fontId="41" fillId="35" borderId="0" xfId="1" applyNumberFormat="1" applyFont="1" applyFill="1" applyBorder="1"/>
    <xf numFmtId="177" fontId="11" fillId="35" borderId="0" xfId="1" applyNumberFormat="1" applyFont="1" applyFill="1" applyBorder="1"/>
    <xf numFmtId="10" fontId="11" fillId="35" borderId="0" xfId="2" applyNumberFormat="1" applyFont="1" applyFill="1" applyBorder="1"/>
    <xf numFmtId="168" fontId="11" fillId="35" borderId="0" xfId="2" applyNumberFormat="1" applyFont="1" applyFill="1" applyBorder="1"/>
    <xf numFmtId="177" fontId="11" fillId="35" borderId="0" xfId="2" applyNumberFormat="1" applyFont="1" applyFill="1" applyBorder="1"/>
    <xf numFmtId="183" fontId="11" fillId="35" borderId="0" xfId="2" applyNumberFormat="1" applyFont="1" applyFill="1" applyBorder="1"/>
    <xf numFmtId="177" fontId="11" fillId="35" borderId="0" xfId="4" applyNumberFormat="1" applyFont="1" applyFill="1" applyBorder="1"/>
    <xf numFmtId="10" fontId="89" fillId="35" borderId="0" xfId="2" applyNumberFormat="1" applyFont="1" applyFill="1" applyBorder="1"/>
    <xf numFmtId="0" fontId="95" fillId="2" borderId="30" xfId="10" applyFont="1" applyFill="1" applyBorder="1" applyAlignment="1">
      <alignment horizontal="right"/>
    </xf>
    <xf numFmtId="165" fontId="95" fillId="2" borderId="5" xfId="10" applyNumberFormat="1" applyFont="1" applyFill="1" applyBorder="1"/>
    <xf numFmtId="38" fontId="146" fillId="27" borderId="0" xfId="11" applyNumberFormat="1" applyFont="1" applyFill="1" applyBorder="1"/>
    <xf numFmtId="168" fontId="106" fillId="34" borderId="0" xfId="13" applyNumberFormat="1" applyFont="1" applyFill="1" applyBorder="1" applyAlignment="1">
      <alignment horizontal="center"/>
    </xf>
    <xf numFmtId="38" fontId="104" fillId="2" borderId="15" xfId="11" applyNumberFormat="1" applyFont="1" applyFill="1" applyBorder="1" applyAlignment="1">
      <alignment horizontal="center"/>
    </xf>
    <xf numFmtId="38" fontId="104" fillId="2" borderId="0" xfId="11" applyNumberFormat="1" applyFont="1" applyFill="1" applyBorder="1" applyAlignment="1">
      <alignment horizontal="center"/>
    </xf>
    <xf numFmtId="38" fontId="104" fillId="2" borderId="0" xfId="7" applyNumberFormat="1" applyFont="1" applyFill="1" applyAlignment="1">
      <alignment horizontal="center" vertical="top" wrapText="1"/>
    </xf>
    <xf numFmtId="38" fontId="104" fillId="2" borderId="0" xfId="7" applyNumberFormat="1" applyFont="1" applyFill="1" applyAlignment="1">
      <alignment horizontal="center" vertical="top"/>
    </xf>
    <xf numFmtId="164" fontId="106" fillId="46" borderId="0" xfId="1" applyNumberFormat="1" applyFont="1" applyFill="1" applyBorder="1" applyAlignment="1">
      <alignment horizontal="center"/>
    </xf>
    <xf numFmtId="9" fontId="106" fillId="24" borderId="0" xfId="2" applyFont="1" applyFill="1" applyBorder="1" applyAlignment="1">
      <alignment horizontal="center"/>
    </xf>
    <xf numFmtId="38" fontId="104" fillId="34" borderId="0" xfId="11" applyNumberFormat="1" applyFont="1" applyFill="1" applyBorder="1" applyAlignment="1">
      <alignment horizontal="center"/>
    </xf>
    <xf numFmtId="38" fontId="104" fillId="9" borderId="0" xfId="11" applyNumberFormat="1" applyFont="1" applyFill="1" applyBorder="1" applyAlignment="1">
      <alignment horizontal="left" wrapText="1"/>
    </xf>
    <xf numFmtId="38" fontId="104" fillId="9" borderId="0" xfId="11" applyNumberFormat="1" applyFont="1" applyFill="1" applyBorder="1" applyAlignment="1">
      <alignment horizontal="left"/>
    </xf>
    <xf numFmtId="38" fontId="146" fillId="34" borderId="7" xfId="11" applyNumberFormat="1" applyFont="1" applyFill="1" applyBorder="1" applyAlignment="1">
      <alignment horizontal="center"/>
    </xf>
    <xf numFmtId="38" fontId="146" fillId="34" borderId="8" xfId="11" applyNumberFormat="1" applyFont="1" applyFill="1" applyBorder="1" applyAlignment="1">
      <alignment horizontal="center"/>
    </xf>
    <xf numFmtId="38" fontId="117" fillId="9" borderId="0" xfId="11" applyNumberFormat="1" applyFont="1" applyFill="1" applyBorder="1" applyAlignment="1">
      <alignment horizontal="left" wrapText="1"/>
    </xf>
    <xf numFmtId="38" fontId="117" fillId="9" borderId="0" xfId="11" applyNumberFormat="1" applyFont="1" applyFill="1" applyBorder="1" applyAlignment="1">
      <alignment horizontal="left"/>
    </xf>
    <xf numFmtId="0" fontId="12" fillId="5" borderId="0" xfId="0" applyFont="1" applyFill="1" applyAlignment="1">
      <alignment horizontal="center"/>
    </xf>
    <xf numFmtId="0" fontId="12" fillId="5" borderId="2" xfId="0" applyFont="1" applyFill="1" applyBorder="1" applyAlignment="1">
      <alignment horizontal="center"/>
    </xf>
    <xf numFmtId="0" fontId="12" fillId="22" borderId="0" xfId="0" applyFont="1" applyFill="1" applyAlignment="1">
      <alignment horizontal="center"/>
    </xf>
    <xf numFmtId="1" fontId="12" fillId="22" borderId="0" xfId="2" applyNumberFormat="1" applyFont="1" applyFill="1" applyBorder="1" applyAlignment="1">
      <alignment horizontal="center" vertical="center"/>
    </xf>
    <xf numFmtId="164" fontId="11" fillId="2" borderId="0" xfId="1" applyNumberFormat="1" applyFont="1" applyFill="1" applyBorder="1" applyAlignment="1">
      <alignment horizontal="left" vertical="top" wrapText="1"/>
    </xf>
    <xf numFmtId="165" fontId="31" fillId="2" borderId="23" xfId="0" applyNumberFormat="1" applyFont="1" applyFill="1" applyBorder="1" applyAlignment="1">
      <alignment horizontal="center"/>
    </xf>
    <xf numFmtId="0" fontId="48" fillId="2" borderId="38" xfId="0" applyFont="1" applyFill="1" applyBorder="1" applyAlignment="1">
      <alignment horizontal="center"/>
    </xf>
    <xf numFmtId="0" fontId="48" fillId="2" borderId="11" xfId="0" applyFont="1" applyFill="1" applyBorder="1" applyAlignment="1">
      <alignment horizontal="center"/>
    </xf>
    <xf numFmtId="0" fontId="49" fillId="2" borderId="11" xfId="0" applyFont="1" applyFill="1" applyBorder="1" applyAlignment="1">
      <alignment horizontal="center"/>
    </xf>
    <xf numFmtId="0" fontId="48" fillId="6" borderId="38" xfId="0" applyFont="1" applyFill="1" applyBorder="1" applyAlignment="1">
      <alignment horizontal="center"/>
    </xf>
    <xf numFmtId="0" fontId="48" fillId="6" borderId="39" xfId="0" applyFont="1" applyFill="1" applyBorder="1" applyAlignment="1">
      <alignment horizontal="center"/>
    </xf>
    <xf numFmtId="43" fontId="13" fillId="9" borderId="0" xfId="1" applyFont="1" applyFill="1" applyBorder="1" applyAlignment="1">
      <alignment horizontal="center" vertical="center"/>
    </xf>
    <xf numFmtId="170" fontId="31" fillId="2" borderId="0" xfId="1" applyNumberFormat="1" applyFont="1" applyFill="1" applyBorder="1" applyAlignment="1">
      <alignment horizontal="center" vertical="center"/>
    </xf>
    <xf numFmtId="175" fontId="12" fillId="12" borderId="65" xfId="1" applyNumberFormat="1" applyFont="1" applyFill="1" applyBorder="1" applyAlignment="1">
      <alignment horizontal="center" vertical="center"/>
    </xf>
    <xf numFmtId="175" fontId="12" fillId="12" borderId="27" xfId="1" applyNumberFormat="1" applyFont="1" applyFill="1" applyBorder="1" applyAlignment="1">
      <alignment horizontal="center" vertical="center"/>
    </xf>
    <xf numFmtId="175" fontId="12" fillId="12" borderId="28" xfId="1" applyNumberFormat="1" applyFont="1" applyFill="1" applyBorder="1" applyAlignment="1">
      <alignment horizontal="center" vertical="center"/>
    </xf>
    <xf numFmtId="167" fontId="27" fillId="9" borderId="0" xfId="1" applyNumberFormat="1" applyFont="1" applyFill="1" applyBorder="1" applyAlignment="1">
      <alignment horizontal="left" vertical="center" wrapText="1"/>
    </xf>
    <xf numFmtId="167" fontId="27" fillId="9" borderId="0" xfId="1" applyNumberFormat="1" applyFont="1" applyFill="1" applyBorder="1" applyAlignment="1">
      <alignment horizontal="left" vertical="center"/>
    </xf>
    <xf numFmtId="3" fontId="13" fillId="9" borderId="0" xfId="0" applyNumberFormat="1" applyFont="1" applyFill="1" applyAlignment="1">
      <alignment horizontal="center" vertical="center"/>
    </xf>
    <xf numFmtId="3" fontId="13" fillId="9" borderId="2" xfId="0" applyNumberFormat="1" applyFont="1" applyFill="1" applyBorder="1" applyAlignment="1">
      <alignment horizontal="center" vertical="center"/>
    </xf>
    <xf numFmtId="0" fontId="11" fillId="2" borderId="0" xfId="2" applyNumberFormat="1" applyFont="1" applyFill="1" applyBorder="1" applyAlignment="1">
      <alignment horizontal="left" vertical="center"/>
    </xf>
    <xf numFmtId="0" fontId="11" fillId="2" borderId="11" xfId="2" applyNumberFormat="1" applyFont="1" applyFill="1" applyBorder="1" applyAlignment="1">
      <alignment horizontal="left" vertical="center"/>
    </xf>
    <xf numFmtId="0" fontId="11" fillId="2" borderId="0" xfId="1" applyNumberFormat="1" applyFont="1" applyFill="1" applyBorder="1" applyAlignment="1">
      <alignment horizontal="left" vertical="center" wrapText="1"/>
    </xf>
    <xf numFmtId="0" fontId="11" fillId="2" borderId="11" xfId="1" applyNumberFormat="1" applyFont="1" applyFill="1" applyBorder="1" applyAlignment="1">
      <alignment horizontal="left" vertical="center" wrapText="1"/>
    </xf>
    <xf numFmtId="167" fontId="13" fillId="9" borderId="0" xfId="0" applyNumberFormat="1" applyFont="1" applyFill="1" applyAlignment="1">
      <alignment horizontal="center" vertical="center"/>
    </xf>
    <xf numFmtId="167" fontId="13" fillId="9" borderId="11" xfId="0" applyNumberFormat="1" applyFont="1" applyFill="1" applyBorder="1" applyAlignment="1">
      <alignment horizontal="center" vertical="center"/>
    </xf>
    <xf numFmtId="9" fontId="81" fillId="27" borderId="11" xfId="2" applyFont="1" applyFill="1" applyBorder="1" applyAlignment="1">
      <alignment horizontal="center" vertical="center"/>
    </xf>
    <xf numFmtId="164" fontId="27" fillId="9" borderId="0" xfId="1" applyNumberFormat="1" applyFont="1" applyFill="1" applyBorder="1" applyAlignment="1">
      <alignment horizontal="center" vertical="center" wrapText="1"/>
    </xf>
    <xf numFmtId="164" fontId="27" fillId="9" borderId="0" xfId="1" applyNumberFormat="1" applyFont="1" applyFill="1" applyBorder="1" applyAlignment="1">
      <alignment horizontal="center" vertical="center"/>
    </xf>
    <xf numFmtId="164" fontId="27" fillId="9" borderId="11" xfId="1" applyNumberFormat="1" applyFont="1" applyFill="1" applyBorder="1" applyAlignment="1">
      <alignment horizontal="center" vertical="center"/>
    </xf>
    <xf numFmtId="0" fontId="27" fillId="9" borderId="0" xfId="0" applyFont="1" applyFill="1" applyAlignment="1">
      <alignment horizontal="center" vertical="center"/>
    </xf>
    <xf numFmtId="0" fontId="27" fillId="9" borderId="2" xfId="0" applyFont="1" applyFill="1" applyBorder="1" applyAlignment="1">
      <alignment horizontal="center" vertical="center"/>
    </xf>
    <xf numFmtId="0" fontId="26" fillId="2" borderId="0" xfId="0" applyFont="1" applyFill="1" applyAlignment="1">
      <alignment horizontal="center" vertical="center"/>
    </xf>
    <xf numFmtId="0" fontId="26" fillId="2" borderId="21" xfId="0" applyFont="1" applyFill="1" applyBorder="1" applyAlignment="1">
      <alignment horizontal="center" vertical="center"/>
    </xf>
    <xf numFmtId="0" fontId="18" fillId="10" borderId="0" xfId="0" applyFont="1" applyFill="1" applyAlignment="1">
      <alignment horizontal="center" vertical="center"/>
    </xf>
    <xf numFmtId="0" fontId="18" fillId="10" borderId="12" xfId="0" applyFont="1" applyFill="1" applyBorder="1" applyAlignment="1">
      <alignment horizontal="center" vertical="center"/>
    </xf>
    <xf numFmtId="0" fontId="18" fillId="10" borderId="21" xfId="0" applyFont="1" applyFill="1" applyBorder="1" applyAlignment="1">
      <alignment horizontal="center" vertical="center"/>
    </xf>
    <xf numFmtId="0" fontId="72" fillId="2" borderId="4" xfId="0" applyFont="1" applyFill="1" applyBorder="1" applyAlignment="1">
      <alignment horizontal="center"/>
    </xf>
    <xf numFmtId="0" fontId="72" fillId="2" borderId="0" xfId="0" applyFont="1" applyFill="1" applyAlignment="1">
      <alignment horizontal="center"/>
    </xf>
    <xf numFmtId="0" fontId="73" fillId="2" borderId="0" xfId="0" applyFont="1" applyFill="1" applyAlignment="1">
      <alignment horizontal="center"/>
    </xf>
    <xf numFmtId="0" fontId="73" fillId="2" borderId="7" xfId="0" applyFont="1" applyFill="1" applyBorder="1" applyAlignment="1">
      <alignment horizontal="center"/>
    </xf>
    <xf numFmtId="0" fontId="36" fillId="9" borderId="0" xfId="0" applyFont="1" applyFill="1" applyAlignment="1">
      <alignment horizontal="center"/>
    </xf>
    <xf numFmtId="0" fontId="18" fillId="15" borderId="0" xfId="0" applyFont="1" applyFill="1" applyAlignment="1">
      <alignment horizontal="center" vertical="center"/>
    </xf>
    <xf numFmtId="0" fontId="83" fillId="2" borderId="0" xfId="0" applyFont="1" applyFill="1" applyAlignment="1">
      <alignment horizontal="center"/>
    </xf>
    <xf numFmtId="0" fontId="18" fillId="24" borderId="0" xfId="7" applyFont="1" applyFill="1" applyAlignment="1">
      <alignment vertical="center"/>
    </xf>
    <xf numFmtId="0" fontId="26" fillId="2" borderId="0" xfId="0" applyFont="1" applyFill="1" applyAlignment="1">
      <alignment horizontal="center"/>
    </xf>
    <xf numFmtId="0" fontId="18" fillId="2" borderId="0" xfId="0" applyFont="1" applyFill="1" applyAlignment="1">
      <alignment horizontal="center" vertical="center" wrapText="1"/>
    </xf>
    <xf numFmtId="0" fontId="18" fillId="10" borderId="0" xfId="7" applyFont="1" applyFill="1" applyAlignment="1">
      <alignment horizontal="center" vertical="center"/>
    </xf>
    <xf numFmtId="0" fontId="13" fillId="2" borderId="15" xfId="0" applyFont="1" applyFill="1" applyBorder="1" applyAlignment="1">
      <alignment horizontal="left" wrapText="1"/>
    </xf>
    <xf numFmtId="0" fontId="13" fillId="2" borderId="0" xfId="0" applyFont="1" applyFill="1" applyAlignment="1">
      <alignment horizontal="left" wrapText="1"/>
    </xf>
    <xf numFmtId="0" fontId="13" fillId="2" borderId="2" xfId="0" applyFont="1" applyFill="1" applyBorder="1" applyAlignment="1">
      <alignment horizontal="left" wrapText="1"/>
    </xf>
    <xf numFmtId="9" fontId="13" fillId="2" borderId="11" xfId="2" applyFont="1" applyFill="1" applyBorder="1" applyAlignment="1">
      <alignment horizontal="center" vertical="center"/>
    </xf>
    <xf numFmtId="9" fontId="13" fillId="2" borderId="0" xfId="2" applyFont="1" applyFill="1" applyBorder="1" applyAlignment="1">
      <alignment horizontal="center" vertical="center"/>
    </xf>
    <xf numFmtId="0" fontId="13" fillId="2" borderId="2" xfId="7" applyFont="1" applyFill="1" applyBorder="1" applyAlignment="1">
      <alignment horizontal="center" vertical="center"/>
    </xf>
    <xf numFmtId="0" fontId="18" fillId="2" borderId="0" xfId="0" applyFont="1" applyFill="1" applyAlignment="1">
      <alignment horizontal="center" vertical="center"/>
    </xf>
    <xf numFmtId="9" fontId="24" fillId="2" borderId="0" xfId="2" applyFont="1" applyFill="1" applyBorder="1" applyAlignment="1">
      <alignment horizontal="center" vertical="center"/>
    </xf>
    <xf numFmtId="0" fontId="24" fillId="2" borderId="0" xfId="0" applyFont="1" applyFill="1" applyAlignment="1">
      <alignment horizontal="center" vertical="center" textRotation="90"/>
    </xf>
    <xf numFmtId="0" fontId="18" fillId="30" borderId="0" xfId="0" applyFont="1" applyFill="1" applyAlignment="1">
      <alignment horizontal="center" vertical="center"/>
    </xf>
    <xf numFmtId="0" fontId="13" fillId="2" borderId="0" xfId="0" applyFont="1" applyFill="1" applyAlignment="1">
      <alignment horizontal="center" vertical="center"/>
    </xf>
    <xf numFmtId="0" fontId="18" fillId="10" borderId="0" xfId="10" applyFont="1" applyFill="1" applyAlignment="1">
      <alignment horizontal="center"/>
    </xf>
    <xf numFmtId="0" fontId="18" fillId="10" borderId="4" xfId="10" applyFont="1" applyFill="1" applyBorder="1" applyAlignment="1">
      <alignment horizontal="center"/>
    </xf>
    <xf numFmtId="0" fontId="94" fillId="10" borderId="0" xfId="10" applyFont="1" applyFill="1" applyAlignment="1">
      <alignment horizontal="center" vertical="center"/>
    </xf>
    <xf numFmtId="0" fontId="94" fillId="10" borderId="4" xfId="10" applyFont="1" applyFill="1" applyBorder="1" applyAlignment="1">
      <alignment horizontal="center" vertical="center"/>
    </xf>
  </cellXfs>
  <cellStyles count="17">
    <cellStyle name="Accent6" xfId="5" builtinId="49"/>
    <cellStyle name="Comma" xfId="1" builtinId="3"/>
    <cellStyle name="Comma 2" xfId="16" xr:uid="{D91024D8-DA7F-441E-AD43-577AE5CE8BAD}"/>
    <cellStyle name="Comma 3" xfId="4" xr:uid="{6F28BA25-27FA-428F-B301-DFF70A227A9B}"/>
    <cellStyle name="Comma 4 2" xfId="11" xr:uid="{D74D5F56-B669-4D7F-AF72-1AB399339CDB}"/>
    <cellStyle name="Hyperlink" xfId="3" builtinId="8"/>
    <cellStyle name="Hyperlink 2" xfId="6" xr:uid="{14F810B1-C77B-42E9-B797-592D0144CF46}"/>
    <cellStyle name="Normal" xfId="0" builtinId="0"/>
    <cellStyle name="Normal 2" xfId="8" xr:uid="{9B0A10D4-5FFA-41B6-86D3-5112B67B662C}"/>
    <cellStyle name="Normal 2 2" xfId="10" xr:uid="{7DF73898-F3E9-4F1E-87BA-1640894E65EC}"/>
    <cellStyle name="Normal 3" xfId="14" xr:uid="{8EB9E6B3-5E9F-49DE-9DCB-4C21F713791E}"/>
    <cellStyle name="Normal 3 2" xfId="7" xr:uid="{C74CFD73-EA68-4CA5-A2BD-5C7C203D1619}"/>
    <cellStyle name="Normal_20060124-BBC-BAO CAO TAI CHINH GUI TRUNG TAM QUI 4 BAN DAY DU" xfId="15" xr:uid="{0D4EDE87-C834-4399-89F1-C7B60DA72BE8}"/>
    <cellStyle name="Percent" xfId="2" builtinId="5"/>
    <cellStyle name="Percent 10 2" xfId="13" xr:uid="{29EE0907-A57F-4EEC-A35A-79E0748F5BAD}"/>
    <cellStyle name="Percent 2" xfId="9" xr:uid="{F1EE7140-C921-4354-AA25-5918FEF949FC}"/>
    <cellStyle name="Percent 8 2 2" xfId="12" xr:uid="{5C009577-CB4C-4354-88AE-B9FCB4BAAD60}"/>
  </cellStyles>
  <dxfs count="2">
    <dxf>
      <font>
        <color rgb="FF6EAA46"/>
      </font>
    </dxf>
    <dxf>
      <font>
        <color rgb="FFFF0000"/>
      </font>
    </dxf>
  </dxfs>
  <tableStyles count="0" defaultTableStyle="TableStyleMedium2" defaultPivotStyle="PivotStyleLight16"/>
  <colors>
    <mruColors>
      <color rgb="FFD9D9D9"/>
      <color rgb="FFFABF8F"/>
      <color rgb="FF6EAA46"/>
      <color rgb="FF404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jpeg"/><Relationship Id="rId12" Type="http://schemas.openxmlformats.org/officeDocument/2006/relationships/image" Target="../media/image15.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7.tmp"/><Relationship Id="rId1" Type="http://schemas.openxmlformats.org/officeDocument/2006/relationships/image" Target="../media/image16.tmp"/></Relationships>
</file>

<file path=xl/drawings/_rels/drawing7.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0</xdr:col>
      <xdr:colOff>83820</xdr:colOff>
      <xdr:row>0</xdr:row>
      <xdr:rowOff>19735</xdr:rowOff>
    </xdr:from>
    <xdr:to>
      <xdr:col>1</xdr:col>
      <xdr:colOff>204984</xdr:colOff>
      <xdr:row>3</xdr:row>
      <xdr:rowOff>45720</xdr:rowOff>
    </xdr:to>
    <xdr:pic>
      <xdr:nvPicPr>
        <xdr:cNvPr id="2" name="Graphic 4">
          <a:extLst>
            <a:ext uri="{FF2B5EF4-FFF2-40B4-BE49-F238E27FC236}">
              <a16:creationId xmlns:a16="http://schemas.microsoft.com/office/drawing/2014/main" id="{366A20ED-05D8-40D1-90AE-D75A12FAFA16}"/>
            </a:ext>
          </a:extLst>
        </xdr:cNvPr>
        <xdr:cNvPicPr>
          <a:picLocks noChangeAspect="1"/>
        </xdr:cNvPicPr>
      </xdr:nvPicPr>
      <xdr:blipFill>
        <a:blip xmlns:r="http://schemas.openxmlformats.org/officeDocument/2006/relationships" r:embed="rId1"/>
        <a:stretch>
          <a:fillRect/>
        </a:stretch>
      </xdr:blipFill>
      <xdr:spPr>
        <a:xfrm>
          <a:off x="83820" y="19735"/>
          <a:ext cx="2455545" cy="574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83820</xdr:colOff>
      <xdr:row>0</xdr:row>
      <xdr:rowOff>19735</xdr:rowOff>
    </xdr:from>
    <xdr:to>
      <xdr:col>0</xdr:col>
      <xdr:colOff>2539365</xdr:colOff>
      <xdr:row>3</xdr:row>
      <xdr:rowOff>45720</xdr:rowOff>
    </xdr:to>
    <xdr:pic>
      <xdr:nvPicPr>
        <xdr:cNvPr id="2" name="Graphic 1">
          <a:extLst>
            <a:ext uri="{FF2B5EF4-FFF2-40B4-BE49-F238E27FC236}">
              <a16:creationId xmlns:a16="http://schemas.microsoft.com/office/drawing/2014/main" id="{FF744B7E-7703-48BC-B499-497A60686CC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3820" y="19735"/>
          <a:ext cx="2455545" cy="5746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83820</xdr:colOff>
      <xdr:row>0</xdr:row>
      <xdr:rowOff>19735</xdr:rowOff>
    </xdr:from>
    <xdr:to>
      <xdr:col>1</xdr:col>
      <xdr:colOff>253365</xdr:colOff>
      <xdr:row>3</xdr:row>
      <xdr:rowOff>4157</xdr:rowOff>
    </xdr:to>
    <xdr:pic>
      <xdr:nvPicPr>
        <xdr:cNvPr id="2" name="Graphic 4">
          <a:extLst>
            <a:ext uri="{FF2B5EF4-FFF2-40B4-BE49-F238E27FC236}">
              <a16:creationId xmlns:a16="http://schemas.microsoft.com/office/drawing/2014/main" id="{BE6340B0-214D-475F-874B-E103C80A768F}"/>
            </a:ext>
          </a:extLst>
        </xdr:cNvPr>
        <xdr:cNvPicPr>
          <a:picLocks noChangeAspect="1"/>
        </xdr:cNvPicPr>
      </xdr:nvPicPr>
      <xdr:blipFill>
        <a:blip xmlns:r="http://schemas.openxmlformats.org/officeDocument/2006/relationships" r:embed="rId1"/>
        <a:stretch>
          <a:fillRect/>
        </a:stretch>
      </xdr:blipFill>
      <xdr:spPr>
        <a:xfrm>
          <a:off x="83820" y="19735"/>
          <a:ext cx="2455545" cy="5746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83820</xdr:colOff>
      <xdr:row>0</xdr:row>
      <xdr:rowOff>19735</xdr:rowOff>
    </xdr:from>
    <xdr:to>
      <xdr:col>1</xdr:col>
      <xdr:colOff>507365</xdr:colOff>
      <xdr:row>3</xdr:row>
      <xdr:rowOff>145111</xdr:rowOff>
    </xdr:to>
    <xdr:pic>
      <xdr:nvPicPr>
        <xdr:cNvPr id="2" name="Graphic 4">
          <a:extLst>
            <a:ext uri="{FF2B5EF4-FFF2-40B4-BE49-F238E27FC236}">
              <a16:creationId xmlns:a16="http://schemas.microsoft.com/office/drawing/2014/main" id="{5E2B7FB3-0242-46B9-A9CA-A1C6A1091853}"/>
            </a:ext>
          </a:extLst>
        </xdr:cNvPr>
        <xdr:cNvPicPr>
          <a:picLocks noChangeAspect="1"/>
        </xdr:cNvPicPr>
      </xdr:nvPicPr>
      <xdr:blipFill>
        <a:blip xmlns:r="http://schemas.openxmlformats.org/officeDocument/2006/relationships" r:embed="rId1"/>
        <a:stretch>
          <a:fillRect/>
        </a:stretch>
      </xdr:blipFill>
      <xdr:spPr>
        <a:xfrm>
          <a:off x="83820" y="19735"/>
          <a:ext cx="2455545" cy="5746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831979</xdr:colOff>
      <xdr:row>358</xdr:row>
      <xdr:rowOff>52485</xdr:rowOff>
    </xdr:from>
    <xdr:to>
      <xdr:col>35</xdr:col>
      <xdr:colOff>81183</xdr:colOff>
      <xdr:row>365</xdr:row>
      <xdr:rowOff>146845</xdr:rowOff>
    </xdr:to>
    <xdr:pic>
      <xdr:nvPicPr>
        <xdr:cNvPr id="4" name="Picture 3">
          <a:extLst>
            <a:ext uri="{FF2B5EF4-FFF2-40B4-BE49-F238E27FC236}">
              <a16:creationId xmlns:a16="http://schemas.microsoft.com/office/drawing/2014/main" id="{0216ABAD-D0B6-4445-A9E8-5E52466D2184}"/>
            </a:ext>
          </a:extLst>
        </xdr:cNvPr>
        <xdr:cNvPicPr>
          <a:picLocks noChangeAspect="1"/>
        </xdr:cNvPicPr>
      </xdr:nvPicPr>
      <xdr:blipFill>
        <a:blip xmlns:r="http://schemas.openxmlformats.org/officeDocument/2006/relationships" r:embed="rId1"/>
        <a:stretch>
          <a:fillRect/>
        </a:stretch>
      </xdr:blipFill>
      <xdr:spPr>
        <a:xfrm>
          <a:off x="22381339" y="56676705"/>
          <a:ext cx="6373904" cy="1374521"/>
        </a:xfrm>
        <a:prstGeom prst="rect">
          <a:avLst/>
        </a:prstGeom>
      </xdr:spPr>
    </xdr:pic>
    <xdr:clientData/>
  </xdr:twoCellAnchor>
  <xdr:twoCellAnchor editAs="oneCell">
    <xdr:from>
      <xdr:col>25</xdr:col>
      <xdr:colOff>437372</xdr:colOff>
      <xdr:row>328</xdr:row>
      <xdr:rowOff>9719</xdr:rowOff>
    </xdr:from>
    <xdr:to>
      <xdr:col>35</xdr:col>
      <xdr:colOff>572718</xdr:colOff>
      <xdr:row>351</xdr:row>
      <xdr:rowOff>101834</xdr:rowOff>
    </xdr:to>
    <xdr:pic>
      <xdr:nvPicPr>
        <xdr:cNvPr id="5" name="Picture 4">
          <a:extLst>
            <a:ext uri="{FF2B5EF4-FFF2-40B4-BE49-F238E27FC236}">
              <a16:creationId xmlns:a16="http://schemas.microsoft.com/office/drawing/2014/main" id="{B4CC18B4-4DAD-4F4C-A0FE-05E6FBBCB9E9}"/>
            </a:ext>
          </a:extLst>
        </xdr:cNvPr>
        <xdr:cNvPicPr>
          <a:picLocks noChangeAspect="1"/>
        </xdr:cNvPicPr>
      </xdr:nvPicPr>
      <xdr:blipFill>
        <a:blip xmlns:r="http://schemas.openxmlformats.org/officeDocument/2006/relationships" r:embed="rId2"/>
        <a:stretch>
          <a:fillRect/>
        </a:stretch>
      </xdr:blipFill>
      <xdr:spPr>
        <a:xfrm>
          <a:off x="21986732" y="51772379"/>
          <a:ext cx="7229566" cy="4298355"/>
        </a:xfrm>
        <a:prstGeom prst="rect">
          <a:avLst/>
        </a:prstGeom>
      </xdr:spPr>
    </xdr:pic>
    <xdr:clientData/>
  </xdr:twoCellAnchor>
  <xdr:twoCellAnchor editAs="oneCell">
    <xdr:from>
      <xdr:col>31</xdr:col>
      <xdr:colOff>129412</xdr:colOff>
      <xdr:row>235</xdr:row>
      <xdr:rowOff>69608</xdr:rowOff>
    </xdr:from>
    <xdr:to>
      <xdr:col>44</xdr:col>
      <xdr:colOff>385488</xdr:colOff>
      <xdr:row>262</xdr:row>
      <xdr:rowOff>112635</xdr:rowOff>
    </xdr:to>
    <xdr:pic>
      <xdr:nvPicPr>
        <xdr:cNvPr id="6" name="Picture 5">
          <a:extLst>
            <a:ext uri="{FF2B5EF4-FFF2-40B4-BE49-F238E27FC236}">
              <a16:creationId xmlns:a16="http://schemas.microsoft.com/office/drawing/2014/main" id="{174FAC82-6DB6-4EB3-A697-44D5BD2002B0}"/>
            </a:ext>
          </a:extLst>
        </xdr:cNvPr>
        <xdr:cNvPicPr>
          <a:picLocks noChangeAspect="1"/>
        </xdr:cNvPicPr>
      </xdr:nvPicPr>
      <xdr:blipFill>
        <a:blip xmlns:r="http://schemas.openxmlformats.org/officeDocument/2006/relationships" r:embed="rId3"/>
        <a:stretch>
          <a:fillRect/>
        </a:stretch>
      </xdr:blipFill>
      <xdr:spPr>
        <a:xfrm>
          <a:off x="35238157" y="38655991"/>
          <a:ext cx="8516480" cy="4647452"/>
        </a:xfrm>
        <a:prstGeom prst="rect">
          <a:avLst/>
        </a:prstGeom>
      </xdr:spPr>
    </xdr:pic>
    <xdr:clientData/>
  </xdr:twoCellAnchor>
  <xdr:twoCellAnchor editAs="oneCell">
    <xdr:from>
      <xdr:col>42</xdr:col>
      <xdr:colOff>281861</xdr:colOff>
      <xdr:row>244</xdr:row>
      <xdr:rowOff>145791</xdr:rowOff>
    </xdr:from>
    <xdr:to>
      <xdr:col>53</xdr:col>
      <xdr:colOff>110971</xdr:colOff>
      <xdr:row>269</xdr:row>
      <xdr:rowOff>10689</xdr:rowOff>
    </xdr:to>
    <xdr:pic>
      <xdr:nvPicPr>
        <xdr:cNvPr id="7" name="Picture 6">
          <a:extLst>
            <a:ext uri="{FF2B5EF4-FFF2-40B4-BE49-F238E27FC236}">
              <a16:creationId xmlns:a16="http://schemas.microsoft.com/office/drawing/2014/main" id="{B3959A91-B090-4233-A4DF-A7D01EF46824}"/>
            </a:ext>
          </a:extLst>
        </xdr:cNvPr>
        <xdr:cNvPicPr>
          <a:picLocks noChangeAspect="1"/>
        </xdr:cNvPicPr>
      </xdr:nvPicPr>
      <xdr:blipFill>
        <a:blip xmlns:r="http://schemas.openxmlformats.org/officeDocument/2006/relationships" r:embed="rId4"/>
        <a:stretch>
          <a:fillRect/>
        </a:stretch>
      </xdr:blipFill>
      <xdr:spPr>
        <a:xfrm>
          <a:off x="33512681" y="38299131"/>
          <a:ext cx="6534710" cy="4415168"/>
        </a:xfrm>
        <a:prstGeom prst="rect">
          <a:avLst/>
        </a:prstGeom>
      </xdr:spPr>
    </xdr:pic>
    <xdr:clientData/>
  </xdr:twoCellAnchor>
  <xdr:twoCellAnchor editAs="oneCell">
    <xdr:from>
      <xdr:col>24</xdr:col>
      <xdr:colOff>991378</xdr:colOff>
      <xdr:row>111</xdr:row>
      <xdr:rowOff>87475</xdr:rowOff>
    </xdr:from>
    <xdr:to>
      <xdr:col>34</xdr:col>
      <xdr:colOff>198117</xdr:colOff>
      <xdr:row>127</xdr:row>
      <xdr:rowOff>368</xdr:rowOff>
    </xdr:to>
    <xdr:pic>
      <xdr:nvPicPr>
        <xdr:cNvPr id="8" name="Picture 7">
          <a:extLst>
            <a:ext uri="{FF2B5EF4-FFF2-40B4-BE49-F238E27FC236}">
              <a16:creationId xmlns:a16="http://schemas.microsoft.com/office/drawing/2014/main" id="{6A517B20-73E9-47F9-85A8-7339569D80BD}"/>
            </a:ext>
          </a:extLst>
        </xdr:cNvPr>
        <xdr:cNvPicPr>
          <a:picLocks noChangeAspect="1"/>
        </xdr:cNvPicPr>
      </xdr:nvPicPr>
      <xdr:blipFill>
        <a:blip xmlns:r="http://schemas.openxmlformats.org/officeDocument/2006/relationships" r:embed="rId5"/>
        <a:stretch>
          <a:fillRect/>
        </a:stretch>
      </xdr:blipFill>
      <xdr:spPr>
        <a:xfrm>
          <a:off x="21443458" y="17682055"/>
          <a:ext cx="6758159" cy="2817730"/>
        </a:xfrm>
        <a:prstGeom prst="rect">
          <a:avLst/>
        </a:prstGeom>
      </xdr:spPr>
    </xdr:pic>
    <xdr:clientData/>
  </xdr:twoCellAnchor>
  <xdr:twoCellAnchor editAs="oneCell">
    <xdr:from>
      <xdr:col>33</xdr:col>
      <xdr:colOff>272143</xdr:colOff>
      <xdr:row>112</xdr:row>
      <xdr:rowOff>97194</xdr:rowOff>
    </xdr:from>
    <xdr:to>
      <xdr:col>39</xdr:col>
      <xdr:colOff>183133</xdr:colOff>
      <xdr:row>128</xdr:row>
      <xdr:rowOff>112020</xdr:rowOff>
    </xdr:to>
    <xdr:pic>
      <xdr:nvPicPr>
        <xdr:cNvPr id="9" name="Picture 8">
          <a:extLst>
            <a:ext uri="{FF2B5EF4-FFF2-40B4-BE49-F238E27FC236}">
              <a16:creationId xmlns:a16="http://schemas.microsoft.com/office/drawing/2014/main" id="{D4245E78-341E-4633-9212-55854ACD0D43}"/>
            </a:ext>
          </a:extLst>
        </xdr:cNvPr>
        <xdr:cNvPicPr>
          <a:picLocks noChangeAspect="1"/>
        </xdr:cNvPicPr>
      </xdr:nvPicPr>
      <xdr:blipFill>
        <a:blip xmlns:r="http://schemas.openxmlformats.org/officeDocument/2006/relationships" r:embed="rId6"/>
        <a:stretch>
          <a:fillRect/>
        </a:stretch>
      </xdr:blipFill>
      <xdr:spPr>
        <a:xfrm>
          <a:off x="27787963" y="17859414"/>
          <a:ext cx="3660029" cy="2940906"/>
        </a:xfrm>
        <a:prstGeom prst="rect">
          <a:avLst/>
        </a:prstGeom>
      </xdr:spPr>
    </xdr:pic>
    <xdr:clientData/>
  </xdr:twoCellAnchor>
  <xdr:twoCellAnchor editAs="oneCell">
    <xdr:from>
      <xdr:col>23</xdr:col>
      <xdr:colOff>754258</xdr:colOff>
      <xdr:row>208</xdr:row>
      <xdr:rowOff>153449</xdr:rowOff>
    </xdr:from>
    <xdr:to>
      <xdr:col>30</xdr:col>
      <xdr:colOff>637868</xdr:colOff>
      <xdr:row>221</xdr:row>
      <xdr:rowOff>109537</xdr:rowOff>
    </xdr:to>
    <xdr:pic>
      <xdr:nvPicPr>
        <xdr:cNvPr id="10" name="Picture 9">
          <a:extLst>
            <a:ext uri="{FF2B5EF4-FFF2-40B4-BE49-F238E27FC236}">
              <a16:creationId xmlns:a16="http://schemas.microsoft.com/office/drawing/2014/main" id="{33BF1BE0-38EA-4955-B1F2-1C5EF481620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16200000">
          <a:off x="30962933" y="33709582"/>
          <a:ext cx="2169131" cy="6101206"/>
        </a:xfrm>
        <a:prstGeom prst="rect">
          <a:avLst/>
        </a:prstGeom>
      </xdr:spPr>
    </xdr:pic>
    <xdr:clientData/>
  </xdr:twoCellAnchor>
  <xdr:twoCellAnchor editAs="oneCell">
    <xdr:from>
      <xdr:col>35</xdr:col>
      <xdr:colOff>220980</xdr:colOff>
      <xdr:row>92</xdr:row>
      <xdr:rowOff>0</xdr:rowOff>
    </xdr:from>
    <xdr:to>
      <xdr:col>42</xdr:col>
      <xdr:colOff>351839</xdr:colOff>
      <xdr:row>110</xdr:row>
      <xdr:rowOff>9006</xdr:rowOff>
    </xdr:to>
    <xdr:pic>
      <xdr:nvPicPr>
        <xdr:cNvPr id="11" name="Picture 10">
          <a:extLst>
            <a:ext uri="{FF2B5EF4-FFF2-40B4-BE49-F238E27FC236}">
              <a16:creationId xmlns:a16="http://schemas.microsoft.com/office/drawing/2014/main" id="{55A58BB2-3437-C8D2-1396-C634D32F31B8}"/>
            </a:ext>
          </a:extLst>
        </xdr:cNvPr>
        <xdr:cNvPicPr>
          <a:picLocks noChangeAspect="1"/>
        </xdr:cNvPicPr>
      </xdr:nvPicPr>
      <xdr:blipFill>
        <a:blip xmlns:r="http://schemas.openxmlformats.org/officeDocument/2006/relationships" r:embed="rId8"/>
        <a:stretch>
          <a:fillRect/>
        </a:stretch>
      </xdr:blipFill>
      <xdr:spPr>
        <a:xfrm>
          <a:off x="32689800" y="15407640"/>
          <a:ext cx="4535219" cy="3049386"/>
        </a:xfrm>
        <a:prstGeom prst="rect">
          <a:avLst/>
        </a:prstGeom>
      </xdr:spPr>
    </xdr:pic>
    <xdr:clientData/>
  </xdr:twoCellAnchor>
  <xdr:twoCellAnchor editAs="oneCell">
    <xdr:from>
      <xdr:col>30</xdr:col>
      <xdr:colOff>0</xdr:colOff>
      <xdr:row>132</xdr:row>
      <xdr:rowOff>0</xdr:rowOff>
    </xdr:from>
    <xdr:to>
      <xdr:col>42</xdr:col>
      <xdr:colOff>227269</xdr:colOff>
      <xdr:row>174</xdr:row>
      <xdr:rowOff>42688</xdr:rowOff>
    </xdr:to>
    <xdr:pic>
      <xdr:nvPicPr>
        <xdr:cNvPr id="2" name="Picture 1">
          <a:extLst>
            <a:ext uri="{FF2B5EF4-FFF2-40B4-BE49-F238E27FC236}">
              <a16:creationId xmlns:a16="http://schemas.microsoft.com/office/drawing/2014/main" id="{39BFD253-21C8-2CF9-1692-1172C3DEA8CD}"/>
            </a:ext>
          </a:extLst>
        </xdr:cNvPr>
        <xdr:cNvPicPr>
          <a:picLocks noChangeAspect="1"/>
        </xdr:cNvPicPr>
      </xdr:nvPicPr>
      <xdr:blipFill>
        <a:blip xmlns:r="http://schemas.openxmlformats.org/officeDocument/2006/relationships" r:embed="rId9"/>
        <a:stretch>
          <a:fillRect/>
        </a:stretch>
      </xdr:blipFill>
      <xdr:spPr>
        <a:xfrm>
          <a:off x="34460234" y="22503319"/>
          <a:ext cx="7887801" cy="7449590"/>
        </a:xfrm>
        <a:prstGeom prst="rect">
          <a:avLst/>
        </a:prstGeom>
      </xdr:spPr>
    </xdr:pic>
    <xdr:clientData/>
  </xdr:twoCellAnchor>
  <xdr:twoCellAnchor editAs="oneCell">
    <xdr:from>
      <xdr:col>41</xdr:col>
      <xdr:colOff>129701</xdr:colOff>
      <xdr:row>113</xdr:row>
      <xdr:rowOff>16213</xdr:rowOff>
    </xdr:from>
    <xdr:to>
      <xdr:col>54</xdr:col>
      <xdr:colOff>274539</xdr:colOff>
      <xdr:row>144</xdr:row>
      <xdr:rowOff>1857</xdr:rowOff>
    </xdr:to>
    <xdr:pic>
      <xdr:nvPicPr>
        <xdr:cNvPr id="3" name="Picture 2">
          <a:extLst>
            <a:ext uri="{FF2B5EF4-FFF2-40B4-BE49-F238E27FC236}">
              <a16:creationId xmlns:a16="http://schemas.microsoft.com/office/drawing/2014/main" id="{7A061367-8FD0-BEB8-245A-50E0EB8CBA58}"/>
            </a:ext>
          </a:extLst>
        </xdr:cNvPr>
        <xdr:cNvPicPr>
          <a:picLocks noChangeAspect="1"/>
        </xdr:cNvPicPr>
      </xdr:nvPicPr>
      <xdr:blipFill>
        <a:blip xmlns:r="http://schemas.openxmlformats.org/officeDocument/2006/relationships" r:embed="rId10"/>
        <a:stretch>
          <a:fillRect/>
        </a:stretch>
      </xdr:blipFill>
      <xdr:spPr>
        <a:xfrm>
          <a:off x="41626275" y="19268873"/>
          <a:ext cx="8259328" cy="5468113"/>
        </a:xfrm>
        <a:prstGeom prst="rect">
          <a:avLst/>
        </a:prstGeom>
      </xdr:spPr>
    </xdr:pic>
    <xdr:clientData/>
  </xdr:twoCellAnchor>
  <xdr:twoCellAnchor editAs="oneCell">
    <xdr:from>
      <xdr:col>24</xdr:col>
      <xdr:colOff>135365</xdr:colOff>
      <xdr:row>117</xdr:row>
      <xdr:rowOff>158314</xdr:rowOff>
    </xdr:from>
    <xdr:to>
      <xdr:col>32</xdr:col>
      <xdr:colOff>94916</xdr:colOff>
      <xdr:row>147</xdr:row>
      <xdr:rowOff>133121</xdr:rowOff>
    </xdr:to>
    <xdr:pic>
      <xdr:nvPicPr>
        <xdr:cNvPr id="12" name="Picture 11">
          <a:extLst>
            <a:ext uri="{FF2B5EF4-FFF2-40B4-BE49-F238E27FC236}">
              <a16:creationId xmlns:a16="http://schemas.microsoft.com/office/drawing/2014/main" id="{A96C59A1-5D39-ACBD-EC20-A1BD0EED57D8}"/>
            </a:ext>
          </a:extLst>
        </xdr:cNvPr>
        <xdr:cNvPicPr>
          <a:picLocks noChangeAspect="1"/>
        </xdr:cNvPicPr>
      </xdr:nvPicPr>
      <xdr:blipFill>
        <a:blip xmlns:r="http://schemas.openxmlformats.org/officeDocument/2006/relationships" r:embed="rId11"/>
        <a:stretch>
          <a:fillRect/>
        </a:stretch>
      </xdr:blipFill>
      <xdr:spPr>
        <a:xfrm>
          <a:off x="29195749" y="19730232"/>
          <a:ext cx="6368701" cy="5267053"/>
        </a:xfrm>
        <a:prstGeom prst="rect">
          <a:avLst/>
        </a:prstGeom>
      </xdr:spPr>
    </xdr:pic>
    <xdr:clientData/>
  </xdr:twoCellAnchor>
  <xdr:twoCellAnchor editAs="oneCell">
    <xdr:from>
      <xdr:col>24</xdr:col>
      <xdr:colOff>158735</xdr:colOff>
      <xdr:row>224</xdr:row>
      <xdr:rowOff>145914</xdr:rowOff>
    </xdr:from>
    <xdr:to>
      <xdr:col>30</xdr:col>
      <xdr:colOff>71001</xdr:colOff>
      <xdr:row>251</xdr:row>
      <xdr:rowOff>7123</xdr:rowOff>
    </xdr:to>
    <xdr:pic>
      <xdr:nvPicPr>
        <xdr:cNvPr id="13" name="Picture 12">
          <a:extLst>
            <a:ext uri="{FF2B5EF4-FFF2-40B4-BE49-F238E27FC236}">
              <a16:creationId xmlns:a16="http://schemas.microsoft.com/office/drawing/2014/main" id="{37279D69-B7BA-6B72-69F3-C6258D5EE7EB}"/>
            </a:ext>
          </a:extLst>
        </xdr:cNvPr>
        <xdr:cNvPicPr>
          <a:picLocks noChangeAspect="1"/>
        </xdr:cNvPicPr>
      </xdr:nvPicPr>
      <xdr:blipFill>
        <a:blip xmlns:r="http://schemas.openxmlformats.org/officeDocument/2006/relationships" r:embed="rId12"/>
        <a:stretch>
          <a:fillRect/>
        </a:stretch>
      </xdr:blipFill>
      <xdr:spPr>
        <a:xfrm>
          <a:off x="29195799" y="38408042"/>
          <a:ext cx="5035500" cy="447325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59</xdr:col>
      <xdr:colOff>523875</xdr:colOff>
      <xdr:row>7</xdr:row>
      <xdr:rowOff>152400</xdr:rowOff>
    </xdr:from>
    <xdr:to>
      <xdr:col>70</xdr:col>
      <xdr:colOff>86398</xdr:colOff>
      <xdr:row>41</xdr:row>
      <xdr:rowOff>28575</xdr:rowOff>
    </xdr:to>
    <xdr:pic>
      <xdr:nvPicPr>
        <xdr:cNvPr id="2" name="Picture 1">
          <a:extLst>
            <a:ext uri="{FF2B5EF4-FFF2-40B4-BE49-F238E27FC236}">
              <a16:creationId xmlns:a16="http://schemas.microsoft.com/office/drawing/2014/main" id="{6D42926E-BBDE-4596-B999-10B6A24EBC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183600" y="1581150"/>
          <a:ext cx="8154073" cy="5715000"/>
        </a:xfrm>
        <a:prstGeom prst="rect">
          <a:avLst/>
        </a:prstGeom>
      </xdr:spPr>
    </xdr:pic>
    <xdr:clientData/>
  </xdr:twoCellAnchor>
  <xdr:twoCellAnchor editAs="oneCell">
    <xdr:from>
      <xdr:col>59</xdr:col>
      <xdr:colOff>0</xdr:colOff>
      <xdr:row>103</xdr:row>
      <xdr:rowOff>0</xdr:rowOff>
    </xdr:from>
    <xdr:to>
      <xdr:col>66</xdr:col>
      <xdr:colOff>116901</xdr:colOff>
      <xdr:row>130</xdr:row>
      <xdr:rowOff>169651</xdr:rowOff>
    </xdr:to>
    <xdr:pic>
      <xdr:nvPicPr>
        <xdr:cNvPr id="3" name="Picture 2">
          <a:extLst>
            <a:ext uri="{FF2B5EF4-FFF2-40B4-BE49-F238E27FC236}">
              <a16:creationId xmlns:a16="http://schemas.microsoft.com/office/drawing/2014/main" id="{675154FF-B3FD-4C66-A1E6-6CC4AD9B50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9725" y="13144500"/>
          <a:ext cx="6193851" cy="596547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2599765</xdr:colOff>
      <xdr:row>157</xdr:row>
      <xdr:rowOff>170329</xdr:rowOff>
    </xdr:from>
    <xdr:to>
      <xdr:col>6</xdr:col>
      <xdr:colOff>403413</xdr:colOff>
      <xdr:row>164</xdr:row>
      <xdr:rowOff>0</xdr:rowOff>
    </xdr:to>
    <xdr:pic>
      <xdr:nvPicPr>
        <xdr:cNvPr id="2" name="Picture 1">
          <a:extLst>
            <a:ext uri="{FF2B5EF4-FFF2-40B4-BE49-F238E27FC236}">
              <a16:creationId xmlns:a16="http://schemas.microsoft.com/office/drawing/2014/main" id="{4D32BB9C-F982-0131-46C9-4D6862D9E7BA}"/>
            </a:ext>
          </a:extLst>
        </xdr:cNvPr>
        <xdr:cNvPicPr>
          <a:picLocks noChangeAspect="1"/>
        </xdr:cNvPicPr>
      </xdr:nvPicPr>
      <xdr:blipFill>
        <a:blip xmlns:r="http://schemas.openxmlformats.org/officeDocument/2006/relationships" r:embed="rId1"/>
        <a:stretch>
          <a:fillRect/>
        </a:stretch>
      </xdr:blipFill>
      <xdr:spPr>
        <a:xfrm>
          <a:off x="3101789" y="27288564"/>
          <a:ext cx="4312024" cy="102197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mailto:fiinpro.support@fiingroup.vn" TargetMode="External"/><Relationship Id="rId1" Type="http://schemas.openxmlformats.org/officeDocument/2006/relationships/hyperlink" Target="https://fiingroup.vn/"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hyperlink" Target="https://vneconomy.vn/iea-nhu-cau-dau-cua-trung-quoc-sap-dat-dinh-the-gioi-se-thua-nhieu-dau.htm" TargetMode="External"/><Relationship Id="rId2" Type="http://schemas.openxmlformats.org/officeDocument/2006/relationships/hyperlink" Target="https://www.sgx.com/derivatives/products/fuel-oil-380cst" TargetMode="External"/><Relationship Id="rId1" Type="http://schemas.openxmlformats.org/officeDocument/2006/relationships/hyperlink" Target="https://www.vinachem.com.vn/nd/tin-thi-truong-sp-vnc/phan-bon-binh-dien-khang-dinh-vi-the-thuong-hieu-quoc-gia-voi-tam-nhin-xanh-hoa-so-hoa.htm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tapchicongthuong.vn/dam-ca-mau--dcm--chot-chia-co-tuc-20--bang-tien--du-bao-gia-phan-bon-co-the-tang-142081.htm" TargetMode="Externa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hyperlink" Target="https://vietstock.vn/2025/06/dhdcd-dam-ca-mau-uoc-6-thang-vuot-sau-ke-hoach-chia-co-tuc-20-737-1318299.htm"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8EBC3-F61A-4C84-9758-6BBAF9EA9CF4}">
  <dimension ref="A1:L49"/>
  <sheetViews>
    <sheetView zoomScaleNormal="100" workbookViewId="0">
      <selection activeCell="A37" sqref="A37"/>
    </sheetView>
  </sheetViews>
  <sheetFormatPr defaultColWidth="13.33203125" defaultRowHeight="14.4"/>
  <cols>
    <col min="1" max="11" width="34" style="1425" customWidth="1"/>
    <col min="12" max="16384" width="13.33203125" style="1425"/>
  </cols>
  <sheetData>
    <row r="1" spans="1:12" s="1411" customFormat="1" ht="12.9" customHeight="1"/>
    <row r="2" spans="1:12" s="1411" customFormat="1" ht="12.9" customHeight="1"/>
    <row r="3" spans="1:12" s="1411" customFormat="1" ht="12.9" customHeight="1"/>
    <row r="4" spans="1:12" s="1411" customFormat="1" ht="12.9" customHeight="1"/>
    <row r="5" spans="1:12">
      <c r="A5" s="1891" t="s">
        <v>1152</v>
      </c>
      <c r="B5" s="1892" t="s">
        <v>1177</v>
      </c>
      <c r="C5" s="1893"/>
      <c r="D5" s="1893"/>
      <c r="E5" s="1893"/>
      <c r="F5" s="1893"/>
      <c r="G5" s="1893"/>
      <c r="H5" s="1893"/>
      <c r="I5" s="1893"/>
      <c r="J5" s="1893"/>
    </row>
    <row r="6" spans="1:12">
      <c r="A6" s="1891" t="s">
        <v>1154</v>
      </c>
      <c r="B6" s="1894">
        <v>45860.705157881945</v>
      </c>
      <c r="C6" s="1895"/>
      <c r="D6" s="1895"/>
      <c r="E6" s="1895"/>
      <c r="F6" s="1895"/>
      <c r="G6" s="1895"/>
      <c r="H6" s="1895"/>
      <c r="I6" s="1895"/>
      <c r="J6" s="1895"/>
      <c r="L6" s="1896"/>
    </row>
    <row r="8" spans="1:12">
      <c r="A8" s="1891" t="s">
        <v>0</v>
      </c>
      <c r="B8" s="1897" t="s">
        <v>1155</v>
      </c>
      <c r="D8" s="1891" t="s">
        <v>1</v>
      </c>
      <c r="E8" s="1897" t="s">
        <v>1156</v>
      </c>
      <c r="F8" s="1898" t="s">
        <v>1157</v>
      </c>
    </row>
    <row r="9" spans="1:12">
      <c r="A9" s="1891" t="s">
        <v>3</v>
      </c>
      <c r="B9" s="1897" t="s">
        <v>4</v>
      </c>
      <c r="D9" s="1891" t="s">
        <v>5</v>
      </c>
      <c r="E9" s="1897" t="s">
        <v>1158</v>
      </c>
      <c r="F9" s="1898" t="s">
        <v>1159</v>
      </c>
    </row>
    <row r="11" spans="1:12">
      <c r="A11" s="1899" t="s">
        <v>1160</v>
      </c>
      <c r="B11" s="1899" t="s">
        <v>6</v>
      </c>
      <c r="C11" s="1899" t="s">
        <v>7</v>
      </c>
      <c r="D11" s="1899" t="s">
        <v>8</v>
      </c>
      <c r="E11" s="1899" t="s">
        <v>2</v>
      </c>
      <c r="F11" s="1899" t="s">
        <v>9</v>
      </c>
      <c r="G11" s="1899" t="s">
        <v>10</v>
      </c>
      <c r="H11" s="1899" t="s">
        <v>11</v>
      </c>
      <c r="I11" s="1899" t="s">
        <v>1161</v>
      </c>
      <c r="J11" s="1899" t="s">
        <v>1162</v>
      </c>
      <c r="K11" s="1899" t="s">
        <v>1163</v>
      </c>
    </row>
    <row r="12" spans="1:12">
      <c r="A12" s="1898" t="s">
        <v>12</v>
      </c>
      <c r="B12" s="1898" t="s">
        <v>13</v>
      </c>
      <c r="C12" s="1898" t="s">
        <v>13</v>
      </c>
      <c r="D12" s="1898" t="s">
        <v>13</v>
      </c>
      <c r="E12" s="1898" t="s">
        <v>13</v>
      </c>
      <c r="F12" s="1898" t="s">
        <v>13</v>
      </c>
      <c r="G12" s="1898" t="s">
        <v>13</v>
      </c>
      <c r="H12" s="1898" t="s">
        <v>13</v>
      </c>
      <c r="I12" s="1898" t="s">
        <v>13</v>
      </c>
      <c r="J12" s="1898" t="s">
        <v>13</v>
      </c>
      <c r="K12" s="1898" t="s">
        <v>13</v>
      </c>
    </row>
    <row r="13" spans="1:12">
      <c r="A13" s="1898" t="s">
        <v>1164</v>
      </c>
      <c r="B13" s="1898" t="s">
        <v>1165</v>
      </c>
      <c r="C13" s="1898" t="s">
        <v>1165</v>
      </c>
      <c r="D13" s="1898" t="s">
        <v>1165</v>
      </c>
      <c r="E13" s="1898"/>
      <c r="F13" s="1898" t="s">
        <v>1165</v>
      </c>
      <c r="G13" s="1898" t="s">
        <v>1165</v>
      </c>
      <c r="H13" s="1898" t="s">
        <v>1166</v>
      </c>
      <c r="I13" s="1898" t="s">
        <v>1165</v>
      </c>
      <c r="J13" s="1898" t="s">
        <v>1165</v>
      </c>
      <c r="K13" s="1898" t="s">
        <v>1165</v>
      </c>
    </row>
    <row r="14" spans="1:12">
      <c r="A14" s="1898" t="s">
        <v>1167</v>
      </c>
      <c r="B14" s="1898" t="s">
        <v>14</v>
      </c>
      <c r="C14" s="1898" t="s">
        <v>14</v>
      </c>
      <c r="D14" s="1898" t="s">
        <v>14</v>
      </c>
      <c r="E14" s="1898"/>
      <c r="F14" s="1898" t="s">
        <v>14</v>
      </c>
      <c r="G14" s="1898" t="s">
        <v>14</v>
      </c>
      <c r="H14" s="1898" t="s">
        <v>14</v>
      </c>
      <c r="I14" s="1898" t="s">
        <v>14</v>
      </c>
      <c r="J14" s="1898" t="s">
        <v>14</v>
      </c>
      <c r="K14" s="1898" t="s">
        <v>14</v>
      </c>
    </row>
    <row r="15" spans="1:12">
      <c r="A15" s="1900" t="s">
        <v>1178</v>
      </c>
      <c r="B15" s="1900">
        <v>6002.7467446709998</v>
      </c>
      <c r="C15" s="1900">
        <v>4971.748943654</v>
      </c>
      <c r="D15" s="1900">
        <v>5832.9733288079997</v>
      </c>
      <c r="E15" s="1900">
        <v>6827.333782705</v>
      </c>
      <c r="F15" s="1900">
        <v>7176.5754815500004</v>
      </c>
      <c r="G15" s="1900">
        <v>7716.8904776310001</v>
      </c>
      <c r="H15" s="1900">
        <v>10088.157082401</v>
      </c>
      <c r="I15" s="1900">
        <v>16380.039770908999</v>
      </c>
      <c r="J15" s="1900">
        <v>12949.489162606</v>
      </c>
      <c r="K15" s="1900">
        <v>13942.548247107001</v>
      </c>
    </row>
    <row r="16" spans="1:12">
      <c r="A16" s="1900" t="s">
        <v>1179</v>
      </c>
      <c r="B16" s="1900">
        <v>-94.144220036999997</v>
      </c>
      <c r="C16" s="1900">
        <v>-61.578260352000001</v>
      </c>
      <c r="D16" s="1900">
        <v>-85.218359149999998</v>
      </c>
      <c r="E16" s="1900">
        <v>-138.00524592900001</v>
      </c>
      <c r="F16" s="1900">
        <v>-133.608551433</v>
      </c>
      <c r="G16" s="1900">
        <v>-155.61537721299999</v>
      </c>
      <c r="H16" s="1900">
        <v>-218.39417776400001</v>
      </c>
      <c r="I16" s="1900">
        <v>-455.51289651000002</v>
      </c>
      <c r="J16" s="1900">
        <v>-378.94707277800001</v>
      </c>
      <c r="K16" s="1900">
        <v>-486.96309746700001</v>
      </c>
    </row>
    <row r="17" spans="1:11">
      <c r="A17" s="1900" t="s">
        <v>1180</v>
      </c>
      <c r="B17" s="1900">
        <v>5908.6025246339996</v>
      </c>
      <c r="C17" s="1900">
        <v>4910.1706833019998</v>
      </c>
      <c r="D17" s="1900">
        <v>5747.7549696579999</v>
      </c>
      <c r="E17" s="1900">
        <v>6689.328536776</v>
      </c>
      <c r="F17" s="1900">
        <v>7042.9669301169997</v>
      </c>
      <c r="G17" s="1900">
        <v>7561.275100418</v>
      </c>
      <c r="H17" s="1900">
        <v>9869.7629046370002</v>
      </c>
      <c r="I17" s="1900">
        <v>15924.526874399</v>
      </c>
      <c r="J17" s="1900">
        <v>12570.542089828001</v>
      </c>
      <c r="K17" s="1900">
        <v>13455.585149639999</v>
      </c>
    </row>
    <row r="18" spans="1:11">
      <c r="A18" s="1900" t="s">
        <v>15</v>
      </c>
      <c r="B18" s="1900">
        <v>-4098.6635093670002</v>
      </c>
      <c r="C18" s="1900">
        <v>-3595.5077365440002</v>
      </c>
      <c r="D18" s="1900">
        <v>-4366.4525190880004</v>
      </c>
      <c r="E18" s="1900">
        <v>-5252.2704942299997</v>
      </c>
      <c r="F18" s="1900">
        <v>-6083.7747332669996</v>
      </c>
      <c r="G18" s="1900">
        <v>-6244.4273005289997</v>
      </c>
      <c r="H18" s="1900">
        <v>-7088.8259803250003</v>
      </c>
      <c r="I18" s="1900">
        <v>-10221.097432230999</v>
      </c>
      <c r="J18" s="1900">
        <v>-10538.742407968</v>
      </c>
      <c r="K18" s="1900">
        <v>-10942.100894031</v>
      </c>
    </row>
    <row r="19" spans="1:11">
      <c r="A19" s="1900" t="s">
        <v>1181</v>
      </c>
      <c r="B19" s="1900">
        <v>1809.9390152670001</v>
      </c>
      <c r="C19" s="1900">
        <v>1314.6629467580001</v>
      </c>
      <c r="D19" s="1900">
        <v>1381.30245057</v>
      </c>
      <c r="E19" s="1900">
        <v>1437.058042546</v>
      </c>
      <c r="F19" s="1900">
        <v>959.19219684999996</v>
      </c>
      <c r="G19" s="1900">
        <v>1316.847799889</v>
      </c>
      <c r="H19" s="1900">
        <v>2780.936924312</v>
      </c>
      <c r="I19" s="1900">
        <v>5703.4294421679997</v>
      </c>
      <c r="J19" s="1900">
        <v>2031.79968186</v>
      </c>
      <c r="K19" s="1900">
        <v>2513.4842556089998</v>
      </c>
    </row>
    <row r="20" spans="1:11">
      <c r="A20" s="1900" t="s">
        <v>1182</v>
      </c>
      <c r="B20" s="1900">
        <v>232.672531918</v>
      </c>
      <c r="C20" s="1900">
        <v>281.35200688800001</v>
      </c>
      <c r="D20" s="1900">
        <v>168.76273668799999</v>
      </c>
      <c r="E20" s="1900">
        <v>176.15301544900001</v>
      </c>
      <c r="F20" s="1900">
        <v>127.016141703</v>
      </c>
      <c r="G20" s="1900">
        <v>128.316681426</v>
      </c>
      <c r="H20" s="1900">
        <v>167.53190780400001</v>
      </c>
      <c r="I20" s="1900">
        <v>301.00806331699999</v>
      </c>
      <c r="J20" s="1900">
        <v>577.08849076199999</v>
      </c>
      <c r="K20" s="1900">
        <v>381.80389825200001</v>
      </c>
    </row>
    <row r="21" spans="1:11">
      <c r="A21" s="1900" t="s">
        <v>16</v>
      </c>
      <c r="B21" s="1900">
        <v>-648.18168904499998</v>
      </c>
      <c r="C21" s="1900">
        <v>-432.71947801099998</v>
      </c>
      <c r="D21" s="1900">
        <v>-202.888783558</v>
      </c>
      <c r="E21" s="1900">
        <v>-260.130153544</v>
      </c>
      <c r="F21" s="1900">
        <v>-102.75348163699999</v>
      </c>
      <c r="G21" s="1900">
        <v>-63.234525222000002</v>
      </c>
      <c r="H21" s="1900">
        <v>-45.072929623999997</v>
      </c>
      <c r="I21" s="1900">
        <v>-60.402056551999998</v>
      </c>
      <c r="J21" s="1900">
        <v>-27.372487527000001</v>
      </c>
      <c r="K21" s="1900">
        <v>-76.569107528000004</v>
      </c>
    </row>
    <row r="22" spans="1:11">
      <c r="A22" s="1901" t="s">
        <v>17</v>
      </c>
      <c r="B22" s="1901">
        <v>-242.45234113199999</v>
      </c>
      <c r="C22" s="1901">
        <v>-206.62238874299999</v>
      </c>
      <c r="D22" s="1901">
        <v>-182.98653039000001</v>
      </c>
      <c r="E22" s="1901">
        <v>-142.05277185200001</v>
      </c>
      <c r="F22" s="1901">
        <v>-87.172530234000007</v>
      </c>
      <c r="G22" s="1901">
        <v>-43.301059166000002</v>
      </c>
      <c r="H22" s="1901">
        <v>-18.580201013</v>
      </c>
      <c r="I22" s="1901">
        <v>-10.274784277</v>
      </c>
      <c r="J22" s="1901">
        <v>-10.155714106</v>
      </c>
      <c r="K22" s="1901">
        <v>-44.380805248999998</v>
      </c>
    </row>
    <row r="23" spans="1:11">
      <c r="A23" s="1900" t="s">
        <v>18</v>
      </c>
      <c r="B23" s="1900">
        <v>0</v>
      </c>
      <c r="C23" s="1900">
        <v>0</v>
      </c>
      <c r="D23" s="1900">
        <v>0</v>
      </c>
      <c r="E23" s="1900">
        <v>0</v>
      </c>
      <c r="F23" s="1900">
        <v>0</v>
      </c>
      <c r="G23" s="1900">
        <v>0</v>
      </c>
      <c r="H23" s="1900">
        <v>0</v>
      </c>
      <c r="I23" s="1900">
        <v>0</v>
      </c>
      <c r="J23" s="1900">
        <v>0</v>
      </c>
      <c r="K23" s="1900">
        <v>0</v>
      </c>
    </row>
    <row r="24" spans="1:11">
      <c r="A24" s="1900" t="s">
        <v>19</v>
      </c>
      <c r="B24" s="1900">
        <v>-275.653922739</v>
      </c>
      <c r="C24" s="1900">
        <v>-275.83301123699999</v>
      </c>
      <c r="D24" s="1900">
        <v>-333.60030528499999</v>
      </c>
      <c r="E24" s="1900">
        <v>-336.11469557300001</v>
      </c>
      <c r="F24" s="1900">
        <v>-364.05869725299999</v>
      </c>
      <c r="G24" s="1900">
        <v>-369.000315151</v>
      </c>
      <c r="H24" s="1900">
        <v>-420.401252844</v>
      </c>
      <c r="I24" s="1900">
        <v>-698.29487364399995</v>
      </c>
      <c r="J24" s="1900">
        <v>-800.63145817099996</v>
      </c>
      <c r="K24" s="1900">
        <v>-1014.369800748</v>
      </c>
    </row>
    <row r="25" spans="1:11">
      <c r="A25" s="1900" t="s">
        <v>20</v>
      </c>
      <c r="B25" s="1900">
        <v>-203.311409244</v>
      </c>
      <c r="C25" s="1900">
        <v>-254.753830327</v>
      </c>
      <c r="D25" s="1900">
        <v>-337.35086895799998</v>
      </c>
      <c r="E25" s="1900">
        <v>-320.10336311200001</v>
      </c>
      <c r="F25" s="1900">
        <v>-201.31920175799999</v>
      </c>
      <c r="G25" s="1900">
        <v>-304.40666301200002</v>
      </c>
      <c r="H25" s="1900">
        <v>-528.49173761500003</v>
      </c>
      <c r="I25" s="1900">
        <v>-652.59425896100004</v>
      </c>
      <c r="J25" s="1900">
        <v>-548.55688916500003</v>
      </c>
      <c r="K25" s="1900">
        <v>-481.04700190900002</v>
      </c>
    </row>
    <row r="26" spans="1:11">
      <c r="A26" s="1900" t="s">
        <v>21</v>
      </c>
      <c r="B26" s="1900">
        <v>915.46452615700002</v>
      </c>
      <c r="C26" s="1900">
        <v>632.70863407100001</v>
      </c>
      <c r="D26" s="1900">
        <v>676.22522945699995</v>
      </c>
      <c r="E26" s="1900">
        <v>696.86284576599996</v>
      </c>
      <c r="F26" s="1900">
        <v>418.07695790499997</v>
      </c>
      <c r="G26" s="1900">
        <v>708.52297793000002</v>
      </c>
      <c r="H26" s="1900">
        <v>1954.502912033</v>
      </c>
      <c r="I26" s="1900">
        <v>4593.1463163279996</v>
      </c>
      <c r="J26" s="1900">
        <v>1232.3273377590001</v>
      </c>
      <c r="K26" s="1900">
        <v>1323.302243676</v>
      </c>
    </row>
    <row r="27" spans="1:11">
      <c r="A27" s="1900" t="s">
        <v>24</v>
      </c>
      <c r="B27" s="1900">
        <v>-56.226613749000002</v>
      </c>
      <c r="C27" s="1900">
        <v>26.182759539999999</v>
      </c>
      <c r="D27" s="1900">
        <v>3.0999042289999998</v>
      </c>
      <c r="E27" s="1900">
        <v>9.3357970100000003</v>
      </c>
      <c r="F27" s="1900">
        <v>45.011213476999998</v>
      </c>
      <c r="G27" s="1900">
        <v>8.0108263750000006</v>
      </c>
      <c r="H27" s="1900">
        <v>1.7670768080000001</v>
      </c>
      <c r="I27" s="1900">
        <v>3.1664485149999999</v>
      </c>
      <c r="J27" s="1900">
        <v>22.482245881000001</v>
      </c>
      <c r="K27" s="1900">
        <v>198.76124451499999</v>
      </c>
    </row>
    <row r="28" spans="1:11">
      <c r="A28" s="1901" t="s">
        <v>22</v>
      </c>
      <c r="B28" s="1901">
        <v>-51.652255508000003</v>
      </c>
      <c r="C28" s="1901">
        <v>26.209791117000002</v>
      </c>
      <c r="D28" s="1901">
        <v>3.1823967230000001</v>
      </c>
      <c r="E28" s="1901">
        <v>14.253913513000001</v>
      </c>
      <c r="F28" s="1901">
        <v>48.483380378</v>
      </c>
      <c r="G28" s="1901">
        <v>10.735344252999999</v>
      </c>
      <c r="H28" s="1901">
        <v>4.3711953809999997</v>
      </c>
      <c r="I28" s="1901">
        <v>15.225626021</v>
      </c>
      <c r="J28" s="1901">
        <v>24.751516067000001</v>
      </c>
      <c r="K28" s="1901">
        <v>199.87675919700001</v>
      </c>
    </row>
    <row r="29" spans="1:11">
      <c r="A29" s="1901" t="s">
        <v>23</v>
      </c>
      <c r="B29" s="1901">
        <v>-4.5743582409999997</v>
      </c>
      <c r="C29" s="1901">
        <v>-2.7031577000000001E-2</v>
      </c>
      <c r="D29" s="1901">
        <v>-8.2492494E-2</v>
      </c>
      <c r="E29" s="1901">
        <v>-4.9181165030000003</v>
      </c>
      <c r="F29" s="1901">
        <v>-3.472166901</v>
      </c>
      <c r="G29" s="1901">
        <v>-2.7245178779999999</v>
      </c>
      <c r="H29" s="1901">
        <v>-2.604118573</v>
      </c>
      <c r="I29" s="1901">
        <v>-12.059177505999999</v>
      </c>
      <c r="J29" s="1901">
        <v>-2.269270186</v>
      </c>
      <c r="K29" s="1901">
        <v>-1.1155146819999999</v>
      </c>
    </row>
    <row r="30" spans="1:11">
      <c r="A30" s="1900" t="s">
        <v>25</v>
      </c>
      <c r="B30" s="1900">
        <v>0</v>
      </c>
      <c r="C30" s="1900">
        <v>0</v>
      </c>
      <c r="D30" s="1900">
        <v>0</v>
      </c>
      <c r="E30" s="1900">
        <v>0</v>
      </c>
      <c r="F30" s="1900">
        <v>0</v>
      </c>
      <c r="G30" s="1900">
        <v>0</v>
      </c>
      <c r="H30" s="1900">
        <v>0</v>
      </c>
      <c r="I30" s="1900">
        <v>0</v>
      </c>
      <c r="J30" s="1900">
        <v>0</v>
      </c>
      <c r="K30" s="1900">
        <v>0</v>
      </c>
    </row>
    <row r="31" spans="1:11">
      <c r="A31" s="1900" t="s">
        <v>26</v>
      </c>
      <c r="B31" s="1900">
        <v>859.23791240800006</v>
      </c>
      <c r="C31" s="1900">
        <v>658.89139361100001</v>
      </c>
      <c r="D31" s="1900">
        <v>679.32513368599996</v>
      </c>
      <c r="E31" s="1900">
        <v>706.19864277600004</v>
      </c>
      <c r="F31" s="1900">
        <v>463.08817138199998</v>
      </c>
      <c r="G31" s="1900">
        <v>716.53380430499999</v>
      </c>
      <c r="H31" s="1900">
        <v>1956.269988841</v>
      </c>
      <c r="I31" s="1900">
        <v>4596.312764843</v>
      </c>
      <c r="J31" s="1900">
        <v>1254.80958364</v>
      </c>
      <c r="K31" s="1900">
        <v>1522.063488191</v>
      </c>
    </row>
    <row r="32" spans="1:11">
      <c r="A32" s="1900" t="s">
        <v>29</v>
      </c>
      <c r="B32" s="1900">
        <v>-3.5151368079999998</v>
      </c>
      <c r="C32" s="1900">
        <v>-34.551571563000003</v>
      </c>
      <c r="D32" s="1900">
        <v>-37.948424428999999</v>
      </c>
      <c r="E32" s="1900">
        <v>-47.139226932</v>
      </c>
      <c r="F32" s="1900">
        <v>-35.36444229</v>
      </c>
      <c r="G32" s="1900">
        <v>-54.087470033999999</v>
      </c>
      <c r="H32" s="1900">
        <v>-130.14570190500001</v>
      </c>
      <c r="I32" s="1900">
        <v>-275.23203030799999</v>
      </c>
      <c r="J32" s="1900">
        <v>-144.66686674799999</v>
      </c>
      <c r="K32" s="1900">
        <v>-94.056906749000007</v>
      </c>
    </row>
    <row r="33" spans="1:11">
      <c r="A33" s="1901" t="s">
        <v>27</v>
      </c>
      <c r="B33" s="1901">
        <v>-3.5151368079999998</v>
      </c>
      <c r="C33" s="1901">
        <v>-34.551571563000003</v>
      </c>
      <c r="D33" s="1901">
        <v>-40.882128966000003</v>
      </c>
      <c r="E33" s="1901">
        <v>-45.721096789999997</v>
      </c>
      <c r="F33" s="1901">
        <v>-41.017685327000002</v>
      </c>
      <c r="G33" s="1901">
        <v>-52.561609355999998</v>
      </c>
      <c r="H33" s="1901">
        <v>-138.029455566</v>
      </c>
      <c r="I33" s="1901">
        <v>-269.99935570500003</v>
      </c>
      <c r="J33" s="1901">
        <v>-146.46852539099999</v>
      </c>
      <c r="K33" s="1901">
        <v>-99.848202450000002</v>
      </c>
    </row>
    <row r="34" spans="1:11">
      <c r="A34" s="1901" t="s">
        <v>28</v>
      </c>
      <c r="B34" s="1901">
        <v>0</v>
      </c>
      <c r="C34" s="1901">
        <v>0</v>
      </c>
      <c r="D34" s="1901">
        <v>2.9337045370000001</v>
      </c>
      <c r="E34" s="1901">
        <v>-1.4181301420000001</v>
      </c>
      <c r="F34" s="1901">
        <v>5.6532430370000002</v>
      </c>
      <c r="G34" s="1901">
        <v>-1.5258606779999999</v>
      </c>
      <c r="H34" s="1901">
        <v>7.8837536610000001</v>
      </c>
      <c r="I34" s="1901">
        <v>-5.2326746030000004</v>
      </c>
      <c r="J34" s="1901">
        <v>1.8016586429999999</v>
      </c>
      <c r="K34" s="1901">
        <v>5.7912957010000001</v>
      </c>
    </row>
    <row r="35" spans="1:11">
      <c r="A35" s="1900" t="s">
        <v>30</v>
      </c>
      <c r="B35" s="1900">
        <v>855.72277559999998</v>
      </c>
      <c r="C35" s="1900">
        <v>624.33982204799997</v>
      </c>
      <c r="D35" s="1900">
        <v>641.37670925700002</v>
      </c>
      <c r="E35" s="1900">
        <v>659.059415844</v>
      </c>
      <c r="F35" s="1900">
        <v>427.72372909199999</v>
      </c>
      <c r="G35" s="1900">
        <v>662.44633427099996</v>
      </c>
      <c r="H35" s="1900">
        <v>1826.1242869360001</v>
      </c>
      <c r="I35" s="1900">
        <v>4321.0807345350004</v>
      </c>
      <c r="J35" s="1900">
        <v>1110.142716892</v>
      </c>
      <c r="K35" s="1900">
        <v>1428.006581442</v>
      </c>
    </row>
    <row r="36" spans="1:11">
      <c r="A36" s="1900" t="s">
        <v>31</v>
      </c>
      <c r="B36" s="1900">
        <v>4.3815494470000003</v>
      </c>
      <c r="C36" s="1900">
        <v>4.5084675379999997</v>
      </c>
      <c r="D36" s="1900">
        <v>3.497683527</v>
      </c>
      <c r="E36" s="1900">
        <v>2.9144651150000001</v>
      </c>
      <c r="F36" s="1900">
        <v>1.548499702</v>
      </c>
      <c r="G36" s="1900">
        <v>1.4002600789999999</v>
      </c>
      <c r="H36" s="1900">
        <v>2.6652292210000001</v>
      </c>
      <c r="I36" s="1900">
        <v>5.1274449459999998</v>
      </c>
      <c r="J36" s="1900">
        <v>1.24989181</v>
      </c>
      <c r="K36" s="1900">
        <v>8.3486434000000003</v>
      </c>
    </row>
    <row r="37" spans="1:11">
      <c r="A37" s="1900" t="s">
        <v>32</v>
      </c>
      <c r="B37" s="1900">
        <v>851.34122615299998</v>
      </c>
      <c r="C37" s="1900">
        <v>619.83135450999998</v>
      </c>
      <c r="D37" s="1900">
        <v>637.87902572999997</v>
      </c>
      <c r="E37" s="1900">
        <v>656.14495072900002</v>
      </c>
      <c r="F37" s="1900">
        <v>426.17522939000003</v>
      </c>
      <c r="G37" s="1900">
        <v>661.04607419199999</v>
      </c>
      <c r="H37" s="1900">
        <v>1823.459057715</v>
      </c>
      <c r="I37" s="1900">
        <v>4315.9532895889997</v>
      </c>
      <c r="J37" s="1900">
        <v>1108.8928250819999</v>
      </c>
      <c r="K37" s="1900">
        <v>1419.6579380420001</v>
      </c>
    </row>
    <row r="38" spans="1:11">
      <c r="A38" s="1900" t="s">
        <v>33</v>
      </c>
      <c r="B38" s="1900">
        <v>0</v>
      </c>
      <c r="C38" s="1900">
        <v>1011</v>
      </c>
      <c r="D38" s="1900">
        <v>1074</v>
      </c>
      <c r="E38" s="1900">
        <v>1114</v>
      </c>
      <c r="F38" s="1900">
        <v>595</v>
      </c>
      <c r="G38" s="1900">
        <v>1017</v>
      </c>
      <c r="H38" s="1900">
        <v>3073</v>
      </c>
      <c r="I38" s="1900">
        <v>7701</v>
      </c>
      <c r="J38" s="1900">
        <v>1797</v>
      </c>
      <c r="K38" s="1900">
        <v>2394</v>
      </c>
    </row>
    <row r="39" spans="1:11">
      <c r="A39" s="1900" t="s">
        <v>34</v>
      </c>
      <c r="B39" s="1900">
        <v>0</v>
      </c>
      <c r="C39" s="1900">
        <v>0</v>
      </c>
      <c r="D39" s="1900">
        <v>0</v>
      </c>
      <c r="E39" s="1900">
        <v>0</v>
      </c>
      <c r="F39" s="1900">
        <v>0</v>
      </c>
      <c r="G39" s="1900">
        <v>0</v>
      </c>
      <c r="H39" s="1900">
        <v>3073</v>
      </c>
      <c r="I39" s="1900">
        <v>0</v>
      </c>
      <c r="J39" s="1900">
        <v>0</v>
      </c>
      <c r="K39" s="1900">
        <v>0</v>
      </c>
    </row>
    <row r="41" spans="1:11" s="535" customFormat="1" ht="15.6" customHeight="1">
      <c r="A41" s="1902" t="s">
        <v>1170</v>
      </c>
      <c r="B41" s="1902"/>
      <c r="C41" s="1902"/>
      <c r="D41" s="1902"/>
      <c r="E41" s="1902"/>
      <c r="F41" s="1902"/>
      <c r="G41" s="1902"/>
      <c r="H41" s="1902"/>
      <c r="I41" s="1902"/>
      <c r="J41" s="1902"/>
    </row>
    <row r="42" spans="1:11" s="535" customFormat="1" ht="15.6" customHeight="1">
      <c r="A42" s="1902" t="s">
        <v>1171</v>
      </c>
      <c r="B42" s="1902"/>
      <c r="C42" s="1902"/>
      <c r="D42" s="1902"/>
      <c r="E42" s="1902"/>
      <c r="F42" s="1902"/>
      <c r="G42" s="1902"/>
      <c r="H42" s="1902"/>
      <c r="I42" s="1902"/>
      <c r="J42" s="1902"/>
    </row>
    <row r="43" spans="1:11" s="535" customFormat="1" ht="15.6" customHeight="1">
      <c r="A43" s="1903" t="s">
        <v>1172</v>
      </c>
      <c r="B43" s="1903"/>
      <c r="C43" s="1903"/>
      <c r="D43" s="1903"/>
      <c r="E43" s="1903"/>
      <c r="F43" s="1903"/>
      <c r="G43" s="1903"/>
      <c r="H43" s="1903"/>
      <c r="I43" s="1903"/>
      <c r="J43" s="1903"/>
    </row>
    <row r="44" spans="1:11" s="535" customFormat="1" ht="15.6" customHeight="1">
      <c r="A44" s="1903" t="s">
        <v>1173</v>
      </c>
      <c r="B44" s="1903"/>
      <c r="C44" s="1903"/>
      <c r="D44" s="1903"/>
      <c r="E44" s="1903"/>
      <c r="F44" s="1903"/>
      <c r="G44" s="1903"/>
      <c r="H44" s="1903"/>
      <c r="I44" s="1903"/>
      <c r="J44" s="1903"/>
    </row>
    <row r="45" spans="1:11" s="535" customFormat="1" ht="15.6" customHeight="1">
      <c r="A45" s="1904" t="s">
        <v>1174</v>
      </c>
      <c r="B45" s="1905"/>
      <c r="C45" s="1905"/>
      <c r="D45" s="1905"/>
      <c r="E45" s="1905"/>
      <c r="F45" s="1905"/>
      <c r="G45" s="1905"/>
      <c r="H45" s="1905"/>
      <c r="I45" s="1905"/>
      <c r="J45" s="1905"/>
    </row>
    <row r="46" spans="1:11" s="535" customFormat="1" ht="15.6" customHeight="1"/>
    <row r="47" spans="1:11" s="535" customFormat="1" ht="15.6" customHeight="1">
      <c r="A47" s="1902" t="s">
        <v>35</v>
      </c>
      <c r="B47" s="1902"/>
      <c r="C47" s="1902"/>
      <c r="D47" s="1902"/>
      <c r="E47" s="1902"/>
      <c r="F47" s="1902"/>
      <c r="G47" s="1902"/>
      <c r="H47" s="1902"/>
      <c r="I47" s="1902"/>
      <c r="J47" s="1902"/>
    </row>
    <row r="48" spans="1:11" s="535" customFormat="1" ht="15.6" customHeight="1">
      <c r="A48" s="1903" t="s">
        <v>1175</v>
      </c>
      <c r="B48" s="1903"/>
      <c r="C48" s="1903"/>
      <c r="D48" s="1903"/>
      <c r="E48" s="1903"/>
      <c r="F48" s="1903"/>
      <c r="G48" s="1903"/>
      <c r="H48" s="1903"/>
      <c r="I48" s="1903"/>
      <c r="J48" s="1903"/>
    </row>
    <row r="49" spans="1:10" s="535" customFormat="1" ht="15.6" customHeight="1">
      <c r="A49" s="1904" t="s">
        <v>1176</v>
      </c>
      <c r="B49" s="1905"/>
      <c r="C49" s="1905"/>
      <c r="D49" s="1905"/>
      <c r="E49" s="1905"/>
      <c r="F49" s="1905"/>
      <c r="G49" s="1905"/>
      <c r="H49" s="1905"/>
      <c r="I49" s="1905"/>
      <c r="J49" s="190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6"/>
  <sheetViews>
    <sheetView topLeftCell="A99" zoomScale="70" zoomScaleNormal="70" workbookViewId="0">
      <selection activeCell="A112" sqref="A112:XFD130"/>
    </sheetView>
  </sheetViews>
  <sheetFormatPr defaultColWidth="13.33203125" defaultRowHeight="14.4"/>
  <cols>
    <col min="1" max="1" width="37.77734375" style="1425" customWidth="1"/>
    <col min="2" max="2" width="31.5546875" style="1425" customWidth="1"/>
    <col min="3" max="3" width="26.33203125" style="1425" customWidth="1"/>
    <col min="4" max="4" width="24.77734375" style="1425" customWidth="1"/>
    <col min="5" max="5" width="28" style="1425" customWidth="1"/>
    <col min="6" max="6" width="28.33203125" style="1425" customWidth="1"/>
    <col min="7" max="7" width="27" style="1425" customWidth="1"/>
    <col min="8" max="8" width="25.6640625" style="1425" customWidth="1"/>
    <col min="9" max="9" width="24.44140625" style="1425" customWidth="1"/>
    <col min="10" max="10" width="23.109375" style="1425" customWidth="1"/>
    <col min="11" max="11" width="27.44140625" style="1425" customWidth="1"/>
    <col min="12" max="16384" width="13.33203125" style="1425"/>
  </cols>
  <sheetData>
    <row r="1" spans="1:12" s="1411" customFormat="1" ht="12.9" customHeight="1"/>
    <row r="2" spans="1:12" s="1411" customFormat="1" ht="12.9" customHeight="1"/>
    <row r="3" spans="1:12" s="1411" customFormat="1" ht="12.9" customHeight="1"/>
    <row r="4" spans="1:12" s="1411" customFormat="1" ht="12.9" customHeight="1"/>
    <row r="5" spans="1:12">
      <c r="A5" s="1891" t="s">
        <v>1152</v>
      </c>
      <c r="B5" s="1892" t="s">
        <v>1153</v>
      </c>
      <c r="C5" s="1893"/>
      <c r="D5" s="1893"/>
      <c r="E5" s="1893"/>
      <c r="F5" s="1893"/>
      <c r="G5" s="1893"/>
      <c r="H5" s="1893"/>
      <c r="I5" s="1893"/>
      <c r="J5" s="1893"/>
    </row>
    <row r="6" spans="1:12">
      <c r="A6" s="1891" t="s">
        <v>1154</v>
      </c>
      <c r="B6" s="1894">
        <v>45860.705157881945</v>
      </c>
      <c r="C6" s="1895"/>
      <c r="D6" s="1895"/>
      <c r="E6" s="1895"/>
      <c r="F6" s="1895"/>
      <c r="G6" s="1895"/>
      <c r="H6" s="1895"/>
      <c r="I6" s="1895"/>
      <c r="J6" s="1895"/>
      <c r="L6" s="1896"/>
    </row>
    <row r="8" spans="1:12">
      <c r="A8" s="1891" t="s">
        <v>0</v>
      </c>
      <c r="B8" s="1897" t="s">
        <v>1155</v>
      </c>
      <c r="D8" s="1891" t="s">
        <v>1</v>
      </c>
      <c r="E8" s="1897" t="s">
        <v>1156</v>
      </c>
      <c r="F8" s="1898" t="s">
        <v>1157</v>
      </c>
    </row>
    <row r="9" spans="1:12">
      <c r="A9" s="1891" t="s">
        <v>3</v>
      </c>
      <c r="B9" s="1897" t="s">
        <v>4</v>
      </c>
      <c r="D9" s="1891" t="s">
        <v>5</v>
      </c>
      <c r="E9" s="1897" t="s">
        <v>1158</v>
      </c>
      <c r="F9" s="1898" t="s">
        <v>1159</v>
      </c>
    </row>
    <row r="11" spans="1:12">
      <c r="A11" s="1899" t="s">
        <v>1160</v>
      </c>
      <c r="B11" s="1899" t="s">
        <v>6</v>
      </c>
      <c r="C11" s="1899" t="s">
        <v>7</v>
      </c>
      <c r="D11" s="1899" t="s">
        <v>8</v>
      </c>
      <c r="E11" s="1899" t="s">
        <v>2</v>
      </c>
      <c r="F11" s="1899" t="s">
        <v>9</v>
      </c>
      <c r="G11" s="1899" t="s">
        <v>10</v>
      </c>
      <c r="H11" s="1899" t="s">
        <v>11</v>
      </c>
      <c r="I11" s="1899" t="s">
        <v>1161</v>
      </c>
      <c r="J11" s="1899" t="s">
        <v>1162</v>
      </c>
      <c r="K11" s="1899" t="s">
        <v>1163</v>
      </c>
    </row>
    <row r="12" spans="1:12">
      <c r="A12" s="1898" t="s">
        <v>12</v>
      </c>
      <c r="B12" s="1898" t="s">
        <v>13</v>
      </c>
      <c r="C12" s="1898" t="s">
        <v>13</v>
      </c>
      <c r="D12" s="1898" t="s">
        <v>13</v>
      </c>
      <c r="E12" s="1898" t="s">
        <v>13</v>
      </c>
      <c r="F12" s="1898" t="s">
        <v>13</v>
      </c>
      <c r="G12" s="1898" t="s">
        <v>13</v>
      </c>
      <c r="H12" s="1898" t="s">
        <v>13</v>
      </c>
      <c r="I12" s="1898" t="s">
        <v>13</v>
      </c>
      <c r="J12" s="1898" t="s">
        <v>13</v>
      </c>
      <c r="K12" s="1898" t="s">
        <v>13</v>
      </c>
    </row>
    <row r="13" spans="1:12">
      <c r="A13" s="1898" t="s">
        <v>1164</v>
      </c>
      <c r="B13" s="1898" t="s">
        <v>1165</v>
      </c>
      <c r="C13" s="1898" t="s">
        <v>1165</v>
      </c>
      <c r="D13" s="1898" t="s">
        <v>1165</v>
      </c>
      <c r="E13" s="1898"/>
      <c r="F13" s="1898" t="s">
        <v>1165</v>
      </c>
      <c r="G13" s="1898" t="s">
        <v>1165</v>
      </c>
      <c r="H13" s="1898" t="s">
        <v>1166</v>
      </c>
      <c r="I13" s="1898" t="s">
        <v>1165</v>
      </c>
      <c r="J13" s="1898" t="s">
        <v>1165</v>
      </c>
      <c r="K13" s="1898" t="s">
        <v>1165</v>
      </c>
    </row>
    <row r="14" spans="1:12">
      <c r="A14" s="1898" t="s">
        <v>1167</v>
      </c>
      <c r="B14" s="1898" t="s">
        <v>14</v>
      </c>
      <c r="C14" s="1898" t="s">
        <v>14</v>
      </c>
      <c r="D14" s="1898" t="s">
        <v>14</v>
      </c>
      <c r="E14" s="1898"/>
      <c r="F14" s="1898" t="s">
        <v>14</v>
      </c>
      <c r="G14" s="1898" t="s">
        <v>14</v>
      </c>
      <c r="H14" s="1898" t="s">
        <v>14</v>
      </c>
      <c r="I14" s="1898" t="s">
        <v>14</v>
      </c>
      <c r="J14" s="1898" t="s">
        <v>14</v>
      </c>
      <c r="K14" s="1898" t="s">
        <v>14</v>
      </c>
    </row>
    <row r="15" spans="1:12">
      <c r="A15" s="1900" t="s">
        <v>36</v>
      </c>
      <c r="B15" s="1900">
        <v>4431.356579753</v>
      </c>
      <c r="C15" s="1900">
        <v>4034.4150941130001</v>
      </c>
      <c r="D15" s="1900">
        <v>4838.709104648</v>
      </c>
      <c r="E15" s="1900">
        <v>4318.349014853</v>
      </c>
      <c r="F15" s="1900">
        <v>4250.0369588379999</v>
      </c>
      <c r="G15" s="1900">
        <v>3978.192126939</v>
      </c>
      <c r="H15" s="1900">
        <v>7276.2916494290002</v>
      </c>
      <c r="I15" s="1900">
        <v>11624.186590632</v>
      </c>
      <c r="J15" s="1900">
        <v>13504.495425085999</v>
      </c>
      <c r="K15" s="1900">
        <v>12920.862784796</v>
      </c>
    </row>
    <row r="16" spans="1:12">
      <c r="A16" s="1900" t="s">
        <v>37</v>
      </c>
      <c r="B16" s="1900">
        <v>1215.079331489</v>
      </c>
      <c r="C16" s="1900">
        <v>813.51874741200004</v>
      </c>
      <c r="D16" s="1900">
        <v>1896.184894173</v>
      </c>
      <c r="E16" s="1900">
        <v>285.77246315500003</v>
      </c>
      <c r="F16" s="1900">
        <v>471.173323541</v>
      </c>
      <c r="G16" s="1900">
        <v>509.99535087300001</v>
      </c>
      <c r="H16" s="1900">
        <v>427.65273090400001</v>
      </c>
      <c r="I16" s="1900">
        <v>2125.6252915599998</v>
      </c>
      <c r="J16" s="1900">
        <v>2284.3997887720002</v>
      </c>
      <c r="K16" s="1900">
        <v>1903.248325989</v>
      </c>
    </row>
    <row r="17" spans="1:11">
      <c r="A17" s="1901" t="s">
        <v>38</v>
      </c>
      <c r="B17" s="1901">
        <v>183.079331489</v>
      </c>
      <c r="C17" s="1901">
        <v>481.51874741199998</v>
      </c>
      <c r="D17" s="1901">
        <v>393.83489417300001</v>
      </c>
      <c r="E17" s="1901">
        <v>165.772463155</v>
      </c>
      <c r="F17" s="1901">
        <v>371.173323541</v>
      </c>
      <c r="G17" s="1901">
        <v>289.99535087300001</v>
      </c>
      <c r="H17" s="1901">
        <v>427.65273090400001</v>
      </c>
      <c r="I17" s="1901">
        <v>2125.6252915599998</v>
      </c>
      <c r="J17" s="1901">
        <v>2274.3997887720002</v>
      </c>
      <c r="K17" s="1901">
        <v>1903.248325989</v>
      </c>
    </row>
    <row r="18" spans="1:11">
      <c r="A18" s="1901" t="s">
        <v>39</v>
      </c>
      <c r="B18" s="1901">
        <v>1032</v>
      </c>
      <c r="C18" s="1901">
        <v>332</v>
      </c>
      <c r="D18" s="1901">
        <v>1502.35</v>
      </c>
      <c r="E18" s="1901">
        <v>120</v>
      </c>
      <c r="F18" s="1901">
        <v>100</v>
      </c>
      <c r="G18" s="1901">
        <v>220</v>
      </c>
      <c r="H18" s="1901">
        <v>0</v>
      </c>
      <c r="I18" s="1901">
        <v>0</v>
      </c>
      <c r="J18" s="1901">
        <v>10</v>
      </c>
      <c r="K18" s="1901">
        <v>0</v>
      </c>
    </row>
    <row r="19" spans="1:11">
      <c r="A19" s="1900" t="s">
        <v>40</v>
      </c>
      <c r="B19" s="1900">
        <v>2702.5555555559999</v>
      </c>
      <c r="C19" s="1900">
        <v>2300</v>
      </c>
      <c r="D19" s="1900">
        <v>2100</v>
      </c>
      <c r="E19" s="1900">
        <v>2502</v>
      </c>
      <c r="F19" s="1900">
        <v>2002</v>
      </c>
      <c r="G19" s="1900">
        <v>2302</v>
      </c>
      <c r="H19" s="1900">
        <v>4362</v>
      </c>
      <c r="I19" s="1900">
        <v>6812</v>
      </c>
      <c r="J19" s="1900">
        <v>8242</v>
      </c>
      <c r="K19" s="1900">
        <v>7039.0512328770001</v>
      </c>
    </row>
    <row r="20" spans="1:11">
      <c r="A20" s="1901" t="s">
        <v>41</v>
      </c>
      <c r="B20" s="1901">
        <v>0</v>
      </c>
      <c r="C20" s="1901">
        <v>0</v>
      </c>
      <c r="D20" s="1901">
        <v>0</v>
      </c>
      <c r="E20" s="1901">
        <v>0</v>
      </c>
      <c r="F20" s="1901">
        <v>0</v>
      </c>
      <c r="G20" s="1901">
        <v>0</v>
      </c>
      <c r="H20" s="1901">
        <v>0</v>
      </c>
      <c r="I20" s="1901">
        <v>0</v>
      </c>
      <c r="J20" s="1901">
        <v>0</v>
      </c>
      <c r="K20" s="1901">
        <v>0</v>
      </c>
    </row>
    <row r="21" spans="1:11">
      <c r="A21" s="1901" t="s">
        <v>42</v>
      </c>
      <c r="B21" s="1901">
        <v>0</v>
      </c>
      <c r="C21" s="1901">
        <v>0</v>
      </c>
      <c r="D21" s="1901">
        <v>0</v>
      </c>
      <c r="E21" s="1901">
        <v>0</v>
      </c>
      <c r="F21" s="1901">
        <v>0</v>
      </c>
      <c r="G21" s="1901">
        <v>0</v>
      </c>
      <c r="H21" s="1901">
        <v>0</v>
      </c>
      <c r="I21" s="1901">
        <v>0</v>
      </c>
      <c r="J21" s="1901">
        <v>0</v>
      </c>
      <c r="K21" s="1901">
        <v>0</v>
      </c>
    </row>
    <row r="22" spans="1:11">
      <c r="A22" s="1901" t="s">
        <v>43</v>
      </c>
      <c r="B22" s="1901">
        <v>2702.5555555559999</v>
      </c>
      <c r="C22" s="1901">
        <v>2300</v>
      </c>
      <c r="D22" s="1901">
        <v>2100</v>
      </c>
      <c r="E22" s="1901">
        <v>2502</v>
      </c>
      <c r="F22" s="1901">
        <v>2002</v>
      </c>
      <c r="G22" s="1901">
        <v>2302</v>
      </c>
      <c r="H22" s="1901">
        <v>4362</v>
      </c>
      <c r="I22" s="1901">
        <v>6812</v>
      </c>
      <c r="J22" s="1901">
        <v>8242</v>
      </c>
      <c r="K22" s="1901">
        <v>7039.0512328770001</v>
      </c>
    </row>
    <row r="23" spans="1:11">
      <c r="A23" s="1900" t="s">
        <v>44</v>
      </c>
      <c r="B23" s="1900">
        <v>79.842093989000006</v>
      </c>
      <c r="C23" s="1900">
        <v>481.71633238800001</v>
      </c>
      <c r="D23" s="1900">
        <v>400.47865786300002</v>
      </c>
      <c r="E23" s="1900">
        <v>452.94997857800001</v>
      </c>
      <c r="F23" s="1900">
        <v>401.90973443600001</v>
      </c>
      <c r="G23" s="1900">
        <v>217.396300223</v>
      </c>
      <c r="H23" s="1900">
        <v>187.45807717599999</v>
      </c>
      <c r="I23" s="1900">
        <v>188.14970842400001</v>
      </c>
      <c r="J23" s="1900">
        <v>365.83832569700002</v>
      </c>
      <c r="K23" s="1900">
        <v>528.62319192699999</v>
      </c>
    </row>
    <row r="24" spans="1:11">
      <c r="A24" s="1901" t="s">
        <v>45</v>
      </c>
      <c r="B24" s="1901">
        <v>7.2613277099999998</v>
      </c>
      <c r="C24" s="1901">
        <v>6.8141083</v>
      </c>
      <c r="D24" s="1901">
        <v>1.2981873900000001</v>
      </c>
      <c r="E24" s="1901">
        <v>17.543502062000002</v>
      </c>
      <c r="F24" s="1901">
        <v>2.9264001560000001</v>
      </c>
      <c r="G24" s="1901">
        <v>44.753555075000001</v>
      </c>
      <c r="H24" s="1901">
        <v>44.653507005000002</v>
      </c>
      <c r="I24" s="1901">
        <v>1.404795808</v>
      </c>
      <c r="J24" s="1901">
        <v>198.51199179400001</v>
      </c>
      <c r="K24" s="1901">
        <v>298.90489990600003</v>
      </c>
    </row>
    <row r="25" spans="1:11">
      <c r="A25" s="1901" t="s">
        <v>46</v>
      </c>
      <c r="B25" s="1901">
        <v>14.976365167000001</v>
      </c>
      <c r="C25" s="1901">
        <v>18.741754171</v>
      </c>
      <c r="D25" s="1901">
        <v>88.361010852000007</v>
      </c>
      <c r="E25" s="1901">
        <v>86.367565901999996</v>
      </c>
      <c r="F25" s="1901">
        <v>55.315027567000001</v>
      </c>
      <c r="G25" s="1901">
        <v>15.505616231999999</v>
      </c>
      <c r="H25" s="1901">
        <v>86.006714411000004</v>
      </c>
      <c r="I25" s="1901">
        <v>86.290003561000006</v>
      </c>
      <c r="J25" s="1901">
        <v>54.781183900000002</v>
      </c>
      <c r="K25" s="1901">
        <v>225.76399805599999</v>
      </c>
    </row>
    <row r="26" spans="1:11">
      <c r="A26" s="1901" t="s">
        <v>47</v>
      </c>
      <c r="B26" s="1901">
        <v>0</v>
      </c>
      <c r="C26" s="1901">
        <v>0</v>
      </c>
      <c r="D26" s="1901">
        <v>0</v>
      </c>
      <c r="E26" s="1901">
        <v>0</v>
      </c>
      <c r="F26" s="1901">
        <v>0</v>
      </c>
      <c r="G26" s="1901">
        <v>0</v>
      </c>
      <c r="H26" s="1901">
        <v>0</v>
      </c>
      <c r="I26" s="1901">
        <v>0</v>
      </c>
      <c r="J26" s="1901">
        <v>0</v>
      </c>
      <c r="K26" s="1901">
        <v>0</v>
      </c>
    </row>
    <row r="27" spans="1:11">
      <c r="A27" s="1901" t="s">
        <v>48</v>
      </c>
      <c r="B27" s="1901">
        <v>0</v>
      </c>
      <c r="C27" s="1901">
        <v>0</v>
      </c>
      <c r="D27" s="1901">
        <v>0</v>
      </c>
      <c r="E27" s="1901">
        <v>0</v>
      </c>
      <c r="F27" s="1901">
        <v>0</v>
      </c>
      <c r="G27" s="1901">
        <v>0</v>
      </c>
      <c r="H27" s="1901">
        <v>0</v>
      </c>
      <c r="I27" s="1901">
        <v>0</v>
      </c>
      <c r="J27" s="1901">
        <v>0</v>
      </c>
      <c r="K27" s="1901">
        <v>0</v>
      </c>
    </row>
    <row r="28" spans="1:11">
      <c r="A28" s="1901" t="s">
        <v>49</v>
      </c>
      <c r="B28" s="1901">
        <v>0</v>
      </c>
      <c r="C28" s="1901">
        <v>0</v>
      </c>
      <c r="D28" s="1901">
        <v>0</v>
      </c>
      <c r="E28" s="1901">
        <v>0</v>
      </c>
      <c r="F28" s="1901">
        <v>0</v>
      </c>
      <c r="G28" s="1901">
        <v>0</v>
      </c>
      <c r="H28" s="1901">
        <v>0</v>
      </c>
      <c r="I28" s="1901">
        <v>0</v>
      </c>
      <c r="J28" s="1901">
        <v>0</v>
      </c>
      <c r="K28" s="1901">
        <v>0</v>
      </c>
    </row>
    <row r="29" spans="1:11">
      <c r="A29" s="1901" t="s">
        <v>50</v>
      </c>
      <c r="B29" s="1901">
        <v>57.604401111999998</v>
      </c>
      <c r="C29" s="1901">
        <v>456.160469917</v>
      </c>
      <c r="D29" s="1901">
        <v>310.340894112</v>
      </c>
      <c r="E29" s="1901">
        <v>349.03891061399997</v>
      </c>
      <c r="F29" s="1901">
        <v>343.752902807</v>
      </c>
      <c r="G29" s="1901">
        <v>157.27812240599999</v>
      </c>
      <c r="H29" s="1901">
        <v>94.287650528</v>
      </c>
      <c r="I29" s="1901">
        <v>141.98859486399999</v>
      </c>
      <c r="J29" s="1901">
        <v>155.14349551199999</v>
      </c>
      <c r="K29" s="1901">
        <v>115.4425456</v>
      </c>
    </row>
    <row r="30" spans="1:11">
      <c r="A30" s="1901" t="s">
        <v>51</v>
      </c>
      <c r="B30" s="1901">
        <v>0</v>
      </c>
      <c r="C30" s="1901">
        <v>0</v>
      </c>
      <c r="D30" s="1901">
        <v>0</v>
      </c>
      <c r="E30" s="1901">
        <v>0</v>
      </c>
      <c r="F30" s="1901">
        <v>-8.4596093999999997E-2</v>
      </c>
      <c r="G30" s="1901">
        <v>-0.14099349</v>
      </c>
      <c r="H30" s="1901">
        <v>-37.489794768000003</v>
      </c>
      <c r="I30" s="1901">
        <v>-41.533685808999998</v>
      </c>
      <c r="J30" s="1901">
        <v>-42.598345508999998</v>
      </c>
      <c r="K30" s="1901">
        <v>-111.488251635</v>
      </c>
    </row>
    <row r="31" spans="1:11">
      <c r="A31" s="1901" t="s">
        <v>52</v>
      </c>
      <c r="B31" s="1901">
        <v>0</v>
      </c>
      <c r="C31" s="1901">
        <v>0</v>
      </c>
      <c r="D31" s="1901">
        <v>0.478565509</v>
      </c>
      <c r="E31" s="1901">
        <v>0</v>
      </c>
      <c r="F31" s="1901">
        <v>0</v>
      </c>
      <c r="G31" s="1901">
        <v>0</v>
      </c>
      <c r="H31" s="1901">
        <v>0</v>
      </c>
      <c r="I31" s="1901">
        <v>0</v>
      </c>
      <c r="J31" s="1901">
        <v>0</v>
      </c>
      <c r="K31" s="1901">
        <v>0</v>
      </c>
    </row>
    <row r="32" spans="1:11">
      <c r="A32" s="1900" t="s">
        <v>53</v>
      </c>
      <c r="B32" s="1900">
        <v>391.32983767899998</v>
      </c>
      <c r="C32" s="1900">
        <v>374.12051818600003</v>
      </c>
      <c r="D32" s="1900">
        <v>370.66271249499999</v>
      </c>
      <c r="E32" s="1900">
        <v>982.64129170000001</v>
      </c>
      <c r="F32" s="1900">
        <v>1301.1230715409999</v>
      </c>
      <c r="G32" s="1900">
        <v>834.13488603799999</v>
      </c>
      <c r="H32" s="1900">
        <v>2204.0777077339999</v>
      </c>
      <c r="I32" s="1900">
        <v>2282.5277024090001</v>
      </c>
      <c r="J32" s="1900">
        <v>2160.5881618560002</v>
      </c>
      <c r="K32" s="1900">
        <v>2950.3006368440001</v>
      </c>
    </row>
    <row r="33" spans="1:11">
      <c r="A33" s="1901" t="s">
        <v>54</v>
      </c>
      <c r="B33" s="1901">
        <v>392.04268535199998</v>
      </c>
      <c r="C33" s="1901">
        <v>375.625582334</v>
      </c>
      <c r="D33" s="1901">
        <v>370.66271249499999</v>
      </c>
      <c r="E33" s="1901">
        <v>982.64129170000001</v>
      </c>
      <c r="F33" s="1901">
        <v>1309.837336541</v>
      </c>
      <c r="G33" s="1901">
        <v>834.43047299499995</v>
      </c>
      <c r="H33" s="1901">
        <v>2204.0777077339999</v>
      </c>
      <c r="I33" s="1901">
        <v>2421.8429772499999</v>
      </c>
      <c r="J33" s="1901">
        <v>2192.1946647250002</v>
      </c>
      <c r="K33" s="1901">
        <v>2992.3649692280001</v>
      </c>
    </row>
    <row r="34" spans="1:11">
      <c r="A34" s="1901" t="s">
        <v>55</v>
      </c>
      <c r="B34" s="1901">
        <v>-0.71284767299999996</v>
      </c>
      <c r="C34" s="1901">
        <v>-1.505064148</v>
      </c>
      <c r="D34" s="1901">
        <v>0</v>
      </c>
      <c r="E34" s="1901">
        <v>0</v>
      </c>
      <c r="F34" s="1901">
        <v>-8.7142649999999993</v>
      </c>
      <c r="G34" s="1901">
        <v>-0.29558695699999998</v>
      </c>
      <c r="H34" s="1901">
        <v>0</v>
      </c>
      <c r="I34" s="1901">
        <v>-139.31527484099999</v>
      </c>
      <c r="J34" s="1901">
        <v>-31.606502869</v>
      </c>
      <c r="K34" s="1901">
        <v>-42.064332383999997</v>
      </c>
    </row>
    <row r="35" spans="1:11">
      <c r="A35" s="1901" t="s">
        <v>56</v>
      </c>
      <c r="B35" s="1901">
        <v>42.54976104</v>
      </c>
      <c r="C35" s="1901">
        <v>65.059496127000003</v>
      </c>
      <c r="D35" s="1901">
        <v>71.382840117000001</v>
      </c>
      <c r="E35" s="1901">
        <v>94.985281420000007</v>
      </c>
      <c r="F35" s="1901">
        <v>73.830829320000007</v>
      </c>
      <c r="G35" s="1901">
        <v>114.665589805</v>
      </c>
      <c r="H35" s="1901">
        <v>95.103133615000004</v>
      </c>
      <c r="I35" s="1901">
        <v>215.88388823899999</v>
      </c>
      <c r="J35" s="1901">
        <v>451.66914876099997</v>
      </c>
      <c r="K35" s="1901">
        <v>499.639397159</v>
      </c>
    </row>
    <row r="36" spans="1:11">
      <c r="A36" s="1901" t="s">
        <v>1168</v>
      </c>
      <c r="B36" s="1901">
        <v>22.065115079000002</v>
      </c>
      <c r="C36" s="1901">
        <v>29.671646612</v>
      </c>
      <c r="D36" s="1901">
        <v>27.233376867</v>
      </c>
      <c r="E36" s="1901">
        <v>58.790608192999997</v>
      </c>
      <c r="F36" s="1901">
        <v>48.533063400000003</v>
      </c>
      <c r="G36" s="1901">
        <v>39.702860676999997</v>
      </c>
      <c r="H36" s="1901">
        <v>41.79866011</v>
      </c>
      <c r="I36" s="1901">
        <v>63.632258016000002</v>
      </c>
      <c r="J36" s="1901">
        <v>324.689884785</v>
      </c>
      <c r="K36" s="1901">
        <v>348.20587565699998</v>
      </c>
    </row>
    <row r="37" spans="1:11">
      <c r="A37" s="1901" t="s">
        <v>1169</v>
      </c>
      <c r="B37" s="1901">
        <v>20.046317477999999</v>
      </c>
      <c r="C37" s="1901">
        <v>32.040550899000003</v>
      </c>
      <c r="D37" s="1901">
        <v>43.662950934000001</v>
      </c>
      <c r="E37" s="1901">
        <v>35.648407632000001</v>
      </c>
      <c r="F37" s="1901">
        <v>24.728755816</v>
      </c>
      <c r="G37" s="1901">
        <v>74.460526798999993</v>
      </c>
      <c r="H37" s="1901">
        <v>52.802271175999998</v>
      </c>
      <c r="I37" s="1901">
        <v>151.74942789400001</v>
      </c>
      <c r="J37" s="1901">
        <v>126.477061647</v>
      </c>
      <c r="K37" s="1901">
        <v>150.93131917299999</v>
      </c>
    </row>
    <row r="38" spans="1:11">
      <c r="A38" s="1901" t="s">
        <v>57</v>
      </c>
      <c r="B38" s="1901">
        <v>0.43832848299999999</v>
      </c>
      <c r="C38" s="1901">
        <v>3.3472986159999998</v>
      </c>
      <c r="D38" s="1901">
        <v>0.486512316</v>
      </c>
      <c r="E38" s="1901">
        <v>0.54626559500000005</v>
      </c>
      <c r="F38" s="1901">
        <v>0.56901010399999996</v>
      </c>
      <c r="G38" s="1901">
        <v>0.50220232899999995</v>
      </c>
      <c r="H38" s="1901">
        <v>0.50220232899999995</v>
      </c>
      <c r="I38" s="1901">
        <v>0.50220232899999995</v>
      </c>
      <c r="J38" s="1901">
        <v>0.50220232899999995</v>
      </c>
      <c r="K38" s="1901">
        <v>0.50220232899999995</v>
      </c>
    </row>
    <row r="39" spans="1:11">
      <c r="A39" s="1901" t="s">
        <v>58</v>
      </c>
      <c r="B39" s="1901">
        <v>0</v>
      </c>
      <c r="C39" s="1901">
        <v>0</v>
      </c>
      <c r="D39" s="1901">
        <v>0</v>
      </c>
      <c r="E39" s="1901">
        <v>0</v>
      </c>
      <c r="F39" s="1901">
        <v>0</v>
      </c>
      <c r="G39" s="1901">
        <v>0</v>
      </c>
      <c r="H39" s="1901">
        <v>0</v>
      </c>
      <c r="I39" s="1901">
        <v>0</v>
      </c>
      <c r="J39" s="1901">
        <v>0</v>
      </c>
      <c r="K39" s="1901">
        <v>0</v>
      </c>
    </row>
    <row r="40" spans="1:11">
      <c r="A40" s="1901" t="s">
        <v>59</v>
      </c>
      <c r="B40" s="1901">
        <v>0</v>
      </c>
      <c r="C40" s="1901">
        <v>0</v>
      </c>
      <c r="D40" s="1901">
        <v>0</v>
      </c>
      <c r="E40" s="1901">
        <v>0</v>
      </c>
      <c r="F40" s="1901">
        <v>0</v>
      </c>
      <c r="G40" s="1901">
        <v>0</v>
      </c>
      <c r="H40" s="1901">
        <v>0</v>
      </c>
      <c r="I40" s="1901">
        <v>0</v>
      </c>
      <c r="J40" s="1901">
        <v>0</v>
      </c>
      <c r="K40" s="1901">
        <v>0</v>
      </c>
    </row>
    <row r="41" spans="1:11">
      <c r="A41" s="1900" t="s">
        <v>60</v>
      </c>
      <c r="B41" s="1900">
        <v>10047.262662133</v>
      </c>
      <c r="C41" s="1900">
        <v>8932.6367900690002</v>
      </c>
      <c r="D41" s="1900">
        <v>7617.4550352050001</v>
      </c>
      <c r="E41" s="1900">
        <v>6712.2373731790003</v>
      </c>
      <c r="F41" s="1900">
        <v>5922.5577939080003</v>
      </c>
      <c r="G41" s="1900">
        <v>4739.2885646719997</v>
      </c>
      <c r="H41" s="1900">
        <v>3795.8296854959999</v>
      </c>
      <c r="I41" s="1900">
        <v>2542.674129384</v>
      </c>
      <c r="J41" s="1900">
        <v>1733.471002213</v>
      </c>
      <c r="K41" s="1900">
        <v>2807.9845533490002</v>
      </c>
    </row>
    <row r="42" spans="1:11">
      <c r="A42" s="1900" t="s">
        <v>61</v>
      </c>
      <c r="B42" s="1900">
        <v>3.0000000000000001E-3</v>
      </c>
      <c r="C42" s="1900">
        <v>3.0000000000000001E-3</v>
      </c>
      <c r="D42" s="1900">
        <v>3.0000000000000001E-3</v>
      </c>
      <c r="E42" s="1900">
        <v>3.0000000000000001E-3</v>
      </c>
      <c r="F42" s="1900">
        <v>3.0000000000000001E-3</v>
      </c>
      <c r="G42" s="1900">
        <v>3.0000000000000001E-3</v>
      </c>
      <c r="H42" s="1900">
        <v>3.0000000000000001E-3</v>
      </c>
      <c r="I42" s="1900">
        <v>0</v>
      </c>
      <c r="J42" s="1900">
        <v>0</v>
      </c>
      <c r="K42" s="1900">
        <v>0.51152601600000003</v>
      </c>
    </row>
    <row r="43" spans="1:11">
      <c r="A43" s="1901" t="s">
        <v>62</v>
      </c>
      <c r="B43" s="1901">
        <v>0</v>
      </c>
      <c r="C43" s="1901">
        <v>0</v>
      </c>
      <c r="D43" s="1901">
        <v>0</v>
      </c>
      <c r="E43" s="1901">
        <v>0</v>
      </c>
      <c r="F43" s="1901">
        <v>0</v>
      </c>
      <c r="G43" s="1901">
        <v>0</v>
      </c>
      <c r="H43" s="1901">
        <v>0</v>
      </c>
      <c r="I43" s="1901">
        <v>0</v>
      </c>
      <c r="J43" s="1901">
        <v>0</v>
      </c>
      <c r="K43" s="1901">
        <v>0</v>
      </c>
    </row>
    <row r="44" spans="1:11">
      <c r="A44" s="1901" t="s">
        <v>63</v>
      </c>
      <c r="B44" s="1901">
        <v>0</v>
      </c>
      <c r="C44" s="1901">
        <v>0</v>
      </c>
      <c r="D44" s="1901">
        <v>0</v>
      </c>
      <c r="E44" s="1901">
        <v>0</v>
      </c>
      <c r="F44" s="1901">
        <v>0</v>
      </c>
      <c r="G44" s="1901">
        <v>0</v>
      </c>
      <c r="H44" s="1901">
        <v>0</v>
      </c>
      <c r="I44" s="1901">
        <v>0</v>
      </c>
      <c r="J44" s="1901">
        <v>0</v>
      </c>
      <c r="K44" s="1901">
        <v>0</v>
      </c>
    </row>
    <row r="45" spans="1:11">
      <c r="A45" s="1901" t="s">
        <v>64</v>
      </c>
      <c r="B45" s="1901">
        <v>0</v>
      </c>
      <c r="C45" s="1901">
        <v>0</v>
      </c>
      <c r="D45" s="1901">
        <v>0</v>
      </c>
      <c r="E45" s="1901">
        <v>0</v>
      </c>
      <c r="F45" s="1901">
        <v>0</v>
      </c>
      <c r="G45" s="1901">
        <v>0</v>
      </c>
      <c r="H45" s="1901">
        <v>0</v>
      </c>
      <c r="I45" s="1901">
        <v>0</v>
      </c>
      <c r="J45" s="1901">
        <v>0</v>
      </c>
      <c r="K45" s="1901">
        <v>0</v>
      </c>
    </row>
    <row r="46" spans="1:11">
      <c r="A46" s="1901" t="s">
        <v>65</v>
      </c>
      <c r="B46" s="1901">
        <v>0</v>
      </c>
      <c r="C46" s="1901">
        <v>0</v>
      </c>
      <c r="D46" s="1901">
        <v>0</v>
      </c>
      <c r="E46" s="1901">
        <v>0</v>
      </c>
      <c r="F46" s="1901">
        <v>0</v>
      </c>
      <c r="G46" s="1901">
        <v>0</v>
      </c>
      <c r="H46" s="1901">
        <v>0</v>
      </c>
      <c r="I46" s="1901">
        <v>0</v>
      </c>
      <c r="J46" s="1901">
        <v>0</v>
      </c>
      <c r="K46" s="1901">
        <v>0</v>
      </c>
    </row>
    <row r="47" spans="1:11">
      <c r="A47" s="1901" t="s">
        <v>66</v>
      </c>
      <c r="B47" s="1901">
        <v>0</v>
      </c>
      <c r="C47" s="1901">
        <v>0</v>
      </c>
      <c r="D47" s="1901">
        <v>0</v>
      </c>
      <c r="E47" s="1901">
        <v>0</v>
      </c>
      <c r="F47" s="1901">
        <v>0</v>
      </c>
      <c r="G47" s="1901">
        <v>0</v>
      </c>
      <c r="H47" s="1901">
        <v>0</v>
      </c>
      <c r="I47" s="1901">
        <v>0</v>
      </c>
      <c r="J47" s="1901">
        <v>0</v>
      </c>
      <c r="K47" s="1901">
        <v>0</v>
      </c>
    </row>
    <row r="48" spans="1:11">
      <c r="A48" s="1901" t="s">
        <v>67</v>
      </c>
      <c r="B48" s="1901">
        <v>3.0000000000000001E-3</v>
      </c>
      <c r="C48" s="1901">
        <v>3.0000000000000001E-3</v>
      </c>
      <c r="D48" s="1901">
        <v>3.0000000000000001E-3</v>
      </c>
      <c r="E48" s="1901">
        <v>3.0000000000000001E-3</v>
      </c>
      <c r="F48" s="1901">
        <v>3.0000000000000001E-3</v>
      </c>
      <c r="G48" s="1901">
        <v>3.0000000000000001E-3</v>
      </c>
      <c r="H48" s="1901">
        <v>3.0000000000000001E-3</v>
      </c>
      <c r="I48" s="1901">
        <v>0</v>
      </c>
      <c r="J48" s="1901">
        <v>0</v>
      </c>
      <c r="K48" s="1901">
        <v>0.51152601600000003</v>
      </c>
    </row>
    <row r="49" spans="1:11">
      <c r="A49" s="1901" t="s">
        <v>68</v>
      </c>
      <c r="B49" s="1901">
        <v>0</v>
      </c>
      <c r="C49" s="1901">
        <v>0</v>
      </c>
      <c r="D49" s="1901">
        <v>0</v>
      </c>
      <c r="E49" s="1901">
        <v>0</v>
      </c>
      <c r="F49" s="1901">
        <v>0</v>
      </c>
      <c r="G49" s="1901">
        <v>0</v>
      </c>
      <c r="H49" s="1901">
        <v>0</v>
      </c>
      <c r="I49" s="1901">
        <v>0</v>
      </c>
      <c r="J49" s="1901">
        <v>0</v>
      </c>
      <c r="K49" s="1901">
        <v>0</v>
      </c>
    </row>
    <row r="50" spans="1:11">
      <c r="A50" s="1900" t="s">
        <v>69</v>
      </c>
      <c r="B50" s="1900">
        <v>9848.6058149140008</v>
      </c>
      <c r="C50" s="1900">
        <v>8754.4074661129998</v>
      </c>
      <c r="D50" s="1900">
        <v>7501.5434987790004</v>
      </c>
      <c r="E50" s="1900">
        <v>6336.4154421499998</v>
      </c>
      <c r="F50" s="1900">
        <v>5187.6362446180001</v>
      </c>
      <c r="G50" s="1900">
        <v>3955.4285967229998</v>
      </c>
      <c r="H50" s="1900">
        <v>3405.6232899450001</v>
      </c>
      <c r="I50" s="1900">
        <v>2206.852578649</v>
      </c>
      <c r="J50" s="1900">
        <v>1600.175440082</v>
      </c>
      <c r="K50" s="1900">
        <v>1946.1944642860001</v>
      </c>
    </row>
    <row r="51" spans="1:11">
      <c r="A51" s="1901" t="s">
        <v>70</v>
      </c>
      <c r="B51" s="1901">
        <v>9780.1403338729997</v>
      </c>
      <c r="C51" s="1901">
        <v>8691.9671853950003</v>
      </c>
      <c r="D51" s="1901">
        <v>7469.5836228050002</v>
      </c>
      <c r="E51" s="1901">
        <v>6297.6364371629998</v>
      </c>
      <c r="F51" s="1901">
        <v>5134.4875672569997</v>
      </c>
      <c r="G51" s="1901">
        <v>3899.6310245270001</v>
      </c>
      <c r="H51" s="1901">
        <v>3366.6880868059998</v>
      </c>
      <c r="I51" s="1901">
        <v>2159.6449481770001</v>
      </c>
      <c r="J51" s="1901">
        <v>1249.7676991010001</v>
      </c>
      <c r="K51" s="1901">
        <v>1571.196451367</v>
      </c>
    </row>
    <row r="52" spans="1:11">
      <c r="A52" s="1901" t="s">
        <v>71</v>
      </c>
      <c r="B52" s="1901">
        <v>13678.066136232001</v>
      </c>
      <c r="C52" s="1901">
        <v>13861.77016663</v>
      </c>
      <c r="D52" s="1901">
        <v>13931.183545129999</v>
      </c>
      <c r="E52" s="1901">
        <v>14052.806119487999</v>
      </c>
      <c r="F52" s="1901">
        <v>14202.687600970999</v>
      </c>
      <c r="G52" s="1901">
        <v>14272.460795228</v>
      </c>
      <c r="H52" s="1901">
        <v>15104.050606596</v>
      </c>
      <c r="I52" s="1901">
        <v>15270.937810324</v>
      </c>
      <c r="J52" s="1901">
        <v>15430.176837908</v>
      </c>
      <c r="K52" s="1901">
        <v>16486.331655016002</v>
      </c>
    </row>
    <row r="53" spans="1:11">
      <c r="A53" s="1901" t="s">
        <v>72</v>
      </c>
      <c r="B53" s="1901">
        <v>-3897.925802359</v>
      </c>
      <c r="C53" s="1901">
        <v>-5169.8029812349996</v>
      </c>
      <c r="D53" s="1901">
        <v>-6461.5999223250001</v>
      </c>
      <c r="E53" s="1901">
        <v>-7755.1696823250004</v>
      </c>
      <c r="F53" s="1901">
        <v>-9068.2000337139998</v>
      </c>
      <c r="G53" s="1901">
        <v>-10372.829770701001</v>
      </c>
      <c r="H53" s="1901">
        <v>-11737.36251979</v>
      </c>
      <c r="I53" s="1901">
        <v>-13111.292862147</v>
      </c>
      <c r="J53" s="1901">
        <v>-14180.409138806999</v>
      </c>
      <c r="K53" s="1901">
        <v>-14915.135203649001</v>
      </c>
    </row>
    <row r="54" spans="1:11">
      <c r="A54" s="1901" t="s">
        <v>73</v>
      </c>
      <c r="B54" s="1901">
        <v>0</v>
      </c>
      <c r="C54" s="1901">
        <v>0</v>
      </c>
      <c r="D54" s="1901">
        <v>0</v>
      </c>
      <c r="E54" s="1901">
        <v>0</v>
      </c>
      <c r="F54" s="1901">
        <v>0</v>
      </c>
      <c r="G54" s="1901">
        <v>0</v>
      </c>
      <c r="H54" s="1901">
        <v>0</v>
      </c>
      <c r="I54" s="1901">
        <v>0</v>
      </c>
      <c r="J54" s="1901">
        <v>0</v>
      </c>
      <c r="K54" s="1901">
        <v>11.212288815999999</v>
      </c>
    </row>
    <row r="55" spans="1:11">
      <c r="A55" s="1901" t="s">
        <v>74</v>
      </c>
      <c r="B55" s="1901">
        <v>0</v>
      </c>
      <c r="C55" s="1901">
        <v>0</v>
      </c>
      <c r="D55" s="1901">
        <v>0</v>
      </c>
      <c r="E55" s="1901">
        <v>0</v>
      </c>
      <c r="F55" s="1901">
        <v>0</v>
      </c>
      <c r="G55" s="1901">
        <v>0</v>
      </c>
      <c r="H55" s="1901">
        <v>0</v>
      </c>
      <c r="I55" s="1901">
        <v>0</v>
      </c>
      <c r="J55" s="1901">
        <v>0</v>
      </c>
      <c r="K55" s="1901">
        <v>11.983425797000001</v>
      </c>
    </row>
    <row r="56" spans="1:11">
      <c r="A56" s="1901" t="s">
        <v>75</v>
      </c>
      <c r="B56" s="1901">
        <v>0</v>
      </c>
      <c r="C56" s="1901">
        <v>0</v>
      </c>
      <c r="D56" s="1901">
        <v>0</v>
      </c>
      <c r="E56" s="1901">
        <v>0</v>
      </c>
      <c r="F56" s="1901">
        <v>0</v>
      </c>
      <c r="G56" s="1901">
        <v>0</v>
      </c>
      <c r="H56" s="1901">
        <v>0</v>
      </c>
      <c r="I56" s="1901">
        <v>0</v>
      </c>
      <c r="J56" s="1901">
        <v>0</v>
      </c>
      <c r="K56" s="1901">
        <v>-0.77113698100000005</v>
      </c>
    </row>
    <row r="57" spans="1:11">
      <c r="A57" s="1901" t="s">
        <v>76</v>
      </c>
      <c r="B57" s="1901">
        <v>68.465481041000004</v>
      </c>
      <c r="C57" s="1901">
        <v>62.440280717999997</v>
      </c>
      <c r="D57" s="1901">
        <v>31.959875973999999</v>
      </c>
      <c r="E57" s="1901">
        <v>38.779004987</v>
      </c>
      <c r="F57" s="1901">
        <v>53.148677360999997</v>
      </c>
      <c r="G57" s="1901">
        <v>55.797572195999997</v>
      </c>
      <c r="H57" s="1901">
        <v>38.935203139000002</v>
      </c>
      <c r="I57" s="1901">
        <v>47.207630471999998</v>
      </c>
      <c r="J57" s="1901">
        <v>350.40774098100002</v>
      </c>
      <c r="K57" s="1901">
        <v>363.78572410300001</v>
      </c>
    </row>
    <row r="58" spans="1:11">
      <c r="A58" s="1901" t="s">
        <v>77</v>
      </c>
      <c r="B58" s="1901">
        <v>81.168329894999999</v>
      </c>
      <c r="C58" s="1901">
        <v>95.872466668000001</v>
      </c>
      <c r="D58" s="1901">
        <v>85.774363907999998</v>
      </c>
      <c r="E58" s="1901">
        <v>105.889604017</v>
      </c>
      <c r="F58" s="1901">
        <v>129.455664501</v>
      </c>
      <c r="G58" s="1901">
        <v>146.71126237199999</v>
      </c>
      <c r="H58" s="1901">
        <v>153.100963527</v>
      </c>
      <c r="I58" s="1901">
        <v>178.46571786000001</v>
      </c>
      <c r="J58" s="1901">
        <v>500.31777013099997</v>
      </c>
      <c r="K58" s="1901">
        <v>537.97018190100005</v>
      </c>
    </row>
    <row r="59" spans="1:11">
      <c r="A59" s="1901" t="s">
        <v>78</v>
      </c>
      <c r="B59" s="1901">
        <v>-12.702848854000001</v>
      </c>
      <c r="C59" s="1901">
        <v>-33.432185949999997</v>
      </c>
      <c r="D59" s="1901">
        <v>-53.814487933999999</v>
      </c>
      <c r="E59" s="1901">
        <v>-67.110599030000003</v>
      </c>
      <c r="F59" s="1901">
        <v>-76.306987140000004</v>
      </c>
      <c r="G59" s="1901">
        <v>-90.913690176000003</v>
      </c>
      <c r="H59" s="1901">
        <v>-114.165760388</v>
      </c>
      <c r="I59" s="1901">
        <v>-131.25808738800001</v>
      </c>
      <c r="J59" s="1901">
        <v>-149.91002915000001</v>
      </c>
      <c r="K59" s="1901">
        <v>-174.18445779800001</v>
      </c>
    </row>
    <row r="60" spans="1:11">
      <c r="A60" s="1901" t="s">
        <v>79</v>
      </c>
      <c r="B60" s="1901">
        <v>0</v>
      </c>
      <c r="C60" s="1901">
        <v>0</v>
      </c>
      <c r="D60" s="1901">
        <v>0</v>
      </c>
      <c r="E60" s="1901">
        <v>0</v>
      </c>
      <c r="F60" s="1901">
        <v>0</v>
      </c>
      <c r="G60" s="1901">
        <v>0</v>
      </c>
      <c r="H60" s="1901">
        <v>0</v>
      </c>
      <c r="I60" s="1901">
        <v>0</v>
      </c>
      <c r="J60" s="1901">
        <v>0</v>
      </c>
      <c r="K60" s="1901">
        <v>0</v>
      </c>
    </row>
    <row r="61" spans="1:11">
      <c r="A61" s="1900" t="s">
        <v>80</v>
      </c>
      <c r="B61" s="1900">
        <v>0</v>
      </c>
      <c r="C61" s="1900">
        <v>0</v>
      </c>
      <c r="D61" s="1900">
        <v>0</v>
      </c>
      <c r="E61" s="1900">
        <v>0</v>
      </c>
      <c r="F61" s="1900">
        <v>0</v>
      </c>
      <c r="G61" s="1900">
        <v>0</v>
      </c>
      <c r="H61" s="1900">
        <v>0</v>
      </c>
      <c r="I61" s="1900">
        <v>0</v>
      </c>
      <c r="J61" s="1900">
        <v>0</v>
      </c>
      <c r="K61" s="1900">
        <v>0</v>
      </c>
    </row>
    <row r="62" spans="1:11">
      <c r="A62" s="1901" t="s">
        <v>81</v>
      </c>
      <c r="B62" s="1901">
        <v>0</v>
      </c>
      <c r="C62" s="1901">
        <v>0</v>
      </c>
      <c r="D62" s="1901">
        <v>0</v>
      </c>
      <c r="E62" s="1901">
        <v>0</v>
      </c>
      <c r="F62" s="1901">
        <v>0</v>
      </c>
      <c r="G62" s="1901">
        <v>0</v>
      </c>
      <c r="H62" s="1901">
        <v>0</v>
      </c>
      <c r="I62" s="1901">
        <v>0</v>
      </c>
      <c r="J62" s="1901">
        <v>0</v>
      </c>
      <c r="K62" s="1901">
        <v>0</v>
      </c>
    </row>
    <row r="63" spans="1:11">
      <c r="A63" s="1901" t="s">
        <v>82</v>
      </c>
      <c r="B63" s="1901">
        <v>0</v>
      </c>
      <c r="C63" s="1901">
        <v>0</v>
      </c>
      <c r="D63" s="1901">
        <v>0</v>
      </c>
      <c r="E63" s="1901">
        <v>0</v>
      </c>
      <c r="F63" s="1901">
        <v>0</v>
      </c>
      <c r="G63" s="1901">
        <v>0</v>
      </c>
      <c r="H63" s="1901">
        <v>0</v>
      </c>
      <c r="I63" s="1901">
        <v>0</v>
      </c>
      <c r="J63" s="1901">
        <v>0</v>
      </c>
      <c r="K63" s="1901">
        <v>0</v>
      </c>
    </row>
    <row r="64" spans="1:11">
      <c r="A64" s="1900" t="s">
        <v>83</v>
      </c>
      <c r="B64" s="1900">
        <v>95.437715194999996</v>
      </c>
      <c r="C64" s="1900">
        <v>79.196837345999995</v>
      </c>
      <c r="D64" s="1900">
        <v>104.446521029</v>
      </c>
      <c r="E64" s="1900">
        <v>346.37435172800002</v>
      </c>
      <c r="F64" s="1900">
        <v>698.50608688499995</v>
      </c>
      <c r="G64" s="1900">
        <v>760.95529727300004</v>
      </c>
      <c r="H64" s="1900">
        <v>66.117926734999998</v>
      </c>
      <c r="I64" s="1900">
        <v>33.176188396000001</v>
      </c>
      <c r="J64" s="1900">
        <v>88.189941648000001</v>
      </c>
      <c r="K64" s="1900">
        <v>601.16557409799998</v>
      </c>
    </row>
    <row r="65" spans="1:11">
      <c r="A65" s="1901" t="s">
        <v>84</v>
      </c>
      <c r="B65" s="1901">
        <v>0</v>
      </c>
      <c r="C65" s="1901">
        <v>0</v>
      </c>
      <c r="D65" s="1901">
        <v>0</v>
      </c>
      <c r="E65" s="1901">
        <v>0</v>
      </c>
      <c r="F65" s="1901">
        <v>0</v>
      </c>
      <c r="G65" s="1901">
        <v>0</v>
      </c>
      <c r="H65" s="1901">
        <v>0</v>
      </c>
      <c r="I65" s="1901">
        <v>0</v>
      </c>
      <c r="J65" s="1901">
        <v>0</v>
      </c>
      <c r="K65" s="1901">
        <v>0</v>
      </c>
    </row>
    <row r="66" spans="1:11">
      <c r="A66" s="1901" t="s">
        <v>85</v>
      </c>
      <c r="B66" s="1901">
        <v>95.437715194999996</v>
      </c>
      <c r="C66" s="1901">
        <v>79.196837345999995</v>
      </c>
      <c r="D66" s="1901">
        <v>104.446521029</v>
      </c>
      <c r="E66" s="1901">
        <v>346.37435172800002</v>
      </c>
      <c r="F66" s="1901">
        <v>698.50608688499995</v>
      </c>
      <c r="G66" s="1901">
        <v>760.95529727300004</v>
      </c>
      <c r="H66" s="1901">
        <v>66.117926734999998</v>
      </c>
      <c r="I66" s="1901">
        <v>33.176188396000001</v>
      </c>
      <c r="J66" s="1901">
        <v>88.189941648000001</v>
      </c>
      <c r="K66" s="1901">
        <v>601.16557409799998</v>
      </c>
    </row>
    <row r="67" spans="1:11">
      <c r="A67" s="1900" t="s">
        <v>86</v>
      </c>
      <c r="B67" s="1900">
        <v>0</v>
      </c>
      <c r="C67" s="1900">
        <v>0</v>
      </c>
      <c r="D67" s="1900">
        <v>0</v>
      </c>
      <c r="E67" s="1900">
        <v>0</v>
      </c>
      <c r="F67" s="1900">
        <v>0</v>
      </c>
      <c r="G67" s="1900">
        <v>0</v>
      </c>
      <c r="H67" s="1900">
        <v>0</v>
      </c>
      <c r="I67" s="1900">
        <v>0</v>
      </c>
      <c r="J67" s="1900">
        <v>0</v>
      </c>
      <c r="K67" s="1900">
        <v>0</v>
      </c>
    </row>
    <row r="68" spans="1:11">
      <c r="A68" s="1901" t="s">
        <v>87</v>
      </c>
      <c r="B68" s="1901">
        <v>0</v>
      </c>
      <c r="C68" s="1901">
        <v>0</v>
      </c>
      <c r="D68" s="1901">
        <v>0</v>
      </c>
      <c r="E68" s="1901">
        <v>0</v>
      </c>
      <c r="F68" s="1901">
        <v>0</v>
      </c>
      <c r="G68" s="1901">
        <v>0</v>
      </c>
      <c r="H68" s="1901">
        <v>0</v>
      </c>
      <c r="I68" s="1901">
        <v>0</v>
      </c>
      <c r="J68" s="1901">
        <v>0</v>
      </c>
      <c r="K68" s="1901">
        <v>0</v>
      </c>
    </row>
    <row r="69" spans="1:11">
      <c r="A69" s="1901" t="s">
        <v>88</v>
      </c>
      <c r="B69" s="1901">
        <v>0</v>
      </c>
      <c r="C69" s="1901">
        <v>0</v>
      </c>
      <c r="D69" s="1901">
        <v>0</v>
      </c>
      <c r="E69" s="1901">
        <v>0</v>
      </c>
      <c r="F69" s="1901">
        <v>0</v>
      </c>
      <c r="G69" s="1901">
        <v>0</v>
      </c>
      <c r="H69" s="1901">
        <v>0</v>
      </c>
      <c r="I69" s="1901">
        <v>0</v>
      </c>
      <c r="J69" s="1901">
        <v>0</v>
      </c>
      <c r="K69" s="1901">
        <v>0</v>
      </c>
    </row>
    <row r="70" spans="1:11">
      <c r="A70" s="1901" t="s">
        <v>89</v>
      </c>
      <c r="B70" s="1901">
        <v>0</v>
      </c>
      <c r="C70" s="1901">
        <v>0</v>
      </c>
      <c r="D70" s="1901">
        <v>0</v>
      </c>
      <c r="E70" s="1901">
        <v>0</v>
      </c>
      <c r="F70" s="1901">
        <v>0</v>
      </c>
      <c r="G70" s="1901">
        <v>0</v>
      </c>
      <c r="H70" s="1901">
        <v>0</v>
      </c>
      <c r="I70" s="1901">
        <v>0</v>
      </c>
      <c r="J70" s="1901">
        <v>0</v>
      </c>
      <c r="K70" s="1901">
        <v>0</v>
      </c>
    </row>
    <row r="71" spans="1:11">
      <c r="A71" s="1901" t="s">
        <v>90</v>
      </c>
      <c r="B71" s="1901">
        <v>0</v>
      </c>
      <c r="C71" s="1901">
        <v>0</v>
      </c>
      <c r="D71" s="1901">
        <v>0</v>
      </c>
      <c r="E71" s="1901">
        <v>0</v>
      </c>
      <c r="F71" s="1901">
        <v>0</v>
      </c>
      <c r="G71" s="1901">
        <v>0</v>
      </c>
      <c r="H71" s="1901">
        <v>0</v>
      </c>
      <c r="I71" s="1901">
        <v>0</v>
      </c>
      <c r="J71" s="1901">
        <v>0</v>
      </c>
      <c r="K71" s="1901">
        <v>0</v>
      </c>
    </row>
    <row r="72" spans="1:11">
      <c r="A72" s="1901" t="s">
        <v>43</v>
      </c>
      <c r="B72" s="1901">
        <v>0</v>
      </c>
      <c r="C72" s="1901">
        <v>0</v>
      </c>
      <c r="D72" s="1901">
        <v>0</v>
      </c>
      <c r="E72" s="1901">
        <v>0</v>
      </c>
      <c r="F72" s="1901">
        <v>0</v>
      </c>
      <c r="G72" s="1901">
        <v>0</v>
      </c>
      <c r="H72" s="1901">
        <v>0</v>
      </c>
      <c r="I72" s="1901">
        <v>0</v>
      </c>
      <c r="J72" s="1901">
        <v>0</v>
      </c>
      <c r="K72" s="1901">
        <v>0</v>
      </c>
    </row>
    <row r="73" spans="1:11">
      <c r="A73" s="1901" t="s">
        <v>91</v>
      </c>
      <c r="B73" s="1901">
        <v>0</v>
      </c>
      <c r="C73" s="1901">
        <v>0</v>
      </c>
      <c r="D73" s="1901">
        <v>0</v>
      </c>
      <c r="E73" s="1901">
        <v>0</v>
      </c>
      <c r="F73" s="1901">
        <v>0</v>
      </c>
      <c r="G73" s="1901">
        <v>0</v>
      </c>
      <c r="H73" s="1901">
        <v>0</v>
      </c>
      <c r="I73" s="1901">
        <v>0</v>
      </c>
      <c r="J73" s="1901">
        <v>0</v>
      </c>
      <c r="K73" s="1901">
        <v>0</v>
      </c>
    </row>
    <row r="74" spans="1:11">
      <c r="A74" s="1900" t="s">
        <v>92</v>
      </c>
      <c r="B74" s="1900">
        <v>103.216132024</v>
      </c>
      <c r="C74" s="1900">
        <v>99.029486610000006</v>
      </c>
      <c r="D74" s="1900">
        <v>11.462015397</v>
      </c>
      <c r="E74" s="1900">
        <v>29.444579301000001</v>
      </c>
      <c r="F74" s="1900">
        <v>36.412462404999999</v>
      </c>
      <c r="G74" s="1900">
        <v>22.901670675999998</v>
      </c>
      <c r="H74" s="1900">
        <v>324.085468816</v>
      </c>
      <c r="I74" s="1900">
        <v>302.64536233899997</v>
      </c>
      <c r="J74" s="1900">
        <v>45.105620483000003</v>
      </c>
      <c r="K74" s="1900">
        <v>260.112988949</v>
      </c>
    </row>
    <row r="75" spans="1:11">
      <c r="A75" s="1901" t="s">
        <v>93</v>
      </c>
      <c r="B75" s="1901">
        <v>103.216132024</v>
      </c>
      <c r="C75" s="1901">
        <v>99.029486610000006</v>
      </c>
      <c r="D75" s="1901">
        <v>8.5283108599999995</v>
      </c>
      <c r="E75" s="1901">
        <v>27.929004905999999</v>
      </c>
      <c r="F75" s="1901">
        <v>29.243644972999999</v>
      </c>
      <c r="G75" s="1901">
        <v>17.258713921999998</v>
      </c>
      <c r="H75" s="1901">
        <v>310.55875840099998</v>
      </c>
      <c r="I75" s="1901">
        <v>294.35132652700003</v>
      </c>
      <c r="J75" s="1901">
        <v>35.009926028000002</v>
      </c>
      <c r="K75" s="1901">
        <v>181.63998142</v>
      </c>
    </row>
    <row r="76" spans="1:11">
      <c r="A76" s="1901" t="s">
        <v>94</v>
      </c>
      <c r="B76" s="1901">
        <v>0</v>
      </c>
      <c r="C76" s="1901">
        <v>0</v>
      </c>
      <c r="D76" s="1901">
        <v>2.9337045370000001</v>
      </c>
      <c r="E76" s="1901">
        <v>1.515574395</v>
      </c>
      <c r="F76" s="1901">
        <v>7.168817432</v>
      </c>
      <c r="G76" s="1901">
        <v>5.6429567540000001</v>
      </c>
      <c r="H76" s="1901">
        <v>13.526710415</v>
      </c>
      <c r="I76" s="1901">
        <v>8.2940358120000006</v>
      </c>
      <c r="J76" s="1901">
        <v>10.095694455</v>
      </c>
      <c r="K76" s="1901">
        <v>78.473007529</v>
      </c>
    </row>
    <row r="77" spans="1:11">
      <c r="A77" s="1901" t="s">
        <v>95</v>
      </c>
      <c r="B77" s="1901">
        <v>0</v>
      </c>
      <c r="C77" s="1901">
        <v>0</v>
      </c>
      <c r="D77" s="1901">
        <v>0</v>
      </c>
      <c r="E77" s="1901">
        <v>0</v>
      </c>
      <c r="F77" s="1901">
        <v>0</v>
      </c>
      <c r="G77" s="1901">
        <v>0</v>
      </c>
      <c r="H77" s="1901">
        <v>0</v>
      </c>
      <c r="I77" s="1901">
        <v>0</v>
      </c>
      <c r="J77" s="1901">
        <v>0</v>
      </c>
      <c r="K77" s="1901">
        <v>0</v>
      </c>
    </row>
    <row r="78" spans="1:11">
      <c r="A78" s="1901" t="s">
        <v>96</v>
      </c>
      <c r="B78" s="1901">
        <v>0</v>
      </c>
      <c r="C78" s="1901">
        <v>0</v>
      </c>
      <c r="D78" s="1901">
        <v>0</v>
      </c>
      <c r="E78" s="1901">
        <v>0</v>
      </c>
      <c r="F78" s="1901">
        <v>0</v>
      </c>
      <c r="G78" s="1901">
        <v>0</v>
      </c>
      <c r="H78" s="1901">
        <v>0</v>
      </c>
      <c r="I78" s="1901">
        <v>0</v>
      </c>
      <c r="J78" s="1901">
        <v>0</v>
      </c>
      <c r="K78" s="1901">
        <v>0</v>
      </c>
    </row>
    <row r="79" spans="1:11">
      <c r="A79" s="1901" t="s">
        <v>97</v>
      </c>
      <c r="B79" s="1901">
        <v>0</v>
      </c>
      <c r="C79" s="1901">
        <v>0</v>
      </c>
      <c r="D79" s="1901">
        <v>0</v>
      </c>
      <c r="E79" s="1901">
        <v>0</v>
      </c>
      <c r="F79" s="1901">
        <v>0</v>
      </c>
      <c r="G79" s="1901">
        <v>0</v>
      </c>
      <c r="H79" s="1901">
        <v>0</v>
      </c>
      <c r="I79" s="1901">
        <v>0</v>
      </c>
      <c r="J79" s="1901">
        <v>0</v>
      </c>
      <c r="K79" s="1901">
        <v>0</v>
      </c>
    </row>
    <row r="80" spans="1:11">
      <c r="A80" s="1900" t="s">
        <v>98</v>
      </c>
      <c r="B80" s="1900">
        <v>14478.619241885999</v>
      </c>
      <c r="C80" s="1900">
        <v>12967.051884181999</v>
      </c>
      <c r="D80" s="1900">
        <v>12456.164139852999</v>
      </c>
      <c r="E80" s="1900">
        <v>11030.586388031999</v>
      </c>
      <c r="F80" s="1900">
        <v>10172.594752745999</v>
      </c>
      <c r="G80" s="1900">
        <v>8717.4806916109992</v>
      </c>
      <c r="H80" s="1900">
        <v>11072.121334924999</v>
      </c>
      <c r="I80" s="1900">
        <v>14166.860720016</v>
      </c>
      <c r="J80" s="1900">
        <v>15237.966427298999</v>
      </c>
      <c r="K80" s="1900">
        <v>15728.847338145</v>
      </c>
    </row>
    <row r="81" spans="1:11">
      <c r="A81" s="1900" t="s">
        <v>99</v>
      </c>
      <c r="B81" s="1900">
        <v>8245.4264622659994</v>
      </c>
      <c r="C81" s="1900">
        <v>7116.8088080389998</v>
      </c>
      <c r="D81" s="1900">
        <v>6302.6421167320004</v>
      </c>
      <c r="E81" s="1900">
        <v>4761.7141371329999</v>
      </c>
      <c r="F81" s="1900">
        <v>4066.2675026669999</v>
      </c>
      <c r="G81" s="1900">
        <v>2391.033021663</v>
      </c>
      <c r="H81" s="1900">
        <v>3594.0240595390001</v>
      </c>
      <c r="I81" s="1900">
        <v>3561.4119034959999</v>
      </c>
      <c r="J81" s="1900">
        <v>5274.5831931410003</v>
      </c>
      <c r="K81" s="1900">
        <v>5551.670737163</v>
      </c>
    </row>
    <row r="82" spans="1:11">
      <c r="A82" s="1900" t="s">
        <v>100</v>
      </c>
      <c r="B82" s="1900">
        <v>2424.036133222</v>
      </c>
      <c r="C82" s="1900">
        <v>2535.8006536950002</v>
      </c>
      <c r="D82" s="1900">
        <v>2525.3256582419999</v>
      </c>
      <c r="E82" s="1900">
        <v>3096.935931168</v>
      </c>
      <c r="F82" s="1900">
        <v>3299.9978533799999</v>
      </c>
      <c r="G82" s="1900">
        <v>2050.1517847549999</v>
      </c>
      <c r="H82" s="1900">
        <v>3186.6105426929998</v>
      </c>
      <c r="I82" s="1900">
        <v>2874.4359858429998</v>
      </c>
      <c r="J82" s="1900">
        <v>4517.2577892560003</v>
      </c>
      <c r="K82" s="1900">
        <v>4680.7301135119997</v>
      </c>
    </row>
    <row r="83" spans="1:11">
      <c r="A83" s="1901" t="s">
        <v>101</v>
      </c>
      <c r="B83" s="1901">
        <v>298.27078004200001</v>
      </c>
      <c r="C83" s="1901">
        <v>688.40558826899996</v>
      </c>
      <c r="D83" s="1901">
        <v>437.54017972000003</v>
      </c>
      <c r="E83" s="1901">
        <v>760.18711721499994</v>
      </c>
      <c r="F83" s="1901">
        <v>879.30163535199995</v>
      </c>
      <c r="G83" s="1901">
        <v>709.12680017599996</v>
      </c>
      <c r="H83" s="1901">
        <v>794.79728936100003</v>
      </c>
      <c r="I83" s="1901">
        <v>1028.4757360789999</v>
      </c>
      <c r="J83" s="1901">
        <v>1989.2834125500001</v>
      </c>
      <c r="K83" s="1901">
        <v>1611.5109306879999</v>
      </c>
    </row>
    <row r="84" spans="1:11">
      <c r="A84" s="1901" t="s">
        <v>102</v>
      </c>
      <c r="B84" s="1901">
        <v>153.444525172</v>
      </c>
      <c r="C84" s="1901">
        <v>64.450940341999996</v>
      </c>
      <c r="D84" s="1901">
        <v>83.530106521999997</v>
      </c>
      <c r="E84" s="1901">
        <v>139.37067380100001</v>
      </c>
      <c r="F84" s="1901">
        <v>45.098300795999997</v>
      </c>
      <c r="G84" s="1901">
        <v>118.183078862</v>
      </c>
      <c r="H84" s="1901">
        <v>285.54735748299998</v>
      </c>
      <c r="I84" s="1901">
        <v>106.451076947</v>
      </c>
      <c r="J84" s="1901">
        <v>23.307675261</v>
      </c>
      <c r="K84" s="1901">
        <v>233.21169483899999</v>
      </c>
    </row>
    <row r="85" spans="1:11">
      <c r="A85" s="1901" t="s">
        <v>103</v>
      </c>
      <c r="B85" s="1901">
        <v>6.3193458370000002</v>
      </c>
      <c r="C85" s="1901">
        <v>3.3748746220000001</v>
      </c>
      <c r="D85" s="1901">
        <v>15.559115868999999</v>
      </c>
      <c r="E85" s="1901">
        <v>34.084233017999999</v>
      </c>
      <c r="F85" s="1901">
        <v>22.412352213999998</v>
      </c>
      <c r="G85" s="1901">
        <v>31.066794230999999</v>
      </c>
      <c r="H85" s="1901">
        <v>94.738342896000006</v>
      </c>
      <c r="I85" s="1901">
        <v>71.483643552999993</v>
      </c>
      <c r="J85" s="1901">
        <v>74.088243051000006</v>
      </c>
      <c r="K85" s="1901">
        <v>50.531784526000003</v>
      </c>
    </row>
    <row r="86" spans="1:11">
      <c r="A86" s="1901" t="s">
        <v>104</v>
      </c>
      <c r="B86" s="1901">
        <v>69.044339084000001</v>
      </c>
      <c r="C86" s="1901">
        <v>47.541974859</v>
      </c>
      <c r="D86" s="1901">
        <v>53.668946577</v>
      </c>
      <c r="E86" s="1901">
        <v>24.338060250000002</v>
      </c>
      <c r="F86" s="1901">
        <v>94.836998483000002</v>
      </c>
      <c r="G86" s="1901">
        <v>98.041055868000001</v>
      </c>
      <c r="H86" s="1901">
        <v>187.58894991299999</v>
      </c>
      <c r="I86" s="1901">
        <v>136.58072915299999</v>
      </c>
      <c r="J86" s="1901">
        <v>150.05186430099999</v>
      </c>
      <c r="K86" s="1901">
        <v>168.88287984499999</v>
      </c>
    </row>
    <row r="87" spans="1:11">
      <c r="A87" s="1901" t="s">
        <v>105</v>
      </c>
      <c r="B87" s="1901">
        <v>342.69198411600001</v>
      </c>
      <c r="C87" s="1901">
        <v>67.875659036000002</v>
      </c>
      <c r="D87" s="1901">
        <v>610.28437908399997</v>
      </c>
      <c r="E87" s="1901">
        <v>669.74733838099996</v>
      </c>
      <c r="F87" s="1901">
        <v>794.18774090500006</v>
      </c>
      <c r="G87" s="1901">
        <v>126.023426538</v>
      </c>
      <c r="H87" s="1901">
        <v>553.15696346300001</v>
      </c>
      <c r="I87" s="1901">
        <v>238.922429225</v>
      </c>
      <c r="J87" s="1901">
        <v>444.104239194</v>
      </c>
      <c r="K87" s="1901">
        <v>466.15776222400001</v>
      </c>
    </row>
    <row r="88" spans="1:11">
      <c r="A88" s="1901" t="s">
        <v>106</v>
      </c>
      <c r="B88" s="1901">
        <v>0</v>
      </c>
      <c r="C88" s="1901">
        <v>0</v>
      </c>
      <c r="D88" s="1901">
        <v>0</v>
      </c>
      <c r="E88" s="1901">
        <v>0</v>
      </c>
      <c r="F88" s="1901">
        <v>0</v>
      </c>
      <c r="G88" s="1901">
        <v>0</v>
      </c>
      <c r="H88" s="1901">
        <v>0</v>
      </c>
      <c r="I88" s="1901">
        <v>0</v>
      </c>
      <c r="J88" s="1901">
        <v>0</v>
      </c>
      <c r="K88" s="1901">
        <v>0</v>
      </c>
    </row>
    <row r="89" spans="1:11">
      <c r="A89" s="1901" t="s">
        <v>107</v>
      </c>
      <c r="B89" s="1901">
        <v>0</v>
      </c>
      <c r="C89" s="1901">
        <v>0</v>
      </c>
      <c r="D89" s="1901">
        <v>0</v>
      </c>
      <c r="E89" s="1901">
        <v>0</v>
      </c>
      <c r="F89" s="1901">
        <v>0</v>
      </c>
      <c r="G89" s="1901">
        <v>0</v>
      </c>
      <c r="H89" s="1901">
        <v>0</v>
      </c>
      <c r="I89" s="1901">
        <v>0</v>
      </c>
      <c r="J89" s="1901">
        <v>0</v>
      </c>
      <c r="K89" s="1901">
        <v>0</v>
      </c>
    </row>
    <row r="90" spans="1:11">
      <c r="A90" s="1901" t="s">
        <v>108</v>
      </c>
      <c r="B90" s="1901">
        <v>0</v>
      </c>
      <c r="C90" s="1901">
        <v>0</v>
      </c>
      <c r="D90" s="1901">
        <v>0</v>
      </c>
      <c r="E90" s="1901">
        <v>0</v>
      </c>
      <c r="F90" s="1901">
        <v>0</v>
      </c>
      <c r="G90" s="1901">
        <v>0</v>
      </c>
      <c r="H90" s="1901">
        <v>0</v>
      </c>
      <c r="I90" s="1901">
        <v>0</v>
      </c>
      <c r="J90" s="1901">
        <v>0</v>
      </c>
      <c r="K90" s="1901">
        <v>0</v>
      </c>
    </row>
    <row r="91" spans="1:11">
      <c r="A91" s="1901" t="s">
        <v>109</v>
      </c>
      <c r="B91" s="1901">
        <v>205.97707268299999</v>
      </c>
      <c r="C91" s="1901">
        <v>248.03085098400001</v>
      </c>
      <c r="D91" s="1901">
        <v>221.137473632</v>
      </c>
      <c r="E91" s="1901">
        <v>231.677522985</v>
      </c>
      <c r="F91" s="1901">
        <v>203.31127817399999</v>
      </c>
      <c r="G91" s="1901">
        <v>127.381799366</v>
      </c>
      <c r="H91" s="1901">
        <v>386.49752383800001</v>
      </c>
      <c r="I91" s="1901">
        <v>304.13712770799998</v>
      </c>
      <c r="J91" s="1901">
        <v>65.901883957999999</v>
      </c>
      <c r="K91" s="1901">
        <v>64.017498673999995</v>
      </c>
    </row>
    <row r="92" spans="1:11">
      <c r="A92" s="1901" t="s">
        <v>110</v>
      </c>
      <c r="B92" s="1901">
        <v>1319.1728088699999</v>
      </c>
      <c r="C92" s="1901">
        <v>1359.1623843140001</v>
      </c>
      <c r="D92" s="1901">
        <v>1062.377986921</v>
      </c>
      <c r="E92" s="1901">
        <v>1195.945359955</v>
      </c>
      <c r="F92" s="1901">
        <v>1156.3716984289999</v>
      </c>
      <c r="G92" s="1901">
        <v>685.40656374699995</v>
      </c>
      <c r="H92" s="1901">
        <v>689.16295133599999</v>
      </c>
      <c r="I92" s="1901">
        <v>2.559405532</v>
      </c>
      <c r="J92" s="1901">
        <v>845.80580895499997</v>
      </c>
      <c r="K92" s="1901">
        <v>1229.228015118</v>
      </c>
    </row>
    <row r="93" spans="1:11">
      <c r="A93" s="1901" t="s">
        <v>111</v>
      </c>
      <c r="B93" s="1901">
        <v>0</v>
      </c>
      <c r="C93" s="1901">
        <v>0</v>
      </c>
      <c r="D93" s="1901">
        <v>0</v>
      </c>
      <c r="E93" s="1901">
        <v>0</v>
      </c>
      <c r="F93" s="1901">
        <v>0.11939760000000001</v>
      </c>
      <c r="G93" s="1901">
        <v>0</v>
      </c>
      <c r="H93" s="1901">
        <v>0</v>
      </c>
      <c r="I93" s="1901">
        <v>679.26088428800006</v>
      </c>
      <c r="J93" s="1901">
        <v>588.96864790100005</v>
      </c>
      <c r="K93" s="1901">
        <v>616.68078128000002</v>
      </c>
    </row>
    <row r="94" spans="1:11">
      <c r="A94" s="1901" t="s">
        <v>112</v>
      </c>
      <c r="B94" s="1901">
        <v>29.115277418000002</v>
      </c>
      <c r="C94" s="1901">
        <v>56.958381269</v>
      </c>
      <c r="D94" s="1901">
        <v>41.227469917000001</v>
      </c>
      <c r="E94" s="1901">
        <v>41.585625563000001</v>
      </c>
      <c r="F94" s="1901">
        <v>104.35845142700001</v>
      </c>
      <c r="G94" s="1901">
        <v>154.92226596699999</v>
      </c>
      <c r="H94" s="1901">
        <v>195.12116440299999</v>
      </c>
      <c r="I94" s="1901">
        <v>306.56495335800003</v>
      </c>
      <c r="J94" s="1901">
        <v>335.74601408500001</v>
      </c>
      <c r="K94" s="1901">
        <v>240.508766318</v>
      </c>
    </row>
    <row r="95" spans="1:11">
      <c r="A95" s="1901" t="s">
        <v>113</v>
      </c>
      <c r="B95" s="1901">
        <v>0</v>
      </c>
      <c r="C95" s="1901">
        <v>0</v>
      </c>
      <c r="D95" s="1901">
        <v>0</v>
      </c>
      <c r="E95" s="1901">
        <v>0</v>
      </c>
      <c r="F95" s="1901">
        <v>0</v>
      </c>
      <c r="G95" s="1901">
        <v>0</v>
      </c>
      <c r="H95" s="1901">
        <v>0</v>
      </c>
      <c r="I95" s="1901">
        <v>0</v>
      </c>
      <c r="J95" s="1901">
        <v>0</v>
      </c>
      <c r="K95" s="1901">
        <v>0</v>
      </c>
    </row>
    <row r="96" spans="1:11">
      <c r="A96" s="1901" t="s">
        <v>58</v>
      </c>
      <c r="B96" s="1901">
        <v>0</v>
      </c>
      <c r="C96" s="1901">
        <v>0</v>
      </c>
      <c r="D96" s="1901">
        <v>0</v>
      </c>
      <c r="E96" s="1901">
        <v>0</v>
      </c>
      <c r="F96" s="1901">
        <v>0</v>
      </c>
      <c r="G96" s="1901">
        <v>0</v>
      </c>
      <c r="H96" s="1901">
        <v>0</v>
      </c>
      <c r="I96" s="1901">
        <v>0</v>
      </c>
      <c r="J96" s="1901">
        <v>0</v>
      </c>
      <c r="K96" s="1901">
        <v>0</v>
      </c>
    </row>
    <row r="97" spans="1:11">
      <c r="A97" s="1900" t="s">
        <v>114</v>
      </c>
      <c r="B97" s="1900">
        <v>5821.3903290440003</v>
      </c>
      <c r="C97" s="1900">
        <v>4581.0081543440001</v>
      </c>
      <c r="D97" s="1900">
        <v>3777.3164584900001</v>
      </c>
      <c r="E97" s="1900">
        <v>1664.7782059650001</v>
      </c>
      <c r="F97" s="1900">
        <v>766.26964928699999</v>
      </c>
      <c r="G97" s="1900">
        <v>340.88123690800001</v>
      </c>
      <c r="H97" s="1900">
        <v>407.41351684599999</v>
      </c>
      <c r="I97" s="1900">
        <v>686.97591765300001</v>
      </c>
      <c r="J97" s="1900">
        <v>757.32540388500001</v>
      </c>
      <c r="K97" s="1900">
        <v>870.94062365100001</v>
      </c>
    </row>
    <row r="98" spans="1:11">
      <c r="A98" s="1901" t="s">
        <v>115</v>
      </c>
      <c r="B98" s="1901">
        <v>0</v>
      </c>
      <c r="C98" s="1901">
        <v>0</v>
      </c>
      <c r="D98" s="1901">
        <v>0</v>
      </c>
      <c r="E98" s="1901">
        <v>0</v>
      </c>
      <c r="F98" s="1901">
        <v>0</v>
      </c>
      <c r="G98" s="1901">
        <v>0</v>
      </c>
      <c r="H98" s="1901">
        <v>0</v>
      </c>
      <c r="I98" s="1901">
        <v>0</v>
      </c>
      <c r="J98" s="1901">
        <v>0</v>
      </c>
      <c r="K98" s="1901">
        <v>0</v>
      </c>
    </row>
    <row r="99" spans="1:11">
      <c r="A99" s="1901" t="s">
        <v>116</v>
      </c>
      <c r="B99" s="1901">
        <v>0</v>
      </c>
      <c r="C99" s="1901">
        <v>0</v>
      </c>
      <c r="D99" s="1901">
        <v>0</v>
      </c>
      <c r="E99" s="1901">
        <v>0</v>
      </c>
      <c r="F99" s="1901">
        <v>0</v>
      </c>
      <c r="G99" s="1901">
        <v>0</v>
      </c>
      <c r="H99" s="1901">
        <v>0</v>
      </c>
      <c r="I99" s="1901">
        <v>0</v>
      </c>
      <c r="J99" s="1901">
        <v>0</v>
      </c>
      <c r="K99" s="1901">
        <v>0</v>
      </c>
    </row>
    <row r="100" spans="1:11">
      <c r="A100" s="1901" t="s">
        <v>117</v>
      </c>
      <c r="B100" s="1901">
        <v>0</v>
      </c>
      <c r="C100" s="1901">
        <v>0</v>
      </c>
      <c r="D100" s="1901">
        <v>0</v>
      </c>
      <c r="E100" s="1901">
        <v>0</v>
      </c>
      <c r="F100" s="1901">
        <v>0</v>
      </c>
      <c r="G100" s="1901">
        <v>0</v>
      </c>
      <c r="H100" s="1901">
        <v>0</v>
      </c>
      <c r="I100" s="1901">
        <v>0</v>
      </c>
      <c r="J100" s="1901">
        <v>0</v>
      </c>
      <c r="K100" s="1901">
        <v>0</v>
      </c>
    </row>
    <row r="101" spans="1:11">
      <c r="A101" s="1901" t="s">
        <v>118</v>
      </c>
      <c r="B101" s="1901">
        <v>0</v>
      </c>
      <c r="C101" s="1901">
        <v>0</v>
      </c>
      <c r="D101" s="1901">
        <v>0</v>
      </c>
      <c r="E101" s="1901">
        <v>0</v>
      </c>
      <c r="F101" s="1901">
        <v>0</v>
      </c>
      <c r="G101" s="1901">
        <v>0</v>
      </c>
      <c r="H101" s="1901">
        <v>0</v>
      </c>
      <c r="I101" s="1901">
        <v>0</v>
      </c>
      <c r="J101" s="1901">
        <v>0</v>
      </c>
      <c r="K101" s="1901">
        <v>0</v>
      </c>
    </row>
    <row r="102" spans="1:11">
      <c r="A102" s="1901" t="s">
        <v>119</v>
      </c>
      <c r="B102" s="1901">
        <v>0</v>
      </c>
      <c r="C102" s="1901">
        <v>0</v>
      </c>
      <c r="D102" s="1901">
        <v>0</v>
      </c>
      <c r="E102" s="1901">
        <v>0</v>
      </c>
      <c r="F102" s="1901">
        <v>0</v>
      </c>
      <c r="G102" s="1901">
        <v>0</v>
      </c>
      <c r="H102" s="1901">
        <v>0</v>
      </c>
      <c r="I102" s="1901">
        <v>0</v>
      </c>
      <c r="J102" s="1901">
        <v>0</v>
      </c>
      <c r="K102" s="1901">
        <v>0</v>
      </c>
    </row>
    <row r="103" spans="1:11">
      <c r="A103" s="1901" t="s">
        <v>120</v>
      </c>
      <c r="B103" s="1901">
        <v>0</v>
      </c>
      <c r="C103" s="1901">
        <v>0</v>
      </c>
      <c r="D103" s="1901">
        <v>0</v>
      </c>
      <c r="E103" s="1901">
        <v>0</v>
      </c>
      <c r="F103" s="1901">
        <v>0</v>
      </c>
      <c r="G103" s="1901">
        <v>0</v>
      </c>
      <c r="H103" s="1901">
        <v>0</v>
      </c>
      <c r="I103" s="1901">
        <v>0</v>
      </c>
      <c r="J103" s="1901">
        <v>0</v>
      </c>
      <c r="K103" s="1901">
        <v>0</v>
      </c>
    </row>
    <row r="104" spans="1:11">
      <c r="A104" s="1901" t="s">
        <v>121</v>
      </c>
      <c r="B104" s="1901">
        <v>33.175238299999997</v>
      </c>
      <c r="C104" s="1901">
        <v>1.0556670749999999</v>
      </c>
      <c r="D104" s="1901">
        <v>0</v>
      </c>
      <c r="E104" s="1901">
        <v>0</v>
      </c>
      <c r="F104" s="1901">
        <v>0</v>
      </c>
      <c r="G104" s="1901">
        <v>0</v>
      </c>
      <c r="H104" s="1901">
        <v>0</v>
      </c>
      <c r="I104" s="1901">
        <v>0</v>
      </c>
      <c r="J104" s="1901">
        <v>0</v>
      </c>
      <c r="K104" s="1901">
        <v>0</v>
      </c>
    </row>
    <row r="105" spans="1:11">
      <c r="A105" s="1901" t="s">
        <v>122</v>
      </c>
      <c r="B105" s="1901">
        <v>5753.0878660420003</v>
      </c>
      <c r="C105" s="1901">
        <v>4538.3801550400003</v>
      </c>
      <c r="D105" s="1901">
        <v>3673.8789411990001</v>
      </c>
      <c r="E105" s="1901">
        <v>1508.269730041</v>
      </c>
      <c r="F105" s="1901">
        <v>628.47249524100005</v>
      </c>
      <c r="G105" s="1901">
        <v>137.062222093</v>
      </c>
      <c r="H105" s="1901">
        <v>2.6763435320000002</v>
      </c>
      <c r="I105" s="1901">
        <v>1.0484815000000001</v>
      </c>
      <c r="J105" s="1901">
        <v>2.9644798749999999</v>
      </c>
      <c r="K105" s="1901">
        <v>119.527496051</v>
      </c>
    </row>
    <row r="106" spans="1:11">
      <c r="A106" s="1901" t="s">
        <v>123</v>
      </c>
      <c r="B106" s="1901">
        <v>0</v>
      </c>
      <c r="C106" s="1901">
        <v>0</v>
      </c>
      <c r="D106" s="1901">
        <v>0</v>
      </c>
      <c r="E106" s="1901">
        <v>0</v>
      </c>
      <c r="F106" s="1901">
        <v>0</v>
      </c>
      <c r="G106" s="1901">
        <v>0</v>
      </c>
      <c r="H106" s="1901">
        <v>0</v>
      </c>
      <c r="I106" s="1901">
        <v>0</v>
      </c>
      <c r="J106" s="1901">
        <v>0</v>
      </c>
      <c r="K106" s="1901">
        <v>0</v>
      </c>
    </row>
    <row r="107" spans="1:11">
      <c r="A107" s="1901" t="s">
        <v>124</v>
      </c>
      <c r="B107" s="1901">
        <v>0</v>
      </c>
      <c r="C107" s="1901">
        <v>0</v>
      </c>
      <c r="D107" s="1901">
        <v>0</v>
      </c>
      <c r="E107" s="1901">
        <v>0</v>
      </c>
      <c r="F107" s="1901">
        <v>0</v>
      </c>
      <c r="G107" s="1901">
        <v>0</v>
      </c>
      <c r="H107" s="1901">
        <v>0</v>
      </c>
      <c r="I107" s="1901">
        <v>0</v>
      </c>
      <c r="J107" s="1901">
        <v>0</v>
      </c>
      <c r="K107" s="1901">
        <v>0</v>
      </c>
    </row>
    <row r="108" spans="1:11">
      <c r="A108" s="1901" t="s">
        <v>125</v>
      </c>
      <c r="B108" s="1901">
        <v>0</v>
      </c>
      <c r="C108" s="1901">
        <v>0</v>
      </c>
      <c r="D108" s="1901">
        <v>0</v>
      </c>
      <c r="E108" s="1901">
        <v>0</v>
      </c>
      <c r="F108" s="1901">
        <v>0</v>
      </c>
      <c r="G108" s="1901">
        <v>0</v>
      </c>
      <c r="H108" s="1901">
        <v>0</v>
      </c>
      <c r="I108" s="1901">
        <v>0</v>
      </c>
      <c r="J108" s="1901">
        <v>0</v>
      </c>
      <c r="K108" s="1901">
        <v>0</v>
      </c>
    </row>
    <row r="109" spans="1:11">
      <c r="A109" s="1901" t="s">
        <v>126</v>
      </c>
      <c r="B109" s="1901"/>
      <c r="C109" s="1901"/>
      <c r="D109" s="1901"/>
      <c r="E109" s="1901"/>
      <c r="F109" s="1901"/>
      <c r="G109" s="1901"/>
      <c r="H109" s="1901"/>
      <c r="I109" s="1901"/>
      <c r="J109" s="1901"/>
      <c r="K109" s="1901"/>
    </row>
    <row r="110" spans="1:11">
      <c r="A110" s="1901" t="s">
        <v>127</v>
      </c>
      <c r="B110" s="1901">
        <v>0</v>
      </c>
      <c r="C110" s="1901">
        <v>0</v>
      </c>
      <c r="D110" s="1901">
        <v>0</v>
      </c>
      <c r="E110" s="1901">
        <v>0</v>
      </c>
      <c r="F110" s="1901">
        <v>0</v>
      </c>
      <c r="G110" s="1901">
        <v>0</v>
      </c>
      <c r="H110" s="1901">
        <v>0</v>
      </c>
      <c r="I110" s="1901">
        <v>0</v>
      </c>
      <c r="J110" s="1901">
        <v>0</v>
      </c>
      <c r="K110" s="1901">
        <v>0</v>
      </c>
    </row>
    <row r="111" spans="1:11">
      <c r="A111" s="1901" t="s">
        <v>128</v>
      </c>
      <c r="B111" s="1901">
        <v>35.127224701999999</v>
      </c>
      <c r="C111" s="1901">
        <v>41.572332228999997</v>
      </c>
      <c r="D111" s="1901">
        <v>103.43751729100001</v>
      </c>
      <c r="E111" s="1901">
        <v>156.50847592400001</v>
      </c>
      <c r="F111" s="1901">
        <v>137.797154046</v>
      </c>
      <c r="G111" s="1901">
        <v>203.819014815</v>
      </c>
      <c r="H111" s="1901">
        <v>404.73717331400002</v>
      </c>
      <c r="I111" s="1901">
        <v>685.92743615300003</v>
      </c>
      <c r="J111" s="1901">
        <v>754.36092400999996</v>
      </c>
      <c r="K111" s="1901">
        <v>751.41312760000005</v>
      </c>
    </row>
    <row r="112" spans="1:11">
      <c r="A112" s="1900" t="s">
        <v>129</v>
      </c>
      <c r="B112" s="1900">
        <v>6233.1927796199998</v>
      </c>
      <c r="C112" s="1900">
        <v>5850.2430761429996</v>
      </c>
      <c r="D112" s="1900">
        <v>6153.5220231209996</v>
      </c>
      <c r="E112" s="1900">
        <v>6268.8722508990004</v>
      </c>
      <c r="F112" s="1900">
        <v>6106.3272500789999</v>
      </c>
      <c r="G112" s="1900">
        <v>6326.4476699480001</v>
      </c>
      <c r="H112" s="1900">
        <v>7478.0972753859996</v>
      </c>
      <c r="I112" s="1900">
        <v>10605.44881652</v>
      </c>
      <c r="J112" s="1900">
        <v>9963.3832341580001</v>
      </c>
      <c r="K112" s="1900">
        <v>10177.176600982</v>
      </c>
    </row>
    <row r="113" spans="1:13">
      <c r="A113" s="1900" t="s">
        <v>130</v>
      </c>
      <c r="B113" s="1900">
        <v>6233.1927796199998</v>
      </c>
      <c r="C113" s="1900">
        <v>5850.2430761429996</v>
      </c>
      <c r="D113" s="1900">
        <v>6153.5220231209996</v>
      </c>
      <c r="E113" s="1900">
        <v>6268.8722508990004</v>
      </c>
      <c r="F113" s="1900">
        <v>6106.3272500789999</v>
      </c>
      <c r="G113" s="1900">
        <v>6326.4476699480001</v>
      </c>
      <c r="H113" s="1900">
        <v>7478.0972753859996</v>
      </c>
      <c r="I113" s="1900">
        <v>10605.44881652</v>
      </c>
      <c r="J113" s="1900">
        <v>9963.3832341580001</v>
      </c>
      <c r="K113" s="1900">
        <v>10177.176600982</v>
      </c>
    </row>
    <row r="114" spans="1:13">
      <c r="A114" s="1901" t="s">
        <v>131</v>
      </c>
      <c r="B114" s="1901">
        <v>5294</v>
      </c>
      <c r="C114" s="1901">
        <v>5294</v>
      </c>
      <c r="D114" s="1901">
        <v>5294</v>
      </c>
      <c r="E114" s="1901">
        <v>5294</v>
      </c>
      <c r="F114" s="1901">
        <v>5294</v>
      </c>
      <c r="G114" s="1901">
        <v>5294</v>
      </c>
      <c r="H114" s="1901">
        <v>5294</v>
      </c>
      <c r="I114" s="1901">
        <v>5294</v>
      </c>
      <c r="J114" s="1901">
        <v>5294</v>
      </c>
      <c r="K114" s="1901">
        <v>5294</v>
      </c>
    </row>
    <row r="115" spans="1:13">
      <c r="A115" s="1901" t="s">
        <v>132</v>
      </c>
      <c r="B115" s="1901">
        <v>5294</v>
      </c>
      <c r="C115" s="1901">
        <v>5294</v>
      </c>
      <c r="D115" s="1901">
        <v>5294</v>
      </c>
      <c r="E115" s="1901">
        <v>5294</v>
      </c>
      <c r="F115" s="1901">
        <v>5294</v>
      </c>
      <c r="G115" s="1901">
        <v>5294</v>
      </c>
      <c r="H115" s="1901">
        <v>5294</v>
      </c>
      <c r="I115" s="1901">
        <v>5294</v>
      </c>
      <c r="J115" s="1901">
        <v>5294</v>
      </c>
      <c r="K115" s="1901">
        <v>5294</v>
      </c>
    </row>
    <row r="116" spans="1:13">
      <c r="A116" s="1901" t="s">
        <v>133</v>
      </c>
      <c r="B116" s="1901">
        <v>0</v>
      </c>
      <c r="C116" s="1901">
        <v>0</v>
      </c>
      <c r="D116" s="1901">
        <v>0</v>
      </c>
      <c r="E116" s="1901">
        <v>0</v>
      </c>
      <c r="F116" s="1901">
        <v>0</v>
      </c>
      <c r="G116" s="1901">
        <v>0</v>
      </c>
      <c r="H116" s="1901">
        <v>0</v>
      </c>
      <c r="I116" s="1901">
        <v>0</v>
      </c>
      <c r="J116" s="1901">
        <v>0</v>
      </c>
      <c r="K116" s="1901">
        <v>0</v>
      </c>
    </row>
    <row r="117" spans="1:13">
      <c r="A117" s="1901" t="s">
        <v>134</v>
      </c>
      <c r="B117" s="1901">
        <v>0</v>
      </c>
      <c r="C117" s="1901">
        <v>0</v>
      </c>
      <c r="D117" s="1901">
        <v>0</v>
      </c>
      <c r="E117" s="1901">
        <v>0</v>
      </c>
      <c r="F117" s="1901">
        <v>0</v>
      </c>
      <c r="G117" s="1901">
        <v>0</v>
      </c>
      <c r="H117" s="1901">
        <v>0</v>
      </c>
      <c r="I117" s="1901">
        <v>0</v>
      </c>
      <c r="J117" s="1901">
        <v>0</v>
      </c>
      <c r="K117" s="1901">
        <v>0</v>
      </c>
    </row>
    <row r="118" spans="1:13">
      <c r="A118" s="1901" t="s">
        <v>135</v>
      </c>
      <c r="B118" s="1901">
        <v>0</v>
      </c>
      <c r="C118" s="1901">
        <v>0</v>
      </c>
      <c r="D118" s="1901">
        <v>0</v>
      </c>
      <c r="E118" s="1901">
        <v>0</v>
      </c>
      <c r="F118" s="1901">
        <v>0</v>
      </c>
      <c r="G118" s="1901">
        <v>0</v>
      </c>
      <c r="H118" s="1901">
        <v>0</v>
      </c>
      <c r="I118" s="1901">
        <v>0</v>
      </c>
      <c r="J118" s="1901">
        <v>0</v>
      </c>
      <c r="K118" s="1901">
        <v>0</v>
      </c>
    </row>
    <row r="119" spans="1:13">
      <c r="A119" s="1901" t="s">
        <v>136</v>
      </c>
      <c r="B119" s="1901">
        <v>0</v>
      </c>
      <c r="C119" s="1901">
        <v>0</v>
      </c>
      <c r="D119" s="1901">
        <v>0</v>
      </c>
      <c r="E119" s="1901">
        <v>2.4991500000000002</v>
      </c>
      <c r="F119" s="1901">
        <v>3.6654200000000001</v>
      </c>
      <c r="G119" s="1901">
        <v>3.6654200000000001</v>
      </c>
      <c r="H119" s="1901">
        <v>3.6654200000000001</v>
      </c>
      <c r="I119" s="1901">
        <v>3.6654200000000001</v>
      </c>
      <c r="J119" s="1901">
        <v>3.6654200000000001</v>
      </c>
      <c r="K119" s="1901">
        <v>3.6654200000000001</v>
      </c>
    </row>
    <row r="120" spans="1:13">
      <c r="A120" s="1901" t="s">
        <v>137</v>
      </c>
      <c r="B120" s="1901">
        <v>0</v>
      </c>
      <c r="C120" s="1901">
        <v>0</v>
      </c>
      <c r="D120" s="1901">
        <v>0</v>
      </c>
      <c r="E120" s="1901">
        <v>0</v>
      </c>
      <c r="F120" s="1901">
        <v>0</v>
      </c>
      <c r="G120" s="1901">
        <v>0</v>
      </c>
      <c r="H120" s="1901">
        <v>0</v>
      </c>
      <c r="I120" s="1901">
        <v>0</v>
      </c>
      <c r="J120" s="1901">
        <v>0</v>
      </c>
      <c r="K120" s="1901">
        <v>0</v>
      </c>
    </row>
    <row r="121" spans="1:13">
      <c r="A121" s="1901" t="s">
        <v>138</v>
      </c>
      <c r="B121" s="1901">
        <v>0</v>
      </c>
      <c r="C121" s="1901">
        <v>0</v>
      </c>
      <c r="D121" s="1901">
        <v>0</v>
      </c>
      <c r="E121" s="1901">
        <v>0</v>
      </c>
      <c r="F121" s="1901">
        <v>0</v>
      </c>
      <c r="G121" s="1901">
        <v>0</v>
      </c>
      <c r="H121" s="1901">
        <v>0</v>
      </c>
      <c r="I121" s="1901">
        <v>0</v>
      </c>
      <c r="J121" s="1901">
        <v>0</v>
      </c>
      <c r="K121" s="1901">
        <v>0</v>
      </c>
    </row>
    <row r="122" spans="1:13">
      <c r="A122" s="1901" t="s">
        <v>139</v>
      </c>
      <c r="B122" s="1901">
        <v>0</v>
      </c>
      <c r="C122" s="1901">
        <v>0</v>
      </c>
      <c r="D122" s="1901">
        <v>0</v>
      </c>
      <c r="E122" s="1901">
        <v>0</v>
      </c>
      <c r="F122" s="1901">
        <v>0</v>
      </c>
      <c r="G122" s="1901">
        <v>0</v>
      </c>
      <c r="H122" s="1901">
        <v>0</v>
      </c>
      <c r="I122" s="1901">
        <v>0</v>
      </c>
      <c r="J122" s="1901">
        <v>0</v>
      </c>
      <c r="K122" s="1901">
        <v>0</v>
      </c>
    </row>
    <row r="123" spans="1:13">
      <c r="A123" s="1901" t="s">
        <v>140</v>
      </c>
      <c r="B123" s="1901">
        <v>372.63786521899999</v>
      </c>
      <c r="C123" s="1901">
        <v>161.06372642900001</v>
      </c>
      <c r="D123" s="1901">
        <v>238.735534003</v>
      </c>
      <c r="E123" s="1901">
        <v>317.73326380600002</v>
      </c>
      <c r="F123" s="1901">
        <v>352.53830633699999</v>
      </c>
      <c r="G123" s="1901">
        <v>418.96741859500003</v>
      </c>
      <c r="H123" s="1901">
        <v>965.85827323199999</v>
      </c>
      <c r="I123" s="1901">
        <v>2260.1850029789998</v>
      </c>
      <c r="J123" s="1901">
        <v>2593.27540327</v>
      </c>
      <c r="K123" s="1901">
        <v>2964.2118918770002</v>
      </c>
      <c r="M123" s="1427"/>
    </row>
    <row r="124" spans="1:13">
      <c r="A124" s="1901" t="s">
        <v>141</v>
      </c>
      <c r="B124" s="1901">
        <v>0</v>
      </c>
      <c r="C124" s="1901">
        <v>0</v>
      </c>
      <c r="D124" s="1901">
        <v>0</v>
      </c>
      <c r="E124" s="1901">
        <v>0</v>
      </c>
      <c r="F124" s="1901">
        <v>0</v>
      </c>
      <c r="G124" s="1901">
        <v>0</v>
      </c>
      <c r="H124" s="1901">
        <v>0</v>
      </c>
      <c r="I124" s="1901">
        <v>0</v>
      </c>
      <c r="J124" s="1901">
        <v>0</v>
      </c>
      <c r="K124" s="1901">
        <v>0</v>
      </c>
    </row>
    <row r="125" spans="1:13">
      <c r="A125" s="1901" t="s">
        <v>142</v>
      </c>
      <c r="B125" s="1901"/>
      <c r="C125" s="1901"/>
      <c r="D125" s="1901"/>
      <c r="E125" s="1901"/>
      <c r="F125" s="1901"/>
      <c r="G125" s="1901"/>
      <c r="H125" s="1901"/>
      <c r="I125" s="1901"/>
      <c r="J125" s="1901"/>
      <c r="K125" s="1901"/>
    </row>
    <row r="126" spans="1:13">
      <c r="A126" s="1901" t="s">
        <v>143</v>
      </c>
      <c r="B126" s="1901">
        <v>0</v>
      </c>
      <c r="C126" s="1901">
        <v>0</v>
      </c>
      <c r="D126" s="1901">
        <v>0</v>
      </c>
      <c r="E126" s="1901">
        <v>0</v>
      </c>
      <c r="F126" s="1901">
        <v>0</v>
      </c>
      <c r="G126" s="1901">
        <v>0</v>
      </c>
      <c r="H126" s="1901">
        <v>0</v>
      </c>
      <c r="I126" s="1901">
        <v>0</v>
      </c>
      <c r="J126" s="1901">
        <v>0</v>
      </c>
      <c r="K126" s="1901">
        <v>0</v>
      </c>
    </row>
    <row r="127" spans="1:13">
      <c r="A127" s="1901" t="s">
        <v>144</v>
      </c>
      <c r="B127" s="1901">
        <v>543.41359971099996</v>
      </c>
      <c r="C127" s="1901">
        <v>368.28853869800002</v>
      </c>
      <c r="D127" s="1901">
        <v>594.40371540199999</v>
      </c>
      <c r="E127" s="1901">
        <v>626.04216354000005</v>
      </c>
      <c r="F127" s="1901">
        <v>428.84563039400001</v>
      </c>
      <c r="G127" s="1901">
        <v>583.46740524899997</v>
      </c>
      <c r="H127" s="1901">
        <v>1187.9853976439999</v>
      </c>
      <c r="I127" s="1901">
        <v>3018.455058084</v>
      </c>
      <c r="J127" s="1901">
        <v>2044.8513450360001</v>
      </c>
      <c r="K127" s="1901">
        <v>1882.513091925</v>
      </c>
    </row>
    <row r="128" spans="1:13">
      <c r="A128" s="1901" t="s">
        <v>145</v>
      </c>
      <c r="B128" s="1901">
        <v>1.6456000580000001</v>
      </c>
      <c r="C128" s="1901">
        <v>0.570337282</v>
      </c>
      <c r="D128" s="1901">
        <v>98.105509479000006</v>
      </c>
      <c r="E128" s="1901">
        <v>114.025462671</v>
      </c>
      <c r="F128" s="1901">
        <v>146.20974504</v>
      </c>
      <c r="G128" s="1901">
        <v>110.778820045</v>
      </c>
      <c r="H128" s="1901">
        <v>106.429344547</v>
      </c>
      <c r="I128" s="1901">
        <v>234.72596186499999</v>
      </c>
      <c r="J128" s="1901">
        <v>1425.163039214</v>
      </c>
      <c r="K128" s="1901">
        <v>984.14774520699996</v>
      </c>
    </row>
    <row r="129" spans="1:11">
      <c r="A129" s="1901" t="s">
        <v>146</v>
      </c>
      <c r="B129" s="1901">
        <v>541.76799965299995</v>
      </c>
      <c r="C129" s="1901">
        <v>367.718201416</v>
      </c>
      <c r="D129" s="1901">
        <v>496.29820592300001</v>
      </c>
      <c r="E129" s="1901">
        <v>512.01670086900003</v>
      </c>
      <c r="F129" s="1901">
        <v>282.63588535399998</v>
      </c>
      <c r="G129" s="1901">
        <v>472.68858520399999</v>
      </c>
      <c r="H129" s="1901">
        <v>1081.5560530969999</v>
      </c>
      <c r="I129" s="1901">
        <v>2783.729096219</v>
      </c>
      <c r="J129" s="1901">
        <v>619.68830582199996</v>
      </c>
      <c r="K129" s="1901">
        <v>898.36534671799996</v>
      </c>
    </row>
    <row r="130" spans="1:11">
      <c r="A130" s="1901" t="s">
        <v>147</v>
      </c>
      <c r="B130" s="1901">
        <v>23.141314690000002</v>
      </c>
      <c r="C130" s="1901">
        <v>26.890811016000001</v>
      </c>
      <c r="D130" s="1901">
        <v>26.382773715999999</v>
      </c>
      <c r="E130" s="1901">
        <v>28.597673553</v>
      </c>
      <c r="F130" s="1901">
        <v>27.277893347999999</v>
      </c>
      <c r="G130" s="1901">
        <v>26.347426104</v>
      </c>
      <c r="H130" s="1901">
        <v>26.588184510000001</v>
      </c>
      <c r="I130" s="1901">
        <v>29.143335456999999</v>
      </c>
      <c r="J130" s="1901">
        <v>27.591065852</v>
      </c>
      <c r="K130" s="1901">
        <v>32.786197180000002</v>
      </c>
    </row>
    <row r="131" spans="1:11">
      <c r="A131" s="1900" t="s">
        <v>148</v>
      </c>
      <c r="B131" s="1900">
        <v>0</v>
      </c>
      <c r="C131" s="1900">
        <v>0</v>
      </c>
      <c r="D131" s="1900">
        <v>0</v>
      </c>
      <c r="E131" s="1900">
        <v>0</v>
      </c>
      <c r="F131" s="1900">
        <v>0</v>
      </c>
      <c r="G131" s="1900">
        <v>0</v>
      </c>
      <c r="H131" s="1900">
        <v>0</v>
      </c>
      <c r="I131" s="1900">
        <v>0</v>
      </c>
      <c r="J131" s="1900">
        <v>0</v>
      </c>
      <c r="K131" s="1900">
        <v>0</v>
      </c>
    </row>
    <row r="132" spans="1:11">
      <c r="A132" s="1901" t="s">
        <v>149</v>
      </c>
      <c r="B132" s="1901">
        <v>0</v>
      </c>
      <c r="C132" s="1901">
        <v>0</v>
      </c>
      <c r="D132" s="1901">
        <v>0</v>
      </c>
      <c r="E132" s="1901">
        <v>0</v>
      </c>
      <c r="F132" s="1901">
        <v>0</v>
      </c>
      <c r="G132" s="1901">
        <v>0</v>
      </c>
      <c r="H132" s="1901">
        <v>0</v>
      </c>
      <c r="I132" s="1901">
        <v>0</v>
      </c>
      <c r="J132" s="1901">
        <v>0</v>
      </c>
      <c r="K132" s="1901">
        <v>0</v>
      </c>
    </row>
    <row r="133" spans="1:11">
      <c r="A133" s="1901" t="s">
        <v>150</v>
      </c>
      <c r="B133" s="1901">
        <v>0</v>
      </c>
      <c r="C133" s="1901">
        <v>0</v>
      </c>
      <c r="D133" s="1901">
        <v>0</v>
      </c>
      <c r="E133" s="1901">
        <v>0</v>
      </c>
      <c r="F133" s="1901">
        <v>0</v>
      </c>
      <c r="G133" s="1901">
        <v>0</v>
      </c>
      <c r="H133" s="1901">
        <v>0</v>
      </c>
      <c r="I133" s="1901">
        <v>0</v>
      </c>
      <c r="J133" s="1901">
        <v>0</v>
      </c>
      <c r="K133" s="1901">
        <v>0</v>
      </c>
    </row>
    <row r="134" spans="1:11">
      <c r="A134" s="1901" t="s">
        <v>151</v>
      </c>
      <c r="B134" s="1901">
        <v>0</v>
      </c>
      <c r="C134" s="1901">
        <v>0</v>
      </c>
      <c r="D134" s="1901">
        <v>0</v>
      </c>
      <c r="E134" s="1901">
        <v>0</v>
      </c>
      <c r="F134" s="1901">
        <v>0</v>
      </c>
      <c r="G134" s="1901">
        <v>0</v>
      </c>
      <c r="H134" s="1901">
        <v>0</v>
      </c>
      <c r="I134" s="1901">
        <v>0</v>
      </c>
      <c r="J134" s="1901">
        <v>0</v>
      </c>
      <c r="K134" s="1901">
        <v>0</v>
      </c>
    </row>
    <row r="135" spans="1:11">
      <c r="A135" s="1901" t="s">
        <v>152</v>
      </c>
      <c r="B135" s="1901">
        <v>0</v>
      </c>
      <c r="C135" s="1901">
        <v>0</v>
      </c>
      <c r="D135" s="1901">
        <v>0</v>
      </c>
      <c r="E135" s="1901">
        <v>0</v>
      </c>
      <c r="F135" s="1901">
        <v>0</v>
      </c>
      <c r="G135" s="1901">
        <v>0</v>
      </c>
      <c r="H135" s="1901">
        <v>0</v>
      </c>
      <c r="I135" s="1901">
        <v>0</v>
      </c>
      <c r="J135" s="1901">
        <v>0</v>
      </c>
      <c r="K135" s="1901">
        <v>0</v>
      </c>
    </row>
    <row r="136" spans="1:11">
      <c r="A136" s="1900" t="s">
        <v>153</v>
      </c>
      <c r="B136" s="1900">
        <v>14478.619241885999</v>
      </c>
      <c r="C136" s="1900">
        <v>12967.051884181999</v>
      </c>
      <c r="D136" s="1900">
        <v>12456.164139852999</v>
      </c>
      <c r="E136" s="1900">
        <v>11030.586388031999</v>
      </c>
      <c r="F136" s="1900">
        <v>10172.594752745999</v>
      </c>
      <c r="G136" s="1900">
        <v>8717.4806916109992</v>
      </c>
      <c r="H136" s="1900">
        <v>11072.121334924999</v>
      </c>
      <c r="I136" s="1900">
        <v>14166.860720016</v>
      </c>
      <c r="J136" s="1900">
        <v>15237.966427298999</v>
      </c>
      <c r="K136" s="1900">
        <v>15728.847338145</v>
      </c>
    </row>
    <row r="138" spans="1:11" s="535" customFormat="1" ht="15.6">
      <c r="A138" s="1902" t="s">
        <v>1170</v>
      </c>
      <c r="B138" s="1902"/>
      <c r="C138" s="1902"/>
      <c r="D138" s="1902"/>
      <c r="E138" s="1902"/>
      <c r="F138" s="1902"/>
      <c r="G138" s="1902"/>
      <c r="H138" s="1902"/>
      <c r="I138" s="1902"/>
      <c r="J138" s="1902"/>
    </row>
    <row r="139" spans="1:11" s="535" customFormat="1" ht="15.6">
      <c r="A139" s="1902" t="s">
        <v>1171</v>
      </c>
      <c r="B139" s="1902"/>
      <c r="C139" s="1902"/>
      <c r="D139" s="1902"/>
      <c r="E139" s="1902"/>
      <c r="F139" s="1902"/>
      <c r="G139" s="1902"/>
      <c r="H139" s="1902"/>
      <c r="I139" s="1902"/>
      <c r="J139" s="1902"/>
    </row>
    <row r="140" spans="1:11" s="535" customFormat="1" ht="15.6">
      <c r="A140" s="1903" t="s">
        <v>1172</v>
      </c>
      <c r="B140" s="1903"/>
      <c r="C140" s="1903"/>
      <c r="D140" s="1903"/>
      <c r="E140" s="1903"/>
      <c r="F140" s="1903"/>
      <c r="G140" s="1903"/>
      <c r="H140" s="1903"/>
      <c r="I140" s="1903"/>
      <c r="J140" s="1903"/>
    </row>
    <row r="141" spans="1:11" s="535" customFormat="1" ht="15.6">
      <c r="A141" s="1903" t="s">
        <v>1173</v>
      </c>
      <c r="B141" s="1903"/>
      <c r="C141" s="1903"/>
      <c r="D141" s="1903"/>
      <c r="E141" s="1903"/>
      <c r="F141" s="1903"/>
      <c r="G141" s="1903"/>
      <c r="H141" s="1903"/>
      <c r="I141" s="1903"/>
      <c r="J141" s="1903"/>
    </row>
    <row r="142" spans="1:11" s="535" customFormat="1" ht="15.6">
      <c r="A142" s="1904" t="s">
        <v>1174</v>
      </c>
      <c r="B142" s="1905"/>
      <c r="C142" s="1905"/>
      <c r="D142" s="1905"/>
      <c r="E142" s="1905"/>
      <c r="F142" s="1905"/>
      <c r="G142" s="1905"/>
      <c r="H142" s="1905"/>
      <c r="I142" s="1905"/>
      <c r="J142" s="1905"/>
    </row>
    <row r="143" spans="1:11" s="535" customFormat="1" ht="15.6"/>
    <row r="144" spans="1:11" s="535" customFormat="1" ht="15.6">
      <c r="A144" s="1902" t="s">
        <v>35</v>
      </c>
      <c r="B144" s="1902"/>
      <c r="C144" s="1902"/>
      <c r="D144" s="1902"/>
      <c r="E144" s="1902"/>
      <c r="F144" s="1902"/>
      <c r="G144" s="1902"/>
      <c r="H144" s="1902"/>
      <c r="I144" s="1902"/>
      <c r="J144" s="1902"/>
    </row>
    <row r="145" spans="1:10" s="535" customFormat="1" ht="15.6">
      <c r="A145" s="1903" t="s">
        <v>1175</v>
      </c>
      <c r="B145" s="1903"/>
      <c r="C145" s="1903"/>
      <c r="D145" s="1903"/>
      <c r="E145" s="1903"/>
      <c r="F145" s="1903"/>
      <c r="G145" s="1903"/>
      <c r="H145" s="1903"/>
      <c r="I145" s="1903"/>
      <c r="J145" s="1903"/>
    </row>
    <row r="146" spans="1:10" s="535" customFormat="1" ht="15.6">
      <c r="A146" s="1904" t="s">
        <v>1176</v>
      </c>
      <c r="B146" s="1905"/>
      <c r="C146" s="1905"/>
      <c r="D146" s="1905"/>
      <c r="E146" s="1905"/>
      <c r="F146" s="1905"/>
      <c r="G146" s="1905"/>
      <c r="H146" s="1905"/>
      <c r="I146" s="1905"/>
      <c r="J146" s="1905"/>
    </row>
  </sheetData>
  <hyperlinks>
    <hyperlink ref="A142" r:id="rId1" xr:uid="{21FB97E5-42EE-4D0A-AE8C-5E462851C6FC}"/>
    <hyperlink ref="A146" r:id="rId2" xr:uid="{1CD16391-8734-41F2-80FC-8DC2B763CCED}"/>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98E1A-A6D5-4DF8-A0FA-4C637CC6534D}">
  <dimension ref="A1:L65"/>
  <sheetViews>
    <sheetView topLeftCell="A31" zoomScale="70" zoomScaleNormal="70" workbookViewId="0">
      <selection activeCell="E63" sqref="E63"/>
    </sheetView>
  </sheetViews>
  <sheetFormatPr defaultColWidth="33.33203125" defaultRowHeight="14.4"/>
  <cols>
    <col min="1" max="16384" width="33.33203125" style="1425"/>
  </cols>
  <sheetData>
    <row r="1" spans="1:12" s="1411" customFormat="1"/>
    <row r="2" spans="1:12" s="1411" customFormat="1"/>
    <row r="3" spans="1:12" s="1411" customFormat="1"/>
    <row r="4" spans="1:12" s="1411" customFormat="1"/>
    <row r="5" spans="1:12">
      <c r="A5" s="1891" t="s">
        <v>1152</v>
      </c>
      <c r="B5" s="1892" t="s">
        <v>1183</v>
      </c>
      <c r="C5" s="1893"/>
      <c r="D5" s="1893"/>
      <c r="E5" s="1893"/>
      <c r="F5" s="1893"/>
      <c r="G5" s="1893"/>
      <c r="H5" s="1893"/>
      <c r="I5" s="1893"/>
      <c r="J5" s="1893"/>
    </row>
    <row r="6" spans="1:12">
      <c r="A6" s="1891" t="s">
        <v>1154</v>
      </c>
      <c r="B6" s="1894">
        <v>45860.705157881945</v>
      </c>
      <c r="C6" s="1895"/>
      <c r="D6" s="1895"/>
      <c r="E6" s="1895"/>
      <c r="F6" s="1895"/>
      <c r="G6" s="1895"/>
      <c r="H6" s="1895"/>
      <c r="I6" s="1895"/>
      <c r="J6" s="1895"/>
      <c r="L6" s="1896"/>
    </row>
    <row r="8" spans="1:12">
      <c r="A8" s="1891" t="s">
        <v>0</v>
      </c>
      <c r="B8" s="1897" t="s">
        <v>1155</v>
      </c>
      <c r="D8" s="1891" t="s">
        <v>1</v>
      </c>
      <c r="E8" s="1897" t="s">
        <v>1156</v>
      </c>
      <c r="F8" s="1898" t="s">
        <v>1157</v>
      </c>
    </row>
    <row r="9" spans="1:12">
      <c r="A9" s="1891" t="s">
        <v>3</v>
      </c>
      <c r="B9" s="1897" t="s">
        <v>4</v>
      </c>
      <c r="D9" s="1891" t="s">
        <v>5</v>
      </c>
      <c r="E9" s="1897" t="s">
        <v>1158</v>
      </c>
      <c r="F9" s="1898" t="s">
        <v>1159</v>
      </c>
    </row>
    <row r="11" spans="1:12">
      <c r="A11" s="1899" t="s">
        <v>1160</v>
      </c>
      <c r="B11" s="1899" t="s">
        <v>6</v>
      </c>
      <c r="C11" s="1899" t="s">
        <v>7</v>
      </c>
      <c r="D11" s="1899" t="s">
        <v>8</v>
      </c>
      <c r="E11" s="1899" t="s">
        <v>2</v>
      </c>
      <c r="F11" s="1899" t="s">
        <v>9</v>
      </c>
      <c r="G11" s="1899" t="s">
        <v>10</v>
      </c>
      <c r="H11" s="1899" t="s">
        <v>11</v>
      </c>
      <c r="I11" s="1899" t="s">
        <v>1161</v>
      </c>
      <c r="J11" s="1899" t="s">
        <v>1162</v>
      </c>
      <c r="K11" s="1899" t="s">
        <v>1163</v>
      </c>
    </row>
    <row r="12" spans="1:12">
      <c r="A12" s="1898" t="s">
        <v>12</v>
      </c>
      <c r="B12" s="1898" t="s">
        <v>13</v>
      </c>
      <c r="C12" s="1898" t="s">
        <v>13</v>
      </c>
      <c r="D12" s="1898" t="s">
        <v>13</v>
      </c>
      <c r="E12" s="1898" t="s">
        <v>13</v>
      </c>
      <c r="F12" s="1898" t="s">
        <v>13</v>
      </c>
      <c r="G12" s="1898" t="s">
        <v>13</v>
      </c>
      <c r="H12" s="1898" t="s">
        <v>13</v>
      </c>
      <c r="I12" s="1898" t="s">
        <v>13</v>
      </c>
      <c r="J12" s="1898" t="s">
        <v>13</v>
      </c>
      <c r="K12" s="1898" t="s">
        <v>13</v>
      </c>
    </row>
    <row r="13" spans="1:12">
      <c r="A13" s="1898" t="s">
        <v>1164</v>
      </c>
      <c r="B13" s="1898" t="s">
        <v>1165</v>
      </c>
      <c r="C13" s="1898" t="s">
        <v>1165</v>
      </c>
      <c r="D13" s="1898" t="s">
        <v>1165</v>
      </c>
      <c r="E13" s="1898"/>
      <c r="F13" s="1898" t="s">
        <v>1165</v>
      </c>
      <c r="G13" s="1898" t="s">
        <v>1165</v>
      </c>
      <c r="H13" s="1898" t="s">
        <v>1166</v>
      </c>
      <c r="I13" s="1898" t="s">
        <v>1165</v>
      </c>
      <c r="J13" s="1898" t="s">
        <v>1165</v>
      </c>
      <c r="K13" s="1898" t="s">
        <v>1165</v>
      </c>
    </row>
    <row r="14" spans="1:12">
      <c r="A14" s="1898" t="s">
        <v>1167</v>
      </c>
      <c r="B14" s="1898" t="s">
        <v>14</v>
      </c>
      <c r="C14" s="1898" t="s">
        <v>14</v>
      </c>
      <c r="D14" s="1898" t="s">
        <v>14</v>
      </c>
      <c r="E14" s="1898"/>
      <c r="F14" s="1898" t="s">
        <v>14</v>
      </c>
      <c r="G14" s="1898" t="s">
        <v>14</v>
      </c>
      <c r="H14" s="1898" t="s">
        <v>14</v>
      </c>
      <c r="I14" s="1898" t="s">
        <v>14</v>
      </c>
      <c r="J14" s="1898" t="s">
        <v>14</v>
      </c>
      <c r="K14" s="1898" t="s">
        <v>14</v>
      </c>
    </row>
    <row r="15" spans="1:12">
      <c r="A15" s="1901" t="s">
        <v>1184</v>
      </c>
      <c r="B15" s="1901">
        <v>859.23791240800006</v>
      </c>
      <c r="C15" s="1901">
        <v>658.89139361100001</v>
      </c>
      <c r="D15" s="1901">
        <v>679.32513368599996</v>
      </c>
      <c r="E15" s="1901">
        <v>706.19864277600004</v>
      </c>
      <c r="F15" s="1901">
        <v>463.08817138199998</v>
      </c>
      <c r="G15" s="1901">
        <v>716.53380430499999</v>
      </c>
      <c r="H15" s="1901">
        <v>1956.269988841</v>
      </c>
      <c r="I15" s="1901">
        <v>4596.312764843</v>
      </c>
      <c r="J15" s="1901">
        <v>1254.80958364</v>
      </c>
      <c r="K15" s="1901">
        <v>1522.063488191</v>
      </c>
    </row>
    <row r="16" spans="1:12">
      <c r="A16" s="1901" t="s">
        <v>1185</v>
      </c>
      <c r="B16" s="1901">
        <v>1279.6764935250001</v>
      </c>
      <c r="C16" s="1901">
        <v>1292.03675116</v>
      </c>
      <c r="D16" s="1901">
        <v>1309.0005504840001</v>
      </c>
      <c r="E16" s="1901">
        <v>1303.3756306400001</v>
      </c>
      <c r="F16" s="1901">
        <v>1318.8406424909999</v>
      </c>
      <c r="G16" s="1901">
        <v>1318.1524527060001</v>
      </c>
      <c r="H16" s="1901">
        <v>1385.810943875</v>
      </c>
      <c r="I16" s="1901">
        <v>1398.029397737</v>
      </c>
      <c r="J16" s="1901">
        <v>1083.3806986520001</v>
      </c>
      <c r="K16" s="1901">
        <v>268.08145841499999</v>
      </c>
    </row>
    <row r="17" spans="1:11">
      <c r="A17" s="1901" t="s">
        <v>1186</v>
      </c>
      <c r="B17" s="1901">
        <v>0</v>
      </c>
      <c r="C17" s="1901">
        <v>0</v>
      </c>
      <c r="D17" s="1901">
        <v>0</v>
      </c>
      <c r="E17" s="1901">
        <v>0</v>
      </c>
      <c r="F17" s="1901">
        <v>0</v>
      </c>
      <c r="G17" s="1901">
        <v>0</v>
      </c>
      <c r="H17" s="1901">
        <v>0</v>
      </c>
      <c r="I17" s="1901">
        <v>0</v>
      </c>
      <c r="J17" s="1901">
        <v>0</v>
      </c>
      <c r="K17" s="1901">
        <v>0</v>
      </c>
    </row>
    <row r="18" spans="1:11">
      <c r="A18" s="1901" t="s">
        <v>1187</v>
      </c>
      <c r="B18" s="1901">
        <v>0.71284767299999996</v>
      </c>
      <c r="C18" s="1901">
        <v>0.79221647500000003</v>
      </c>
      <c r="D18" s="1901">
        <v>-1.505064148</v>
      </c>
      <c r="E18" s="1901">
        <v>0</v>
      </c>
      <c r="F18" s="1901">
        <v>8.9182586940000004</v>
      </c>
      <c r="G18" s="1901">
        <v>-8.4816782469999996</v>
      </c>
      <c r="H18" s="1901">
        <v>37.053214320999999</v>
      </c>
      <c r="I18" s="1901">
        <v>822.62005017000001</v>
      </c>
      <c r="J18" s="1901">
        <v>-212.57577683100001</v>
      </c>
      <c r="K18" s="1901">
        <v>9.4771194750000003</v>
      </c>
    </row>
    <row r="19" spans="1:11">
      <c r="A19" s="1901" t="s">
        <v>1188</v>
      </c>
      <c r="B19" s="1901">
        <v>275.36748350099998</v>
      </c>
      <c r="C19" s="1901">
        <v>72.779573573999997</v>
      </c>
      <c r="D19" s="1901">
        <v>-10.23461431</v>
      </c>
      <c r="E19" s="1901">
        <v>49.850495688000002</v>
      </c>
      <c r="F19" s="1901">
        <v>-2.4354729509999999</v>
      </c>
      <c r="G19" s="1901">
        <v>-1.5350376999999999</v>
      </c>
      <c r="H19" s="1901">
        <v>-7.0093267580000003</v>
      </c>
      <c r="I19" s="1901">
        <v>9.3273664669999992</v>
      </c>
      <c r="J19" s="1901">
        <v>-43.609637122000002</v>
      </c>
      <c r="K19" s="1901">
        <v>2.9503121509999999</v>
      </c>
    </row>
    <row r="20" spans="1:11">
      <c r="A20" s="1901" t="s">
        <v>1189</v>
      </c>
      <c r="B20" s="1901">
        <v>0</v>
      </c>
      <c r="C20" s="1901">
        <v>0</v>
      </c>
      <c r="D20" s="1901">
        <v>0</v>
      </c>
      <c r="E20" s="1901">
        <v>0</v>
      </c>
      <c r="F20" s="1901">
        <v>0</v>
      </c>
      <c r="G20" s="1901">
        <v>0</v>
      </c>
      <c r="H20" s="1901">
        <v>0</v>
      </c>
      <c r="I20" s="1901">
        <v>0</v>
      </c>
      <c r="J20" s="1901">
        <v>0</v>
      </c>
      <c r="K20" s="1901">
        <v>0</v>
      </c>
    </row>
    <row r="21" spans="1:11">
      <c r="A21" s="1901" t="s">
        <v>1190</v>
      </c>
      <c r="B21" s="1901">
        <v>-173.047813832</v>
      </c>
      <c r="C21" s="1901">
        <v>-155.766178207</v>
      </c>
      <c r="D21" s="1901">
        <v>-156.68024753899999</v>
      </c>
      <c r="E21" s="1901">
        <v>-158.476347608</v>
      </c>
      <c r="F21" s="1901">
        <v>-117.699812006</v>
      </c>
      <c r="G21" s="1901">
        <v>-111.927584745</v>
      </c>
      <c r="H21" s="1901">
        <v>-130.835723223</v>
      </c>
      <c r="I21" s="1901">
        <v>-265.29046088000001</v>
      </c>
      <c r="J21" s="1901">
        <v>-518.47532930399996</v>
      </c>
      <c r="K21" s="1901">
        <v>-451.85853166099997</v>
      </c>
    </row>
    <row r="22" spans="1:11">
      <c r="A22" s="1901" t="s">
        <v>1191</v>
      </c>
      <c r="B22" s="1901">
        <v>242.45234113199999</v>
      </c>
      <c r="C22" s="1901">
        <v>206.62238874299999</v>
      </c>
      <c r="D22" s="1901">
        <v>182.98653039000001</v>
      </c>
      <c r="E22" s="1901">
        <v>142.05277185200001</v>
      </c>
      <c r="F22" s="1901">
        <v>87.172530234000007</v>
      </c>
      <c r="G22" s="1901">
        <v>43.301059166000002</v>
      </c>
      <c r="H22" s="1901">
        <v>18.580201013</v>
      </c>
      <c r="I22" s="1901">
        <v>10.274784277</v>
      </c>
      <c r="J22" s="1901">
        <v>10.155714106</v>
      </c>
      <c r="K22" s="1901">
        <v>44.380805248999998</v>
      </c>
    </row>
    <row r="23" spans="1:11">
      <c r="A23" s="1901" t="s">
        <v>1192</v>
      </c>
      <c r="B23" s="1901">
        <v>0</v>
      </c>
      <c r="C23" s="1901">
        <v>0</v>
      </c>
      <c r="D23" s="1901">
        <v>0</v>
      </c>
      <c r="E23" s="1901">
        <v>0</v>
      </c>
      <c r="F23" s="1901">
        <v>0</v>
      </c>
      <c r="G23" s="1901">
        <v>0</v>
      </c>
      <c r="H23" s="1901">
        <v>0</v>
      </c>
      <c r="I23" s="1901">
        <v>0</v>
      </c>
      <c r="J23" s="1901">
        <v>0</v>
      </c>
      <c r="K23" s="1901">
        <v>0</v>
      </c>
    </row>
    <row r="24" spans="1:11">
      <c r="A24" s="1901" t="s">
        <v>664</v>
      </c>
      <c r="B24" s="1901">
        <v>16.12</v>
      </c>
      <c r="C24" s="1901">
        <v>15</v>
      </c>
      <c r="D24" s="1901">
        <v>72.825537605999997</v>
      </c>
      <c r="E24" s="1901">
        <v>71.305673759000001</v>
      </c>
      <c r="F24" s="1901">
        <v>0</v>
      </c>
      <c r="G24" s="1901">
        <v>79.425415134000005</v>
      </c>
      <c r="H24" s="1901">
        <v>216.72827549199999</v>
      </c>
      <c r="I24" s="1901">
        <v>318.81692938700002</v>
      </c>
      <c r="J24" s="1901">
        <v>108.885894155</v>
      </c>
      <c r="K24" s="1901">
        <v>40.507658585000001</v>
      </c>
    </row>
    <row r="25" spans="1:11">
      <c r="A25" s="1900" t="s">
        <v>1193</v>
      </c>
      <c r="B25" s="1900">
        <v>2500.5192644069998</v>
      </c>
      <c r="C25" s="1900">
        <v>2090.3561453560001</v>
      </c>
      <c r="D25" s="1900">
        <v>2075.7178261690001</v>
      </c>
      <c r="E25" s="1900">
        <v>2114.306867107</v>
      </c>
      <c r="F25" s="1900">
        <v>1757.884317844</v>
      </c>
      <c r="G25" s="1900">
        <v>2035.4684306189999</v>
      </c>
      <c r="H25" s="1900">
        <v>3476.597573561</v>
      </c>
      <c r="I25" s="1900">
        <v>6890.0908320010003</v>
      </c>
      <c r="J25" s="1900">
        <v>1682.5711472959999</v>
      </c>
      <c r="K25" s="1900">
        <v>1435.602310405</v>
      </c>
    </row>
    <row r="26" spans="1:11">
      <c r="A26" s="1901" t="s">
        <v>154</v>
      </c>
      <c r="B26" s="1901">
        <v>-1.218528316</v>
      </c>
      <c r="C26" s="1901">
        <v>-422.503226805</v>
      </c>
      <c r="D26" s="1901">
        <v>27.973717696000001</v>
      </c>
      <c r="E26" s="1901">
        <v>-48.477092925999997</v>
      </c>
      <c r="F26" s="1901">
        <v>55.144219745000001</v>
      </c>
      <c r="G26" s="1901">
        <v>135.339605619</v>
      </c>
      <c r="H26" s="1901">
        <v>30.360921225999999</v>
      </c>
      <c r="I26" s="1901">
        <v>-50.564994075999998</v>
      </c>
      <c r="J26" s="1901">
        <v>-140.25581156300001</v>
      </c>
      <c r="K26" s="1901">
        <v>-40.518051653000001</v>
      </c>
    </row>
    <row r="27" spans="1:11">
      <c r="A27" s="1901" t="s">
        <v>155</v>
      </c>
      <c r="B27" s="1901">
        <v>-161.95677274100001</v>
      </c>
      <c r="C27" s="1901">
        <v>16.417103017999999</v>
      </c>
      <c r="D27" s="1901">
        <v>4.9628698389999997</v>
      </c>
      <c r="E27" s="1901">
        <v>-611.97857920499996</v>
      </c>
      <c r="F27" s="1901">
        <v>-327.196044841</v>
      </c>
      <c r="G27" s="1901">
        <v>475.40686354600001</v>
      </c>
      <c r="H27" s="1901">
        <v>-1369.6472347389999</v>
      </c>
      <c r="I27" s="1901">
        <v>-217.76526951599999</v>
      </c>
      <c r="J27" s="1901">
        <v>229.64831252499999</v>
      </c>
      <c r="K27" s="1901">
        <v>-616.69132462899995</v>
      </c>
    </row>
    <row r="28" spans="1:11">
      <c r="A28" s="1901" t="s">
        <v>156</v>
      </c>
      <c r="B28" s="1901">
        <v>154.408298804</v>
      </c>
      <c r="C28" s="1901">
        <v>-32.280566034000003</v>
      </c>
      <c r="D28" s="1901">
        <v>362.668158683</v>
      </c>
      <c r="E28" s="1901">
        <v>411.35713396800003</v>
      </c>
      <c r="F28" s="1901">
        <v>93.620644615000003</v>
      </c>
      <c r="G28" s="1901">
        <v>-702.52530344299998</v>
      </c>
      <c r="H28" s="1901">
        <v>988.21737829899996</v>
      </c>
      <c r="I28" s="1901">
        <v>-413.86470790999999</v>
      </c>
      <c r="J28" s="1901">
        <v>875.34577306100005</v>
      </c>
      <c r="K28" s="1901">
        <v>-233.409692525</v>
      </c>
    </row>
    <row r="29" spans="1:11">
      <c r="A29" s="1901" t="s">
        <v>157</v>
      </c>
      <c r="B29" s="1901">
        <v>57.538950043</v>
      </c>
      <c r="C29" s="1901">
        <v>-3.4198861190000001</v>
      </c>
      <c r="D29" s="1901">
        <v>92.939445495000001</v>
      </c>
      <c r="E29" s="1901">
        <v>-50.957925371999998</v>
      </c>
      <c r="F29" s="1901">
        <v>8.9429047260000001</v>
      </c>
      <c r="G29" s="1901">
        <v>20.815133774</v>
      </c>
      <c r="H29" s="1901">
        <v>-283.79099489800001</v>
      </c>
      <c r="I29" s="1901">
        <v>-5.6261660320000004</v>
      </c>
      <c r="J29" s="1901">
        <v>-1.7162262699999999</v>
      </c>
      <c r="K29" s="1901">
        <v>-20.966287787999999</v>
      </c>
    </row>
    <row r="30" spans="1:11">
      <c r="A30" s="1901" t="s">
        <v>158</v>
      </c>
      <c r="B30" s="1901">
        <v>0</v>
      </c>
      <c r="C30" s="1901">
        <v>0</v>
      </c>
      <c r="D30" s="1901">
        <v>0</v>
      </c>
      <c r="E30" s="1901">
        <v>0</v>
      </c>
      <c r="F30" s="1901">
        <v>0</v>
      </c>
      <c r="G30" s="1901">
        <v>0</v>
      </c>
      <c r="H30" s="1901">
        <v>0</v>
      </c>
      <c r="I30" s="1901">
        <v>0</v>
      </c>
      <c r="J30" s="1901">
        <v>0</v>
      </c>
      <c r="K30" s="1901">
        <v>0</v>
      </c>
    </row>
    <row r="31" spans="1:11">
      <c r="A31" s="1901" t="s">
        <v>1194</v>
      </c>
      <c r="B31" s="1901">
        <v>-245.35468494</v>
      </c>
      <c r="C31" s="1901">
        <v>-204.848817</v>
      </c>
      <c r="D31" s="1901">
        <v>-177.28584075500001</v>
      </c>
      <c r="E31" s="1901">
        <v>-174.06363256899999</v>
      </c>
      <c r="F31" s="1901">
        <v>-100.441507397</v>
      </c>
      <c r="G31" s="1901">
        <v>-57.259768946999998</v>
      </c>
      <c r="H31" s="1901">
        <v>-22.321007371</v>
      </c>
      <c r="I31" s="1901">
        <v>-11.563726807</v>
      </c>
      <c r="J31" s="1901">
        <v>-9.7552347840000007</v>
      </c>
      <c r="K31" s="1901">
        <v>-40.666671831999999</v>
      </c>
    </row>
    <row r="32" spans="1:11">
      <c r="A32" s="1901" t="s">
        <v>1195</v>
      </c>
      <c r="B32" s="1901">
        <v>-33.716530306000003</v>
      </c>
      <c r="C32" s="1901">
        <v>-6.0061247199999999</v>
      </c>
      <c r="D32" s="1901">
        <v>-26.829335955000001</v>
      </c>
      <c r="E32" s="1901">
        <v>-29.470383259999998</v>
      </c>
      <c r="F32" s="1901">
        <v>-52.400707339999997</v>
      </c>
      <c r="G32" s="1901">
        <v>-42.053571587999997</v>
      </c>
      <c r="H32" s="1901">
        <v>-78.860458511999994</v>
      </c>
      <c r="I32" s="1901">
        <v>-294.531395503</v>
      </c>
      <c r="J32" s="1901">
        <v>-153.897688305</v>
      </c>
      <c r="K32" s="1901">
        <v>-118.199727784</v>
      </c>
    </row>
    <row r="33" spans="1:11">
      <c r="A33" s="1901" t="s">
        <v>1196</v>
      </c>
      <c r="B33" s="1901">
        <v>0.10252749999999999</v>
      </c>
      <c r="C33" s="1901">
        <v>0</v>
      </c>
      <c r="D33" s="1901">
        <v>0</v>
      </c>
      <c r="E33" s="1901">
        <v>0</v>
      </c>
      <c r="F33" s="1901">
        <v>3.2437299999999998E-3</v>
      </c>
      <c r="G33" s="1901">
        <v>0</v>
      </c>
      <c r="H33" s="1901">
        <v>0</v>
      </c>
      <c r="I33" s="1901">
        <v>0</v>
      </c>
      <c r="J33" s="1901">
        <v>0</v>
      </c>
      <c r="K33" s="1901">
        <v>0</v>
      </c>
    </row>
    <row r="34" spans="1:11">
      <c r="A34" s="1901" t="s">
        <v>1197</v>
      </c>
      <c r="B34" s="1901">
        <v>-1730.6216511990001</v>
      </c>
      <c r="C34" s="1901">
        <v>-350.76515194199999</v>
      </c>
      <c r="D34" s="1901">
        <v>-93.912397584999994</v>
      </c>
      <c r="E34" s="1901">
        <v>-81.716807090000003</v>
      </c>
      <c r="F34" s="1901">
        <v>-64.794211118000007</v>
      </c>
      <c r="G34" s="1901">
        <v>-84.561387710000005</v>
      </c>
      <c r="H34" s="1901">
        <v>-171.728350922</v>
      </c>
      <c r="I34" s="1901">
        <v>-164.564878859</v>
      </c>
      <c r="J34" s="1901">
        <v>-168.98997993500001</v>
      </c>
      <c r="K34" s="1901">
        <v>-287.60123430300001</v>
      </c>
    </row>
    <row r="35" spans="1:11">
      <c r="A35" s="1900" t="s">
        <v>159</v>
      </c>
      <c r="B35" s="1900">
        <v>539.70087325199995</v>
      </c>
      <c r="C35" s="1900">
        <v>1086.9494757540001</v>
      </c>
      <c r="D35" s="1900">
        <v>2266.234443587</v>
      </c>
      <c r="E35" s="1900">
        <v>1528.9995806530001</v>
      </c>
      <c r="F35" s="1900">
        <v>1370.762859964</v>
      </c>
      <c r="G35" s="1900">
        <v>1780.6300018699999</v>
      </c>
      <c r="H35" s="1900">
        <v>2568.8278266440002</v>
      </c>
      <c r="I35" s="1900">
        <v>5731.6096932979999</v>
      </c>
      <c r="J35" s="1900">
        <v>2312.9502920250002</v>
      </c>
      <c r="K35" s="1900">
        <v>77.549319890999996</v>
      </c>
    </row>
    <row r="36" spans="1:11">
      <c r="A36" s="1900" t="s">
        <v>1198</v>
      </c>
      <c r="B36" s="1900">
        <v>390.89659336800003</v>
      </c>
      <c r="C36" s="1900">
        <v>393.932299301</v>
      </c>
      <c r="D36" s="1900">
        <v>234.16347744500001</v>
      </c>
      <c r="E36" s="1900">
        <v>-581.01659175099996</v>
      </c>
      <c r="F36" s="1900">
        <v>209.64214338299999</v>
      </c>
      <c r="G36" s="1900">
        <v>-461.47647659299997</v>
      </c>
      <c r="H36" s="1900">
        <v>-2102.2256896990002</v>
      </c>
      <c r="I36" s="1900">
        <v>-2384.755648497</v>
      </c>
      <c r="J36" s="1900">
        <v>-1469.108624043</v>
      </c>
      <c r="K36" s="1900">
        <v>141.11034426099999</v>
      </c>
    </row>
    <row r="37" spans="1:11">
      <c r="A37" s="1901" t="s">
        <v>1199</v>
      </c>
      <c r="B37" s="1901">
        <v>-160.10531951199999</v>
      </c>
      <c r="C37" s="1901">
        <v>-172.907748871</v>
      </c>
      <c r="D37" s="1901">
        <v>-119.67490898299999</v>
      </c>
      <c r="E37" s="1901">
        <v>-341.453501593</v>
      </c>
      <c r="F37" s="1901">
        <v>-414.76276050299998</v>
      </c>
      <c r="G37" s="1901">
        <v>-272.86203394299997</v>
      </c>
      <c r="H37" s="1901">
        <v>-156.94816908799999</v>
      </c>
      <c r="I37" s="1901">
        <v>-146.93142444599999</v>
      </c>
      <c r="J37" s="1901">
        <v>-544.06761910399996</v>
      </c>
      <c r="K37" s="1901">
        <v>-791.14961469900004</v>
      </c>
    </row>
    <row r="38" spans="1:11">
      <c r="A38" s="1901" t="s">
        <v>1200</v>
      </c>
      <c r="B38" s="1901">
        <v>0.354577637</v>
      </c>
      <c r="C38" s="1901">
        <v>0</v>
      </c>
      <c r="D38" s="1901">
        <v>0</v>
      </c>
      <c r="E38" s="1901">
        <v>0</v>
      </c>
      <c r="F38" s="1901">
        <v>0</v>
      </c>
      <c r="G38" s="1901">
        <v>0</v>
      </c>
      <c r="H38" s="1901">
        <v>0</v>
      </c>
      <c r="I38" s="1901">
        <v>3.1414417499999998</v>
      </c>
      <c r="J38" s="1901">
        <v>0</v>
      </c>
      <c r="K38" s="1901">
        <v>4.0920319679999997</v>
      </c>
    </row>
    <row r="39" spans="1:11">
      <c r="A39" s="1901" t="s">
        <v>1201</v>
      </c>
      <c r="B39" s="1901">
        <v>-4061.5894995949998</v>
      </c>
      <c r="C39" s="1901">
        <v>-5100</v>
      </c>
      <c r="D39" s="1901">
        <v>-4800</v>
      </c>
      <c r="E39" s="1901">
        <v>-5572</v>
      </c>
      <c r="F39" s="1901">
        <v>-3220</v>
      </c>
      <c r="G39" s="1901">
        <v>-3290</v>
      </c>
      <c r="H39" s="1901">
        <v>-6530</v>
      </c>
      <c r="I39" s="1901">
        <v>-12260</v>
      </c>
      <c r="J39" s="1901">
        <v>-13920</v>
      </c>
      <c r="K39" s="1901">
        <v>-13442.051232877</v>
      </c>
    </row>
    <row r="40" spans="1:11">
      <c r="A40" s="1901" t="s">
        <v>1202</v>
      </c>
      <c r="B40" s="1901">
        <v>4427.2820940800002</v>
      </c>
      <c r="C40" s="1901">
        <v>5502.5555555560004</v>
      </c>
      <c r="D40" s="1901">
        <v>5000</v>
      </c>
      <c r="E40" s="1901">
        <v>5170</v>
      </c>
      <c r="F40" s="1901">
        <v>3720</v>
      </c>
      <c r="G40" s="1901">
        <v>2990</v>
      </c>
      <c r="H40" s="1901">
        <v>4470</v>
      </c>
      <c r="I40" s="1901">
        <v>9810</v>
      </c>
      <c r="J40" s="1901">
        <v>12490</v>
      </c>
      <c r="K40" s="1901">
        <v>14645</v>
      </c>
    </row>
    <row r="41" spans="1:11">
      <c r="A41" s="1901" t="s">
        <v>1203</v>
      </c>
      <c r="B41" s="1901">
        <v>0</v>
      </c>
      <c r="C41" s="1901">
        <v>0</v>
      </c>
      <c r="D41" s="1901">
        <v>0</v>
      </c>
      <c r="E41" s="1901">
        <v>0</v>
      </c>
      <c r="F41" s="1901">
        <v>0</v>
      </c>
      <c r="G41" s="1901">
        <v>0</v>
      </c>
      <c r="H41" s="1901">
        <v>0</v>
      </c>
      <c r="I41" s="1901">
        <v>0</v>
      </c>
      <c r="J41" s="1901">
        <v>0</v>
      </c>
      <c r="K41" s="1901">
        <v>-598.58379782099996</v>
      </c>
    </row>
    <row r="42" spans="1:11">
      <c r="A42" s="1901" t="s">
        <v>1204</v>
      </c>
      <c r="B42" s="1901">
        <v>0</v>
      </c>
      <c r="C42" s="1901">
        <v>0</v>
      </c>
      <c r="D42" s="1901">
        <v>0</v>
      </c>
      <c r="E42" s="1901">
        <v>0</v>
      </c>
      <c r="F42" s="1901">
        <v>0</v>
      </c>
      <c r="G42" s="1901">
        <v>0</v>
      </c>
      <c r="H42" s="1901">
        <v>0</v>
      </c>
      <c r="I42" s="1901">
        <v>0</v>
      </c>
      <c r="J42" s="1901">
        <v>0</v>
      </c>
      <c r="K42" s="1901">
        <v>0</v>
      </c>
    </row>
    <row r="43" spans="1:11">
      <c r="A43" s="1901" t="s">
        <v>1205</v>
      </c>
      <c r="B43" s="1901">
        <v>184.95474075800001</v>
      </c>
      <c r="C43" s="1901">
        <v>164.28449261599999</v>
      </c>
      <c r="D43" s="1901">
        <v>153.83838642800001</v>
      </c>
      <c r="E43" s="1901">
        <v>162.43690984200001</v>
      </c>
      <c r="F43" s="1901">
        <v>124.404903886</v>
      </c>
      <c r="G43" s="1901">
        <v>111.38555735</v>
      </c>
      <c r="H43" s="1901">
        <v>114.722479389</v>
      </c>
      <c r="I43" s="1901">
        <v>209.034334199</v>
      </c>
      <c r="J43" s="1901">
        <v>504.958995061</v>
      </c>
      <c r="K43" s="1901">
        <v>323.80295769000003</v>
      </c>
    </row>
    <row r="44" spans="1:11">
      <c r="A44" s="1900" t="s">
        <v>1206</v>
      </c>
      <c r="B44" s="1900">
        <v>-1667.3649352330001</v>
      </c>
      <c r="C44" s="1900">
        <v>-1882.4782964660001</v>
      </c>
      <c r="D44" s="1900">
        <v>-1417.7624396230001</v>
      </c>
      <c r="E44" s="1900">
        <v>-2558.2611078250002</v>
      </c>
      <c r="F44" s="1900">
        <v>-1394.7856702399999</v>
      </c>
      <c r="G44" s="1900">
        <v>-1280.03688003</v>
      </c>
      <c r="H44" s="1900">
        <v>-548.99333367199995</v>
      </c>
      <c r="I44" s="1900">
        <v>-1631.086285678</v>
      </c>
      <c r="J44" s="1900">
        <v>-754.02247267600001</v>
      </c>
      <c r="K44" s="1900">
        <v>-624.76127802099995</v>
      </c>
    </row>
    <row r="45" spans="1:11">
      <c r="A45" s="1901" t="s">
        <v>1207</v>
      </c>
      <c r="B45" s="1901">
        <v>0</v>
      </c>
      <c r="C45" s="1901">
        <v>0</v>
      </c>
      <c r="D45" s="1901">
        <v>0</v>
      </c>
      <c r="E45" s="1901">
        <v>0</v>
      </c>
      <c r="F45" s="1901">
        <v>0</v>
      </c>
      <c r="G45" s="1901">
        <v>0</v>
      </c>
      <c r="H45" s="1901">
        <v>0</v>
      </c>
      <c r="I45" s="1901">
        <v>0</v>
      </c>
      <c r="J45" s="1901">
        <v>0</v>
      </c>
      <c r="K45" s="1901">
        <v>0</v>
      </c>
    </row>
    <row r="46" spans="1:11">
      <c r="A46" s="1901" t="s">
        <v>1208</v>
      </c>
      <c r="B46" s="1901">
        <v>0</v>
      </c>
      <c r="C46" s="1901">
        <v>0</v>
      </c>
      <c r="D46" s="1901">
        <v>0</v>
      </c>
      <c r="E46" s="1901">
        <v>0</v>
      </c>
      <c r="F46" s="1901">
        <v>0</v>
      </c>
      <c r="G46" s="1901">
        <v>0</v>
      </c>
      <c r="H46" s="1901">
        <v>0</v>
      </c>
      <c r="I46" s="1901">
        <v>0</v>
      </c>
      <c r="J46" s="1901">
        <v>0</v>
      </c>
      <c r="K46" s="1901">
        <v>0</v>
      </c>
    </row>
    <row r="47" spans="1:11">
      <c r="A47" s="1901" t="s">
        <v>160</v>
      </c>
      <c r="B47" s="1901">
        <v>13.662715542000001</v>
      </c>
      <c r="C47" s="1901">
        <v>142.49607402000001</v>
      </c>
      <c r="D47" s="1901">
        <v>198.310040751</v>
      </c>
      <c r="E47" s="1901">
        <v>543.17036336599995</v>
      </c>
      <c r="F47" s="1901">
        <v>1674.8187102449999</v>
      </c>
      <c r="G47" s="1901">
        <v>1722.884692677</v>
      </c>
      <c r="H47" s="1901">
        <v>1381.2618655660001</v>
      </c>
      <c r="I47" s="1901">
        <v>1392.381255212</v>
      </c>
      <c r="J47" s="1901">
        <v>1702.631848041</v>
      </c>
      <c r="K47" s="1901">
        <v>454.72580731599999</v>
      </c>
    </row>
    <row r="48" spans="1:11">
      <c r="A48" s="1901" t="s">
        <v>1209</v>
      </c>
      <c r="B48" s="1901">
        <v>-1290.7943574000001</v>
      </c>
      <c r="C48" s="1901">
        <v>-1390.0297204860001</v>
      </c>
      <c r="D48" s="1901">
        <v>-1348.4654403740001</v>
      </c>
      <c r="E48" s="1901">
        <v>-2624.9165801909999</v>
      </c>
      <c r="F48" s="1901">
        <v>-2591.522571685</v>
      </c>
      <c r="G48" s="1901">
        <v>-2683.4359495069998</v>
      </c>
      <c r="H48" s="1901">
        <v>-1504.9306065379999</v>
      </c>
      <c r="I48" s="1901">
        <v>-2075.18634273</v>
      </c>
      <c r="J48" s="1901">
        <v>-866.77132556699996</v>
      </c>
      <c r="K48" s="1901">
        <v>-17.670310093000001</v>
      </c>
    </row>
    <row r="49" spans="1:11">
      <c r="A49" s="1901" t="s">
        <v>1210</v>
      </c>
      <c r="B49" s="1901">
        <v>0</v>
      </c>
      <c r="C49" s="1901">
        <v>0</v>
      </c>
      <c r="D49" s="1901">
        <v>0</v>
      </c>
      <c r="E49" s="1901">
        <v>0</v>
      </c>
      <c r="F49" s="1901">
        <v>0</v>
      </c>
      <c r="G49" s="1901">
        <v>0</v>
      </c>
      <c r="H49" s="1901">
        <v>0</v>
      </c>
      <c r="I49" s="1901">
        <v>0</v>
      </c>
      <c r="J49" s="1901">
        <v>0</v>
      </c>
      <c r="K49" s="1901">
        <v>-2.911059244</v>
      </c>
    </row>
    <row r="50" spans="1:11">
      <c r="A50" s="1901" t="s">
        <v>1211</v>
      </c>
      <c r="B50" s="1901">
        <v>-390.23329337500002</v>
      </c>
      <c r="C50" s="1901">
        <v>-634.94465000000002</v>
      </c>
      <c r="D50" s="1901">
        <v>-267.60703999999998</v>
      </c>
      <c r="E50" s="1901">
        <v>-476.51489099999998</v>
      </c>
      <c r="F50" s="1901">
        <v>-478.08180879999998</v>
      </c>
      <c r="G50" s="1901">
        <v>-319.48562320000002</v>
      </c>
      <c r="H50" s="1901">
        <v>-425.32459269999998</v>
      </c>
      <c r="I50" s="1901">
        <v>-948.28119816000003</v>
      </c>
      <c r="J50" s="1901">
        <v>-1589.8829951499999</v>
      </c>
      <c r="K50" s="1901">
        <v>-1058.905716</v>
      </c>
    </row>
    <row r="51" spans="1:11">
      <c r="A51" s="1901" t="s">
        <v>161</v>
      </c>
      <c r="B51" s="1901">
        <v>0</v>
      </c>
      <c r="C51" s="1901">
        <v>0</v>
      </c>
      <c r="D51" s="1901">
        <v>0</v>
      </c>
      <c r="E51" s="1901">
        <v>0</v>
      </c>
      <c r="F51" s="1901">
        <v>0</v>
      </c>
      <c r="G51" s="1901">
        <v>0</v>
      </c>
      <c r="H51" s="1901">
        <v>0</v>
      </c>
      <c r="I51" s="1901">
        <v>0</v>
      </c>
      <c r="J51" s="1901">
        <v>0</v>
      </c>
      <c r="K51" s="1901">
        <v>0</v>
      </c>
    </row>
    <row r="52" spans="1:11">
      <c r="A52" s="1900" t="s">
        <v>162</v>
      </c>
      <c r="B52" s="1900">
        <v>-736.76746861300001</v>
      </c>
      <c r="C52" s="1900">
        <v>-401.59652141100003</v>
      </c>
      <c r="D52" s="1900">
        <v>1082.635481409</v>
      </c>
      <c r="E52" s="1900">
        <v>-1610.278118923</v>
      </c>
      <c r="F52" s="1900">
        <v>185.61933310699999</v>
      </c>
      <c r="G52" s="1900">
        <v>39.116645247000001</v>
      </c>
      <c r="H52" s="1900">
        <v>-82.391196726999993</v>
      </c>
      <c r="I52" s="1900">
        <v>1715.7677591229999</v>
      </c>
      <c r="J52" s="1900">
        <v>89.819195305999997</v>
      </c>
      <c r="K52" s="1900">
        <v>-406.101613869</v>
      </c>
    </row>
    <row r="53" spans="1:11">
      <c r="A53" s="1900" t="s">
        <v>163</v>
      </c>
      <c r="B53" s="1900">
        <v>1951.8636798150001</v>
      </c>
      <c r="C53" s="1900">
        <v>1215.079331489</v>
      </c>
      <c r="D53" s="1900">
        <v>813.51874741200004</v>
      </c>
      <c r="E53" s="1900">
        <v>1896.184894173</v>
      </c>
      <c r="F53" s="1900">
        <v>285.77246315500003</v>
      </c>
      <c r="G53" s="1900">
        <v>471.173323541</v>
      </c>
      <c r="H53" s="1900">
        <v>509.99535087300001</v>
      </c>
      <c r="I53" s="1900">
        <v>427.65273090400001</v>
      </c>
      <c r="J53" s="1900">
        <v>2125.6252915599998</v>
      </c>
      <c r="K53" s="1900">
        <v>2284.3997887720002</v>
      </c>
    </row>
    <row r="54" spans="1:11">
      <c r="A54" s="1900" t="s">
        <v>1212</v>
      </c>
      <c r="B54" s="1900">
        <v>-1.6879713000000001E-2</v>
      </c>
      <c r="C54" s="1900">
        <v>3.5937334000000001E-2</v>
      </c>
      <c r="D54" s="1900">
        <v>3.0665352E-2</v>
      </c>
      <c r="E54" s="1900">
        <v>-0.13431209499999999</v>
      </c>
      <c r="F54" s="1900">
        <v>-0.21847272100000001</v>
      </c>
      <c r="G54" s="1900">
        <v>-0.29461791500000001</v>
      </c>
      <c r="H54" s="1900">
        <v>4.8576757999999998E-2</v>
      </c>
      <c r="I54" s="1900">
        <v>-17.795198466999999</v>
      </c>
      <c r="J54" s="1900">
        <v>68.955301906000003</v>
      </c>
      <c r="K54" s="1900">
        <v>24.950151086000002</v>
      </c>
    </row>
    <row r="55" spans="1:11">
      <c r="A55" s="1900" t="s">
        <v>164</v>
      </c>
      <c r="B55" s="1900">
        <v>1215.079331489</v>
      </c>
      <c r="C55" s="1900">
        <v>813.51874741200004</v>
      </c>
      <c r="D55" s="1900">
        <v>1896.184894173</v>
      </c>
      <c r="E55" s="1900">
        <v>285.77246315500003</v>
      </c>
      <c r="F55" s="1900">
        <v>471.173323541</v>
      </c>
      <c r="G55" s="1900">
        <v>509.99535087300001</v>
      </c>
      <c r="H55" s="1900">
        <v>427.65273090400001</v>
      </c>
      <c r="I55" s="1900">
        <v>2125.6252915599998</v>
      </c>
      <c r="J55" s="1900">
        <v>2284.3997887720002</v>
      </c>
      <c r="K55" s="1900">
        <v>1903.248325989</v>
      </c>
    </row>
    <row r="57" spans="1:11" s="535" customFormat="1" ht="15.6" customHeight="1">
      <c r="A57" s="1902" t="s">
        <v>1170</v>
      </c>
      <c r="B57" s="1902"/>
      <c r="C57" s="1902"/>
      <c r="D57" s="1902"/>
      <c r="E57" s="1902"/>
      <c r="F57" s="1902"/>
      <c r="G57" s="1902"/>
      <c r="H57" s="1902"/>
      <c r="I57" s="1902"/>
      <c r="J57" s="1902"/>
    </row>
    <row r="58" spans="1:11" s="535" customFormat="1" ht="15.6" customHeight="1">
      <c r="A58" s="1902" t="s">
        <v>1171</v>
      </c>
      <c r="B58" s="1902"/>
      <c r="C58" s="1902"/>
      <c r="D58" s="1902"/>
      <c r="E58" s="1902"/>
      <c r="F58" s="1902"/>
      <c r="G58" s="1902"/>
      <c r="H58" s="1902"/>
      <c r="I58" s="1902"/>
      <c r="J58" s="1902"/>
    </row>
    <row r="59" spans="1:11" s="535" customFormat="1" ht="15.6" customHeight="1">
      <c r="A59" s="1903" t="s">
        <v>1172</v>
      </c>
      <c r="B59" s="1903"/>
      <c r="C59" s="1903"/>
      <c r="D59" s="1903"/>
      <c r="E59" s="1903"/>
      <c r="F59" s="1903"/>
      <c r="G59" s="1903"/>
      <c r="H59" s="1903"/>
      <c r="I59" s="1903"/>
      <c r="J59" s="1903"/>
    </row>
    <row r="60" spans="1:11" s="535" customFormat="1" ht="15.6" customHeight="1">
      <c r="A60" s="1903" t="s">
        <v>1173</v>
      </c>
      <c r="B60" s="1903"/>
      <c r="C60" s="1903"/>
      <c r="D60" s="1903"/>
      <c r="E60" s="1903"/>
      <c r="F60" s="1903"/>
      <c r="G60" s="1903"/>
      <c r="H60" s="1903"/>
      <c r="I60" s="1903"/>
      <c r="J60" s="1903"/>
    </row>
    <row r="61" spans="1:11" s="535" customFormat="1" ht="15.6" customHeight="1">
      <c r="A61" s="1904" t="s">
        <v>1174</v>
      </c>
      <c r="B61" s="1905"/>
      <c r="C61" s="1905"/>
      <c r="D61" s="1905"/>
      <c r="E61" s="1905"/>
      <c r="F61" s="1905"/>
      <c r="G61" s="1905"/>
      <c r="H61" s="1905"/>
      <c r="I61" s="1905"/>
      <c r="J61" s="1905"/>
    </row>
    <row r="62" spans="1:11" s="535" customFormat="1" ht="15.6" customHeight="1"/>
    <row r="63" spans="1:11" s="535" customFormat="1" ht="15.6" customHeight="1">
      <c r="A63" s="1902" t="s">
        <v>35</v>
      </c>
      <c r="B63" s="1902"/>
      <c r="C63" s="1902"/>
      <c r="D63" s="1902"/>
      <c r="E63" s="1902"/>
      <c r="F63" s="1902"/>
      <c r="G63" s="1902"/>
      <c r="H63" s="1902"/>
      <c r="I63" s="1902"/>
      <c r="J63" s="1902"/>
    </row>
    <row r="64" spans="1:11" s="535" customFormat="1" ht="15.6" customHeight="1">
      <c r="A64" s="1903" t="s">
        <v>1175</v>
      </c>
      <c r="B64" s="1903"/>
      <c r="C64" s="1903"/>
      <c r="D64" s="1903"/>
      <c r="E64" s="1903"/>
      <c r="F64" s="1903"/>
      <c r="G64" s="1903"/>
      <c r="H64" s="1903"/>
      <c r="I64" s="1903"/>
      <c r="J64" s="1903"/>
    </row>
    <row r="65" spans="1:10" s="535" customFormat="1" ht="15.6" customHeight="1">
      <c r="A65" s="1904" t="s">
        <v>1176</v>
      </c>
      <c r="B65" s="1905"/>
      <c r="C65" s="1905"/>
      <c r="D65" s="1905"/>
      <c r="E65" s="1905"/>
      <c r="F65" s="1905"/>
      <c r="G65" s="1905"/>
      <c r="H65" s="1905"/>
      <c r="I65" s="1905"/>
      <c r="J65" s="190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33954-9AAC-44F7-9E9F-DE692E6ED428}">
  <dimension ref="A1:L197"/>
  <sheetViews>
    <sheetView topLeftCell="A145" zoomScale="83" zoomScaleNormal="83" workbookViewId="0">
      <selection activeCell="B148" sqref="B148"/>
    </sheetView>
  </sheetViews>
  <sheetFormatPr defaultColWidth="29.6640625" defaultRowHeight="14.4"/>
  <cols>
    <col min="1" max="16384" width="29.6640625" style="1425"/>
  </cols>
  <sheetData>
    <row r="1" spans="1:12" s="1411" customFormat="1" ht="12.9" customHeight="1"/>
    <row r="2" spans="1:12" s="1411" customFormat="1" ht="12.9" customHeight="1"/>
    <row r="3" spans="1:12" s="1411" customFormat="1" ht="12.9" customHeight="1"/>
    <row r="4" spans="1:12" s="1411" customFormat="1" ht="12.9" customHeight="1"/>
    <row r="5" spans="1:12">
      <c r="A5" s="1891" t="s">
        <v>1152</v>
      </c>
      <c r="B5" s="1892" t="s">
        <v>1213</v>
      </c>
      <c r="C5" s="1893"/>
      <c r="D5" s="1893"/>
      <c r="E5" s="1893"/>
      <c r="F5" s="1893"/>
      <c r="G5" s="1893"/>
      <c r="H5" s="1893"/>
      <c r="I5" s="1893"/>
      <c r="J5" s="1893"/>
    </row>
    <row r="6" spans="1:12">
      <c r="A6" s="1891" t="s">
        <v>1154</v>
      </c>
      <c r="B6" s="1894">
        <v>45860.705157881945</v>
      </c>
      <c r="C6" s="1895"/>
      <c r="D6" s="1895"/>
      <c r="E6" s="1895"/>
      <c r="F6" s="1895"/>
      <c r="G6" s="1895"/>
      <c r="H6" s="1895"/>
      <c r="I6" s="1895"/>
      <c r="J6" s="1895"/>
      <c r="L6" s="1896"/>
    </row>
    <row r="8" spans="1:12">
      <c r="A8" s="1891" t="s">
        <v>0</v>
      </c>
      <c r="B8" s="1897" t="s">
        <v>1155</v>
      </c>
      <c r="D8" s="1891" t="s">
        <v>1</v>
      </c>
      <c r="E8" s="1897" t="s">
        <v>1156</v>
      </c>
      <c r="F8" s="1898" t="s">
        <v>1157</v>
      </c>
    </row>
    <row r="9" spans="1:12">
      <c r="A9" s="1891" t="s">
        <v>3</v>
      </c>
      <c r="B9" s="1897" t="s">
        <v>4</v>
      </c>
      <c r="D9" s="1891" t="s">
        <v>5</v>
      </c>
      <c r="E9" s="1897" t="s">
        <v>1158</v>
      </c>
      <c r="F9" s="1898" t="s">
        <v>1159</v>
      </c>
    </row>
    <row r="11" spans="1:12">
      <c r="A11" s="1899" t="s">
        <v>1160</v>
      </c>
      <c r="B11" s="1899" t="s">
        <v>6</v>
      </c>
      <c r="C11" s="1899" t="s">
        <v>7</v>
      </c>
      <c r="D11" s="1899" t="s">
        <v>8</v>
      </c>
      <c r="E11" s="1899" t="s">
        <v>2</v>
      </c>
      <c r="F11" s="1899" t="s">
        <v>9</v>
      </c>
      <c r="G11" s="1899" t="s">
        <v>10</v>
      </c>
      <c r="H11" s="1899" t="s">
        <v>11</v>
      </c>
      <c r="I11" s="1899" t="s">
        <v>1161</v>
      </c>
      <c r="J11" s="1899" t="s">
        <v>1162</v>
      </c>
      <c r="K11" s="1899" t="s">
        <v>1163</v>
      </c>
    </row>
    <row r="12" spans="1:12">
      <c r="A12" s="1898" t="s">
        <v>12</v>
      </c>
      <c r="B12" s="1898" t="s">
        <v>13</v>
      </c>
      <c r="C12" s="1898" t="s">
        <v>13</v>
      </c>
      <c r="D12" s="1898" t="s">
        <v>13</v>
      </c>
      <c r="E12" s="1898" t="s">
        <v>13</v>
      </c>
      <c r="F12" s="1898" t="s">
        <v>13</v>
      </c>
      <c r="G12" s="1898" t="s">
        <v>13</v>
      </c>
      <c r="H12" s="1898" t="s">
        <v>13</v>
      </c>
      <c r="I12" s="1898" t="s">
        <v>13</v>
      </c>
      <c r="J12" s="1898" t="s">
        <v>13</v>
      </c>
      <c r="K12" s="1898" t="s">
        <v>13</v>
      </c>
    </row>
    <row r="13" spans="1:12">
      <c r="A13" s="1898" t="s">
        <v>1164</v>
      </c>
      <c r="B13" s="1898" t="s">
        <v>1165</v>
      </c>
      <c r="C13" s="1898" t="s">
        <v>1165</v>
      </c>
      <c r="D13" s="1898" t="s">
        <v>1165</v>
      </c>
      <c r="E13" s="1898"/>
      <c r="F13" s="1898" t="s">
        <v>1165</v>
      </c>
      <c r="G13" s="1898" t="s">
        <v>1165</v>
      </c>
      <c r="H13" s="1898" t="s">
        <v>1166</v>
      </c>
      <c r="I13" s="1898" t="s">
        <v>1165</v>
      </c>
      <c r="J13" s="1898" t="s">
        <v>1165</v>
      </c>
      <c r="K13" s="1898" t="s">
        <v>1165</v>
      </c>
    </row>
    <row r="14" spans="1:12">
      <c r="A14" s="1898" t="s">
        <v>1167</v>
      </c>
      <c r="B14" s="1898" t="s">
        <v>14</v>
      </c>
      <c r="C14" s="1898" t="s">
        <v>14</v>
      </c>
      <c r="D14" s="1898" t="s">
        <v>14</v>
      </c>
      <c r="E14" s="1898"/>
      <c r="F14" s="1898" t="s">
        <v>14</v>
      </c>
      <c r="G14" s="1898" t="s">
        <v>14</v>
      </c>
      <c r="H14" s="1898" t="s">
        <v>14</v>
      </c>
      <c r="I14" s="1898" t="s">
        <v>14</v>
      </c>
      <c r="J14" s="1898" t="s">
        <v>14</v>
      </c>
      <c r="K14" s="1898" t="s">
        <v>14</v>
      </c>
    </row>
    <row r="15" spans="1:12">
      <c r="A15" s="1900" t="s">
        <v>37</v>
      </c>
      <c r="B15" s="1900">
        <v>1215.079331489</v>
      </c>
      <c r="C15" s="1900">
        <v>813.51874741200004</v>
      </c>
      <c r="D15" s="1900">
        <v>1896.184894173</v>
      </c>
      <c r="E15" s="1900">
        <v>285.77246315500003</v>
      </c>
      <c r="F15" s="1900">
        <v>471.173323541</v>
      </c>
      <c r="G15" s="1900">
        <v>509.99535087300001</v>
      </c>
      <c r="H15" s="1900">
        <v>427.65273090400001</v>
      </c>
      <c r="I15" s="1900">
        <v>2125.6252915599998</v>
      </c>
      <c r="J15" s="1900">
        <v>2284.3997887720002</v>
      </c>
      <c r="K15" s="1900">
        <v>1903.248325989</v>
      </c>
    </row>
    <row r="16" spans="1:12">
      <c r="A16" s="1901" t="s">
        <v>165</v>
      </c>
      <c r="B16" s="1901">
        <v>0.304023932</v>
      </c>
      <c r="C16" s="1901">
        <v>8.4430897000000005E-2</v>
      </c>
      <c r="D16" s="1901">
        <v>0.33197281499999998</v>
      </c>
      <c r="E16" s="1901">
        <v>0.95882405400000004</v>
      </c>
      <c r="F16" s="1901">
        <v>0.95280737599999998</v>
      </c>
      <c r="G16" s="1901">
        <v>1.012932449</v>
      </c>
      <c r="H16" s="1901">
        <v>1.440926639</v>
      </c>
      <c r="I16" s="1901">
        <v>0.94037573100000005</v>
      </c>
      <c r="J16" s="1901">
        <v>2.1446523769999999</v>
      </c>
      <c r="K16" s="1901">
        <v>1.781059189</v>
      </c>
    </row>
    <row r="17" spans="1:11">
      <c r="A17" s="1901" t="s">
        <v>166</v>
      </c>
      <c r="B17" s="1901">
        <v>182.77530755699999</v>
      </c>
      <c r="C17" s="1901">
        <v>481.43431651499998</v>
      </c>
      <c r="D17" s="1901">
        <v>393.50292135799998</v>
      </c>
      <c r="E17" s="1901">
        <v>164.81363910100001</v>
      </c>
      <c r="F17" s="1901">
        <v>370.22051616499999</v>
      </c>
      <c r="G17" s="1901">
        <v>288.982418424</v>
      </c>
      <c r="H17" s="1901">
        <v>426.21180426500001</v>
      </c>
      <c r="I17" s="1901">
        <v>2124.6849158290001</v>
      </c>
      <c r="J17" s="1901">
        <v>2272.2551363950001</v>
      </c>
      <c r="K17" s="1901">
        <v>1901.4672668000001</v>
      </c>
    </row>
    <row r="18" spans="1:11">
      <c r="A18" s="1901" t="s">
        <v>167</v>
      </c>
      <c r="B18" s="1901">
        <v>0</v>
      </c>
      <c r="C18" s="1901">
        <v>0</v>
      </c>
      <c r="D18" s="1901">
        <v>0</v>
      </c>
      <c r="E18" s="1901">
        <v>0</v>
      </c>
      <c r="F18" s="1901">
        <v>0</v>
      </c>
      <c r="G18" s="1901">
        <v>0</v>
      </c>
      <c r="H18" s="1901">
        <v>0</v>
      </c>
      <c r="I18" s="1901">
        <v>0</v>
      </c>
      <c r="J18" s="1901">
        <v>0</v>
      </c>
      <c r="K18" s="1901">
        <v>0</v>
      </c>
    </row>
    <row r="19" spans="1:11">
      <c r="A19" s="1901" t="s">
        <v>168</v>
      </c>
      <c r="B19" s="1901">
        <v>1032</v>
      </c>
      <c r="C19" s="1901">
        <v>332</v>
      </c>
      <c r="D19" s="1901">
        <v>1502.35</v>
      </c>
      <c r="E19" s="1901">
        <v>120</v>
      </c>
      <c r="F19" s="1901">
        <v>100</v>
      </c>
      <c r="G19" s="1901">
        <v>220</v>
      </c>
      <c r="H19" s="1901">
        <v>0</v>
      </c>
      <c r="I19" s="1901">
        <v>0</v>
      </c>
      <c r="J19" s="1901">
        <v>10</v>
      </c>
      <c r="K19" s="1901">
        <v>0</v>
      </c>
    </row>
    <row r="20" spans="1:11">
      <c r="A20" s="1900" t="s">
        <v>169</v>
      </c>
      <c r="B20" s="1900">
        <v>2702.5555555559999</v>
      </c>
      <c r="C20" s="1900">
        <v>2300</v>
      </c>
      <c r="D20" s="1900">
        <v>2100</v>
      </c>
      <c r="E20" s="1900">
        <v>2502</v>
      </c>
      <c r="F20" s="1900">
        <v>2002</v>
      </c>
      <c r="G20" s="1900">
        <v>2302</v>
      </c>
      <c r="H20" s="1900">
        <v>4362</v>
      </c>
      <c r="I20" s="1900">
        <v>6812</v>
      </c>
      <c r="J20" s="1900">
        <v>8242</v>
      </c>
      <c r="K20" s="1900">
        <v>7039.0512328770001</v>
      </c>
    </row>
    <row r="21" spans="1:11">
      <c r="A21" s="1901" t="s">
        <v>170</v>
      </c>
      <c r="B21" s="1901">
        <v>0</v>
      </c>
      <c r="C21" s="1901">
        <v>0</v>
      </c>
      <c r="D21" s="1901">
        <v>0</v>
      </c>
      <c r="E21" s="1901">
        <v>0</v>
      </c>
      <c r="F21" s="1901">
        <v>0</v>
      </c>
      <c r="G21" s="1901">
        <v>0</v>
      </c>
      <c r="H21" s="1901">
        <v>0</v>
      </c>
      <c r="I21" s="1901">
        <v>0</v>
      </c>
      <c r="J21" s="1901">
        <v>0</v>
      </c>
      <c r="K21" s="1901">
        <v>0</v>
      </c>
    </row>
    <row r="22" spans="1:11">
      <c r="A22" s="1901" t="s">
        <v>43</v>
      </c>
      <c r="B22" s="1901">
        <v>2702.5555555559999</v>
      </c>
      <c r="C22" s="1901">
        <v>2300</v>
      </c>
      <c r="D22" s="1901">
        <v>2100</v>
      </c>
      <c r="E22" s="1901">
        <v>2502</v>
      </c>
      <c r="F22" s="1901">
        <v>2002</v>
      </c>
      <c r="G22" s="1901">
        <v>2302</v>
      </c>
      <c r="H22" s="1901">
        <v>4362</v>
      </c>
      <c r="I22" s="1901">
        <v>6812</v>
      </c>
      <c r="J22" s="1901">
        <v>8242</v>
      </c>
      <c r="K22" s="1901">
        <v>7039.0512328770001</v>
      </c>
    </row>
    <row r="23" spans="1:11">
      <c r="A23" s="1901" t="s">
        <v>41</v>
      </c>
      <c r="B23" s="1901">
        <v>2702.5555555559999</v>
      </c>
      <c r="C23" s="1901">
        <v>2300</v>
      </c>
      <c r="D23" s="1901">
        <v>2100</v>
      </c>
      <c r="E23" s="1901">
        <v>2502</v>
      </c>
      <c r="F23" s="1901">
        <v>2002</v>
      </c>
      <c r="G23" s="1901">
        <v>2302</v>
      </c>
      <c r="H23" s="1901">
        <v>4362</v>
      </c>
      <c r="I23" s="1901">
        <v>6812</v>
      </c>
      <c r="J23" s="1901">
        <v>8242</v>
      </c>
      <c r="K23" s="1901">
        <v>7039.0512328770001</v>
      </c>
    </row>
    <row r="24" spans="1:11">
      <c r="A24" s="1901" t="s">
        <v>1214</v>
      </c>
      <c r="B24" s="1901">
        <v>0</v>
      </c>
      <c r="C24" s="1901">
        <v>0</v>
      </c>
      <c r="D24" s="1901">
        <v>0</v>
      </c>
      <c r="E24" s="1901">
        <v>0</v>
      </c>
      <c r="F24" s="1901">
        <v>0</v>
      </c>
      <c r="G24" s="1901">
        <v>0</v>
      </c>
      <c r="H24" s="1901">
        <v>0</v>
      </c>
      <c r="I24" s="1901">
        <v>0</v>
      </c>
      <c r="J24" s="1901">
        <v>0</v>
      </c>
      <c r="K24" s="1901">
        <v>0</v>
      </c>
    </row>
    <row r="25" spans="1:11">
      <c r="A25" s="1901" t="s">
        <v>171</v>
      </c>
      <c r="B25" s="1901">
        <v>0</v>
      </c>
      <c r="C25" s="1901">
        <v>0</v>
      </c>
      <c r="D25" s="1901">
        <v>0</v>
      </c>
      <c r="E25" s="1901">
        <v>0</v>
      </c>
      <c r="F25" s="1901">
        <v>0</v>
      </c>
      <c r="G25" s="1901">
        <v>0</v>
      </c>
      <c r="H25" s="1901">
        <v>0</v>
      </c>
      <c r="I25" s="1901">
        <v>0</v>
      </c>
      <c r="J25" s="1901">
        <v>0</v>
      </c>
      <c r="K25" s="1901">
        <v>0</v>
      </c>
    </row>
    <row r="26" spans="1:11">
      <c r="A26" s="1901" t="s">
        <v>172</v>
      </c>
      <c r="B26" s="1901">
        <v>0</v>
      </c>
      <c r="C26" s="1901">
        <v>0</v>
      </c>
      <c r="D26" s="1901">
        <v>0</v>
      </c>
      <c r="E26" s="1901">
        <v>0</v>
      </c>
      <c r="F26" s="1901">
        <v>0</v>
      </c>
      <c r="G26" s="1901">
        <v>0</v>
      </c>
      <c r="H26" s="1901">
        <v>0</v>
      </c>
      <c r="I26" s="1901">
        <v>0</v>
      </c>
      <c r="J26" s="1901">
        <v>0</v>
      </c>
      <c r="K26" s="1901">
        <v>0</v>
      </c>
    </row>
    <row r="27" spans="1:11">
      <c r="A27" s="1900" t="s">
        <v>173</v>
      </c>
      <c r="B27" s="1900">
        <v>57.604401111999998</v>
      </c>
      <c r="C27" s="1900">
        <v>456.160469917</v>
      </c>
      <c r="D27" s="1900">
        <v>310.340894112</v>
      </c>
      <c r="E27" s="1900">
        <v>349.03891061399997</v>
      </c>
      <c r="F27" s="1900">
        <v>343.752902807</v>
      </c>
      <c r="G27" s="1900">
        <v>157.27812240599999</v>
      </c>
      <c r="H27" s="1900">
        <v>94.287650528</v>
      </c>
      <c r="I27" s="1900">
        <v>141.98859486399999</v>
      </c>
      <c r="J27" s="1900">
        <v>155.14349551199999</v>
      </c>
      <c r="K27" s="1900">
        <v>115.4425456</v>
      </c>
    </row>
    <row r="28" spans="1:11">
      <c r="A28" s="1901" t="s">
        <v>174</v>
      </c>
      <c r="B28" s="1901">
        <v>0</v>
      </c>
      <c r="C28" s="1901">
        <v>0</v>
      </c>
      <c r="D28" s="1901">
        <v>0</v>
      </c>
      <c r="E28" s="1901">
        <v>0</v>
      </c>
      <c r="F28" s="1901">
        <v>0</v>
      </c>
      <c r="G28" s="1901">
        <v>0</v>
      </c>
      <c r="H28" s="1901">
        <v>0</v>
      </c>
      <c r="I28" s="1901">
        <v>0</v>
      </c>
      <c r="J28" s="1901">
        <v>0</v>
      </c>
      <c r="K28" s="1901">
        <v>0</v>
      </c>
    </row>
    <row r="29" spans="1:11">
      <c r="A29" s="1901" t="s">
        <v>175</v>
      </c>
      <c r="B29" s="1901">
        <v>0</v>
      </c>
      <c r="C29" s="1901">
        <v>0</v>
      </c>
      <c r="D29" s="1901">
        <v>0</v>
      </c>
      <c r="E29" s="1901">
        <v>0</v>
      </c>
      <c r="F29" s="1901">
        <v>0</v>
      </c>
      <c r="G29" s="1901">
        <v>0</v>
      </c>
      <c r="H29" s="1901">
        <v>0</v>
      </c>
      <c r="I29" s="1901">
        <v>0</v>
      </c>
      <c r="J29" s="1901">
        <v>0</v>
      </c>
      <c r="K29" s="1901">
        <v>0</v>
      </c>
    </row>
    <row r="30" spans="1:11">
      <c r="A30" s="1901" t="s">
        <v>176</v>
      </c>
      <c r="B30" s="1901">
        <v>1.8584444</v>
      </c>
      <c r="C30" s="1901">
        <v>6.3669710000000004</v>
      </c>
      <c r="D30" s="1901">
        <v>0</v>
      </c>
      <c r="E30" s="1901">
        <v>3.4155697919999999</v>
      </c>
      <c r="F30" s="1901">
        <v>0</v>
      </c>
      <c r="G30" s="1901">
        <v>0</v>
      </c>
      <c r="H30" s="1901">
        <v>0</v>
      </c>
      <c r="I30" s="1901">
        <v>0</v>
      </c>
      <c r="J30" s="1901">
        <v>0</v>
      </c>
      <c r="K30" s="1901">
        <v>0</v>
      </c>
    </row>
    <row r="31" spans="1:11">
      <c r="A31" s="1901" t="s">
        <v>50</v>
      </c>
      <c r="B31" s="1901">
        <v>55.745956712000002</v>
      </c>
      <c r="C31" s="1901">
        <v>449.79349891700002</v>
      </c>
      <c r="D31" s="1901">
        <v>310.340894112</v>
      </c>
      <c r="E31" s="1901">
        <v>345.62334082199999</v>
      </c>
      <c r="F31" s="1901">
        <v>343.752902807</v>
      </c>
      <c r="G31" s="1901">
        <v>157.27812240599999</v>
      </c>
      <c r="H31" s="1901">
        <v>94.287650528</v>
      </c>
      <c r="I31" s="1901">
        <v>141.98859486399999</v>
      </c>
      <c r="J31" s="1901">
        <v>155.14349551199999</v>
      </c>
      <c r="K31" s="1901">
        <v>115.4425456</v>
      </c>
    </row>
    <row r="32" spans="1:11">
      <c r="A32" s="1900" t="s">
        <v>177</v>
      </c>
      <c r="B32" s="1900">
        <v>392.04268535199998</v>
      </c>
      <c r="C32" s="1900">
        <v>375.62458233400002</v>
      </c>
      <c r="D32" s="1900">
        <v>370.66271249499999</v>
      </c>
      <c r="E32" s="1900">
        <v>982.64129170000001</v>
      </c>
      <c r="F32" s="1900">
        <v>1309.837336541</v>
      </c>
      <c r="G32" s="1900">
        <v>834.43047299499995</v>
      </c>
      <c r="H32" s="1900">
        <v>2204.0777077339999</v>
      </c>
      <c r="I32" s="1900">
        <v>2421.8429772499999</v>
      </c>
      <c r="J32" s="1900">
        <v>2192.1946647250002</v>
      </c>
      <c r="K32" s="1900">
        <v>2992.3649692280001</v>
      </c>
    </row>
    <row r="33" spans="1:11">
      <c r="A33" s="1901" t="s">
        <v>178</v>
      </c>
      <c r="B33" s="1901">
        <v>0</v>
      </c>
      <c r="C33" s="1901">
        <v>0</v>
      </c>
      <c r="D33" s="1901">
        <v>0</v>
      </c>
      <c r="E33" s="1901">
        <v>0</v>
      </c>
      <c r="F33" s="1901">
        <v>0</v>
      </c>
      <c r="G33" s="1901">
        <v>0</v>
      </c>
      <c r="H33" s="1901">
        <v>257.17500000000001</v>
      </c>
      <c r="I33" s="1901">
        <v>0</v>
      </c>
      <c r="J33" s="1901">
        <v>23.156020000000002</v>
      </c>
      <c r="K33" s="1901">
        <v>30.712795147000001</v>
      </c>
    </row>
    <row r="34" spans="1:11">
      <c r="A34" s="1901" t="s">
        <v>179</v>
      </c>
      <c r="B34" s="1901">
        <v>140.65458872400001</v>
      </c>
      <c r="C34" s="1901">
        <v>178.51579162100001</v>
      </c>
      <c r="D34" s="1901">
        <v>207.28245819899999</v>
      </c>
      <c r="E34" s="1901">
        <v>261.40698330200001</v>
      </c>
      <c r="F34" s="1901">
        <v>409.04064158099999</v>
      </c>
      <c r="G34" s="1901">
        <v>514.15673520899998</v>
      </c>
      <c r="H34" s="1901">
        <v>552.53326198499997</v>
      </c>
      <c r="I34" s="1901">
        <v>713.88949666099995</v>
      </c>
      <c r="J34" s="1901">
        <v>623.55787854899995</v>
      </c>
      <c r="K34" s="1901">
        <v>720.30939380799998</v>
      </c>
    </row>
    <row r="35" spans="1:11">
      <c r="A35" s="1901" t="s">
        <v>180</v>
      </c>
      <c r="B35" s="1901">
        <v>1.3138818210000001</v>
      </c>
      <c r="C35" s="1901">
        <v>1.6864547990000001</v>
      </c>
      <c r="D35" s="1901">
        <v>4.8337134070000003</v>
      </c>
      <c r="E35" s="1901">
        <v>12.459568506</v>
      </c>
      <c r="F35" s="1901">
        <v>7.4662571160000004</v>
      </c>
      <c r="G35" s="1901">
        <v>22.005575983</v>
      </c>
      <c r="H35" s="1901">
        <v>27.062487559000001</v>
      </c>
      <c r="I35" s="1901">
        <v>28.895136582999999</v>
      </c>
      <c r="J35" s="1901">
        <v>25.660960616000001</v>
      </c>
      <c r="K35" s="1901">
        <v>29.805293071000001</v>
      </c>
    </row>
    <row r="36" spans="1:11">
      <c r="A36" s="1901" t="s">
        <v>181</v>
      </c>
      <c r="B36" s="1901">
        <v>182.63136761800001</v>
      </c>
      <c r="C36" s="1901">
        <v>56.423373298999998</v>
      </c>
      <c r="D36" s="1901">
        <v>35.052347007999998</v>
      </c>
      <c r="E36" s="1901">
        <v>47.186246963999999</v>
      </c>
      <c r="F36" s="1901">
        <v>65.412418826999996</v>
      </c>
      <c r="G36" s="1901">
        <v>46.951110161000003</v>
      </c>
      <c r="H36" s="1901">
        <v>160.07907879300001</v>
      </c>
      <c r="I36" s="1901">
        <v>130.76009897</v>
      </c>
      <c r="J36" s="1901">
        <v>120.424085684</v>
      </c>
      <c r="K36" s="1901">
        <v>173.69793846300001</v>
      </c>
    </row>
    <row r="37" spans="1:11">
      <c r="A37" s="1901" t="s">
        <v>182</v>
      </c>
      <c r="B37" s="1901">
        <v>37.091051516</v>
      </c>
      <c r="C37" s="1901">
        <v>56.484144839000002</v>
      </c>
      <c r="D37" s="1901">
        <v>113.052877561</v>
      </c>
      <c r="E37" s="1901">
        <v>386.71897496000003</v>
      </c>
      <c r="F37" s="1901">
        <v>555.33139112200001</v>
      </c>
      <c r="G37" s="1901">
        <v>138.886900543</v>
      </c>
      <c r="H37" s="1901">
        <v>745.954663375</v>
      </c>
      <c r="I37" s="1901">
        <v>1165.2119907030001</v>
      </c>
      <c r="J37" s="1901">
        <v>996.79095214300003</v>
      </c>
      <c r="K37" s="1901">
        <v>1489.761550592</v>
      </c>
    </row>
    <row r="38" spans="1:11">
      <c r="A38" s="1901" t="s">
        <v>183</v>
      </c>
      <c r="B38" s="1901">
        <v>0</v>
      </c>
      <c r="C38" s="1901">
        <v>27.061792000000001</v>
      </c>
      <c r="D38" s="1901">
        <v>10.44131632</v>
      </c>
      <c r="E38" s="1901">
        <v>274.86951796800003</v>
      </c>
      <c r="F38" s="1901">
        <v>272.58662789499999</v>
      </c>
      <c r="G38" s="1901">
        <v>112.430151099</v>
      </c>
      <c r="H38" s="1901">
        <v>461.27321602199999</v>
      </c>
      <c r="I38" s="1901">
        <v>383.086254333</v>
      </c>
      <c r="J38" s="1901">
        <v>402.60476773300002</v>
      </c>
      <c r="K38" s="1901">
        <v>548.07799814700002</v>
      </c>
    </row>
    <row r="39" spans="1:11">
      <c r="A39" s="1901" t="s">
        <v>184</v>
      </c>
      <c r="B39" s="1901">
        <v>30.351795673000002</v>
      </c>
      <c r="C39" s="1901">
        <v>55.453025775999997</v>
      </c>
      <c r="D39" s="1901">
        <v>0</v>
      </c>
      <c r="E39" s="1901">
        <v>0</v>
      </c>
      <c r="F39" s="1901">
        <v>0</v>
      </c>
      <c r="G39" s="1901">
        <v>0</v>
      </c>
      <c r="H39" s="1901">
        <v>0</v>
      </c>
      <c r="I39" s="1901">
        <v>0</v>
      </c>
      <c r="J39" s="1901">
        <v>0</v>
      </c>
      <c r="K39" s="1901">
        <v>0</v>
      </c>
    </row>
    <row r="40" spans="1:11">
      <c r="A40" s="1901" t="s">
        <v>185</v>
      </c>
      <c r="B40" s="1901">
        <v>0</v>
      </c>
      <c r="C40" s="1901">
        <v>0</v>
      </c>
      <c r="D40" s="1901">
        <v>0</v>
      </c>
      <c r="E40" s="1901">
        <v>0</v>
      </c>
      <c r="F40" s="1901">
        <v>0</v>
      </c>
      <c r="G40" s="1901">
        <v>0</v>
      </c>
      <c r="H40" s="1901">
        <v>0</v>
      </c>
      <c r="I40" s="1901">
        <v>0</v>
      </c>
      <c r="J40" s="1901">
        <v>0</v>
      </c>
      <c r="K40" s="1901">
        <v>0</v>
      </c>
    </row>
    <row r="41" spans="1:11">
      <c r="A41" s="1901" t="s">
        <v>186</v>
      </c>
      <c r="B41" s="1901">
        <v>0</v>
      </c>
      <c r="C41" s="1901">
        <v>0</v>
      </c>
      <c r="D41" s="1901">
        <v>0</v>
      </c>
      <c r="E41" s="1901">
        <v>0</v>
      </c>
      <c r="F41" s="1901">
        <v>0</v>
      </c>
      <c r="G41" s="1901">
        <v>0</v>
      </c>
      <c r="H41" s="1901">
        <v>0</v>
      </c>
      <c r="I41" s="1901">
        <v>0</v>
      </c>
      <c r="J41" s="1901">
        <v>0</v>
      </c>
      <c r="K41" s="1901">
        <v>0</v>
      </c>
    </row>
    <row r="42" spans="1:11">
      <c r="A42" s="1900" t="s">
        <v>187</v>
      </c>
      <c r="B42" s="1900">
        <v>0</v>
      </c>
      <c r="C42" s="1900">
        <v>0</v>
      </c>
      <c r="D42" s="1900">
        <v>0</v>
      </c>
      <c r="E42" s="1900">
        <v>0</v>
      </c>
      <c r="F42" s="1900">
        <v>0</v>
      </c>
      <c r="G42" s="1900">
        <v>0</v>
      </c>
      <c r="H42" s="1900">
        <v>0</v>
      </c>
      <c r="I42" s="1900">
        <v>0</v>
      </c>
      <c r="J42" s="1900">
        <v>0</v>
      </c>
      <c r="K42" s="1900">
        <v>0</v>
      </c>
    </row>
    <row r="43" spans="1:11">
      <c r="A43" s="1901" t="s">
        <v>188</v>
      </c>
      <c r="B43" s="1901">
        <v>0</v>
      </c>
      <c r="C43" s="1901">
        <v>0</v>
      </c>
      <c r="D43" s="1901">
        <v>0</v>
      </c>
      <c r="E43" s="1901">
        <v>0</v>
      </c>
      <c r="F43" s="1901">
        <v>0</v>
      </c>
      <c r="G43" s="1901">
        <v>0</v>
      </c>
      <c r="H43" s="1901">
        <v>0</v>
      </c>
      <c r="I43" s="1901">
        <v>0</v>
      </c>
      <c r="J43" s="1901">
        <v>0</v>
      </c>
      <c r="K43" s="1901">
        <v>0</v>
      </c>
    </row>
    <row r="44" spans="1:11">
      <c r="A44" s="1901" t="s">
        <v>52</v>
      </c>
      <c r="B44" s="1901">
        <v>0</v>
      </c>
      <c r="C44" s="1901">
        <v>0</v>
      </c>
      <c r="D44" s="1901">
        <v>0</v>
      </c>
      <c r="E44" s="1901">
        <v>0</v>
      </c>
      <c r="F44" s="1901">
        <v>0</v>
      </c>
      <c r="G44" s="1901">
        <v>0</v>
      </c>
      <c r="H44" s="1901">
        <v>0</v>
      </c>
      <c r="I44" s="1901">
        <v>0</v>
      </c>
      <c r="J44" s="1901">
        <v>0</v>
      </c>
      <c r="K44" s="1901">
        <v>0</v>
      </c>
    </row>
    <row r="45" spans="1:11">
      <c r="A45" s="1901" t="s">
        <v>189</v>
      </c>
      <c r="B45" s="1901">
        <v>0</v>
      </c>
      <c r="C45" s="1901">
        <v>0</v>
      </c>
      <c r="D45" s="1901">
        <v>0</v>
      </c>
      <c r="E45" s="1901">
        <v>0</v>
      </c>
      <c r="F45" s="1901">
        <v>0</v>
      </c>
      <c r="G45" s="1901">
        <v>0</v>
      </c>
      <c r="H45" s="1901">
        <v>0</v>
      </c>
      <c r="I45" s="1901">
        <v>0</v>
      </c>
      <c r="J45" s="1901">
        <v>0</v>
      </c>
      <c r="K45" s="1901">
        <v>0</v>
      </c>
    </row>
    <row r="46" spans="1:11">
      <c r="A46" s="1901" t="s">
        <v>190</v>
      </c>
      <c r="B46" s="1901">
        <v>0</v>
      </c>
      <c r="C46" s="1901">
        <v>0</v>
      </c>
      <c r="D46" s="1901">
        <v>0</v>
      </c>
      <c r="E46" s="1901">
        <v>0</v>
      </c>
      <c r="F46" s="1901">
        <v>0</v>
      </c>
      <c r="G46" s="1901">
        <v>0</v>
      </c>
      <c r="H46" s="1901">
        <v>0</v>
      </c>
      <c r="I46" s="1901">
        <v>0</v>
      </c>
      <c r="J46" s="1901">
        <v>0</v>
      </c>
      <c r="K46" s="1901">
        <v>0</v>
      </c>
    </row>
    <row r="47" spans="1:11">
      <c r="A47" s="1900" t="s">
        <v>191</v>
      </c>
      <c r="B47" s="1900">
        <v>3.0000000000000001E-3</v>
      </c>
      <c r="C47" s="1900">
        <v>3.0000000000000001E-3</v>
      </c>
      <c r="D47" s="1900">
        <v>3.0000000000000001E-3</v>
      </c>
      <c r="E47" s="1900">
        <v>3.0000000000000001E-3</v>
      </c>
      <c r="F47" s="1900">
        <v>3.0000000000000001E-3</v>
      </c>
      <c r="G47" s="1900">
        <v>3.0000000000000001E-3</v>
      </c>
      <c r="H47" s="1900">
        <v>3.0000000000000001E-3</v>
      </c>
      <c r="I47" s="1900">
        <v>0</v>
      </c>
      <c r="J47" s="1900">
        <v>0</v>
      </c>
      <c r="K47" s="1900">
        <v>0</v>
      </c>
    </row>
    <row r="48" spans="1:11">
      <c r="A48" s="1901" t="s">
        <v>192</v>
      </c>
      <c r="B48" s="1901">
        <v>3.0000000000000001E-3</v>
      </c>
      <c r="C48" s="1901">
        <v>3.0000000000000001E-3</v>
      </c>
      <c r="D48" s="1901">
        <v>3.0000000000000001E-3</v>
      </c>
      <c r="E48" s="1901">
        <v>3.0000000000000001E-3</v>
      </c>
      <c r="F48" s="1901">
        <v>3.0000000000000001E-3</v>
      </c>
      <c r="G48" s="1901">
        <v>3.0000000000000001E-3</v>
      </c>
      <c r="H48" s="1901">
        <v>3.0000000000000001E-3</v>
      </c>
      <c r="I48" s="1901">
        <v>0</v>
      </c>
      <c r="J48" s="1901">
        <v>0</v>
      </c>
      <c r="K48" s="1901">
        <v>0</v>
      </c>
    </row>
    <row r="49" spans="1:11">
      <c r="A49" s="1901" t="s">
        <v>193</v>
      </c>
      <c r="B49" s="1901">
        <v>0</v>
      </c>
      <c r="C49" s="1901">
        <v>0</v>
      </c>
      <c r="D49" s="1901">
        <v>0</v>
      </c>
      <c r="E49" s="1901">
        <v>0</v>
      </c>
      <c r="F49" s="1901">
        <v>0</v>
      </c>
      <c r="G49" s="1901">
        <v>0</v>
      </c>
      <c r="H49" s="1901">
        <v>0</v>
      </c>
      <c r="I49" s="1901">
        <v>0</v>
      </c>
      <c r="J49" s="1901">
        <v>0</v>
      </c>
      <c r="K49" s="1901">
        <v>0</v>
      </c>
    </row>
    <row r="50" spans="1:11">
      <c r="A50" s="1901" t="s">
        <v>194</v>
      </c>
      <c r="B50" s="1901">
        <v>0</v>
      </c>
      <c r="C50" s="1901">
        <v>0</v>
      </c>
      <c r="D50" s="1901">
        <v>0</v>
      </c>
      <c r="E50" s="1901">
        <v>0</v>
      </c>
      <c r="F50" s="1901">
        <v>0</v>
      </c>
      <c r="G50" s="1901">
        <v>0</v>
      </c>
      <c r="H50" s="1901">
        <v>0</v>
      </c>
      <c r="I50" s="1901">
        <v>0</v>
      </c>
      <c r="J50" s="1901">
        <v>0</v>
      </c>
      <c r="K50" s="1901">
        <v>0</v>
      </c>
    </row>
    <row r="51" spans="1:11">
      <c r="A51" s="1901" t="s">
        <v>67</v>
      </c>
      <c r="B51" s="1901">
        <v>0</v>
      </c>
      <c r="C51" s="1901">
        <v>0</v>
      </c>
      <c r="D51" s="1901">
        <v>0</v>
      </c>
      <c r="E51" s="1901">
        <v>0</v>
      </c>
      <c r="F51" s="1901">
        <v>0</v>
      </c>
      <c r="G51" s="1901">
        <v>0</v>
      </c>
      <c r="H51" s="1901">
        <v>0</v>
      </c>
      <c r="I51" s="1901">
        <v>0</v>
      </c>
      <c r="J51" s="1901">
        <v>0</v>
      </c>
      <c r="K51" s="1901">
        <v>0</v>
      </c>
    </row>
    <row r="52" spans="1:11">
      <c r="A52" s="1900" t="s">
        <v>195</v>
      </c>
      <c r="B52" s="1900">
        <v>13678.066136232001</v>
      </c>
      <c r="C52" s="1900">
        <v>13861.77016663</v>
      </c>
      <c r="D52" s="1900">
        <v>13931.183545129999</v>
      </c>
      <c r="E52" s="1900">
        <v>14052.806119487999</v>
      </c>
      <c r="F52" s="1900">
        <v>14202.687600970999</v>
      </c>
      <c r="G52" s="1900">
        <v>14272.460795228</v>
      </c>
      <c r="H52" s="1900">
        <v>15104.050606596</v>
      </c>
      <c r="I52" s="1900">
        <v>15270.937810324</v>
      </c>
      <c r="J52" s="1900">
        <v>15430.176837908</v>
      </c>
      <c r="K52" s="1900">
        <v>16486.331655016002</v>
      </c>
    </row>
    <row r="53" spans="1:11">
      <c r="A53" s="1901" t="s">
        <v>196</v>
      </c>
      <c r="B53" s="1901">
        <v>13545.039880463</v>
      </c>
      <c r="C53" s="1901">
        <v>13678.066136232001</v>
      </c>
      <c r="D53" s="1901">
        <v>13861.77016663</v>
      </c>
      <c r="E53" s="1901">
        <v>13931.183545129999</v>
      </c>
      <c r="F53" s="1901">
        <v>14052.806119487999</v>
      </c>
      <c r="G53" s="1901">
        <v>14202.687600970999</v>
      </c>
      <c r="H53" s="1901">
        <v>14272.460795228</v>
      </c>
      <c r="I53" s="1901">
        <v>15104.050606596</v>
      </c>
      <c r="J53" s="1901">
        <v>15270.937810324</v>
      </c>
      <c r="K53" s="1901">
        <v>15430.176837908</v>
      </c>
    </row>
    <row r="54" spans="1:11">
      <c r="A54" s="1901" t="s">
        <v>197</v>
      </c>
      <c r="B54" s="1901">
        <v>135.149001027</v>
      </c>
      <c r="C54" s="1901">
        <v>184.55624767</v>
      </c>
      <c r="D54" s="1901">
        <v>69.413378499999993</v>
      </c>
      <c r="E54" s="1901">
        <v>121.62257435799999</v>
      </c>
      <c r="F54" s="1901">
        <v>149.88148148299999</v>
      </c>
      <c r="G54" s="1901">
        <v>69.773194257</v>
      </c>
      <c r="H54" s="1901">
        <v>837.37984273899997</v>
      </c>
      <c r="I54" s="1901">
        <v>176.054773283</v>
      </c>
      <c r="J54" s="1901">
        <v>159.25419975599999</v>
      </c>
      <c r="K54" s="1901">
        <v>1064.6370947380001</v>
      </c>
    </row>
    <row r="55" spans="1:11">
      <c r="A55" s="1901" t="s">
        <v>198</v>
      </c>
      <c r="B55" s="1901">
        <v>-2.1227452580000001</v>
      </c>
      <c r="C55" s="1901">
        <v>-0.85221727199999997</v>
      </c>
      <c r="D55" s="1901">
        <v>0</v>
      </c>
      <c r="E55" s="1901">
        <v>0</v>
      </c>
      <c r="F55" s="1901">
        <v>0</v>
      </c>
      <c r="G55" s="1901">
        <v>0</v>
      </c>
      <c r="H55" s="1901">
        <v>-5.7900313710000004</v>
      </c>
      <c r="I55" s="1901">
        <v>-9.167569555</v>
      </c>
      <c r="J55" s="1901">
        <v>-1.5172171999999999E-2</v>
      </c>
      <c r="K55" s="1901">
        <v>-8.4822776300000005</v>
      </c>
    </row>
    <row r="56" spans="1:11">
      <c r="A56" s="1900" t="s">
        <v>199</v>
      </c>
      <c r="B56" s="1900">
        <v>3897.925802359</v>
      </c>
      <c r="C56" s="1900">
        <v>5169.8029812349996</v>
      </c>
      <c r="D56" s="1900">
        <v>6461.5999223250001</v>
      </c>
      <c r="E56" s="1900">
        <v>7755.1696823250004</v>
      </c>
      <c r="F56" s="1900">
        <v>9068.2000337139998</v>
      </c>
      <c r="G56" s="1900">
        <v>10372.829770701001</v>
      </c>
      <c r="H56" s="1900">
        <v>11737.36251979</v>
      </c>
      <c r="I56" s="1900">
        <v>13111.292862147</v>
      </c>
      <c r="J56" s="1900">
        <v>14180.409138806999</v>
      </c>
      <c r="K56" s="1900">
        <v>14915.135203649001</v>
      </c>
    </row>
    <row r="57" spans="1:11">
      <c r="A57" s="1901" t="s">
        <v>200</v>
      </c>
      <c r="B57" s="1901">
        <v>2683.7268779760002</v>
      </c>
      <c r="C57" s="1901">
        <v>3897.925802359</v>
      </c>
      <c r="D57" s="1901">
        <v>5169.8029812349996</v>
      </c>
      <c r="E57" s="1901">
        <v>6461.5999223250001</v>
      </c>
      <c r="F57" s="1901">
        <v>7755.1696823250004</v>
      </c>
      <c r="G57" s="1901">
        <v>9068.2000337139998</v>
      </c>
      <c r="H57" s="1901">
        <v>10372.829770701001</v>
      </c>
      <c r="I57" s="1901">
        <v>11737.36251979</v>
      </c>
      <c r="J57" s="1901">
        <v>13111.292862147</v>
      </c>
      <c r="K57" s="1901">
        <v>14180.409138806999</v>
      </c>
    </row>
    <row r="58" spans="1:11">
      <c r="A58" s="1901" t="s">
        <v>197</v>
      </c>
      <c r="B58" s="1901">
        <v>1216.321669641</v>
      </c>
      <c r="C58" s="1901">
        <v>1272.729396148</v>
      </c>
      <c r="D58" s="1901">
        <v>1291.79694109</v>
      </c>
      <c r="E58" s="1901">
        <v>1293.5697600000001</v>
      </c>
      <c r="F58" s="1901">
        <v>1313.0303513890001</v>
      </c>
      <c r="G58" s="1901">
        <v>1304.6297369869999</v>
      </c>
      <c r="H58" s="1901">
        <v>1364.5327490889999</v>
      </c>
      <c r="I58" s="1901">
        <v>1383.097911912</v>
      </c>
      <c r="J58" s="1901">
        <v>1069.11627666</v>
      </c>
      <c r="K58" s="1901">
        <v>739.80137280600002</v>
      </c>
    </row>
    <row r="59" spans="1:11">
      <c r="A59" s="1901" t="s">
        <v>198</v>
      </c>
      <c r="B59" s="1901">
        <v>-2.1227452580000001</v>
      </c>
      <c r="C59" s="1901">
        <v>-0.85221727199999997</v>
      </c>
      <c r="D59" s="1901">
        <v>0</v>
      </c>
      <c r="E59" s="1901">
        <v>0</v>
      </c>
      <c r="F59" s="1901">
        <v>0</v>
      </c>
      <c r="G59" s="1901">
        <v>0</v>
      </c>
      <c r="H59" s="1901">
        <v>0</v>
      </c>
      <c r="I59" s="1901">
        <v>-9.167569555</v>
      </c>
      <c r="J59" s="1901">
        <v>0</v>
      </c>
      <c r="K59" s="1901">
        <v>-5.0753079640000003</v>
      </c>
    </row>
    <row r="60" spans="1:11">
      <c r="A60" s="1900" t="s">
        <v>201</v>
      </c>
      <c r="B60" s="1900">
        <v>0</v>
      </c>
      <c r="C60" s="1900">
        <v>0</v>
      </c>
      <c r="D60" s="1900">
        <v>0</v>
      </c>
      <c r="E60" s="1900">
        <v>0</v>
      </c>
      <c r="F60" s="1900">
        <v>0</v>
      </c>
      <c r="G60" s="1900">
        <v>0</v>
      </c>
      <c r="H60" s="1900">
        <v>0</v>
      </c>
      <c r="I60" s="1900">
        <v>0</v>
      </c>
      <c r="J60" s="1900">
        <v>0</v>
      </c>
      <c r="K60" s="1900">
        <v>11.983425797000001</v>
      </c>
    </row>
    <row r="61" spans="1:11">
      <c r="A61" s="1901" t="s">
        <v>196</v>
      </c>
      <c r="B61" s="1901">
        <v>0</v>
      </c>
      <c r="C61" s="1901">
        <v>0</v>
      </c>
      <c r="D61" s="1901">
        <v>0</v>
      </c>
      <c r="E61" s="1901">
        <v>0</v>
      </c>
      <c r="F61" s="1901">
        <v>0</v>
      </c>
      <c r="G61" s="1901">
        <v>0</v>
      </c>
      <c r="H61" s="1901">
        <v>0</v>
      </c>
      <c r="I61" s="1901">
        <v>0</v>
      </c>
      <c r="J61" s="1901">
        <v>0</v>
      </c>
      <c r="K61" s="1901">
        <v>0</v>
      </c>
    </row>
    <row r="62" spans="1:11">
      <c r="A62" s="1901" t="s">
        <v>197</v>
      </c>
      <c r="B62" s="1901">
        <v>0</v>
      </c>
      <c r="C62" s="1901">
        <v>0</v>
      </c>
      <c r="D62" s="1901">
        <v>0</v>
      </c>
      <c r="E62" s="1901">
        <v>0</v>
      </c>
      <c r="F62" s="1901">
        <v>0</v>
      </c>
      <c r="G62" s="1901">
        <v>0</v>
      </c>
      <c r="H62" s="1901">
        <v>0</v>
      </c>
      <c r="I62" s="1901">
        <v>0</v>
      </c>
      <c r="J62" s="1901">
        <v>0</v>
      </c>
      <c r="K62" s="1901">
        <v>11.983425797000001</v>
      </c>
    </row>
    <row r="63" spans="1:11">
      <c r="A63" s="1901" t="s">
        <v>198</v>
      </c>
      <c r="B63" s="1901">
        <v>0</v>
      </c>
      <c r="C63" s="1901">
        <v>0</v>
      </c>
      <c r="D63" s="1901">
        <v>0</v>
      </c>
      <c r="E63" s="1901">
        <v>0</v>
      </c>
      <c r="F63" s="1901">
        <v>0</v>
      </c>
      <c r="G63" s="1901">
        <v>0</v>
      </c>
      <c r="H63" s="1901">
        <v>0</v>
      </c>
      <c r="I63" s="1901">
        <v>0</v>
      </c>
      <c r="J63" s="1901">
        <v>0</v>
      </c>
      <c r="K63" s="1901">
        <v>0</v>
      </c>
    </row>
    <row r="64" spans="1:11">
      <c r="A64" s="1900" t="s">
        <v>202</v>
      </c>
      <c r="B64" s="1900">
        <v>0</v>
      </c>
      <c r="C64" s="1900">
        <v>0</v>
      </c>
      <c r="D64" s="1900">
        <v>0</v>
      </c>
      <c r="E64" s="1900">
        <v>0</v>
      </c>
      <c r="F64" s="1900">
        <v>0</v>
      </c>
      <c r="G64" s="1900">
        <v>0</v>
      </c>
      <c r="H64" s="1900">
        <v>0</v>
      </c>
      <c r="I64" s="1900">
        <v>0</v>
      </c>
      <c r="J64" s="1900">
        <v>0</v>
      </c>
      <c r="K64" s="1900">
        <v>0.77113698100000005</v>
      </c>
    </row>
    <row r="65" spans="1:11">
      <c r="A65" s="1901" t="s">
        <v>200</v>
      </c>
      <c r="B65" s="1901">
        <v>0</v>
      </c>
      <c r="C65" s="1901">
        <v>0</v>
      </c>
      <c r="D65" s="1901">
        <v>0</v>
      </c>
      <c r="E65" s="1901">
        <v>0</v>
      </c>
      <c r="F65" s="1901">
        <v>0</v>
      </c>
      <c r="G65" s="1901">
        <v>0</v>
      </c>
      <c r="H65" s="1901">
        <v>0</v>
      </c>
      <c r="I65" s="1901">
        <v>0</v>
      </c>
      <c r="J65" s="1901">
        <v>0</v>
      </c>
      <c r="K65" s="1901">
        <v>0</v>
      </c>
    </row>
    <row r="66" spans="1:11">
      <c r="A66" s="1901" t="s">
        <v>197</v>
      </c>
      <c r="B66" s="1901">
        <v>0</v>
      </c>
      <c r="C66" s="1901">
        <v>0</v>
      </c>
      <c r="D66" s="1901">
        <v>0</v>
      </c>
      <c r="E66" s="1901">
        <v>0</v>
      </c>
      <c r="F66" s="1901">
        <v>0</v>
      </c>
      <c r="G66" s="1901">
        <v>0</v>
      </c>
      <c r="H66" s="1901">
        <v>0</v>
      </c>
      <c r="I66" s="1901">
        <v>0</v>
      </c>
      <c r="J66" s="1901">
        <v>0</v>
      </c>
      <c r="K66" s="1901">
        <v>0.77113698100000005</v>
      </c>
    </row>
    <row r="67" spans="1:11">
      <c r="A67" s="1901" t="s">
        <v>198</v>
      </c>
      <c r="B67" s="1901">
        <v>0</v>
      </c>
      <c r="C67" s="1901">
        <v>0</v>
      </c>
      <c r="D67" s="1901">
        <v>0</v>
      </c>
      <c r="E67" s="1901">
        <v>0</v>
      </c>
      <c r="F67" s="1901">
        <v>0</v>
      </c>
      <c r="G67" s="1901">
        <v>0</v>
      </c>
      <c r="H67" s="1901">
        <v>0</v>
      </c>
      <c r="I67" s="1901">
        <v>0</v>
      </c>
      <c r="J67" s="1901">
        <v>0</v>
      </c>
      <c r="K67" s="1901">
        <v>0</v>
      </c>
    </row>
    <row r="68" spans="1:11">
      <c r="A68" s="1900" t="s">
        <v>203</v>
      </c>
      <c r="B68" s="1900">
        <v>81.168329894999999</v>
      </c>
      <c r="C68" s="1900">
        <v>95.872466668000001</v>
      </c>
      <c r="D68" s="1900">
        <v>85.774363907999998</v>
      </c>
      <c r="E68" s="1900">
        <v>105.889604017</v>
      </c>
      <c r="F68" s="1900">
        <v>129.455664501</v>
      </c>
      <c r="G68" s="1900">
        <v>146.71126237199999</v>
      </c>
      <c r="H68" s="1900">
        <v>153.100963527</v>
      </c>
      <c r="I68" s="1900">
        <v>178.46571786000001</v>
      </c>
      <c r="J68" s="1900">
        <v>500.31777013099997</v>
      </c>
      <c r="K68" s="1900">
        <v>537.97018190100005</v>
      </c>
    </row>
    <row r="69" spans="1:11">
      <c r="A69" s="1901" t="s">
        <v>196</v>
      </c>
      <c r="B69" s="1901">
        <v>47.157423178000002</v>
      </c>
      <c r="C69" s="1901">
        <v>81.168329894999999</v>
      </c>
      <c r="D69" s="1901">
        <v>95.872466668000001</v>
      </c>
      <c r="E69" s="1901">
        <v>85.774363907999998</v>
      </c>
      <c r="F69" s="1901">
        <v>105.889604017</v>
      </c>
      <c r="G69" s="1901">
        <v>129.455664501</v>
      </c>
      <c r="H69" s="1901">
        <v>146.71126237199999</v>
      </c>
      <c r="I69" s="1901">
        <v>153.100963527</v>
      </c>
      <c r="J69" s="1901">
        <v>178.46571786000001</v>
      </c>
      <c r="K69" s="1901">
        <v>500.31777013099997</v>
      </c>
    </row>
    <row r="70" spans="1:11">
      <c r="A70" s="1901" t="s">
        <v>197</v>
      </c>
      <c r="B70" s="1901">
        <v>34.010906716999997</v>
      </c>
      <c r="C70" s="1901">
        <v>14.704136773</v>
      </c>
      <c r="D70" s="1901">
        <v>1.040667</v>
      </c>
      <c r="E70" s="1901">
        <v>20.115240108999998</v>
      </c>
      <c r="F70" s="1901">
        <v>23.566060484000001</v>
      </c>
      <c r="G70" s="1901">
        <v>17.255597870999999</v>
      </c>
      <c r="H70" s="1901">
        <v>6.389701155</v>
      </c>
      <c r="I70" s="1901">
        <v>25.364754333</v>
      </c>
      <c r="J70" s="1901">
        <v>321.85205227099999</v>
      </c>
      <c r="K70" s="1901">
        <v>37.652411770000001</v>
      </c>
    </row>
    <row r="71" spans="1:11">
      <c r="A71" s="1901" t="s">
        <v>198</v>
      </c>
      <c r="B71" s="1901">
        <v>0</v>
      </c>
      <c r="C71" s="1901">
        <v>0</v>
      </c>
      <c r="D71" s="1901">
        <v>-11.138769760000001</v>
      </c>
      <c r="E71" s="1901">
        <v>0</v>
      </c>
      <c r="F71" s="1901">
        <v>0</v>
      </c>
      <c r="G71" s="1901">
        <v>0</v>
      </c>
      <c r="H71" s="1901">
        <v>0</v>
      </c>
      <c r="I71" s="1901">
        <v>0</v>
      </c>
      <c r="J71" s="1901">
        <v>0</v>
      </c>
      <c r="K71" s="1901">
        <v>0</v>
      </c>
    </row>
    <row r="72" spans="1:11">
      <c r="A72" s="1900" t="s">
        <v>204</v>
      </c>
      <c r="B72" s="1900">
        <v>12.702848854000001</v>
      </c>
      <c r="C72" s="1900">
        <v>33.432185949999997</v>
      </c>
      <c r="D72" s="1900">
        <v>53.814487933999999</v>
      </c>
      <c r="E72" s="1900">
        <v>67.110599030000003</v>
      </c>
      <c r="F72" s="1900">
        <v>76.306987140000004</v>
      </c>
      <c r="G72" s="1900">
        <v>90.913690176000003</v>
      </c>
      <c r="H72" s="1900">
        <v>114.165760388</v>
      </c>
      <c r="I72" s="1900">
        <v>131.25808738800001</v>
      </c>
      <c r="J72" s="1900">
        <v>149.91002915000001</v>
      </c>
      <c r="K72" s="1900">
        <v>174.18445779800001</v>
      </c>
    </row>
    <row r="73" spans="1:11">
      <c r="A73" s="1901" t="s">
        <v>200</v>
      </c>
      <c r="B73" s="1901">
        <v>1.101843106</v>
      </c>
      <c r="C73" s="1901">
        <v>12.702848854000001</v>
      </c>
      <c r="D73" s="1901">
        <v>33.432185949999997</v>
      </c>
      <c r="E73" s="1901">
        <v>53.814487933999999</v>
      </c>
      <c r="F73" s="1901">
        <v>67.110599030000003</v>
      </c>
      <c r="G73" s="1901">
        <v>76.306987140000004</v>
      </c>
      <c r="H73" s="1901">
        <v>90.913690176000003</v>
      </c>
      <c r="I73" s="1901">
        <v>114.165760388</v>
      </c>
      <c r="J73" s="1901">
        <v>131.25808738800001</v>
      </c>
      <c r="K73" s="1901">
        <v>149.91002915000001</v>
      </c>
    </row>
    <row r="74" spans="1:11">
      <c r="A74" s="1901" t="s">
        <v>197</v>
      </c>
      <c r="B74" s="1901">
        <v>11.601005748</v>
      </c>
      <c r="C74" s="1901">
        <v>20.729337095999998</v>
      </c>
      <c r="D74" s="1901">
        <v>21.933918712000001</v>
      </c>
      <c r="E74" s="1901">
        <v>13.296111096000001</v>
      </c>
      <c r="F74" s="1901">
        <v>9.1963881099999991</v>
      </c>
      <c r="G74" s="1901">
        <v>14.606703036000001</v>
      </c>
      <c r="H74" s="1901">
        <v>23.252070212</v>
      </c>
      <c r="I74" s="1901">
        <v>17.092327000000001</v>
      </c>
      <c r="J74" s="1901">
        <v>18.651941762</v>
      </c>
      <c r="K74" s="1901">
        <v>24.274428648000001</v>
      </c>
    </row>
    <row r="75" spans="1:11">
      <c r="A75" s="1901" t="s">
        <v>198</v>
      </c>
      <c r="B75" s="1901">
        <v>0</v>
      </c>
      <c r="C75" s="1901">
        <v>0</v>
      </c>
      <c r="D75" s="1901">
        <v>-1.5516167279999999</v>
      </c>
      <c r="E75" s="1901">
        <v>0</v>
      </c>
      <c r="F75" s="1901">
        <v>0</v>
      </c>
      <c r="G75" s="1901">
        <v>0</v>
      </c>
      <c r="H75" s="1901">
        <v>0</v>
      </c>
      <c r="I75" s="1901">
        <v>0</v>
      </c>
      <c r="J75" s="1901">
        <v>0</v>
      </c>
      <c r="K75" s="1901">
        <v>0</v>
      </c>
    </row>
    <row r="76" spans="1:11">
      <c r="A76" s="1900" t="s">
        <v>205</v>
      </c>
      <c r="B76" s="1900">
        <v>0</v>
      </c>
      <c r="C76" s="1900">
        <v>0</v>
      </c>
      <c r="D76" s="1900">
        <v>0</v>
      </c>
      <c r="E76" s="1900">
        <v>0</v>
      </c>
      <c r="F76" s="1900">
        <v>0</v>
      </c>
      <c r="G76" s="1900">
        <v>0</v>
      </c>
      <c r="H76" s="1900">
        <v>0</v>
      </c>
      <c r="I76" s="1900">
        <v>0</v>
      </c>
      <c r="J76" s="1900">
        <v>0</v>
      </c>
      <c r="K76" s="1900">
        <v>0</v>
      </c>
    </row>
    <row r="77" spans="1:11">
      <c r="A77" s="1901" t="s">
        <v>206</v>
      </c>
      <c r="B77" s="1901">
        <v>0</v>
      </c>
      <c r="C77" s="1901">
        <v>0</v>
      </c>
      <c r="D77" s="1901">
        <v>0</v>
      </c>
      <c r="E77" s="1901">
        <v>0</v>
      </c>
      <c r="F77" s="1901">
        <v>0</v>
      </c>
      <c r="G77" s="1901">
        <v>0</v>
      </c>
      <c r="H77" s="1901">
        <v>0</v>
      </c>
      <c r="I77" s="1901">
        <v>0</v>
      </c>
      <c r="J77" s="1901">
        <v>0</v>
      </c>
      <c r="K77" s="1901">
        <v>0</v>
      </c>
    </row>
    <row r="78" spans="1:11">
      <c r="A78" s="1901" t="s">
        <v>207</v>
      </c>
      <c r="B78" s="1901">
        <v>0</v>
      </c>
      <c r="C78" s="1901">
        <v>0</v>
      </c>
      <c r="D78" s="1901">
        <v>0</v>
      </c>
      <c r="E78" s="1901">
        <v>0</v>
      </c>
      <c r="F78" s="1901">
        <v>0</v>
      </c>
      <c r="G78" s="1901">
        <v>0</v>
      </c>
      <c r="H78" s="1901">
        <v>0</v>
      </c>
      <c r="I78" s="1901">
        <v>0</v>
      </c>
      <c r="J78" s="1901">
        <v>0</v>
      </c>
      <c r="K78" s="1901">
        <v>0</v>
      </c>
    </row>
    <row r="79" spans="1:11">
      <c r="A79" s="1901" t="s">
        <v>208</v>
      </c>
      <c r="B79" s="1901">
        <v>0</v>
      </c>
      <c r="C79" s="1901">
        <v>0</v>
      </c>
      <c r="D79" s="1901">
        <v>0</v>
      </c>
      <c r="E79" s="1901">
        <v>0</v>
      </c>
      <c r="F79" s="1901">
        <v>0</v>
      </c>
      <c r="G79" s="1901">
        <v>0</v>
      </c>
      <c r="H79" s="1901">
        <v>0</v>
      </c>
      <c r="I79" s="1901">
        <v>0</v>
      </c>
      <c r="J79" s="1901">
        <v>0</v>
      </c>
      <c r="K79" s="1901">
        <v>0</v>
      </c>
    </row>
    <row r="80" spans="1:11">
      <c r="A80" s="1901" t="s">
        <v>209</v>
      </c>
      <c r="B80" s="1901">
        <v>0</v>
      </c>
      <c r="C80" s="1901">
        <v>0</v>
      </c>
      <c r="D80" s="1901">
        <v>0</v>
      </c>
      <c r="E80" s="1901">
        <v>0</v>
      </c>
      <c r="F80" s="1901">
        <v>0</v>
      </c>
      <c r="G80" s="1901">
        <v>0</v>
      </c>
      <c r="H80" s="1901">
        <v>0</v>
      </c>
      <c r="I80" s="1901">
        <v>0</v>
      </c>
      <c r="J80" s="1901">
        <v>0</v>
      </c>
      <c r="K80" s="1901">
        <v>0</v>
      </c>
    </row>
    <row r="81" spans="1:11">
      <c r="A81" s="1901" t="s">
        <v>89</v>
      </c>
      <c r="B81" s="1901">
        <v>0</v>
      </c>
      <c r="C81" s="1901">
        <v>0</v>
      </c>
      <c r="D81" s="1901">
        <v>0</v>
      </c>
      <c r="E81" s="1901">
        <v>0</v>
      </c>
      <c r="F81" s="1901">
        <v>0</v>
      </c>
      <c r="G81" s="1901">
        <v>0</v>
      </c>
      <c r="H81" s="1901">
        <v>0</v>
      </c>
      <c r="I81" s="1901">
        <v>0</v>
      </c>
      <c r="J81" s="1901">
        <v>0</v>
      </c>
      <c r="K81" s="1901">
        <v>0</v>
      </c>
    </row>
    <row r="82" spans="1:11">
      <c r="A82" s="1900" t="s">
        <v>210</v>
      </c>
      <c r="B82" s="1900">
        <v>1319.1728088699999</v>
      </c>
      <c r="C82" s="1900">
        <v>1359.1623843140001</v>
      </c>
      <c r="D82" s="1900">
        <v>1062.377986921</v>
      </c>
      <c r="E82" s="1900">
        <v>1195.945359955</v>
      </c>
      <c r="F82" s="1900">
        <v>1156.3716984289999</v>
      </c>
      <c r="G82" s="1900">
        <v>685.40656374699995</v>
      </c>
      <c r="H82" s="1900">
        <v>689.16295133599999</v>
      </c>
      <c r="I82" s="1900">
        <v>2.559405532</v>
      </c>
      <c r="J82" s="1900">
        <v>845.80580895499997</v>
      </c>
      <c r="K82" s="1900">
        <v>1229.228015118</v>
      </c>
    </row>
    <row r="83" spans="1:11">
      <c r="A83" s="1901" t="s">
        <v>110</v>
      </c>
      <c r="B83" s="1901">
        <v>0</v>
      </c>
      <c r="C83" s="1901">
        <v>1359.1623843140001</v>
      </c>
      <c r="D83" s="1901">
        <v>3.6090225999999999</v>
      </c>
      <c r="E83" s="1901">
        <v>160.124501106</v>
      </c>
      <c r="F83" s="1901">
        <v>14.619058547</v>
      </c>
      <c r="G83" s="1901">
        <v>155.75806299999999</v>
      </c>
      <c r="H83" s="1901">
        <v>554.11400000000003</v>
      </c>
      <c r="I83" s="1901">
        <v>0</v>
      </c>
      <c r="J83" s="1901">
        <v>844.566868322</v>
      </c>
      <c r="K83" s="1901">
        <v>1162.86760968</v>
      </c>
    </row>
    <row r="84" spans="1:11">
      <c r="A84" s="1901" t="s">
        <v>211</v>
      </c>
      <c r="B84" s="1901">
        <v>1319.1728088699999</v>
      </c>
      <c r="C84" s="1901">
        <v>0</v>
      </c>
      <c r="D84" s="1901">
        <v>1058.7689643210001</v>
      </c>
      <c r="E84" s="1901">
        <v>1035.8208588489999</v>
      </c>
      <c r="F84" s="1901">
        <v>1141.752639882</v>
      </c>
      <c r="G84" s="1901">
        <v>529.64850074699996</v>
      </c>
      <c r="H84" s="1901">
        <v>135.04895133599999</v>
      </c>
      <c r="I84" s="1901">
        <v>2.559405532</v>
      </c>
      <c r="J84" s="1901">
        <v>1.2389406329999999</v>
      </c>
      <c r="K84" s="1901">
        <v>66.360405438000001</v>
      </c>
    </row>
    <row r="85" spans="1:11">
      <c r="A85" s="1900" t="s">
        <v>212</v>
      </c>
      <c r="B85" s="1900">
        <v>0</v>
      </c>
      <c r="C85" s="1900">
        <v>0</v>
      </c>
      <c r="D85" s="1900">
        <v>0</v>
      </c>
      <c r="E85" s="1900">
        <v>0</v>
      </c>
      <c r="F85" s="1900">
        <v>0</v>
      </c>
      <c r="G85" s="1900">
        <v>0</v>
      </c>
      <c r="H85" s="1900">
        <v>0</v>
      </c>
      <c r="I85" s="1900">
        <v>0</v>
      </c>
      <c r="J85" s="1900">
        <v>0</v>
      </c>
      <c r="K85" s="1900">
        <v>0</v>
      </c>
    </row>
    <row r="86" spans="1:11">
      <c r="A86" s="1901" t="s">
        <v>213</v>
      </c>
      <c r="B86" s="1901">
        <v>0</v>
      </c>
      <c r="C86" s="1901">
        <v>0</v>
      </c>
      <c r="D86" s="1901">
        <v>0</v>
      </c>
      <c r="E86" s="1901">
        <v>0</v>
      </c>
      <c r="F86" s="1901">
        <v>0</v>
      </c>
      <c r="G86" s="1901">
        <v>0</v>
      </c>
      <c r="H86" s="1901">
        <v>0</v>
      </c>
      <c r="I86" s="1901">
        <v>0</v>
      </c>
      <c r="J86" s="1901">
        <v>0</v>
      </c>
      <c r="K86" s="1901">
        <v>0</v>
      </c>
    </row>
    <row r="87" spans="1:11">
      <c r="A87" s="1901" t="s">
        <v>197</v>
      </c>
      <c r="B87" s="1901">
        <v>0</v>
      </c>
      <c r="C87" s="1901">
        <v>0</v>
      </c>
      <c r="D87" s="1901">
        <v>0</v>
      </c>
      <c r="E87" s="1901">
        <v>0</v>
      </c>
      <c r="F87" s="1901">
        <v>0</v>
      </c>
      <c r="G87" s="1901">
        <v>0</v>
      </c>
      <c r="H87" s="1901">
        <v>0</v>
      </c>
      <c r="I87" s="1901">
        <v>0</v>
      </c>
      <c r="J87" s="1901">
        <v>0</v>
      </c>
      <c r="K87" s="1901">
        <v>0</v>
      </c>
    </row>
    <row r="88" spans="1:11">
      <c r="A88" s="1901" t="s">
        <v>198</v>
      </c>
      <c r="B88" s="1901">
        <v>0</v>
      </c>
      <c r="C88" s="1901">
        <v>0</v>
      </c>
      <c r="D88" s="1901">
        <v>0</v>
      </c>
      <c r="E88" s="1901">
        <v>0</v>
      </c>
      <c r="F88" s="1901">
        <v>0</v>
      </c>
      <c r="G88" s="1901">
        <v>0</v>
      </c>
      <c r="H88" s="1901">
        <v>0</v>
      </c>
      <c r="I88" s="1901">
        <v>0</v>
      </c>
      <c r="J88" s="1901">
        <v>0</v>
      </c>
      <c r="K88" s="1901">
        <v>0</v>
      </c>
    </row>
    <row r="89" spans="1:11">
      <c r="A89" s="1900" t="s">
        <v>214</v>
      </c>
      <c r="B89" s="1900">
        <v>0</v>
      </c>
      <c r="C89" s="1900">
        <v>0</v>
      </c>
      <c r="D89" s="1900">
        <v>0</v>
      </c>
      <c r="E89" s="1900">
        <v>0</v>
      </c>
      <c r="F89" s="1900">
        <v>0</v>
      </c>
      <c r="G89" s="1900">
        <v>0</v>
      </c>
      <c r="H89" s="1900">
        <v>0</v>
      </c>
      <c r="I89" s="1900">
        <v>0</v>
      </c>
      <c r="J89" s="1900">
        <v>0</v>
      </c>
      <c r="K89" s="1900">
        <v>0</v>
      </c>
    </row>
    <row r="90" spans="1:11">
      <c r="A90" s="1901" t="s">
        <v>215</v>
      </c>
      <c r="B90" s="1901">
        <v>0</v>
      </c>
      <c r="C90" s="1901">
        <v>0</v>
      </c>
      <c r="D90" s="1901">
        <v>0</v>
      </c>
      <c r="E90" s="1901">
        <v>0</v>
      </c>
      <c r="F90" s="1901">
        <v>0</v>
      </c>
      <c r="G90" s="1901">
        <v>0</v>
      </c>
      <c r="H90" s="1901">
        <v>0</v>
      </c>
      <c r="I90" s="1901">
        <v>0</v>
      </c>
      <c r="J90" s="1901">
        <v>0</v>
      </c>
      <c r="K90" s="1901">
        <v>0</v>
      </c>
    </row>
    <row r="91" spans="1:11">
      <c r="A91" s="1901" t="s">
        <v>197</v>
      </c>
      <c r="B91" s="1901">
        <v>0</v>
      </c>
      <c r="C91" s="1901">
        <v>0</v>
      </c>
      <c r="D91" s="1901">
        <v>0</v>
      </c>
      <c r="E91" s="1901">
        <v>0</v>
      </c>
      <c r="F91" s="1901">
        <v>0</v>
      </c>
      <c r="G91" s="1901">
        <v>0</v>
      </c>
      <c r="H91" s="1901">
        <v>0</v>
      </c>
      <c r="I91" s="1901">
        <v>0</v>
      </c>
      <c r="J91" s="1901">
        <v>0</v>
      </c>
      <c r="K91" s="1901">
        <v>0</v>
      </c>
    </row>
    <row r="92" spans="1:11">
      <c r="A92" s="1901" t="s">
        <v>198</v>
      </c>
      <c r="B92" s="1901">
        <v>0</v>
      </c>
      <c r="C92" s="1901">
        <v>0</v>
      </c>
      <c r="D92" s="1901">
        <v>0</v>
      </c>
      <c r="E92" s="1901">
        <v>0</v>
      </c>
      <c r="F92" s="1901">
        <v>0</v>
      </c>
      <c r="G92" s="1901">
        <v>0</v>
      </c>
      <c r="H92" s="1901">
        <v>0</v>
      </c>
      <c r="I92" s="1901">
        <v>0</v>
      </c>
      <c r="J92" s="1901">
        <v>0</v>
      </c>
      <c r="K92" s="1901">
        <v>0</v>
      </c>
    </row>
    <row r="93" spans="1:11">
      <c r="A93" s="1900" t="s">
        <v>216</v>
      </c>
      <c r="B93" s="1900">
        <v>6.3193458370000002</v>
      </c>
      <c r="C93" s="1900">
        <v>3.3748746220000001</v>
      </c>
      <c r="D93" s="1900">
        <v>15.559115868999999</v>
      </c>
      <c r="E93" s="1900">
        <v>34.084233017999999</v>
      </c>
      <c r="F93" s="1900">
        <v>22.412352131999999</v>
      </c>
      <c r="G93" s="1900">
        <v>31.066794230999999</v>
      </c>
      <c r="H93" s="1900">
        <v>94.738342896000006</v>
      </c>
      <c r="I93" s="1900">
        <v>71.483643552999993</v>
      </c>
      <c r="J93" s="1900">
        <v>74.088243051000006</v>
      </c>
      <c r="K93" s="1900">
        <v>50.531784526000003</v>
      </c>
    </row>
    <row r="94" spans="1:11">
      <c r="A94" s="1901" t="s">
        <v>217</v>
      </c>
      <c r="B94" s="1901">
        <v>0.47523921899999999</v>
      </c>
      <c r="C94" s="1901">
        <v>1.0532391999999999</v>
      </c>
      <c r="D94" s="1901">
        <v>0.29506118799999997</v>
      </c>
      <c r="E94" s="1901">
        <v>0.64657841699999996</v>
      </c>
      <c r="F94" s="1901">
        <v>1.1218190109999999</v>
      </c>
      <c r="G94" s="1901">
        <v>1.7953816069999999</v>
      </c>
      <c r="H94" s="1901">
        <v>0.39370513000000001</v>
      </c>
      <c r="I94" s="1901">
        <v>1.147662519</v>
      </c>
      <c r="J94" s="1901">
        <v>3.7036999999999998E-5</v>
      </c>
      <c r="K94" s="1901">
        <v>0</v>
      </c>
    </row>
    <row r="95" spans="1:11">
      <c r="A95" s="1901" t="s">
        <v>218</v>
      </c>
      <c r="B95" s="1901">
        <v>0</v>
      </c>
      <c r="C95" s="1901">
        <v>0</v>
      </c>
      <c r="D95" s="1901">
        <v>0</v>
      </c>
      <c r="E95" s="1901">
        <v>0</v>
      </c>
      <c r="F95" s="1901">
        <v>0</v>
      </c>
      <c r="G95" s="1901">
        <v>0</v>
      </c>
      <c r="H95" s="1901">
        <v>0</v>
      </c>
      <c r="I95" s="1901">
        <v>0</v>
      </c>
      <c r="J95" s="1901">
        <v>0</v>
      </c>
      <c r="K95" s="1901">
        <v>0</v>
      </c>
    </row>
    <row r="96" spans="1:11">
      <c r="A96" s="1901" t="s">
        <v>219</v>
      </c>
      <c r="B96" s="1901">
        <v>0</v>
      </c>
      <c r="C96" s="1901">
        <v>0</v>
      </c>
      <c r="D96" s="1901">
        <v>0</v>
      </c>
      <c r="E96" s="1901">
        <v>0</v>
      </c>
      <c r="F96" s="1901">
        <v>0</v>
      </c>
      <c r="G96" s="1901">
        <v>0</v>
      </c>
      <c r="H96" s="1901">
        <v>0</v>
      </c>
      <c r="I96" s="1901">
        <v>0</v>
      </c>
      <c r="J96" s="1901">
        <v>9.5171735430000002</v>
      </c>
      <c r="K96" s="1901">
        <v>0</v>
      </c>
    </row>
    <row r="97" spans="1:11">
      <c r="A97" s="1901" t="s">
        <v>220</v>
      </c>
      <c r="B97" s="1901">
        <v>1.355379989</v>
      </c>
      <c r="C97" s="1901">
        <v>0.31161972199999999</v>
      </c>
      <c r="D97" s="1901">
        <v>11.578003175999999</v>
      </c>
      <c r="E97" s="1901">
        <v>27.828716706000002</v>
      </c>
      <c r="F97" s="1901">
        <v>16.500926411999998</v>
      </c>
      <c r="G97" s="1901">
        <v>26.953732461000001</v>
      </c>
      <c r="H97" s="1901">
        <v>86.122729515000003</v>
      </c>
      <c r="I97" s="1901">
        <v>61.590689716999997</v>
      </c>
      <c r="J97" s="1901">
        <v>54.161526803000001</v>
      </c>
      <c r="K97" s="1901">
        <v>35.810001468999999</v>
      </c>
    </row>
    <row r="98" spans="1:11">
      <c r="A98" s="1901" t="s">
        <v>221</v>
      </c>
      <c r="B98" s="1901">
        <v>9.1601279999999993E-2</v>
      </c>
      <c r="C98" s="1901">
        <v>0</v>
      </c>
      <c r="D98" s="1901">
        <v>3.4384023749999999</v>
      </c>
      <c r="E98" s="1901">
        <v>5.1121521980000004</v>
      </c>
      <c r="F98" s="1901">
        <v>4.3339922949999998</v>
      </c>
      <c r="G98" s="1901">
        <v>2.0720029630000001</v>
      </c>
      <c r="H98" s="1901">
        <v>8.0014978009999993</v>
      </c>
      <c r="I98" s="1901">
        <v>8.5162881170000002</v>
      </c>
      <c r="J98" s="1901">
        <v>10.181148818</v>
      </c>
      <c r="K98" s="1901">
        <v>14.469579508000001</v>
      </c>
    </row>
    <row r="99" spans="1:11">
      <c r="A99" s="1901" t="s">
        <v>222</v>
      </c>
      <c r="B99" s="1901">
        <v>0</v>
      </c>
      <c r="C99" s="1901">
        <v>9.1600340000000002E-2</v>
      </c>
      <c r="D99" s="1901">
        <v>0.13339645999999999</v>
      </c>
      <c r="E99" s="1901">
        <v>0.20234513000000001</v>
      </c>
      <c r="F99" s="1901">
        <v>0.22900319999999999</v>
      </c>
      <c r="G99" s="1901">
        <v>0.22900319999999999</v>
      </c>
      <c r="H99" s="1901">
        <v>0.21630645000000001</v>
      </c>
      <c r="I99" s="1901">
        <v>0.22900319999999999</v>
      </c>
      <c r="J99" s="1901">
        <v>0.22835685</v>
      </c>
      <c r="K99" s="1901">
        <v>0.22900319999999999</v>
      </c>
    </row>
    <row r="100" spans="1:11">
      <c r="A100" s="1901" t="s">
        <v>223</v>
      </c>
      <c r="B100" s="1901">
        <v>0</v>
      </c>
      <c r="C100" s="1901">
        <v>0</v>
      </c>
      <c r="D100" s="1901">
        <v>0</v>
      </c>
      <c r="E100" s="1901">
        <v>0</v>
      </c>
      <c r="F100" s="1901">
        <v>0</v>
      </c>
      <c r="G100" s="1901">
        <v>0</v>
      </c>
      <c r="H100" s="1901">
        <v>0</v>
      </c>
      <c r="I100" s="1901">
        <v>0</v>
      </c>
      <c r="J100" s="1901">
        <v>0</v>
      </c>
      <c r="K100" s="1901">
        <v>0</v>
      </c>
    </row>
    <row r="101" spans="1:11">
      <c r="A101" s="1901" t="s">
        <v>224</v>
      </c>
      <c r="B101" s="1901">
        <v>4.3971253490000004</v>
      </c>
      <c r="C101" s="1901">
        <v>1.91841536</v>
      </c>
      <c r="D101" s="1901">
        <v>0.11425267</v>
      </c>
      <c r="E101" s="1901">
        <v>0.29444056699999999</v>
      </c>
      <c r="F101" s="1901">
        <v>0.22661121400000001</v>
      </c>
      <c r="G101" s="1901">
        <v>1.6674000000000001E-2</v>
      </c>
      <c r="H101" s="1901">
        <v>4.104E-3</v>
      </c>
      <c r="I101" s="1901">
        <v>0</v>
      </c>
      <c r="J101" s="1901">
        <v>0</v>
      </c>
      <c r="K101" s="1901">
        <v>2.3200348999999999E-2</v>
      </c>
    </row>
    <row r="102" spans="1:11">
      <c r="A102" s="1901" t="s">
        <v>225</v>
      </c>
      <c r="B102" s="1901">
        <v>0</v>
      </c>
      <c r="C102" s="1901">
        <v>0</v>
      </c>
      <c r="D102" s="1901">
        <v>0</v>
      </c>
      <c r="E102" s="1901">
        <v>0</v>
      </c>
      <c r="F102" s="1901">
        <v>0</v>
      </c>
      <c r="G102" s="1901">
        <v>0</v>
      </c>
      <c r="H102" s="1901">
        <v>0</v>
      </c>
      <c r="I102" s="1901">
        <v>0</v>
      </c>
      <c r="J102" s="1901">
        <v>0</v>
      </c>
      <c r="K102" s="1901">
        <v>0</v>
      </c>
    </row>
    <row r="103" spans="1:11">
      <c r="A103" s="1900" t="s">
        <v>226</v>
      </c>
      <c r="B103" s="1900">
        <v>342.69198411600001</v>
      </c>
      <c r="C103" s="1900">
        <v>67.875659036000002</v>
      </c>
      <c r="D103" s="1900">
        <v>610.28437908399997</v>
      </c>
      <c r="E103" s="1900">
        <v>669.74733838099996</v>
      </c>
      <c r="F103" s="1900">
        <v>794.18774090500006</v>
      </c>
      <c r="G103" s="1900">
        <v>126.023426538</v>
      </c>
      <c r="H103" s="1900">
        <v>553.15696346300001</v>
      </c>
      <c r="I103" s="1900">
        <v>238.922429225</v>
      </c>
      <c r="J103" s="1900">
        <v>444.104239194</v>
      </c>
      <c r="K103" s="1900">
        <v>466.15776222400001</v>
      </c>
    </row>
    <row r="104" spans="1:11">
      <c r="A104" s="1901" t="s">
        <v>1215</v>
      </c>
      <c r="B104" s="1901">
        <v>0</v>
      </c>
      <c r="C104" s="1901">
        <v>0</v>
      </c>
      <c r="D104" s="1901">
        <v>0</v>
      </c>
      <c r="E104" s="1901">
        <v>0</v>
      </c>
      <c r="F104" s="1901">
        <v>0</v>
      </c>
      <c r="G104" s="1901">
        <v>0</v>
      </c>
      <c r="H104" s="1901">
        <v>0</v>
      </c>
      <c r="I104" s="1901">
        <v>0</v>
      </c>
      <c r="J104" s="1901">
        <v>0</v>
      </c>
      <c r="K104" s="1901">
        <v>0</v>
      </c>
    </row>
    <row r="105" spans="1:11">
      <c r="A105" s="1901" t="s">
        <v>227</v>
      </c>
      <c r="B105" s="1901">
        <v>0</v>
      </c>
      <c r="C105" s="1901">
        <v>0</v>
      </c>
      <c r="D105" s="1901">
        <v>0</v>
      </c>
      <c r="E105" s="1901">
        <v>0</v>
      </c>
      <c r="F105" s="1901">
        <v>0</v>
      </c>
      <c r="G105" s="1901">
        <v>0</v>
      </c>
      <c r="H105" s="1901">
        <v>0</v>
      </c>
      <c r="I105" s="1901">
        <v>0</v>
      </c>
      <c r="J105" s="1901">
        <v>0</v>
      </c>
      <c r="K105" s="1901">
        <v>0</v>
      </c>
    </row>
    <row r="106" spans="1:11">
      <c r="A106" s="1901" t="s">
        <v>1216</v>
      </c>
      <c r="B106" s="1901">
        <v>0</v>
      </c>
      <c r="C106" s="1901">
        <v>0</v>
      </c>
      <c r="D106" s="1901">
        <v>0</v>
      </c>
      <c r="E106" s="1901">
        <v>0</v>
      </c>
      <c r="F106" s="1901">
        <v>0</v>
      </c>
      <c r="G106" s="1901">
        <v>0</v>
      </c>
      <c r="H106" s="1901">
        <v>0</v>
      </c>
      <c r="I106" s="1901">
        <v>0</v>
      </c>
      <c r="J106" s="1901">
        <v>0</v>
      </c>
      <c r="K106" s="1901">
        <v>0</v>
      </c>
    </row>
    <row r="107" spans="1:11">
      <c r="A107" s="1901" t="s">
        <v>190</v>
      </c>
      <c r="B107" s="1901">
        <v>342.69198411600001</v>
      </c>
      <c r="C107" s="1901">
        <v>67.875659036000002</v>
      </c>
      <c r="D107" s="1901">
        <v>610.28437908399997</v>
      </c>
      <c r="E107" s="1901">
        <v>669.74733838099996</v>
      </c>
      <c r="F107" s="1901">
        <v>794.18774090500006</v>
      </c>
      <c r="G107" s="1901">
        <v>126.023426538</v>
      </c>
      <c r="H107" s="1901">
        <v>553.15696346300001</v>
      </c>
      <c r="I107" s="1901">
        <v>238.922429225</v>
      </c>
      <c r="J107" s="1901">
        <v>444.104239194</v>
      </c>
      <c r="K107" s="1901">
        <v>466.15776222400001</v>
      </c>
    </row>
    <row r="108" spans="1:11">
      <c r="A108" s="1900" t="s">
        <v>228</v>
      </c>
      <c r="B108" s="1900">
        <v>205.97707268299999</v>
      </c>
      <c r="C108" s="1900">
        <v>248.03085098400001</v>
      </c>
      <c r="D108" s="1900">
        <v>221.137473632</v>
      </c>
      <c r="E108" s="1900">
        <v>231.677522985</v>
      </c>
      <c r="F108" s="1900">
        <v>203.311278711</v>
      </c>
      <c r="G108" s="1900">
        <v>127.381799366</v>
      </c>
      <c r="H108" s="1900">
        <v>386.49752383800001</v>
      </c>
      <c r="I108" s="1900">
        <v>304.13712770799998</v>
      </c>
      <c r="J108" s="1900">
        <v>65.901883957999999</v>
      </c>
      <c r="K108" s="1900">
        <v>64.017498673999995</v>
      </c>
    </row>
    <row r="109" spans="1:11">
      <c r="A109" s="1901" t="s">
        <v>229</v>
      </c>
      <c r="B109" s="1901">
        <v>0</v>
      </c>
      <c r="C109" s="1901">
        <v>0</v>
      </c>
      <c r="D109" s="1901">
        <v>0</v>
      </c>
      <c r="E109" s="1901">
        <v>0</v>
      </c>
      <c r="F109" s="1901">
        <v>0</v>
      </c>
      <c r="G109" s="1901">
        <v>0</v>
      </c>
      <c r="H109" s="1901">
        <v>0</v>
      </c>
      <c r="I109" s="1901">
        <v>0</v>
      </c>
      <c r="J109" s="1901">
        <v>0</v>
      </c>
      <c r="K109" s="1901">
        <v>0</v>
      </c>
    </row>
    <row r="110" spans="1:11">
      <c r="A110" s="1901" t="s">
        <v>230</v>
      </c>
      <c r="B110" s="1901">
        <v>1.867411036</v>
      </c>
      <c r="C110" s="1901">
        <v>0.88499068199999997</v>
      </c>
      <c r="D110" s="1901">
        <v>1.271810485</v>
      </c>
      <c r="E110" s="1901">
        <v>1.42128129</v>
      </c>
      <c r="F110" s="1901">
        <v>1.8556503900000001</v>
      </c>
      <c r="G110" s="1901">
        <v>2.6091069600000001</v>
      </c>
      <c r="H110" s="1901">
        <v>1.0841459170000001</v>
      </c>
      <c r="I110" s="1901">
        <v>0.92154590700000005</v>
      </c>
      <c r="J110" s="1901">
        <v>0.99850555699999999</v>
      </c>
      <c r="K110" s="1901">
        <v>1.092055878</v>
      </c>
    </row>
    <row r="111" spans="1:11">
      <c r="A111" s="1901" t="s">
        <v>1217</v>
      </c>
      <c r="B111" s="1901">
        <v>0</v>
      </c>
      <c r="C111" s="1901">
        <v>0</v>
      </c>
      <c r="D111" s="1901">
        <v>0</v>
      </c>
      <c r="E111" s="1901">
        <v>0.28669282499999998</v>
      </c>
      <c r="F111" s="1901">
        <v>1.086558852</v>
      </c>
      <c r="G111" s="1901">
        <v>0</v>
      </c>
      <c r="H111" s="1901">
        <v>0</v>
      </c>
      <c r="I111" s="1901">
        <v>0</v>
      </c>
      <c r="J111" s="1901">
        <v>0</v>
      </c>
      <c r="K111" s="1901">
        <v>0</v>
      </c>
    </row>
    <row r="112" spans="1:11">
      <c r="A112" s="1901" t="s">
        <v>1218</v>
      </c>
      <c r="B112" s="1901">
        <v>0</v>
      </c>
      <c r="C112" s="1901">
        <v>0</v>
      </c>
      <c r="D112" s="1901">
        <v>0</v>
      </c>
      <c r="E112" s="1901">
        <v>5.1072748000000001E-2</v>
      </c>
      <c r="F112" s="1901">
        <v>0.18845120500000001</v>
      </c>
      <c r="G112" s="1901">
        <v>0</v>
      </c>
      <c r="H112" s="1901">
        <v>0</v>
      </c>
      <c r="I112" s="1901">
        <v>0</v>
      </c>
      <c r="J112" s="1901">
        <v>0</v>
      </c>
      <c r="K112" s="1901">
        <v>0</v>
      </c>
    </row>
    <row r="113" spans="1:11">
      <c r="A113" s="1901" t="s">
        <v>231</v>
      </c>
      <c r="B113" s="1901">
        <v>0</v>
      </c>
      <c r="C113" s="1901">
        <v>0</v>
      </c>
      <c r="D113" s="1901">
        <v>0</v>
      </c>
      <c r="E113" s="1901">
        <v>2.5418156000000001E-2</v>
      </c>
      <c r="F113" s="1901">
        <v>7.7896036000000002E-2</v>
      </c>
      <c r="G113" s="1901">
        <v>0</v>
      </c>
      <c r="H113" s="1901">
        <v>0</v>
      </c>
      <c r="I113" s="1901">
        <v>0</v>
      </c>
      <c r="J113" s="1901">
        <v>0</v>
      </c>
      <c r="K113" s="1901">
        <v>0</v>
      </c>
    </row>
    <row r="114" spans="1:11">
      <c r="A114" s="1901" t="s">
        <v>232</v>
      </c>
      <c r="B114" s="1901">
        <v>0</v>
      </c>
      <c r="C114" s="1901">
        <v>0</v>
      </c>
      <c r="D114" s="1901">
        <v>0</v>
      </c>
      <c r="E114" s="1901">
        <v>0</v>
      </c>
      <c r="F114" s="1901">
        <v>0</v>
      </c>
      <c r="G114" s="1901">
        <v>0</v>
      </c>
      <c r="H114" s="1901">
        <v>261.05947245499999</v>
      </c>
      <c r="I114" s="1901">
        <v>0</v>
      </c>
      <c r="J114" s="1901">
        <v>0</v>
      </c>
      <c r="K114" s="1901">
        <v>0</v>
      </c>
    </row>
    <row r="115" spans="1:11">
      <c r="A115" s="1901" t="s">
        <v>233</v>
      </c>
      <c r="B115" s="1901">
        <v>0.41352749999999999</v>
      </c>
      <c r="C115" s="1901">
        <v>2.1842825000000001</v>
      </c>
      <c r="D115" s="1901">
        <v>0.57136600000000004</v>
      </c>
      <c r="E115" s="1901">
        <v>1.3773138</v>
      </c>
      <c r="F115" s="1901">
        <v>0.60443199999999997</v>
      </c>
      <c r="G115" s="1901">
        <v>1.145292</v>
      </c>
      <c r="H115" s="1901">
        <v>1.7738075310000001</v>
      </c>
      <c r="I115" s="1901">
        <v>4.7156712179999998</v>
      </c>
      <c r="J115" s="1901">
        <v>7.1812644839999997</v>
      </c>
      <c r="K115" s="1901">
        <v>5.7527218680000001</v>
      </c>
    </row>
    <row r="116" spans="1:11">
      <c r="A116" s="1901" t="s">
        <v>234</v>
      </c>
      <c r="B116" s="1901">
        <v>0</v>
      </c>
      <c r="C116" s="1901">
        <v>0</v>
      </c>
      <c r="D116" s="1901">
        <v>0</v>
      </c>
      <c r="E116" s="1901">
        <v>0</v>
      </c>
      <c r="F116" s="1901">
        <v>0</v>
      </c>
      <c r="G116" s="1901">
        <v>0</v>
      </c>
      <c r="H116" s="1901">
        <v>0</v>
      </c>
      <c r="I116" s="1901">
        <v>0</v>
      </c>
      <c r="J116" s="1901">
        <v>0</v>
      </c>
      <c r="K116" s="1901">
        <v>0</v>
      </c>
    </row>
    <row r="117" spans="1:11">
      <c r="A117" s="1901" t="s">
        <v>190</v>
      </c>
      <c r="B117" s="1901">
        <v>203.69613414700001</v>
      </c>
      <c r="C117" s="1901">
        <v>244.96157780199999</v>
      </c>
      <c r="D117" s="1901">
        <v>219.29429714700001</v>
      </c>
      <c r="E117" s="1901">
        <v>228.51574416599999</v>
      </c>
      <c r="F117" s="1901">
        <v>199.498290228</v>
      </c>
      <c r="G117" s="1901">
        <v>123.62740040600001</v>
      </c>
      <c r="H117" s="1901">
        <v>122.580097935</v>
      </c>
      <c r="I117" s="1901">
        <v>298.49991058299997</v>
      </c>
      <c r="J117" s="1901">
        <v>57.722113917000001</v>
      </c>
      <c r="K117" s="1901">
        <v>57.172720927999997</v>
      </c>
    </row>
    <row r="118" spans="1:11">
      <c r="A118" s="1900" t="s">
        <v>235</v>
      </c>
      <c r="B118" s="1900">
        <v>5753.0878660420003</v>
      </c>
      <c r="C118" s="1900">
        <v>4538.3801550400003</v>
      </c>
      <c r="D118" s="1900">
        <v>4732.6479055199998</v>
      </c>
      <c r="E118" s="1900">
        <v>1508.269730041</v>
      </c>
      <c r="F118" s="1900">
        <v>628.47249524100005</v>
      </c>
      <c r="G118" s="1900">
        <v>137.062222093</v>
      </c>
      <c r="H118" s="1900">
        <v>2.6763435320000002</v>
      </c>
      <c r="I118" s="1900">
        <v>1.0484815000000001</v>
      </c>
      <c r="J118" s="1900">
        <v>2.9644798749999999</v>
      </c>
      <c r="K118" s="1900">
        <v>119.527496051</v>
      </c>
    </row>
    <row r="119" spans="1:11">
      <c r="A119" s="1901" t="s">
        <v>236</v>
      </c>
      <c r="B119" s="1901">
        <v>5753.0878660420003</v>
      </c>
      <c r="C119" s="1901">
        <v>4538.3801550400003</v>
      </c>
      <c r="D119" s="1901">
        <v>4732.6479055199998</v>
      </c>
      <c r="E119" s="1901">
        <v>1508.269730041</v>
      </c>
      <c r="F119" s="1901">
        <v>628.47249524100005</v>
      </c>
      <c r="G119" s="1901">
        <v>137.062222093</v>
      </c>
      <c r="H119" s="1901">
        <v>2.6763435320000002</v>
      </c>
      <c r="I119" s="1901">
        <v>1.0484815000000001</v>
      </c>
      <c r="J119" s="1901">
        <v>2.9644798749999999</v>
      </c>
      <c r="K119" s="1901">
        <v>112.5385275</v>
      </c>
    </row>
    <row r="120" spans="1:11">
      <c r="A120" s="1901" t="s">
        <v>237</v>
      </c>
      <c r="B120" s="1901">
        <v>0</v>
      </c>
      <c r="C120" s="1901">
        <v>0</v>
      </c>
      <c r="D120" s="1901">
        <v>0</v>
      </c>
      <c r="E120" s="1901">
        <v>0</v>
      </c>
      <c r="F120" s="1901">
        <v>0</v>
      </c>
      <c r="G120" s="1901">
        <v>0</v>
      </c>
      <c r="H120" s="1901">
        <v>0</v>
      </c>
      <c r="I120" s="1901">
        <v>0</v>
      </c>
      <c r="J120" s="1901">
        <v>0</v>
      </c>
      <c r="K120" s="1901">
        <v>0</v>
      </c>
    </row>
    <row r="121" spans="1:11">
      <c r="A121" s="1901" t="s">
        <v>238</v>
      </c>
      <c r="B121" s="1901">
        <v>0</v>
      </c>
      <c r="C121" s="1901">
        <v>0</v>
      </c>
      <c r="D121" s="1901">
        <v>0</v>
      </c>
      <c r="E121" s="1901">
        <v>0</v>
      </c>
      <c r="F121" s="1901">
        <v>0</v>
      </c>
      <c r="G121" s="1901">
        <v>0</v>
      </c>
      <c r="H121" s="1901">
        <v>0</v>
      </c>
      <c r="I121" s="1901">
        <v>0</v>
      </c>
      <c r="J121" s="1901">
        <v>0</v>
      </c>
      <c r="K121" s="1901">
        <v>0</v>
      </c>
    </row>
    <row r="122" spans="1:11">
      <c r="A122" s="1901" t="s">
        <v>239</v>
      </c>
      <c r="B122" s="1901">
        <v>0</v>
      </c>
      <c r="C122" s="1901">
        <v>0</v>
      </c>
      <c r="D122" s="1901">
        <v>0</v>
      </c>
      <c r="E122" s="1901">
        <v>0</v>
      </c>
      <c r="F122" s="1901">
        <v>0</v>
      </c>
      <c r="G122" s="1901">
        <v>0</v>
      </c>
      <c r="H122" s="1901">
        <v>0</v>
      </c>
      <c r="I122" s="1901">
        <v>0</v>
      </c>
      <c r="J122" s="1901">
        <v>0</v>
      </c>
      <c r="K122" s="1901">
        <v>6.9889685510000001</v>
      </c>
    </row>
    <row r="123" spans="1:11">
      <c r="A123" s="1901" t="s">
        <v>240</v>
      </c>
      <c r="B123" s="1901">
        <v>0</v>
      </c>
      <c r="C123" s="1901">
        <v>0</v>
      </c>
      <c r="D123" s="1901">
        <v>0</v>
      </c>
      <c r="E123" s="1901">
        <v>0</v>
      </c>
      <c r="F123" s="1901">
        <v>0</v>
      </c>
      <c r="G123" s="1901">
        <v>0</v>
      </c>
      <c r="H123" s="1901">
        <v>0</v>
      </c>
      <c r="I123" s="1901">
        <v>0</v>
      </c>
      <c r="J123" s="1901">
        <v>0</v>
      </c>
      <c r="K123" s="1901">
        <v>0</v>
      </c>
    </row>
    <row r="124" spans="1:11">
      <c r="A124" s="1900" t="s">
        <v>241</v>
      </c>
      <c r="B124" s="1900">
        <v>5294</v>
      </c>
      <c r="C124" s="1900">
        <v>0</v>
      </c>
      <c r="D124" s="1900">
        <v>0</v>
      </c>
      <c r="E124" s="1900">
        <v>0</v>
      </c>
      <c r="F124" s="1900">
        <v>0</v>
      </c>
      <c r="G124" s="1900">
        <v>0</v>
      </c>
      <c r="H124" s="1900">
        <v>0</v>
      </c>
      <c r="I124" s="1900">
        <v>0</v>
      </c>
      <c r="J124" s="1900">
        <v>0</v>
      </c>
      <c r="K124" s="1900">
        <v>0</v>
      </c>
    </row>
    <row r="125" spans="1:11">
      <c r="A125" s="1901" t="s">
        <v>242</v>
      </c>
      <c r="B125" s="1901">
        <v>0</v>
      </c>
      <c r="C125" s="1901">
        <v>0</v>
      </c>
      <c r="D125" s="1901">
        <v>0</v>
      </c>
      <c r="E125" s="1901">
        <v>0</v>
      </c>
      <c r="F125" s="1901">
        <v>0</v>
      </c>
      <c r="G125" s="1901">
        <v>0</v>
      </c>
      <c r="H125" s="1901">
        <v>0</v>
      </c>
      <c r="I125" s="1901">
        <v>0</v>
      </c>
      <c r="J125" s="1901">
        <v>0</v>
      </c>
      <c r="K125" s="1901">
        <v>0</v>
      </c>
    </row>
    <row r="126" spans="1:11">
      <c r="A126" s="1901" t="s">
        <v>243</v>
      </c>
      <c r="B126" s="1901">
        <v>5294</v>
      </c>
      <c r="C126" s="1901">
        <v>0</v>
      </c>
      <c r="D126" s="1901">
        <v>0</v>
      </c>
      <c r="E126" s="1901">
        <v>0</v>
      </c>
      <c r="F126" s="1901">
        <v>0</v>
      </c>
      <c r="G126" s="1901">
        <v>0</v>
      </c>
      <c r="H126" s="1901">
        <v>0</v>
      </c>
      <c r="I126" s="1901">
        <v>0</v>
      </c>
      <c r="J126" s="1901">
        <v>0</v>
      </c>
      <c r="K126" s="1901">
        <v>0</v>
      </c>
    </row>
    <row r="127" spans="1:11">
      <c r="A127" s="1900" t="s">
        <v>244</v>
      </c>
      <c r="B127" s="1900">
        <v>6002.7467446709998</v>
      </c>
      <c r="C127" s="1900">
        <v>4971.748943654</v>
      </c>
      <c r="D127" s="1900">
        <v>5832.9733288079997</v>
      </c>
      <c r="E127" s="1900">
        <v>6827.333782705</v>
      </c>
      <c r="F127" s="1900">
        <v>7176.5754815500004</v>
      </c>
      <c r="G127" s="1900">
        <v>7716.8904776310001</v>
      </c>
      <c r="H127" s="1900">
        <v>10088.157082401</v>
      </c>
      <c r="I127" s="1900">
        <v>16380.039770908999</v>
      </c>
      <c r="J127" s="1900">
        <v>12949.489162606</v>
      </c>
      <c r="K127" s="1900">
        <v>13942.548247107001</v>
      </c>
    </row>
    <row r="128" spans="1:11">
      <c r="A128" s="1901" t="s">
        <v>245</v>
      </c>
      <c r="B128" s="1901">
        <v>6002.7467446709998</v>
      </c>
      <c r="C128" s="1901">
        <v>4971.748943654</v>
      </c>
      <c r="D128" s="1901">
        <v>5831.5970862080003</v>
      </c>
      <c r="E128" s="1901">
        <v>6826.1167823870001</v>
      </c>
      <c r="F128" s="1901">
        <v>7176.32492155</v>
      </c>
      <c r="G128" s="1901">
        <v>7716.0559638900004</v>
      </c>
      <c r="H128" s="1901">
        <v>10086.501183984001</v>
      </c>
      <c r="I128" s="1901">
        <v>16377.810273540999</v>
      </c>
      <c r="J128" s="1901">
        <v>12940.188052738</v>
      </c>
      <c r="K128" s="1901">
        <v>13938.578838494001</v>
      </c>
    </row>
    <row r="129" spans="1:11">
      <c r="A129" s="1901" t="s">
        <v>246</v>
      </c>
      <c r="B129" s="1901">
        <v>0</v>
      </c>
      <c r="C129" s="1901">
        <v>0</v>
      </c>
      <c r="D129" s="1901">
        <v>1.3762426000000001</v>
      </c>
      <c r="E129" s="1901">
        <v>1.217000318</v>
      </c>
      <c r="F129" s="1901">
        <v>0.25056</v>
      </c>
      <c r="G129" s="1901">
        <v>0.83451374099999998</v>
      </c>
      <c r="H129" s="1901">
        <v>1.655898417</v>
      </c>
      <c r="I129" s="1901">
        <v>2.2294973680000001</v>
      </c>
      <c r="J129" s="1901">
        <v>9.3011098679999993</v>
      </c>
      <c r="K129" s="1901">
        <v>3.9694086130000001</v>
      </c>
    </row>
    <row r="130" spans="1:11">
      <c r="A130" s="1901" t="s">
        <v>247</v>
      </c>
      <c r="B130" s="1901">
        <v>0</v>
      </c>
      <c r="C130" s="1901">
        <v>0</v>
      </c>
      <c r="D130" s="1901">
        <v>0</v>
      </c>
      <c r="E130" s="1901">
        <v>0</v>
      </c>
      <c r="F130" s="1901">
        <v>0</v>
      </c>
      <c r="G130" s="1901">
        <v>0</v>
      </c>
      <c r="H130" s="1901">
        <v>0</v>
      </c>
      <c r="I130" s="1901">
        <v>0</v>
      </c>
      <c r="J130" s="1901">
        <v>0</v>
      </c>
      <c r="K130" s="1901">
        <v>0</v>
      </c>
    </row>
    <row r="131" spans="1:11">
      <c r="A131" s="1900" t="s">
        <v>248</v>
      </c>
      <c r="B131" s="1900">
        <v>94.144220036999997</v>
      </c>
      <c r="C131" s="1900">
        <v>61.578260352000001</v>
      </c>
      <c r="D131" s="1900">
        <v>85.218359149999998</v>
      </c>
      <c r="E131" s="1900">
        <v>138.00524592900001</v>
      </c>
      <c r="F131" s="1900">
        <v>133.608551433</v>
      </c>
      <c r="G131" s="1900">
        <v>155.61537721299999</v>
      </c>
      <c r="H131" s="1900">
        <v>218.39417776400001</v>
      </c>
      <c r="I131" s="1900">
        <v>455.51289651000002</v>
      </c>
      <c r="J131" s="1900">
        <v>378.94707277800001</v>
      </c>
      <c r="K131" s="1900">
        <v>486.96309746700001</v>
      </c>
    </row>
    <row r="132" spans="1:11">
      <c r="A132" s="1901" t="s">
        <v>249</v>
      </c>
      <c r="B132" s="1901">
        <v>89.101705037000002</v>
      </c>
      <c r="C132" s="1901">
        <v>61.077760351999999</v>
      </c>
      <c r="D132" s="1901">
        <v>81.433529149999998</v>
      </c>
      <c r="E132" s="1901">
        <v>137.789605929</v>
      </c>
      <c r="F132" s="1901">
        <v>133.608551433</v>
      </c>
      <c r="G132" s="1901">
        <v>155.400777213</v>
      </c>
      <c r="H132" s="1901">
        <v>218.382350196</v>
      </c>
      <c r="I132" s="1901">
        <v>455.34609651</v>
      </c>
      <c r="J132" s="1901">
        <v>378.94707277800001</v>
      </c>
      <c r="K132" s="1901">
        <v>484.168020383</v>
      </c>
    </row>
    <row r="133" spans="1:11">
      <c r="A133" s="1901" t="s">
        <v>250</v>
      </c>
      <c r="B133" s="1901">
        <v>5.0425149999999999</v>
      </c>
      <c r="C133" s="1901">
        <v>0.50049999999999994</v>
      </c>
      <c r="D133" s="1901">
        <v>0</v>
      </c>
      <c r="E133" s="1901">
        <v>0</v>
      </c>
      <c r="F133" s="1901">
        <v>0</v>
      </c>
      <c r="G133" s="1901">
        <v>0</v>
      </c>
      <c r="H133" s="1901">
        <v>1.1827568E-2</v>
      </c>
      <c r="I133" s="1901">
        <v>0.1668</v>
      </c>
      <c r="J133" s="1901">
        <v>0</v>
      </c>
      <c r="K133" s="1901">
        <v>5.0609583999999999E-2</v>
      </c>
    </row>
    <row r="134" spans="1:11">
      <c r="A134" s="1901" t="s">
        <v>251</v>
      </c>
      <c r="B134" s="1901">
        <v>0</v>
      </c>
      <c r="C134" s="1901">
        <v>0</v>
      </c>
      <c r="D134" s="1901">
        <v>3.7848299999999999</v>
      </c>
      <c r="E134" s="1901">
        <v>0.21564</v>
      </c>
      <c r="F134" s="1901">
        <v>0</v>
      </c>
      <c r="G134" s="1901">
        <v>0.21460000000000001</v>
      </c>
      <c r="H134" s="1901">
        <v>0</v>
      </c>
      <c r="I134" s="1901">
        <v>0</v>
      </c>
      <c r="J134" s="1901">
        <v>0</v>
      </c>
      <c r="K134" s="1901">
        <v>2.7444674999999998</v>
      </c>
    </row>
    <row r="135" spans="1:11">
      <c r="A135" s="1901" t="s">
        <v>252</v>
      </c>
      <c r="B135" s="1901">
        <v>0</v>
      </c>
      <c r="C135" s="1901">
        <v>0</v>
      </c>
      <c r="D135" s="1901">
        <v>0</v>
      </c>
      <c r="E135" s="1901">
        <v>0</v>
      </c>
      <c r="F135" s="1901">
        <v>0</v>
      </c>
      <c r="G135" s="1901">
        <v>0</v>
      </c>
      <c r="H135" s="1901">
        <v>0</v>
      </c>
      <c r="I135" s="1901">
        <v>0</v>
      </c>
      <c r="J135" s="1901">
        <v>0</v>
      </c>
      <c r="K135" s="1901">
        <v>0</v>
      </c>
    </row>
    <row r="136" spans="1:11">
      <c r="A136" s="1901" t="s">
        <v>253</v>
      </c>
      <c r="B136" s="1901">
        <v>0</v>
      </c>
      <c r="C136" s="1901">
        <v>0</v>
      </c>
      <c r="D136" s="1901">
        <v>0</v>
      </c>
      <c r="E136" s="1901">
        <v>0</v>
      </c>
      <c r="F136" s="1901">
        <v>0</v>
      </c>
      <c r="G136" s="1901">
        <v>0</v>
      </c>
      <c r="H136" s="1901">
        <v>0</v>
      </c>
      <c r="I136" s="1901">
        <v>0</v>
      </c>
      <c r="J136" s="1901">
        <v>0</v>
      </c>
      <c r="K136" s="1901">
        <v>0</v>
      </c>
    </row>
    <row r="137" spans="1:11">
      <c r="A137" s="1901" t="s">
        <v>254</v>
      </c>
      <c r="B137" s="1901">
        <v>0</v>
      </c>
      <c r="C137" s="1901">
        <v>0</v>
      </c>
      <c r="D137" s="1901">
        <v>0</v>
      </c>
      <c r="E137" s="1901">
        <v>0</v>
      </c>
      <c r="F137" s="1901">
        <v>0</v>
      </c>
      <c r="G137" s="1901">
        <v>0</v>
      </c>
      <c r="H137" s="1901">
        <v>0</v>
      </c>
      <c r="I137" s="1901">
        <v>0</v>
      </c>
      <c r="J137" s="1901">
        <v>0</v>
      </c>
      <c r="K137" s="1901">
        <v>0</v>
      </c>
    </row>
    <row r="138" spans="1:11">
      <c r="A138" s="1900" t="s">
        <v>255</v>
      </c>
      <c r="B138" s="1900">
        <v>4098.6635093670002</v>
      </c>
      <c r="C138" s="1900">
        <v>3595.5077365440002</v>
      </c>
      <c r="D138" s="1900">
        <v>4366.4525190880004</v>
      </c>
      <c r="E138" s="1900">
        <v>5252.2704942299997</v>
      </c>
      <c r="F138" s="1900">
        <v>6083.7747332669996</v>
      </c>
      <c r="G138" s="1900">
        <v>6244.4273005289997</v>
      </c>
      <c r="H138" s="1900">
        <v>7088.8259803250003</v>
      </c>
      <c r="I138" s="1900">
        <v>10221.097432230999</v>
      </c>
      <c r="J138" s="1900">
        <v>10538.742407968</v>
      </c>
      <c r="K138" s="1900">
        <v>10942.100894031</v>
      </c>
    </row>
    <row r="139" spans="1:11">
      <c r="A139" s="1901" t="s">
        <v>256</v>
      </c>
      <c r="B139" s="1901">
        <v>4098.6635093670002</v>
      </c>
      <c r="C139" s="1901">
        <v>3594.7155200689999</v>
      </c>
      <c r="D139" s="1901">
        <v>4366.4525190880004</v>
      </c>
      <c r="E139" s="1901">
        <v>1244.2924290620001</v>
      </c>
      <c r="F139" s="1901">
        <v>4898.4421400089996</v>
      </c>
      <c r="G139" s="1901">
        <v>1232.74438235</v>
      </c>
      <c r="H139" s="1901">
        <v>7088.8259803250003</v>
      </c>
      <c r="I139" s="1901">
        <v>10221.097432230999</v>
      </c>
      <c r="J139" s="1901">
        <v>10537.127260204999</v>
      </c>
      <c r="K139" s="1901">
        <v>10942.059386456</v>
      </c>
    </row>
    <row r="140" spans="1:11">
      <c r="A140" s="1901" t="s">
        <v>257</v>
      </c>
      <c r="B140" s="1901">
        <v>0</v>
      </c>
      <c r="C140" s="1901">
        <v>0</v>
      </c>
      <c r="D140" s="1901">
        <v>0</v>
      </c>
      <c r="E140" s="1901">
        <v>4007.9780651679998</v>
      </c>
      <c r="F140" s="1901">
        <v>1185.3325932580001</v>
      </c>
      <c r="G140" s="1901">
        <v>5011.6829181789999</v>
      </c>
      <c r="H140" s="1901">
        <v>0</v>
      </c>
      <c r="I140" s="1901">
        <v>0</v>
      </c>
      <c r="J140" s="1901">
        <v>0</v>
      </c>
      <c r="K140" s="1901">
        <v>0</v>
      </c>
    </row>
    <row r="141" spans="1:11">
      <c r="A141" s="1901" t="s">
        <v>258</v>
      </c>
      <c r="B141" s="1901">
        <v>0</v>
      </c>
      <c r="C141" s="1901">
        <v>0</v>
      </c>
      <c r="D141" s="1901">
        <v>0</v>
      </c>
      <c r="E141" s="1901">
        <v>0</v>
      </c>
      <c r="F141" s="1901">
        <v>0</v>
      </c>
      <c r="G141" s="1901">
        <v>0</v>
      </c>
      <c r="H141" s="1901">
        <v>0</v>
      </c>
      <c r="I141" s="1901">
        <v>0</v>
      </c>
      <c r="J141" s="1901">
        <v>1.615147763</v>
      </c>
      <c r="K141" s="1901">
        <v>4.1507574999999998E-2</v>
      </c>
    </row>
    <row r="142" spans="1:11">
      <c r="A142" s="1901" t="s">
        <v>259</v>
      </c>
      <c r="B142" s="1901">
        <v>0</v>
      </c>
      <c r="C142" s="1901">
        <v>0</v>
      </c>
      <c r="D142" s="1901">
        <v>0</v>
      </c>
      <c r="E142" s="1901">
        <v>0</v>
      </c>
      <c r="F142" s="1901">
        <v>0</v>
      </c>
      <c r="G142" s="1901">
        <v>0</v>
      </c>
      <c r="H142" s="1901">
        <v>0</v>
      </c>
      <c r="I142" s="1901">
        <v>0</v>
      </c>
      <c r="J142" s="1901">
        <v>0</v>
      </c>
      <c r="K142" s="1901">
        <v>0</v>
      </c>
    </row>
    <row r="143" spans="1:11">
      <c r="A143" s="1901" t="s">
        <v>260</v>
      </c>
      <c r="B143" s="1901">
        <v>0</v>
      </c>
      <c r="C143" s="1901">
        <v>0</v>
      </c>
      <c r="D143" s="1901">
        <v>0</v>
      </c>
      <c r="E143" s="1901">
        <v>0</v>
      </c>
      <c r="F143" s="1901">
        <v>0</v>
      </c>
      <c r="G143" s="1901">
        <v>0</v>
      </c>
      <c r="H143" s="1901">
        <v>0</v>
      </c>
      <c r="I143" s="1901">
        <v>0</v>
      </c>
      <c r="J143" s="1901">
        <v>0</v>
      </c>
      <c r="K143" s="1901">
        <v>0</v>
      </c>
    </row>
    <row r="144" spans="1:11">
      <c r="A144" s="1901" t="s">
        <v>261</v>
      </c>
      <c r="B144" s="1901">
        <v>0</v>
      </c>
      <c r="C144" s="1901">
        <v>0</v>
      </c>
      <c r="D144" s="1901">
        <v>0</v>
      </c>
      <c r="E144" s="1901">
        <v>0</v>
      </c>
      <c r="F144" s="1901">
        <v>0</v>
      </c>
      <c r="G144" s="1901">
        <v>0</v>
      </c>
      <c r="H144" s="1901">
        <v>0</v>
      </c>
      <c r="I144" s="1901">
        <v>0</v>
      </c>
      <c r="J144" s="1901">
        <v>0</v>
      </c>
      <c r="K144" s="1901">
        <v>0</v>
      </c>
    </row>
    <row r="145" spans="1:11">
      <c r="A145" s="1901" t="s">
        <v>262</v>
      </c>
      <c r="B145" s="1901">
        <v>0</v>
      </c>
      <c r="C145" s="1901">
        <v>0</v>
      </c>
      <c r="D145" s="1901">
        <v>0</v>
      </c>
      <c r="E145" s="1901">
        <v>0</v>
      </c>
      <c r="F145" s="1901">
        <v>0</v>
      </c>
      <c r="G145" s="1901">
        <v>0</v>
      </c>
      <c r="H145" s="1901">
        <v>0</v>
      </c>
      <c r="I145" s="1901">
        <v>0</v>
      </c>
      <c r="J145" s="1901">
        <v>0</v>
      </c>
      <c r="K145" s="1901">
        <v>0</v>
      </c>
    </row>
    <row r="146" spans="1:11">
      <c r="A146" s="1901" t="s">
        <v>263</v>
      </c>
      <c r="B146" s="1901">
        <v>0</v>
      </c>
      <c r="C146" s="1901">
        <v>0.79221647500000003</v>
      </c>
      <c r="D146" s="1901">
        <v>0</v>
      </c>
      <c r="E146" s="1901">
        <v>0</v>
      </c>
      <c r="F146" s="1901">
        <v>0</v>
      </c>
      <c r="G146" s="1901">
        <v>0</v>
      </c>
      <c r="H146" s="1901">
        <v>0</v>
      </c>
      <c r="I146" s="1901">
        <v>0</v>
      </c>
      <c r="J146" s="1901">
        <v>0</v>
      </c>
      <c r="K146" s="1901">
        <v>0</v>
      </c>
    </row>
    <row r="147" spans="1:11">
      <c r="A147" s="1900" t="s">
        <v>264</v>
      </c>
      <c r="B147" s="1900">
        <v>232.672531918</v>
      </c>
      <c r="C147" s="1900">
        <v>281.35200688800001</v>
      </c>
      <c r="D147" s="1900">
        <v>168.76273668799999</v>
      </c>
      <c r="E147" s="1900">
        <v>176.15301544900001</v>
      </c>
      <c r="F147" s="1900">
        <v>127.016141703</v>
      </c>
      <c r="G147" s="1900">
        <v>128.316681426</v>
      </c>
      <c r="H147" s="1900">
        <v>167.53190780400001</v>
      </c>
      <c r="I147" s="1900">
        <v>301.00806331699999</v>
      </c>
      <c r="J147" s="1900">
        <v>577.08849076199999</v>
      </c>
      <c r="K147" s="1900">
        <v>381.80389825200001</v>
      </c>
    </row>
    <row r="148" spans="1:11">
      <c r="A148" s="1901" t="s">
        <v>265</v>
      </c>
      <c r="B148" s="1901">
        <v>232.672531918</v>
      </c>
      <c r="C148" s="1901">
        <v>155.766178207</v>
      </c>
      <c r="D148" s="1901">
        <v>156.69329647500001</v>
      </c>
      <c r="E148" s="1901">
        <v>158.476347608</v>
      </c>
      <c r="F148" s="1901">
        <v>117.699812006</v>
      </c>
      <c r="G148" s="1901">
        <v>111.939246447</v>
      </c>
      <c r="H148" s="1901">
        <v>130.835723223</v>
      </c>
      <c r="I148" s="1901">
        <v>262.14901913</v>
      </c>
      <c r="J148" s="1901">
        <v>518.47532930399996</v>
      </c>
      <c r="K148" s="1901">
        <v>282.72827757699997</v>
      </c>
    </row>
    <row r="149" spans="1:11">
      <c r="A149" s="1901" t="s">
        <v>266</v>
      </c>
      <c r="B149" s="1901">
        <v>0</v>
      </c>
      <c r="C149" s="1901">
        <v>0</v>
      </c>
      <c r="D149" s="1901">
        <v>0</v>
      </c>
      <c r="E149" s="1901">
        <v>0</v>
      </c>
      <c r="F149" s="1901">
        <v>0</v>
      </c>
      <c r="G149" s="1901">
        <v>0</v>
      </c>
      <c r="H149" s="1901">
        <v>0</v>
      </c>
      <c r="I149" s="1901">
        <v>0</v>
      </c>
      <c r="J149" s="1901">
        <v>0</v>
      </c>
      <c r="K149" s="1901">
        <v>0</v>
      </c>
    </row>
    <row r="150" spans="1:11">
      <c r="A150" s="1901" t="s">
        <v>267</v>
      </c>
      <c r="B150" s="1901">
        <v>0</v>
      </c>
      <c r="C150" s="1901">
        <v>0</v>
      </c>
      <c r="D150" s="1901">
        <v>0</v>
      </c>
      <c r="E150" s="1901">
        <v>0</v>
      </c>
      <c r="F150" s="1901">
        <v>0</v>
      </c>
      <c r="G150" s="1901">
        <v>0</v>
      </c>
      <c r="H150" s="1901">
        <v>0</v>
      </c>
      <c r="I150" s="1901">
        <v>0</v>
      </c>
      <c r="J150" s="1901">
        <v>0</v>
      </c>
      <c r="K150" s="1901">
        <v>0</v>
      </c>
    </row>
    <row r="151" spans="1:11">
      <c r="A151" s="1901" t="s">
        <v>268</v>
      </c>
      <c r="B151" s="1901">
        <v>0</v>
      </c>
      <c r="C151" s="1901">
        <v>0</v>
      </c>
      <c r="D151" s="1901">
        <v>0</v>
      </c>
      <c r="E151" s="1901">
        <v>0</v>
      </c>
      <c r="F151" s="1901">
        <v>0</v>
      </c>
      <c r="G151" s="1901">
        <v>0</v>
      </c>
      <c r="H151" s="1901">
        <v>0</v>
      </c>
      <c r="I151" s="1901">
        <v>0</v>
      </c>
      <c r="J151" s="1901">
        <v>0</v>
      </c>
      <c r="K151" s="1901">
        <v>0</v>
      </c>
    </row>
    <row r="152" spans="1:11">
      <c r="A152" s="1901" t="s">
        <v>269</v>
      </c>
      <c r="B152" s="1901">
        <v>0</v>
      </c>
      <c r="C152" s="1901">
        <v>0</v>
      </c>
      <c r="D152" s="1901">
        <v>0</v>
      </c>
      <c r="E152" s="1901">
        <v>0</v>
      </c>
      <c r="F152" s="1901">
        <v>0</v>
      </c>
      <c r="G152" s="1901">
        <v>0</v>
      </c>
      <c r="H152" s="1901">
        <v>0</v>
      </c>
      <c r="I152" s="1901">
        <v>0</v>
      </c>
      <c r="J152" s="1901">
        <v>0</v>
      </c>
      <c r="K152" s="1901">
        <v>0</v>
      </c>
    </row>
    <row r="153" spans="1:11">
      <c r="A153" s="1901" t="s">
        <v>270</v>
      </c>
      <c r="B153" s="1901">
        <v>0</v>
      </c>
      <c r="C153" s="1901">
        <v>125.585828681</v>
      </c>
      <c r="D153" s="1901">
        <v>12.069440213</v>
      </c>
      <c r="E153" s="1901">
        <v>17.676667841</v>
      </c>
      <c r="F153" s="1901">
        <v>9.3163296970000005</v>
      </c>
      <c r="G153" s="1901">
        <v>16.377434979</v>
      </c>
      <c r="H153" s="1901">
        <v>29.686857823</v>
      </c>
      <c r="I153" s="1901">
        <v>38.859044187000002</v>
      </c>
      <c r="J153" s="1901">
        <v>58.613161458</v>
      </c>
      <c r="K153" s="1901">
        <v>98.530013174999993</v>
      </c>
    </row>
    <row r="154" spans="1:11">
      <c r="A154" s="1901" t="s">
        <v>271</v>
      </c>
      <c r="B154" s="1901">
        <v>0</v>
      </c>
      <c r="C154" s="1901">
        <v>0</v>
      </c>
      <c r="D154" s="1901">
        <v>0</v>
      </c>
      <c r="E154" s="1901">
        <v>0</v>
      </c>
      <c r="F154" s="1901">
        <v>0</v>
      </c>
      <c r="G154" s="1901">
        <v>0</v>
      </c>
      <c r="H154" s="1901">
        <v>7.0093267580000003</v>
      </c>
      <c r="I154" s="1901">
        <v>0</v>
      </c>
      <c r="J154" s="1901">
        <v>0</v>
      </c>
      <c r="K154" s="1901">
        <v>0</v>
      </c>
    </row>
    <row r="155" spans="1:11">
      <c r="A155" s="1901" t="s">
        <v>1219</v>
      </c>
      <c r="B155" s="1901">
        <v>0</v>
      </c>
      <c r="C155" s="1901">
        <v>0</v>
      </c>
      <c r="D155" s="1901">
        <v>0</v>
      </c>
      <c r="E155" s="1901">
        <v>0</v>
      </c>
      <c r="F155" s="1901">
        <v>0</v>
      </c>
      <c r="G155" s="1901">
        <v>0</v>
      </c>
      <c r="H155" s="1901">
        <v>0</v>
      </c>
      <c r="I155" s="1901">
        <v>0</v>
      </c>
      <c r="J155" s="1901">
        <v>0</v>
      </c>
      <c r="K155" s="1901">
        <v>0</v>
      </c>
    </row>
    <row r="156" spans="1:11">
      <c r="A156" s="1901" t="s">
        <v>272</v>
      </c>
      <c r="B156" s="1901">
        <v>0</v>
      </c>
      <c r="C156" s="1901">
        <v>0</v>
      </c>
      <c r="D156" s="1901">
        <v>0</v>
      </c>
      <c r="E156" s="1901">
        <v>0</v>
      </c>
      <c r="F156" s="1901">
        <v>0</v>
      </c>
      <c r="G156" s="1901">
        <v>0</v>
      </c>
      <c r="H156" s="1901">
        <v>0</v>
      </c>
      <c r="I156" s="1901">
        <v>0</v>
      </c>
      <c r="J156" s="1901">
        <v>0</v>
      </c>
      <c r="K156" s="1901">
        <v>0.54560750000000002</v>
      </c>
    </row>
    <row r="157" spans="1:11">
      <c r="A157" s="1900" t="s">
        <v>16</v>
      </c>
      <c r="B157" s="1900">
        <v>648.18168904499998</v>
      </c>
      <c r="C157" s="1900">
        <v>432.71947801099998</v>
      </c>
      <c r="D157" s="1900">
        <v>202.888783558</v>
      </c>
      <c r="E157" s="1900">
        <v>260.130153544</v>
      </c>
      <c r="F157" s="1900">
        <v>102.75348163699999</v>
      </c>
      <c r="G157" s="1900">
        <v>63.234525222000002</v>
      </c>
      <c r="H157" s="1900">
        <v>45.072929623999997</v>
      </c>
      <c r="I157" s="1900">
        <v>60.402056551999998</v>
      </c>
      <c r="J157" s="1900">
        <v>27.372487527000001</v>
      </c>
      <c r="K157" s="1900">
        <v>76.569107528000004</v>
      </c>
    </row>
    <row r="158" spans="1:11">
      <c r="A158" s="1901" t="s">
        <v>273</v>
      </c>
      <c r="B158" s="1901">
        <v>242.45234113199999</v>
      </c>
      <c r="C158" s="1901">
        <v>206.62238874299999</v>
      </c>
      <c r="D158" s="1901">
        <v>182.98653039000001</v>
      </c>
      <c r="E158" s="1901">
        <v>142.05277185200001</v>
      </c>
      <c r="F158" s="1901">
        <v>87.172530234000007</v>
      </c>
      <c r="G158" s="1901">
        <v>43.301059166000002</v>
      </c>
      <c r="H158" s="1901">
        <v>18.580201013</v>
      </c>
      <c r="I158" s="1901">
        <v>10.274784277</v>
      </c>
      <c r="J158" s="1901">
        <v>10.155714106</v>
      </c>
      <c r="K158" s="1901">
        <v>44.380805248999998</v>
      </c>
    </row>
    <row r="159" spans="1:11">
      <c r="A159" s="1901" t="s">
        <v>274</v>
      </c>
      <c r="B159" s="1901">
        <v>0</v>
      </c>
      <c r="C159" s="1901">
        <v>0</v>
      </c>
      <c r="D159" s="1901">
        <v>0</v>
      </c>
      <c r="E159" s="1901">
        <v>4.3297971000000004</v>
      </c>
      <c r="F159" s="1901">
        <v>2.9749999999999999E-2</v>
      </c>
      <c r="G159" s="1901">
        <v>0</v>
      </c>
      <c r="H159" s="1901">
        <v>2.3190499999999998</v>
      </c>
      <c r="I159" s="1901">
        <v>0</v>
      </c>
      <c r="J159" s="1901">
        <v>0</v>
      </c>
      <c r="K159" s="1901">
        <v>0</v>
      </c>
    </row>
    <row r="160" spans="1:11">
      <c r="A160" s="1901" t="s">
        <v>275</v>
      </c>
      <c r="B160" s="1901">
        <v>0</v>
      </c>
      <c r="C160" s="1901">
        <v>0</v>
      </c>
      <c r="D160" s="1901">
        <v>0</v>
      </c>
      <c r="E160" s="1901">
        <v>0</v>
      </c>
      <c r="F160" s="1901">
        <v>0</v>
      </c>
      <c r="G160" s="1901">
        <v>0</v>
      </c>
      <c r="H160" s="1901">
        <v>0</v>
      </c>
      <c r="I160" s="1901">
        <v>0</v>
      </c>
      <c r="J160" s="1901">
        <v>0</v>
      </c>
      <c r="K160" s="1901">
        <v>0</v>
      </c>
    </row>
    <row r="161" spans="1:11">
      <c r="A161" s="1901" t="s">
        <v>276</v>
      </c>
      <c r="B161" s="1901">
        <v>0</v>
      </c>
      <c r="C161" s="1901">
        <v>0</v>
      </c>
      <c r="D161" s="1901">
        <v>0</v>
      </c>
      <c r="E161" s="1901">
        <v>0</v>
      </c>
      <c r="F161" s="1901">
        <v>0</v>
      </c>
      <c r="G161" s="1901">
        <v>0</v>
      </c>
      <c r="H161" s="1901">
        <v>0</v>
      </c>
      <c r="I161" s="1901">
        <v>0</v>
      </c>
      <c r="J161" s="1901">
        <v>0</v>
      </c>
      <c r="K161" s="1901">
        <v>0</v>
      </c>
    </row>
    <row r="162" spans="1:11">
      <c r="A162" s="1901" t="s">
        <v>277</v>
      </c>
      <c r="B162" s="1901">
        <v>0</v>
      </c>
      <c r="C162" s="1901">
        <v>211.446671982</v>
      </c>
      <c r="D162" s="1901">
        <v>7.3747425350000002</v>
      </c>
      <c r="E162" s="1901">
        <v>104.835499259</v>
      </c>
      <c r="F162" s="1901">
        <v>10.77101966</v>
      </c>
      <c r="G162" s="1901">
        <v>17.436037471999999</v>
      </c>
      <c r="H162" s="1901">
        <v>23.976005430000001</v>
      </c>
      <c r="I162" s="1901">
        <v>50.127272275000003</v>
      </c>
      <c r="J162" s="1901">
        <v>17.216773420999999</v>
      </c>
      <c r="K162" s="1901">
        <v>32.188302278999998</v>
      </c>
    </row>
    <row r="163" spans="1:11">
      <c r="A163" s="1901" t="s">
        <v>278</v>
      </c>
      <c r="B163" s="1901">
        <v>0</v>
      </c>
      <c r="C163" s="1901">
        <v>0</v>
      </c>
      <c r="D163" s="1901">
        <v>0</v>
      </c>
      <c r="E163" s="1901">
        <v>0</v>
      </c>
      <c r="F163" s="1901">
        <v>0</v>
      </c>
      <c r="G163" s="1901">
        <v>0</v>
      </c>
      <c r="H163" s="1901">
        <v>0</v>
      </c>
      <c r="I163" s="1901">
        <v>0</v>
      </c>
      <c r="J163" s="1901">
        <v>0</v>
      </c>
      <c r="K163" s="1901">
        <v>0</v>
      </c>
    </row>
    <row r="164" spans="1:11">
      <c r="A164" s="1901" t="s">
        <v>279</v>
      </c>
      <c r="B164" s="1901">
        <v>0</v>
      </c>
      <c r="C164" s="1901">
        <v>0</v>
      </c>
      <c r="D164" s="1901">
        <v>0</v>
      </c>
      <c r="E164" s="1901">
        <v>0</v>
      </c>
      <c r="F164" s="1901">
        <v>0</v>
      </c>
      <c r="G164" s="1901">
        <v>0</v>
      </c>
      <c r="H164" s="1901">
        <v>0</v>
      </c>
      <c r="I164" s="1901">
        <v>0</v>
      </c>
      <c r="J164" s="1901">
        <v>0</v>
      </c>
      <c r="K164" s="1901">
        <v>0</v>
      </c>
    </row>
    <row r="165" spans="1:11">
      <c r="A165" s="1901" t="s">
        <v>280</v>
      </c>
      <c r="B165" s="1901">
        <v>405.72934791300003</v>
      </c>
      <c r="C165" s="1901">
        <v>14.650417286</v>
      </c>
      <c r="D165" s="1901">
        <v>12.527510633</v>
      </c>
      <c r="E165" s="1901">
        <v>8.9120853330000003</v>
      </c>
      <c r="F165" s="1901">
        <v>4.780181743</v>
      </c>
      <c r="G165" s="1901">
        <v>2.4974285840000001</v>
      </c>
      <c r="H165" s="1901">
        <v>0.197673181</v>
      </c>
      <c r="I165" s="1901">
        <v>0</v>
      </c>
      <c r="J165" s="1901">
        <v>0</v>
      </c>
      <c r="K165" s="1901">
        <v>0</v>
      </c>
    </row>
    <row r="166" spans="1:11">
      <c r="A166" s="1900" t="s">
        <v>281</v>
      </c>
      <c r="B166" s="1900">
        <v>1279.6764935250001</v>
      </c>
      <c r="C166" s="1900">
        <v>3874.8940143169998</v>
      </c>
      <c r="D166" s="1900">
        <v>4475.8077841109998</v>
      </c>
      <c r="E166" s="1900">
        <v>5036.2156420909996</v>
      </c>
      <c r="F166" s="1900">
        <v>5653.7398800210003</v>
      </c>
      <c r="G166" s="1900">
        <v>5258.8983620970002</v>
      </c>
      <c r="H166" s="1900">
        <v>7623.6663912909999</v>
      </c>
      <c r="I166" s="1900">
        <v>10161.763907912</v>
      </c>
      <c r="J166" s="1900">
        <v>9874.6065836910002</v>
      </c>
      <c r="K166" s="1900">
        <v>10531.120665954</v>
      </c>
    </row>
    <row r="167" spans="1:11">
      <c r="A167" s="1901" t="s">
        <v>282</v>
      </c>
      <c r="B167" s="1901">
        <v>0</v>
      </c>
      <c r="C167" s="1901">
        <v>1778.28884872</v>
      </c>
      <c r="D167" s="1901">
        <v>2066.7337184319999</v>
      </c>
      <c r="E167" s="1901">
        <v>2504.0019153130002</v>
      </c>
      <c r="F167" s="1901">
        <v>3218.769225255</v>
      </c>
      <c r="G167" s="1901">
        <v>2729.9095732280002</v>
      </c>
      <c r="H167" s="1901">
        <v>4548.9810560799997</v>
      </c>
      <c r="I167" s="1901">
        <v>6495.9936945239997</v>
      </c>
      <c r="J167" s="1901">
        <v>6599.1370385379996</v>
      </c>
      <c r="K167" s="1901">
        <v>7793.3567759240004</v>
      </c>
    </row>
    <row r="168" spans="1:11">
      <c r="A168" s="1901" t="s">
        <v>283</v>
      </c>
      <c r="B168" s="1901">
        <v>0</v>
      </c>
      <c r="C168" s="1901">
        <v>414.59303274400003</v>
      </c>
      <c r="D168" s="1901">
        <v>374.46196203</v>
      </c>
      <c r="E168" s="1901">
        <v>401.84314304999998</v>
      </c>
      <c r="F168" s="1901">
        <v>457.63177652299998</v>
      </c>
      <c r="G168" s="1901">
        <v>438.27071562600003</v>
      </c>
      <c r="H168" s="1901">
        <v>581.27716610899995</v>
      </c>
      <c r="I168" s="1901">
        <v>597.104844039</v>
      </c>
      <c r="J168" s="1901">
        <v>681.61223835999999</v>
      </c>
      <c r="K168" s="1901">
        <v>682.80922325999995</v>
      </c>
    </row>
    <row r="169" spans="1:11">
      <c r="A169" s="1901" t="s">
        <v>284</v>
      </c>
      <c r="B169" s="1901">
        <v>1279.6764935250001</v>
      </c>
      <c r="C169" s="1901">
        <v>1292.03675116</v>
      </c>
      <c r="D169" s="1901">
        <v>1309.0005504840001</v>
      </c>
      <c r="E169" s="1901">
        <v>1303.3756306400001</v>
      </c>
      <c r="F169" s="1901">
        <v>1318.8406424909999</v>
      </c>
      <c r="G169" s="1901">
        <v>1318.1524527060001</v>
      </c>
      <c r="H169" s="1901">
        <v>1385.810943875</v>
      </c>
      <c r="I169" s="1901">
        <v>1398.029397737</v>
      </c>
      <c r="J169" s="1901">
        <v>1083.3806986520001</v>
      </c>
      <c r="K169" s="1901">
        <v>268.08145841499999</v>
      </c>
    </row>
    <row r="170" spans="1:11">
      <c r="A170" s="1901" t="s">
        <v>285</v>
      </c>
      <c r="B170" s="1901">
        <v>0</v>
      </c>
      <c r="C170" s="1901">
        <v>290.48928562499998</v>
      </c>
      <c r="D170" s="1901">
        <v>402.84716247599999</v>
      </c>
      <c r="E170" s="1901">
        <v>414.42393673599997</v>
      </c>
      <c r="F170" s="1901">
        <v>364.59619801000002</v>
      </c>
      <c r="G170" s="1901">
        <v>408.22020965299998</v>
      </c>
      <c r="H170" s="1901">
        <v>363.74618269199999</v>
      </c>
      <c r="I170" s="1901">
        <v>803.51371968599994</v>
      </c>
      <c r="J170" s="1901">
        <v>902.30852354900003</v>
      </c>
      <c r="K170" s="1901">
        <v>1098.8248108360001</v>
      </c>
    </row>
    <row r="171" spans="1:11">
      <c r="A171" s="1901" t="s">
        <v>286</v>
      </c>
      <c r="B171" s="1901">
        <v>0</v>
      </c>
      <c r="C171" s="1901">
        <v>99.486096067999995</v>
      </c>
      <c r="D171" s="1901">
        <v>322.76439068899998</v>
      </c>
      <c r="E171" s="1901">
        <v>412.57101635200002</v>
      </c>
      <c r="F171" s="1901">
        <v>293.902037742</v>
      </c>
      <c r="G171" s="1901">
        <v>364.34541088399999</v>
      </c>
      <c r="H171" s="1901">
        <v>743.85104253500003</v>
      </c>
      <c r="I171" s="1901">
        <v>867.12225192599999</v>
      </c>
      <c r="J171" s="1901">
        <v>608.16808459200001</v>
      </c>
      <c r="K171" s="1901">
        <v>688.04839751899999</v>
      </c>
    </row>
    <row r="173" spans="1:11" s="535" customFormat="1" ht="15.6" customHeight="1">
      <c r="A173" s="1902" t="s">
        <v>1170</v>
      </c>
      <c r="B173" s="1902"/>
      <c r="C173" s="1902"/>
      <c r="D173" s="1902"/>
      <c r="E173" s="1902"/>
      <c r="F173" s="1902"/>
      <c r="G173" s="1902"/>
      <c r="H173" s="1902"/>
      <c r="I173" s="1902"/>
      <c r="J173" s="1902"/>
    </row>
    <row r="174" spans="1:11" s="535" customFormat="1" ht="15.6" customHeight="1">
      <c r="A174" s="1902" t="s">
        <v>1171</v>
      </c>
      <c r="B174" s="1902"/>
      <c r="C174" s="1902"/>
      <c r="D174" s="1902"/>
      <c r="E174" s="1902"/>
      <c r="F174" s="1902"/>
      <c r="G174" s="1902"/>
      <c r="H174" s="1902"/>
      <c r="I174" s="1902"/>
      <c r="J174" s="1902"/>
    </row>
    <row r="175" spans="1:11" s="535" customFormat="1" ht="15.6" customHeight="1">
      <c r="A175" s="1903" t="s">
        <v>1172</v>
      </c>
      <c r="B175" s="1903"/>
      <c r="C175" s="1903"/>
      <c r="D175" s="1903"/>
      <c r="E175" s="1903"/>
      <c r="F175" s="1903"/>
      <c r="G175" s="1903"/>
      <c r="H175" s="1903"/>
      <c r="I175" s="1903"/>
      <c r="J175" s="1903"/>
    </row>
    <row r="176" spans="1:11" s="535" customFormat="1" ht="15.6" customHeight="1">
      <c r="A176" s="1903" t="s">
        <v>1173</v>
      </c>
      <c r="B176" s="1903"/>
      <c r="C176" s="1903"/>
      <c r="D176" s="1903"/>
      <c r="E176" s="1903"/>
      <c r="F176" s="1903"/>
      <c r="G176" s="1903"/>
      <c r="H176" s="1903"/>
      <c r="I176" s="1903"/>
      <c r="J176" s="1903"/>
    </row>
    <row r="177" spans="1:10" s="535" customFormat="1" ht="15.6" customHeight="1">
      <c r="A177" s="1904" t="s">
        <v>1174</v>
      </c>
      <c r="B177" s="1905"/>
      <c r="C177" s="1905"/>
      <c r="D177" s="1905"/>
      <c r="E177" s="1905"/>
      <c r="F177" s="1905"/>
      <c r="G177" s="1905"/>
      <c r="H177" s="1905"/>
      <c r="I177" s="1905"/>
      <c r="J177" s="1905"/>
    </row>
    <row r="178" spans="1:10" s="535" customFormat="1" ht="15.6" customHeight="1"/>
    <row r="179" spans="1:10" s="535" customFormat="1" ht="15.6" customHeight="1">
      <c r="A179" s="1902" t="s">
        <v>35</v>
      </c>
      <c r="B179" s="1902"/>
      <c r="C179" s="1902"/>
      <c r="D179" s="1902"/>
      <c r="E179" s="1902"/>
      <c r="F179" s="1902"/>
      <c r="G179" s="1902"/>
      <c r="H179" s="1902"/>
      <c r="I179" s="1902"/>
      <c r="J179" s="1902"/>
    </row>
    <row r="180" spans="1:10" s="535" customFormat="1" ht="15.6" customHeight="1">
      <c r="A180" s="1903" t="s">
        <v>1175</v>
      </c>
      <c r="B180" s="1903"/>
      <c r="C180" s="1903"/>
      <c r="D180" s="1903"/>
      <c r="E180" s="1903"/>
      <c r="F180" s="1903"/>
      <c r="G180" s="1903"/>
      <c r="H180" s="1903"/>
      <c r="I180" s="1903"/>
      <c r="J180" s="1903"/>
    </row>
    <row r="181" spans="1:10" s="535" customFormat="1" ht="15.6" customHeight="1">
      <c r="A181" s="1904" t="s">
        <v>1176</v>
      </c>
      <c r="B181" s="1905"/>
      <c r="C181" s="1905"/>
      <c r="D181" s="1905"/>
      <c r="E181" s="1905"/>
      <c r="F181" s="1905"/>
      <c r="G181" s="1905"/>
      <c r="H181" s="1905"/>
      <c r="I181" s="1905"/>
      <c r="J181" s="1905"/>
    </row>
    <row r="193" s="1425" customFormat="1"/>
    <row r="194" s="1425" customFormat="1"/>
    <row r="195" s="1425" customFormat="1"/>
    <row r="196" s="1425" customFormat="1"/>
    <row r="197" s="1425" customFormat="1"/>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EF992-F319-48FF-BCFA-3CB01AAD2C67}">
  <dimension ref="A1:AL593"/>
  <sheetViews>
    <sheetView showGridLines="0" tabSelected="1" topLeftCell="E1" zoomScale="73" zoomScaleNormal="73" workbookViewId="0">
      <pane ySplit="1" topLeftCell="A124" activePane="bottomLeft" state="frozen"/>
      <selection pane="bottomLeft" activeCell="S125" sqref="S125"/>
    </sheetView>
  </sheetViews>
  <sheetFormatPr defaultColWidth="9.109375" defaultRowHeight="13.2" outlineLevelRow="1"/>
  <cols>
    <col min="1" max="1" width="2.88671875" style="1925" customWidth="1"/>
    <col min="2" max="2" width="49.77734375" style="1925" customWidth="1"/>
    <col min="3" max="3" width="17.21875" style="1925" customWidth="1"/>
    <col min="4" max="4" width="20.33203125" style="1925" customWidth="1"/>
    <col min="5" max="5" width="13.33203125" style="1925" customWidth="1"/>
    <col min="6" max="6" width="13.77734375" style="1925" customWidth="1"/>
    <col min="7" max="7" width="11.109375" style="1925" customWidth="1"/>
    <col min="8" max="8" width="14.77734375" style="1925" customWidth="1"/>
    <col min="9" max="9" width="17" style="1925" customWidth="1"/>
    <col min="10" max="10" width="15" style="1925" customWidth="1"/>
    <col min="11" max="11" width="14.6640625" style="1925" customWidth="1"/>
    <col min="12" max="12" width="16" style="1925" bestFit="1" customWidth="1"/>
    <col min="13" max="13" width="16.44140625" style="1925" bestFit="1" customWidth="1"/>
    <col min="14" max="15" width="16" style="1925" bestFit="1" customWidth="1"/>
    <col min="16" max="19" width="16" style="1927" customWidth="1"/>
    <col min="20" max="20" width="39" style="1927" customWidth="1"/>
    <col min="21" max="21" width="16" style="1927" customWidth="1"/>
    <col min="22" max="22" width="18.44140625" style="1927" customWidth="1"/>
    <col min="23" max="26" width="16" style="1927" customWidth="1"/>
    <col min="27" max="27" width="11.5546875" style="1928" bestFit="1" customWidth="1"/>
    <col min="28" max="28" width="10.109375" style="1928" bestFit="1" customWidth="1"/>
    <col min="29" max="29" width="11.5546875" style="1928" bestFit="1" customWidth="1"/>
    <col min="30" max="33" width="9.44140625" style="1928" bestFit="1" customWidth="1"/>
    <col min="34" max="36" width="9.5546875" style="1928" bestFit="1" customWidth="1"/>
    <col min="37" max="38" width="9.109375" style="1928"/>
    <col min="39" max="16384" width="9.109375" style="1925"/>
  </cols>
  <sheetData>
    <row r="1" spans="1:38" s="2317" customFormat="1">
      <c r="A1" s="2241" t="s">
        <v>1220</v>
      </c>
      <c r="B1" s="2241"/>
      <c r="C1" s="2241"/>
      <c r="D1" s="2242" t="s">
        <v>9</v>
      </c>
      <c r="E1" s="2243">
        <f>D1+1</f>
        <v>2020</v>
      </c>
      <c r="F1" s="2243">
        <f t="shared" ref="F1:O1" si="0">E1+1</f>
        <v>2021</v>
      </c>
      <c r="G1" s="2243">
        <f t="shared" si="0"/>
        <v>2022</v>
      </c>
      <c r="H1" s="2243">
        <f t="shared" si="0"/>
        <v>2023</v>
      </c>
      <c r="I1" s="2244">
        <f t="shared" si="0"/>
        <v>2024</v>
      </c>
      <c r="J1" s="1907">
        <f t="shared" si="0"/>
        <v>2025</v>
      </c>
      <c r="K1" s="1907">
        <f t="shared" si="0"/>
        <v>2026</v>
      </c>
      <c r="L1" s="1907">
        <f t="shared" si="0"/>
        <v>2027</v>
      </c>
      <c r="M1" s="1907">
        <f t="shared" si="0"/>
        <v>2028</v>
      </c>
      <c r="N1" s="1907">
        <f t="shared" si="0"/>
        <v>2029</v>
      </c>
      <c r="O1" s="1907">
        <f t="shared" si="0"/>
        <v>2030</v>
      </c>
      <c r="P1" s="1907">
        <f>O1+1</f>
        <v>2031</v>
      </c>
      <c r="Q1" s="1907">
        <f>P1+1</f>
        <v>2032</v>
      </c>
      <c r="R1" s="1907">
        <f>Q1+1</f>
        <v>2033</v>
      </c>
      <c r="S1" s="1907">
        <f>R1+1</f>
        <v>2034</v>
      </c>
      <c r="T1" s="2369"/>
      <c r="U1" s="2314"/>
      <c r="V1" s="2314"/>
      <c r="W1" s="2314"/>
      <c r="X1" s="2314"/>
      <c r="Y1" s="2314"/>
      <c r="Z1" s="2314"/>
      <c r="AA1" s="2315"/>
      <c r="AB1" s="2315"/>
      <c r="AC1" s="2315"/>
      <c r="AD1" s="2316"/>
      <c r="AE1" s="2316"/>
      <c r="AF1" s="2316"/>
      <c r="AG1" s="2316"/>
    </row>
    <row r="2" spans="1:38" s="1908" customFormat="1" ht="15" customHeight="1">
      <c r="B2" s="1909"/>
      <c r="C2" s="1909"/>
      <c r="I2" s="2245"/>
      <c r="J2" s="1910" t="s">
        <v>1391</v>
      </c>
      <c r="K2" s="1911" t="str">
        <f>J2</f>
        <v>projected</v>
      </c>
      <c r="L2" s="1911" t="str">
        <f t="shared" ref="L2:S2" si="1">K2</f>
        <v>projected</v>
      </c>
      <c r="M2" s="1911" t="str">
        <f t="shared" si="1"/>
        <v>projected</v>
      </c>
      <c r="N2" s="1911" t="str">
        <f t="shared" si="1"/>
        <v>projected</v>
      </c>
      <c r="O2" s="1911" t="str">
        <f t="shared" si="1"/>
        <v>projected</v>
      </c>
      <c r="P2" s="1911" t="str">
        <f t="shared" si="1"/>
        <v>projected</v>
      </c>
      <c r="Q2" s="1911" t="str">
        <f t="shared" si="1"/>
        <v>projected</v>
      </c>
      <c r="R2" s="1911" t="str">
        <f>Q2</f>
        <v>projected</v>
      </c>
      <c r="S2" s="1911" t="str">
        <f t="shared" si="1"/>
        <v>projected</v>
      </c>
      <c r="T2" s="1911"/>
      <c r="U2" s="2320" t="s">
        <v>1408</v>
      </c>
      <c r="V2" s="2321"/>
      <c r="W2" s="2320"/>
      <c r="X2" s="2322"/>
      <c r="Y2" s="1912"/>
      <c r="Z2" s="1912"/>
      <c r="AA2" s="1915"/>
      <c r="AB2" s="1915"/>
      <c r="AC2" s="1916"/>
      <c r="AD2" s="1916"/>
      <c r="AE2" s="1916"/>
      <c r="AF2" s="1916"/>
      <c r="AG2" s="1916"/>
      <c r="AH2" s="1916"/>
      <c r="AI2" s="1916"/>
      <c r="AJ2" s="1916"/>
      <c r="AK2" s="1916"/>
      <c r="AL2" s="1916"/>
    </row>
    <row r="3" spans="1:38" s="1908" customFormat="1" ht="15" customHeight="1">
      <c r="A3" s="1917" t="s">
        <v>1221</v>
      </c>
      <c r="B3" s="1917"/>
      <c r="C3" s="1917"/>
      <c r="I3" s="2245"/>
      <c r="J3" s="1910"/>
      <c r="K3" s="1911"/>
      <c r="L3" s="1912"/>
      <c r="M3" s="1912"/>
      <c r="N3" s="1912"/>
      <c r="O3" s="1912"/>
      <c r="P3" s="1913"/>
      <c r="Q3" s="1913"/>
      <c r="R3" s="1918"/>
      <c r="U3" s="2323" t="s">
        <v>1409</v>
      </c>
      <c r="V3" s="1913"/>
      <c r="W3" s="1912"/>
      <c r="X3" s="1913"/>
      <c r="Y3" s="1912"/>
      <c r="Z3" s="1912"/>
      <c r="AA3" s="1915"/>
      <c r="AB3" s="1915"/>
      <c r="AC3" s="1916"/>
      <c r="AD3" s="1916"/>
      <c r="AE3" s="1916"/>
      <c r="AF3" s="1916"/>
      <c r="AG3" s="1916"/>
      <c r="AH3" s="1916"/>
      <c r="AI3" s="1916"/>
      <c r="AJ3" s="1916"/>
      <c r="AK3" s="1916"/>
      <c r="AL3" s="1916"/>
    </row>
    <row r="4" spans="1:38" s="1908" customFormat="1" ht="4.5" customHeight="1" thickBot="1">
      <c r="A4" s="1909"/>
      <c r="B4" s="1909"/>
      <c r="C4" s="1909"/>
      <c r="I4" s="2245"/>
      <c r="J4" s="1910"/>
      <c r="K4" s="1911"/>
      <c r="L4" s="1912"/>
      <c r="M4" s="1912"/>
      <c r="N4" s="1912"/>
      <c r="O4" s="1912"/>
      <c r="P4" s="1913"/>
      <c r="Q4" s="1913"/>
      <c r="R4" s="1913"/>
      <c r="S4" s="1912"/>
      <c r="T4" s="1912"/>
      <c r="U4" s="1912"/>
      <c r="V4" s="1913"/>
      <c r="W4" s="1912"/>
      <c r="X4" s="1913"/>
      <c r="Y4" s="1912"/>
      <c r="Z4" s="1912"/>
      <c r="AA4" s="1915"/>
      <c r="AB4" s="1915"/>
      <c r="AC4" s="1916"/>
      <c r="AD4" s="1916"/>
      <c r="AE4" s="1916"/>
      <c r="AF4" s="1916"/>
      <c r="AG4" s="1916"/>
      <c r="AH4" s="1916"/>
      <c r="AI4" s="1916"/>
      <c r="AJ4" s="1916"/>
      <c r="AK4" s="1916"/>
      <c r="AL4" s="1916"/>
    </row>
    <row r="5" spans="1:38" s="1908" customFormat="1" ht="15" customHeight="1">
      <c r="B5" s="1919" t="s">
        <v>1222</v>
      </c>
      <c r="C5" s="2339"/>
      <c r="D5" s="1920"/>
      <c r="E5" s="1920"/>
      <c r="F5" s="1920"/>
      <c r="G5" s="1920"/>
      <c r="H5" s="1920"/>
      <c r="I5" s="2246"/>
      <c r="J5" s="1921"/>
      <c r="K5" s="1921"/>
      <c r="L5" s="1921"/>
      <c r="M5" s="1922"/>
      <c r="N5" s="1922"/>
      <c r="O5" s="1923"/>
      <c r="P5" s="1918"/>
      <c r="Q5" s="1913"/>
      <c r="R5" s="1918"/>
      <c r="S5" s="1912"/>
      <c r="T5" s="1912"/>
      <c r="U5" s="1912"/>
      <c r="V5" s="1913"/>
      <c r="W5" s="1912"/>
      <c r="X5" s="1913"/>
      <c r="Y5" s="1912"/>
      <c r="Z5" s="1912"/>
      <c r="AA5" s="1915"/>
      <c r="AB5" s="1915"/>
      <c r="AC5" s="1916"/>
      <c r="AD5" s="1916"/>
      <c r="AE5" s="1916"/>
      <c r="AF5" s="1916"/>
      <c r="AG5" s="1916"/>
      <c r="AH5" s="1916"/>
      <c r="AI5" s="1916"/>
      <c r="AJ5" s="1916"/>
      <c r="AK5" s="1916"/>
      <c r="AL5" s="1916"/>
    </row>
    <row r="6" spans="1:38" s="2431" customFormat="1">
      <c r="B6" s="2426" t="s">
        <v>317</v>
      </c>
      <c r="C6" s="2425"/>
      <c r="D6" s="2427">
        <f>'IS Raw'!F15</f>
        <v>7176.5754815500004</v>
      </c>
      <c r="E6" s="2427">
        <f>'IS Raw'!G15</f>
        <v>7716.8904776310001</v>
      </c>
      <c r="F6" s="2427">
        <f>'IS Raw'!H15</f>
        <v>10088.157082401</v>
      </c>
      <c r="G6" s="2427">
        <f>'IS Raw'!I15</f>
        <v>16380.039770908999</v>
      </c>
      <c r="H6" s="2427">
        <f>'IS Raw'!J15</f>
        <v>12949.489162606</v>
      </c>
      <c r="I6" s="2427">
        <f>'IS Raw'!K15</f>
        <v>13942.548247107001</v>
      </c>
      <c r="J6" s="2428">
        <f>J9/(100%-J8)</f>
        <v>16634.065363437883</v>
      </c>
      <c r="K6" s="2428">
        <f t="shared" ref="K6:S6" si="2">K9/(100%-K8)</f>
        <v>17303.930061303603</v>
      </c>
      <c r="L6" s="2428">
        <f t="shared" si="2"/>
        <v>17415.173015154505</v>
      </c>
      <c r="M6" s="2428">
        <f t="shared" si="2"/>
        <v>20041.612649058483</v>
      </c>
      <c r="N6" s="2428">
        <f t="shared" si="2"/>
        <v>19135.099606426003</v>
      </c>
      <c r="O6" s="2428">
        <f t="shared" si="2"/>
        <v>17899.263781503625</v>
      </c>
      <c r="P6" s="2428">
        <f t="shared" si="2"/>
        <v>17943.868832925822</v>
      </c>
      <c r="Q6" s="2428">
        <f t="shared" si="2"/>
        <v>18009.288457047205</v>
      </c>
      <c r="R6" s="2428">
        <f t="shared" si="2"/>
        <v>18766.266760554685</v>
      </c>
      <c r="S6" s="2428">
        <f t="shared" si="2"/>
        <v>18363.343488808528</v>
      </c>
      <c r="T6" s="2434"/>
      <c r="U6" s="2434"/>
      <c r="V6" s="2434"/>
      <c r="X6" s="2434"/>
    </row>
    <row r="7" spans="1:38">
      <c r="A7" s="2432"/>
      <c r="B7" s="1924" t="s">
        <v>1223</v>
      </c>
      <c r="D7" s="2362">
        <f>-'IS Raw'!F16</f>
        <v>133.608551433</v>
      </c>
      <c r="E7" s="2362">
        <f>-'IS Raw'!G16</f>
        <v>155.61537721299999</v>
      </c>
      <c r="F7" s="2362">
        <f>-'IS Raw'!H16</f>
        <v>218.39417776400001</v>
      </c>
      <c r="G7" s="2362">
        <f>-'IS Raw'!I16</f>
        <v>455.51289651000002</v>
      </c>
      <c r="H7" s="2362">
        <f>-'IS Raw'!J16</f>
        <v>378.94707277800001</v>
      </c>
      <c r="I7" s="2362">
        <f>-'IS Raw'!K16</f>
        <v>486.96309746700001</v>
      </c>
      <c r="J7" s="2362">
        <f>J6-J9</f>
        <v>422.58938119328013</v>
      </c>
      <c r="K7" s="2362">
        <f t="shared" ref="K7:S7" si="3">K6-K9</f>
        <v>439.6073321252552</v>
      </c>
      <c r="L7" s="2362">
        <f t="shared" si="3"/>
        <v>442.43346572536393</v>
      </c>
      <c r="M7" s="2362">
        <f t="shared" si="3"/>
        <v>509.1583147254496</v>
      </c>
      <c r="N7" s="2362">
        <f t="shared" si="3"/>
        <v>486.1282990702457</v>
      </c>
      <c r="O7" s="2362">
        <f t="shared" si="3"/>
        <v>454.73181931020008</v>
      </c>
      <c r="P7" s="2362">
        <f t="shared" si="3"/>
        <v>455.86501319075614</v>
      </c>
      <c r="Q7" s="2362">
        <f t="shared" si="3"/>
        <v>457.52700248028486</v>
      </c>
      <c r="R7" s="2362">
        <f t="shared" si="3"/>
        <v>476.7580795421236</v>
      </c>
      <c r="S7" s="2362">
        <f t="shared" si="3"/>
        <v>466.52179079638881</v>
      </c>
      <c r="T7" s="1929"/>
      <c r="U7" s="1929"/>
      <c r="V7" s="1929"/>
      <c r="W7" s="1925"/>
      <c r="X7" s="2240"/>
      <c r="Y7" s="1925"/>
      <c r="Z7" s="1925"/>
    </row>
    <row r="8" spans="1:38" s="1932" customFormat="1">
      <c r="A8" s="2433"/>
      <c r="B8" s="1930" t="s">
        <v>1224</v>
      </c>
      <c r="D8" s="2364">
        <f>D7/D6</f>
        <v>1.8617312919858423E-2</v>
      </c>
      <c r="E8" s="2364">
        <f t="shared" ref="E8:I8" si="4">E7/E6</f>
        <v>2.0165554722343576E-2</v>
      </c>
      <c r="F8" s="2364">
        <f t="shared" si="4"/>
        <v>2.1648570296847698E-2</v>
      </c>
      <c r="G8" s="2364">
        <f t="shared" si="4"/>
        <v>2.7809022620262028E-2</v>
      </c>
      <c r="H8" s="2364">
        <f t="shared" si="4"/>
        <v>2.926347657576165E-2</v>
      </c>
      <c r="I8" s="2364">
        <f t="shared" si="4"/>
        <v>3.4926405764315147E-2</v>
      </c>
      <c r="J8" s="1931">
        <f>AVERAGE(D8:I8)</f>
        <v>2.5405057149898085E-2</v>
      </c>
      <c r="K8" s="1931">
        <f>J8</f>
        <v>2.5405057149898085E-2</v>
      </c>
      <c r="L8" s="1931">
        <f t="shared" ref="L8:S8" si="5">K8</f>
        <v>2.5405057149898085E-2</v>
      </c>
      <c r="M8" s="1931">
        <f t="shared" si="5"/>
        <v>2.5405057149898085E-2</v>
      </c>
      <c r="N8" s="1931">
        <f t="shared" si="5"/>
        <v>2.5405057149898085E-2</v>
      </c>
      <c r="O8" s="1931">
        <f t="shared" si="5"/>
        <v>2.5405057149898085E-2</v>
      </c>
      <c r="P8" s="1931">
        <f t="shared" si="5"/>
        <v>2.5405057149898085E-2</v>
      </c>
      <c r="Q8" s="1931">
        <f t="shared" si="5"/>
        <v>2.5405057149898085E-2</v>
      </c>
      <c r="R8" s="1931">
        <f t="shared" si="5"/>
        <v>2.5405057149898085E-2</v>
      </c>
      <c r="S8" s="1931">
        <f t="shared" si="5"/>
        <v>2.5405057149898085E-2</v>
      </c>
      <c r="T8" s="1931"/>
      <c r="U8" s="1931"/>
      <c r="V8" s="1931"/>
      <c r="X8" s="2435"/>
      <c r="AA8" s="1933"/>
      <c r="AB8" s="1933"/>
      <c r="AC8" s="1933"/>
      <c r="AD8" s="1933"/>
      <c r="AE8" s="1933"/>
      <c r="AF8" s="1933"/>
      <c r="AG8" s="1933"/>
      <c r="AH8" s="1933"/>
      <c r="AI8" s="1933"/>
      <c r="AJ8" s="1933"/>
      <c r="AK8" s="1933"/>
      <c r="AL8" s="1933"/>
    </row>
    <row r="9" spans="1:38" s="2406" customFormat="1">
      <c r="A9" s="2412"/>
      <c r="B9" s="2423" t="s">
        <v>1225</v>
      </c>
      <c r="D9" s="2429">
        <f>'IS Raw'!F17</f>
        <v>7042.9669301169997</v>
      </c>
      <c r="E9" s="2429">
        <f>'IS Raw'!G17</f>
        <v>7561.275100418</v>
      </c>
      <c r="F9" s="2429">
        <f>'IS Raw'!H17</f>
        <v>9869.7629046370002</v>
      </c>
      <c r="G9" s="2429">
        <f>'IS Raw'!I17</f>
        <v>15924.526874399</v>
      </c>
      <c r="H9" s="2429">
        <f>'IS Raw'!J17</f>
        <v>12570.542089828001</v>
      </c>
      <c r="I9" s="2429">
        <f>'IS Raw'!K17</f>
        <v>13455.585149639999</v>
      </c>
      <c r="J9" s="2430">
        <f>J112+J159+J170+J194+J241</f>
        <v>16211.475982244603</v>
      </c>
      <c r="K9" s="2430">
        <f>K112+K159+K170+K194+K241</f>
        <v>16864.322729178348</v>
      </c>
      <c r="L9" s="2430">
        <f>L112+L159+L170+L194+L241</f>
        <v>16972.739549429141</v>
      </c>
      <c r="M9" s="2430">
        <f>M112+M159+M170+M194+M241</f>
        <v>19532.454334333033</v>
      </c>
      <c r="N9" s="2430">
        <f>N112+N159+N170+N194+N241</f>
        <v>18648.971307355758</v>
      </c>
      <c r="O9" s="2430">
        <f>O112+O159+O170+O194+O241</f>
        <v>17444.531962193425</v>
      </c>
      <c r="P9" s="2430">
        <f>P112+P159+P170+P194+P241</f>
        <v>17488.003819735066</v>
      </c>
      <c r="Q9" s="2430">
        <f>Q112+Q159+Q170+Q194+Q241</f>
        <v>17551.76145456692</v>
      </c>
      <c r="R9" s="2430">
        <f>R112+R159+R170+R194+R241</f>
        <v>18289.508681012561</v>
      </c>
      <c r="S9" s="2430">
        <f>S112+S159+S170+S194+S241</f>
        <v>17896.82169801214</v>
      </c>
      <c r="X9" s="2550"/>
    </row>
    <row r="10" spans="1:38" s="1935" customFormat="1">
      <c r="A10" s="2433"/>
      <c r="B10" s="1934" t="s">
        <v>427</v>
      </c>
      <c r="D10" s="2362"/>
      <c r="E10" s="2063">
        <f>E9/D9-1</f>
        <v>7.3592304982240009E-2</v>
      </c>
      <c r="F10" s="2063">
        <f t="shared" ref="F10:I10" si="6">F9/E9-1</f>
        <v>0.30530403583535581</v>
      </c>
      <c r="G10" s="2063">
        <f t="shared" si="6"/>
        <v>0.61346599997020768</v>
      </c>
      <c r="H10" s="2063">
        <f t="shared" si="6"/>
        <v>-0.21061754682099965</v>
      </c>
      <c r="I10" s="2063">
        <f t="shared" si="6"/>
        <v>7.0406117213367425E-2</v>
      </c>
      <c r="J10" s="2063">
        <f t="shared" ref="J10" si="7">J9/I9-1</f>
        <v>0.20481389712571052</v>
      </c>
      <c r="K10" s="2063">
        <f t="shared" ref="K10" si="8">K9/J9-1</f>
        <v>4.0270654420903274E-2</v>
      </c>
      <c r="L10" s="2063">
        <f t="shared" ref="L10" si="9">L9/K9-1</f>
        <v>6.4287681154970855E-3</v>
      </c>
      <c r="M10" s="2063">
        <f t="shared" ref="M10" si="10">M9/L9-1</f>
        <v>0.15081329548770372</v>
      </c>
      <c r="N10" s="2063">
        <f t="shared" ref="N10" si="11">N9/M9-1</f>
        <v>-4.5231541917614471E-2</v>
      </c>
      <c r="O10" s="2063">
        <f t="shared" ref="O10" si="12">O9/N9-1</f>
        <v>-6.4584760484202253E-2</v>
      </c>
      <c r="P10" s="2063">
        <f t="shared" ref="P10" si="13">P9/O9-1</f>
        <v>2.4920048090630864E-3</v>
      </c>
      <c r="Q10" s="2063">
        <f t="shared" ref="Q10" si="14">Q9/P9-1</f>
        <v>3.6457925952591008E-3</v>
      </c>
      <c r="R10" s="2063">
        <f t="shared" ref="R10" si="15">R9/Q9-1</f>
        <v>4.2032660274885503E-2</v>
      </c>
      <c r="S10" s="2063">
        <f t="shared" ref="S10" si="16">S9/R9-1</f>
        <v>-2.1470614101738783E-2</v>
      </c>
      <c r="T10" s="1931"/>
      <c r="U10" s="1931"/>
      <c r="V10" s="1931"/>
      <c r="AA10" s="1938"/>
      <c r="AB10" s="1938"/>
      <c r="AC10" s="1938"/>
      <c r="AD10" s="1938"/>
      <c r="AE10" s="1938"/>
      <c r="AF10" s="1938"/>
      <c r="AG10" s="1938"/>
      <c r="AH10" s="1938"/>
      <c r="AI10" s="1938"/>
      <c r="AJ10" s="1938"/>
      <c r="AK10" s="1938"/>
      <c r="AL10" s="1938"/>
    </row>
    <row r="11" spans="1:38" s="2412" customFormat="1">
      <c r="B11" s="2423" t="s">
        <v>320</v>
      </c>
      <c r="C11" s="2406"/>
      <c r="D11" s="2429">
        <f>-'IS Raw'!F18</f>
        <v>6083.7747332669996</v>
      </c>
      <c r="E11" s="2429">
        <f>-'IS Raw'!G18</f>
        <v>6244.4273005289997</v>
      </c>
      <c r="F11" s="2429">
        <f>-'IS Raw'!H18</f>
        <v>7088.8259803250003</v>
      </c>
      <c r="G11" s="2429">
        <f>-'IS Raw'!I18</f>
        <v>10221.097432230999</v>
      </c>
      <c r="H11" s="2429">
        <f>-'IS Raw'!J18</f>
        <v>10538.742407968</v>
      </c>
      <c r="I11" s="2429">
        <f>-'IS Raw'!K18</f>
        <v>10942.100894031</v>
      </c>
      <c r="J11" s="2430">
        <f>J115+J165+J175+J197+J255</f>
        <v>12555.220936784193</v>
      </c>
      <c r="K11" s="2430">
        <f>K115+K165+K175+K197+K255</f>
        <v>12841.878183212917</v>
      </c>
      <c r="L11" s="2430">
        <f>L115+L165+L175+L197+L255</f>
        <v>12594.457443712425</v>
      </c>
      <c r="M11" s="2430">
        <f>M115+M165+M175+M197+M255</f>
        <v>13259.34965843156</v>
      </c>
      <c r="N11" s="2430">
        <f>N115+N165+N175+N197+N255</f>
        <v>13320.283799105304</v>
      </c>
      <c r="O11" s="2430">
        <f>O115+O165+O175+O197+O255</f>
        <v>12855.792446392818</v>
      </c>
      <c r="P11" s="2430">
        <f>P115+P165+P175+P197+P255</f>
        <v>13098.318138360302</v>
      </c>
      <c r="Q11" s="2430">
        <f>Q115+Q165+Q175+Q197+Q255</f>
        <v>12889.567053793475</v>
      </c>
      <c r="R11" s="2430">
        <f>R115+R165+R175+R197+R255</f>
        <v>13165.810527850352</v>
      </c>
      <c r="S11" s="2430">
        <f>S115+S165+S175+S197+S255</f>
        <v>13119.186428829893</v>
      </c>
    </row>
    <row r="12" spans="1:38" s="1935" customFormat="1">
      <c r="A12" s="2433"/>
      <c r="B12" s="1934" t="s">
        <v>323</v>
      </c>
      <c r="D12" s="2362">
        <f>'IS Raw'!F19</f>
        <v>959.19219684999996</v>
      </c>
      <c r="E12" s="2362">
        <f>'IS Raw'!G19</f>
        <v>1316.847799889</v>
      </c>
      <c r="F12" s="2362">
        <f>'IS Raw'!H19</f>
        <v>2780.936924312</v>
      </c>
      <c r="G12" s="2362">
        <f>'IS Raw'!I19</f>
        <v>5703.4294421679997</v>
      </c>
      <c r="H12" s="2362">
        <f>'IS Raw'!J19</f>
        <v>2031.79968186</v>
      </c>
      <c r="I12" s="2362">
        <f>'IS Raw'!K19</f>
        <v>2513.4842556089998</v>
      </c>
      <c r="J12" s="2065">
        <f>J9-J11</f>
        <v>3656.2550454604097</v>
      </c>
      <c r="K12" s="2065">
        <f t="shared" ref="K12:S12" si="17">K9-K11</f>
        <v>4022.4445459654307</v>
      </c>
      <c r="L12" s="2065">
        <f t="shared" si="17"/>
        <v>4378.2821057167166</v>
      </c>
      <c r="M12" s="2065">
        <f t="shared" si="17"/>
        <v>6273.1046759014735</v>
      </c>
      <c r="N12" s="2065">
        <f t="shared" si="17"/>
        <v>5328.6875082504539</v>
      </c>
      <c r="O12" s="2065">
        <f t="shared" si="17"/>
        <v>4588.7395158006075</v>
      </c>
      <c r="P12" s="2065">
        <f t="shared" si="17"/>
        <v>4389.6856813747636</v>
      </c>
      <c r="Q12" s="2065">
        <f t="shared" si="17"/>
        <v>4662.1944007734455</v>
      </c>
      <c r="R12" s="2065">
        <f t="shared" si="17"/>
        <v>5123.6981531622096</v>
      </c>
      <c r="S12" s="2065">
        <f t="shared" si="17"/>
        <v>4777.6352691822467</v>
      </c>
      <c r="AA12" s="1938"/>
      <c r="AB12" s="1938"/>
      <c r="AC12" s="1938"/>
      <c r="AD12" s="1938"/>
      <c r="AE12" s="1938"/>
      <c r="AF12" s="1938"/>
      <c r="AG12" s="1938"/>
      <c r="AH12" s="1938"/>
      <c r="AI12" s="1938"/>
      <c r="AJ12" s="1938"/>
      <c r="AK12" s="1938"/>
      <c r="AL12" s="1938"/>
    </row>
    <row r="13" spans="1:38" s="2412" customFormat="1">
      <c r="B13" s="2423" t="s">
        <v>1226</v>
      </c>
      <c r="C13" s="2406"/>
      <c r="D13" s="2424">
        <f>D12/D9</f>
        <v>0.13619149519903617</v>
      </c>
      <c r="E13" s="2424">
        <f t="shared" ref="E13:S13" si="18">E12/E9</f>
        <v>0.17415684291346609</v>
      </c>
      <c r="F13" s="2424">
        <f t="shared" si="18"/>
        <v>0.28176329575307868</v>
      </c>
      <c r="G13" s="2424">
        <f t="shared" si="18"/>
        <v>0.35815377669631709</v>
      </c>
      <c r="H13" s="2424">
        <f t="shared" si="18"/>
        <v>0.16163182680117819</v>
      </c>
      <c r="I13" s="2424">
        <f t="shared" si="18"/>
        <v>0.18679858420547749</v>
      </c>
      <c r="J13" s="2424">
        <f t="shared" si="18"/>
        <v>0.22553498826787105</v>
      </c>
      <c r="K13" s="2424">
        <f t="shared" si="18"/>
        <v>0.23851800102270751</v>
      </c>
      <c r="L13" s="2424">
        <f t="shared" si="18"/>
        <v>0.25795965895582101</v>
      </c>
      <c r="M13" s="2424">
        <f t="shared" si="18"/>
        <v>0.32116315587002131</v>
      </c>
      <c r="N13" s="2424">
        <f t="shared" si="18"/>
        <v>0.28573627040482641</v>
      </c>
      <c r="O13" s="2424">
        <f t="shared" si="18"/>
        <v>0.26304744235875921</v>
      </c>
      <c r="P13" s="2424">
        <f t="shared" si="18"/>
        <v>0.25101124900379079</v>
      </c>
      <c r="Q13" s="2424">
        <f t="shared" si="18"/>
        <v>0.26562544237178859</v>
      </c>
      <c r="R13" s="2424">
        <f t="shared" si="18"/>
        <v>0.28014411116912225</v>
      </c>
      <c r="S13" s="2424">
        <f t="shared" si="18"/>
        <v>0.26695439837303148</v>
      </c>
      <c r="T13" s="2436"/>
      <c r="U13" s="2436"/>
      <c r="V13" s="2436"/>
    </row>
    <row r="14" spans="1:38" s="1935" customFormat="1">
      <c r="B14" s="1934" t="s">
        <v>1227</v>
      </c>
      <c r="D14" s="2362">
        <f>'IS Raw'!F20</f>
        <v>127.016141703</v>
      </c>
      <c r="E14" s="2362">
        <f>'IS Raw'!G20</f>
        <v>128.316681426</v>
      </c>
      <c r="F14" s="2362">
        <f>'IS Raw'!H20</f>
        <v>167.53190780400001</v>
      </c>
      <c r="G14" s="2362">
        <f>'IS Raw'!I20</f>
        <v>301.00806331699999</v>
      </c>
      <c r="H14" s="2362">
        <f>'IS Raw'!J20</f>
        <v>577.08849076199999</v>
      </c>
      <c r="I14" s="2362">
        <f>'IS Raw'!K20</f>
        <v>381.80389825200001</v>
      </c>
      <c r="J14" s="1936"/>
      <c r="K14" s="1936"/>
      <c r="L14" s="1936"/>
      <c r="O14" s="1937"/>
      <c r="P14" s="2694"/>
      <c r="Q14" s="2695"/>
      <c r="R14" s="1911"/>
      <c r="S14" s="1911"/>
      <c r="T14" s="1911"/>
      <c r="U14" s="1911"/>
      <c r="V14" s="1911"/>
      <c r="W14" s="1911"/>
      <c r="X14" s="1911"/>
      <c r="Y14" s="1911"/>
      <c r="Z14" s="1911"/>
      <c r="AA14" s="1938"/>
      <c r="AB14" s="1938"/>
      <c r="AC14" s="1938"/>
      <c r="AD14" s="1938"/>
      <c r="AE14" s="1938"/>
      <c r="AF14" s="1938"/>
      <c r="AG14" s="1938"/>
      <c r="AH14" s="1938"/>
      <c r="AI14" s="1938"/>
      <c r="AJ14" s="1938"/>
      <c r="AK14" s="1938"/>
      <c r="AL14" s="1938"/>
    </row>
    <row r="15" spans="1:38" s="1935" customFormat="1">
      <c r="B15" s="1934" t="s">
        <v>1228</v>
      </c>
      <c r="D15" s="2362">
        <f>-'IS Raw'!F21</f>
        <v>102.75348163699999</v>
      </c>
      <c r="E15" s="2362">
        <f>-'IS Raw'!G21</f>
        <v>63.234525222000002</v>
      </c>
      <c r="F15" s="2362">
        <f>-'IS Raw'!H21</f>
        <v>45.072929623999997</v>
      </c>
      <c r="G15" s="2362">
        <f>-'IS Raw'!I21</f>
        <v>60.402056551999998</v>
      </c>
      <c r="H15" s="2362">
        <f>-'IS Raw'!J21</f>
        <v>27.372487527000001</v>
      </c>
      <c r="I15" s="2362">
        <f>-'IS Raw'!K21</f>
        <v>76.569107528000004</v>
      </c>
      <c r="J15" s="1936"/>
      <c r="K15" s="1936"/>
      <c r="L15" s="1936"/>
      <c r="O15" s="1937"/>
      <c r="P15" s="1911"/>
      <c r="Q15" s="1911"/>
      <c r="R15" s="1911"/>
      <c r="S15" s="1911"/>
      <c r="T15" s="1911"/>
      <c r="U15" s="1911"/>
      <c r="V15" s="1911"/>
      <c r="W15" s="1911"/>
      <c r="X15" s="1911"/>
      <c r="Y15" s="1911"/>
      <c r="Z15" s="1911"/>
      <c r="AA15" s="1938"/>
      <c r="AB15" s="1938"/>
      <c r="AC15" s="1938"/>
      <c r="AD15" s="1938"/>
      <c r="AE15" s="1938"/>
      <c r="AF15" s="1938"/>
      <c r="AG15" s="1938"/>
      <c r="AH15" s="1938"/>
      <c r="AI15" s="1938"/>
      <c r="AJ15" s="1938"/>
      <c r="AK15" s="1938"/>
      <c r="AL15" s="1938"/>
    </row>
    <row r="16" spans="1:38" s="1935" customFormat="1">
      <c r="B16" s="1934" t="s">
        <v>1229</v>
      </c>
      <c r="D16" s="2362">
        <f>-'IS Raw'!F24</f>
        <v>364.05869725299999</v>
      </c>
      <c r="E16" s="2362">
        <f>-'IS Raw'!G24</f>
        <v>369.000315151</v>
      </c>
      <c r="F16" s="2362">
        <f>-'IS Raw'!H24</f>
        <v>420.401252844</v>
      </c>
      <c r="G16" s="2362">
        <f>-'IS Raw'!I24</f>
        <v>698.29487364399995</v>
      </c>
      <c r="H16" s="2362">
        <f>-'IS Raw'!J24</f>
        <v>800.63145817099996</v>
      </c>
      <c r="I16" s="2362">
        <f>-'IS Raw'!K24</f>
        <v>1014.369800748</v>
      </c>
      <c r="J16" s="1936"/>
      <c r="K16" s="1936"/>
      <c r="L16" s="1936"/>
      <c r="O16" s="1937"/>
      <c r="P16" s="1911"/>
      <c r="Q16" s="1911"/>
      <c r="R16" s="1911"/>
      <c r="S16" s="1911"/>
      <c r="T16" s="1911"/>
      <c r="U16" s="1911"/>
      <c r="V16" s="1911"/>
      <c r="W16" s="1911"/>
      <c r="X16" s="1911"/>
      <c r="Y16" s="1911"/>
      <c r="Z16" s="1911"/>
      <c r="AA16" s="1938"/>
      <c r="AB16" s="1938"/>
      <c r="AC16" s="1938"/>
      <c r="AD16" s="1938"/>
      <c r="AE16" s="1938"/>
      <c r="AF16" s="1938"/>
      <c r="AG16" s="1938"/>
      <c r="AH16" s="1938"/>
      <c r="AI16" s="1938"/>
      <c r="AJ16" s="1938"/>
      <c r="AK16" s="1938"/>
      <c r="AL16" s="1938"/>
    </row>
    <row r="17" spans="2:38" s="1935" customFormat="1">
      <c r="B17" s="1934" t="s">
        <v>1230</v>
      </c>
      <c r="D17" s="2362">
        <f>-'IS Raw'!F25</f>
        <v>201.31920175799999</v>
      </c>
      <c r="E17" s="2362">
        <f>-'IS Raw'!G25</f>
        <v>304.40666301200002</v>
      </c>
      <c r="F17" s="2362">
        <f>-'IS Raw'!H25</f>
        <v>528.49173761500003</v>
      </c>
      <c r="G17" s="2362">
        <f>-'IS Raw'!I25</f>
        <v>652.59425896100004</v>
      </c>
      <c r="H17" s="2362">
        <f>-'IS Raw'!J25</f>
        <v>548.55688916500003</v>
      </c>
      <c r="I17" s="2362">
        <f>-'IS Raw'!K25</f>
        <v>481.04700190900002</v>
      </c>
      <c r="J17" s="1936"/>
      <c r="K17" s="1936"/>
      <c r="L17" s="1936"/>
      <c r="O17" s="1937"/>
      <c r="P17" s="1911"/>
      <c r="Q17" s="1911"/>
      <c r="R17" s="1911"/>
      <c r="S17" s="1911"/>
      <c r="T17" s="1911"/>
      <c r="U17" s="1911"/>
      <c r="V17" s="1911"/>
      <c r="W17" s="1911"/>
      <c r="X17" s="1911"/>
      <c r="Y17" s="1911"/>
      <c r="Z17" s="1911"/>
      <c r="AA17" s="1938"/>
      <c r="AB17" s="1938"/>
      <c r="AC17" s="1938"/>
      <c r="AD17" s="1938"/>
      <c r="AE17" s="1938"/>
      <c r="AF17" s="1938"/>
      <c r="AG17" s="1938"/>
      <c r="AH17" s="1938"/>
      <c r="AI17" s="1938"/>
      <c r="AJ17" s="1938"/>
      <c r="AK17" s="1938"/>
      <c r="AL17" s="1938"/>
    </row>
    <row r="18" spans="2:38" s="1935" customFormat="1">
      <c r="B18" s="1924" t="s">
        <v>1231</v>
      </c>
      <c r="C18" s="1925"/>
      <c r="D18" s="2362">
        <f>'IS Raw'!F28</f>
        <v>48.483380378</v>
      </c>
      <c r="E18" s="2362">
        <f>'IS Raw'!G28</f>
        <v>10.735344252999999</v>
      </c>
      <c r="F18" s="2362">
        <f>'IS Raw'!H28</f>
        <v>4.3711953809999997</v>
      </c>
      <c r="G18" s="2362">
        <f>'IS Raw'!I28</f>
        <v>15.225626021</v>
      </c>
      <c r="H18" s="2362">
        <f>'IS Raw'!J28</f>
        <v>24.751516067000001</v>
      </c>
      <c r="I18" s="2362">
        <f>'IS Raw'!K28</f>
        <v>199.87675919700001</v>
      </c>
      <c r="J18" s="1936"/>
      <c r="K18" s="1936"/>
      <c r="L18" s="1936"/>
      <c r="O18" s="1937"/>
      <c r="P18" s="1911"/>
      <c r="Q18" s="1911"/>
      <c r="R18" s="1911"/>
      <c r="S18" s="1911"/>
      <c r="T18" s="1911"/>
      <c r="U18" s="1911"/>
      <c r="V18" s="1911"/>
      <c r="W18" s="1911"/>
      <c r="X18" s="1911"/>
      <c r="Y18" s="1911"/>
      <c r="Z18" s="1911"/>
      <c r="AA18" s="1938"/>
      <c r="AB18" s="1938"/>
      <c r="AC18" s="1938"/>
      <c r="AD18" s="1938"/>
      <c r="AE18" s="1938"/>
      <c r="AF18" s="1938"/>
      <c r="AG18" s="1938"/>
      <c r="AH18" s="1938"/>
      <c r="AI18" s="1938"/>
      <c r="AJ18" s="1938"/>
      <c r="AK18" s="1938"/>
      <c r="AL18" s="1938"/>
    </row>
    <row r="19" spans="2:38" s="1935" customFormat="1" ht="13.8" thickBot="1">
      <c r="B19" s="1942" t="s">
        <v>1232</v>
      </c>
      <c r="C19" s="2235"/>
      <c r="D19" s="2363">
        <f>-'IS Raw'!F29</f>
        <v>3.472166901</v>
      </c>
      <c r="E19" s="2363">
        <f>-'IS Raw'!G29</f>
        <v>2.7245178779999999</v>
      </c>
      <c r="F19" s="2363">
        <f>-'IS Raw'!H29</f>
        <v>2.604118573</v>
      </c>
      <c r="G19" s="2363">
        <f>-'IS Raw'!I29</f>
        <v>12.059177505999999</v>
      </c>
      <c r="H19" s="2363">
        <f>-'IS Raw'!J29</f>
        <v>2.269270186</v>
      </c>
      <c r="I19" s="2363">
        <f>-'IS Raw'!K29</f>
        <v>1.1155146819999999</v>
      </c>
      <c r="J19" s="1943"/>
      <c r="K19" s="1943"/>
      <c r="L19" s="1943"/>
      <c r="M19" s="1944"/>
      <c r="N19" s="1944"/>
      <c r="O19" s="1945"/>
      <c r="P19" s="1911"/>
      <c r="Q19" s="1911"/>
      <c r="R19" s="1911"/>
      <c r="S19" s="1911"/>
      <c r="T19" s="1911"/>
      <c r="U19" s="1911"/>
      <c r="V19" s="1911"/>
      <c r="W19" s="1911"/>
      <c r="X19" s="1911"/>
      <c r="Y19" s="1911"/>
      <c r="Z19" s="1911"/>
      <c r="AA19" s="1938"/>
      <c r="AB19" s="1938"/>
      <c r="AC19" s="1938"/>
      <c r="AD19" s="1938"/>
      <c r="AE19" s="1938"/>
      <c r="AF19" s="1938"/>
      <c r="AG19" s="1938"/>
      <c r="AH19" s="1938"/>
      <c r="AI19" s="1938"/>
      <c r="AJ19" s="1938"/>
      <c r="AK19" s="1938"/>
      <c r="AL19" s="1938"/>
    </row>
    <row r="20" spans="2:38" s="1935" customFormat="1">
      <c r="B20" s="1925"/>
      <c r="C20" s="1925"/>
      <c r="H20" s="2069"/>
      <c r="I20" s="2247"/>
      <c r="J20" s="1936"/>
      <c r="K20" s="1946"/>
      <c r="L20" s="1946"/>
      <c r="M20" s="1946"/>
      <c r="N20" s="1946"/>
      <c r="O20" s="1946"/>
      <c r="P20" s="1947"/>
      <c r="Q20" s="1947"/>
      <c r="R20" s="1947"/>
      <c r="S20" s="1947"/>
      <c r="T20" s="1947"/>
      <c r="U20" s="1947"/>
      <c r="V20" s="1947"/>
      <c r="W20" s="1947"/>
      <c r="X20" s="1947"/>
      <c r="Y20" s="1947"/>
      <c r="Z20" s="1947"/>
      <c r="AA20" s="1938"/>
      <c r="AB20" s="1938"/>
      <c r="AC20" s="1938"/>
      <c r="AD20" s="1938"/>
      <c r="AE20" s="1938"/>
      <c r="AF20" s="1938"/>
      <c r="AG20" s="1938"/>
      <c r="AH20" s="1938"/>
      <c r="AI20" s="1938"/>
      <c r="AJ20" s="1938"/>
      <c r="AK20" s="1938"/>
      <c r="AL20" s="1938"/>
    </row>
    <row r="21" spans="2:38" s="1952" customFormat="1">
      <c r="B21" s="1948" t="s">
        <v>1233</v>
      </c>
      <c r="C21" s="1948"/>
      <c r="D21" s="1949"/>
      <c r="E21" s="1949"/>
      <c r="F21" s="1949"/>
      <c r="G21" s="1949"/>
      <c r="H21" s="1949"/>
      <c r="I21" s="2248"/>
      <c r="J21" s="1949"/>
      <c r="K21" s="1949"/>
      <c r="L21" s="1950"/>
      <c r="M21" s="1950"/>
      <c r="N21" s="1950"/>
      <c r="O21" s="1950"/>
      <c r="P21" s="1950"/>
      <c r="Q21" s="1950"/>
      <c r="R21" s="1950"/>
      <c r="S21" s="1950"/>
      <c r="T21" s="1950"/>
      <c r="U21" s="1950"/>
      <c r="V21" s="1950"/>
      <c r="W21" s="1950"/>
      <c r="X21" s="1950"/>
      <c r="Y21" s="1950"/>
      <c r="Z21" s="1950"/>
      <c r="AA21" s="1938"/>
      <c r="AB21" s="1951"/>
      <c r="AC21" s="1951"/>
      <c r="AD21" s="1951"/>
      <c r="AE21" s="1951"/>
      <c r="AF21" s="1951"/>
      <c r="AG21" s="1951"/>
      <c r="AH21" s="1951"/>
      <c r="AI21" s="1951"/>
      <c r="AJ21" s="1951"/>
      <c r="AK21" s="1951"/>
      <c r="AL21" s="1951"/>
    </row>
    <row r="22" spans="2:38" s="1952" customFormat="1">
      <c r="B22" s="1948"/>
      <c r="C22" s="1948"/>
      <c r="D22" s="1949"/>
      <c r="E22" s="1949"/>
      <c r="F22" s="1949"/>
      <c r="G22" s="1949"/>
      <c r="H22" s="1949"/>
      <c r="I22" s="2248"/>
      <c r="J22" s="1949"/>
      <c r="K22" s="1950"/>
      <c r="L22" s="1950"/>
      <c r="M22" s="1950"/>
      <c r="N22" s="1950"/>
      <c r="O22" s="1950"/>
      <c r="P22" s="1950"/>
      <c r="Q22" s="1950"/>
      <c r="R22" s="1950"/>
      <c r="S22" s="1950"/>
      <c r="T22" s="1950"/>
      <c r="U22" s="1950"/>
      <c r="V22" s="1950"/>
      <c r="W22" s="1950"/>
      <c r="X22" s="1950"/>
      <c r="Y22" s="1950"/>
      <c r="Z22" s="1950"/>
      <c r="AA22" s="1938"/>
      <c r="AB22" s="1951"/>
      <c r="AC22" s="1951"/>
      <c r="AD22" s="1951"/>
      <c r="AE22" s="1951"/>
      <c r="AF22" s="1951"/>
      <c r="AG22" s="1951"/>
      <c r="AH22" s="1951"/>
      <c r="AI22" s="1951"/>
      <c r="AJ22" s="1951"/>
      <c r="AK22" s="1951"/>
      <c r="AL22" s="1951"/>
    </row>
    <row r="23" spans="2:38" s="1952" customFormat="1">
      <c r="B23" s="1953" t="s">
        <v>1234</v>
      </c>
      <c r="C23" s="1953"/>
      <c r="D23" s="1954"/>
      <c r="E23" s="1954"/>
      <c r="F23" s="1954"/>
      <c r="G23" s="1954"/>
      <c r="H23" s="1954"/>
      <c r="I23" s="2249"/>
      <c r="J23" s="1954"/>
      <c r="K23" s="1955"/>
      <c r="L23" s="1955"/>
      <c r="M23" s="1955"/>
      <c r="N23" s="1955"/>
      <c r="O23" s="1955"/>
      <c r="P23" s="1955"/>
      <c r="Q23" s="1956"/>
      <c r="R23" s="1956"/>
      <c r="S23" s="1956"/>
      <c r="T23" s="1956"/>
      <c r="U23" s="1956"/>
      <c r="V23" s="1956"/>
      <c r="W23" s="1956"/>
      <c r="X23" s="1956"/>
      <c r="Y23" s="1956"/>
      <c r="Z23" s="1956"/>
      <c r="AA23" s="1938"/>
      <c r="AB23" s="1951"/>
      <c r="AC23" s="1951"/>
      <c r="AD23" s="1951"/>
      <c r="AE23" s="1951"/>
      <c r="AF23" s="1951"/>
      <c r="AG23" s="1951"/>
      <c r="AH23" s="1951"/>
      <c r="AI23" s="1951"/>
      <c r="AJ23" s="1951"/>
      <c r="AK23" s="1951"/>
      <c r="AL23" s="1951"/>
    </row>
    <row r="24" spans="2:38" s="1935" customFormat="1">
      <c r="B24" s="1952" t="s">
        <v>317</v>
      </c>
      <c r="C24" s="1952"/>
      <c r="D24" s="1952"/>
      <c r="E24" s="1952"/>
      <c r="F24" s="1952"/>
      <c r="G24" s="1952"/>
      <c r="H24" s="1952"/>
      <c r="I24" s="2250"/>
      <c r="J24" s="1952"/>
      <c r="K24" s="1952"/>
      <c r="L24" s="1952"/>
      <c r="M24" s="1952"/>
      <c r="N24" s="1952"/>
      <c r="O24" s="1952"/>
      <c r="P24" s="1952"/>
      <c r="Q24" s="1952"/>
      <c r="R24" s="1952"/>
      <c r="S24" s="1952"/>
      <c r="T24" s="1952"/>
      <c r="U24" s="1952"/>
      <c r="V24" s="1952"/>
      <c r="W24" s="1911"/>
      <c r="X24" s="1911"/>
      <c r="Y24" s="1911"/>
      <c r="Z24" s="1911"/>
      <c r="AA24" s="1938"/>
      <c r="AB24" s="1938"/>
      <c r="AC24" s="1938"/>
      <c r="AD24" s="1938"/>
      <c r="AE24" s="1938"/>
      <c r="AF24" s="1938"/>
      <c r="AG24" s="1938"/>
      <c r="AH24" s="1938"/>
      <c r="AI24" s="1938"/>
      <c r="AJ24" s="1938"/>
      <c r="AK24" s="1938"/>
      <c r="AL24" s="1938"/>
    </row>
    <row r="25" spans="2:38" s="1936" customFormat="1">
      <c r="B25" s="1936" t="s">
        <v>1223</v>
      </c>
      <c r="I25" s="2247"/>
      <c r="W25" s="1957"/>
      <c r="X25" s="1957"/>
      <c r="Y25" s="1957"/>
      <c r="Z25" s="1957"/>
      <c r="AA25" s="1938"/>
      <c r="AB25" s="1938"/>
      <c r="AC25" s="1938"/>
      <c r="AD25" s="1938"/>
      <c r="AE25" s="1938"/>
      <c r="AF25" s="1938"/>
      <c r="AG25" s="1938"/>
      <c r="AH25" s="1938"/>
      <c r="AI25" s="1938"/>
      <c r="AJ25" s="1938"/>
      <c r="AK25" s="1938"/>
      <c r="AL25" s="1938"/>
    </row>
    <row r="26" spans="2:38" s="1958" customFormat="1">
      <c r="B26" s="1958" t="s">
        <v>1224</v>
      </c>
      <c r="I26" s="2251"/>
      <c r="W26" s="1959"/>
      <c r="X26" s="1959"/>
      <c r="Y26" s="1959"/>
      <c r="Z26" s="1959"/>
      <c r="AA26" s="1960"/>
      <c r="AB26" s="1960"/>
      <c r="AC26" s="1960"/>
      <c r="AD26" s="1960"/>
      <c r="AE26" s="1960"/>
      <c r="AF26" s="1960"/>
      <c r="AG26" s="1960"/>
      <c r="AH26" s="1960"/>
      <c r="AI26" s="1960"/>
      <c r="AJ26" s="1960"/>
      <c r="AK26" s="1960"/>
      <c r="AL26" s="1960"/>
    </row>
    <row r="27" spans="2:38" s="1935" customFormat="1">
      <c r="B27" s="1935" t="s">
        <v>1225</v>
      </c>
      <c r="I27" s="1937"/>
      <c r="W27" s="1911"/>
      <c r="X27" s="1911"/>
      <c r="Y27" s="1911"/>
      <c r="Z27" s="1911"/>
      <c r="AA27" s="1938"/>
      <c r="AB27" s="1938"/>
      <c r="AC27" s="1938"/>
      <c r="AD27" s="1938"/>
      <c r="AE27" s="1938"/>
      <c r="AF27" s="1938"/>
      <c r="AG27" s="1938"/>
      <c r="AH27" s="1938"/>
      <c r="AI27" s="1938"/>
      <c r="AJ27" s="1938"/>
      <c r="AK27" s="1938"/>
      <c r="AL27" s="1938"/>
    </row>
    <row r="28" spans="2:38" s="1935" customFormat="1">
      <c r="B28" s="1935" t="s">
        <v>1235</v>
      </c>
      <c r="E28" s="1940"/>
      <c r="F28" s="1940"/>
      <c r="G28" s="1940"/>
      <c r="H28" s="1940"/>
      <c r="I28" s="1941"/>
      <c r="J28" s="1940"/>
      <c r="K28" s="1940"/>
      <c r="L28" s="1940"/>
      <c r="M28" s="1940"/>
      <c r="N28" s="1940"/>
      <c r="O28" s="1940"/>
      <c r="P28" s="1940"/>
      <c r="Q28" s="1940"/>
      <c r="R28" s="1940"/>
      <c r="S28" s="1940"/>
      <c r="T28" s="1940"/>
      <c r="U28" s="1940"/>
      <c r="V28" s="1940"/>
      <c r="W28" s="1961"/>
      <c r="X28" s="1961"/>
      <c r="Y28" s="1961"/>
      <c r="Z28" s="1961"/>
      <c r="AA28" s="1938"/>
      <c r="AB28" s="1938"/>
      <c r="AC28" s="1938"/>
      <c r="AD28" s="1938"/>
      <c r="AE28" s="1938"/>
      <c r="AF28" s="1938"/>
      <c r="AG28" s="1938"/>
      <c r="AH28" s="1938"/>
      <c r="AI28" s="1938"/>
      <c r="AJ28" s="1938"/>
      <c r="AK28" s="1938"/>
      <c r="AL28" s="1938"/>
    </row>
    <row r="29" spans="2:38" s="1935" customFormat="1">
      <c r="B29" s="1935" t="s">
        <v>320</v>
      </c>
      <c r="D29" s="1962"/>
      <c r="E29" s="1962"/>
      <c r="F29" s="1962"/>
      <c r="G29" s="1962"/>
      <c r="H29" s="1962"/>
      <c r="I29" s="2252"/>
      <c r="J29" s="1962"/>
      <c r="K29" s="1962"/>
      <c r="L29" s="1962"/>
      <c r="M29" s="1962"/>
      <c r="N29" s="1962"/>
      <c r="O29" s="1962"/>
      <c r="P29" s="1962"/>
      <c r="Q29" s="1962"/>
      <c r="R29" s="1962"/>
      <c r="S29" s="1962"/>
      <c r="T29" s="1962"/>
      <c r="U29" s="1962"/>
      <c r="V29" s="1962"/>
      <c r="W29" s="1963"/>
      <c r="X29" s="1963"/>
      <c r="Y29" s="1963"/>
      <c r="Z29" s="1963"/>
      <c r="AA29" s="1938"/>
      <c r="AB29" s="1938"/>
      <c r="AC29" s="1938"/>
      <c r="AD29" s="1938"/>
      <c r="AE29" s="1938"/>
      <c r="AF29" s="1938"/>
      <c r="AG29" s="1938"/>
      <c r="AH29" s="1938"/>
      <c r="AI29" s="1938"/>
      <c r="AJ29" s="1938"/>
      <c r="AK29" s="1938"/>
      <c r="AL29" s="1938"/>
    </row>
    <row r="30" spans="2:38" s="1935" customFormat="1">
      <c r="B30" s="1935" t="s">
        <v>323</v>
      </c>
      <c r="D30" s="1962"/>
      <c r="E30" s="1962"/>
      <c r="F30" s="1962"/>
      <c r="G30" s="1962"/>
      <c r="H30" s="1962"/>
      <c r="I30" s="2252"/>
      <c r="J30" s="1962"/>
      <c r="K30" s="1962"/>
      <c r="L30" s="1962"/>
      <c r="M30" s="1962"/>
      <c r="N30" s="1962"/>
      <c r="O30" s="1962"/>
      <c r="P30" s="1962"/>
      <c r="Q30" s="1962"/>
      <c r="R30" s="1962"/>
      <c r="S30" s="1962"/>
      <c r="T30" s="1962"/>
      <c r="U30" s="1962"/>
      <c r="V30" s="1962"/>
      <c r="W30" s="1963"/>
      <c r="X30" s="1963"/>
      <c r="Y30" s="1963"/>
      <c r="Z30" s="1963"/>
      <c r="AA30" s="1938"/>
      <c r="AB30" s="1938"/>
      <c r="AC30" s="1938"/>
      <c r="AD30" s="1938"/>
      <c r="AE30" s="1938"/>
      <c r="AF30" s="1938"/>
      <c r="AG30" s="1938"/>
      <c r="AH30" s="1938"/>
      <c r="AI30" s="1938"/>
      <c r="AJ30" s="1938"/>
      <c r="AK30" s="1938"/>
      <c r="AL30" s="1938"/>
    </row>
    <row r="31" spans="2:38">
      <c r="B31" s="1927" t="s">
        <v>1226</v>
      </c>
      <c r="C31" s="1927"/>
      <c r="D31" s="1964"/>
      <c r="E31" s="1964"/>
      <c r="F31" s="1964"/>
      <c r="G31" s="1964"/>
      <c r="H31" s="1964"/>
      <c r="I31" s="2253"/>
      <c r="J31" s="1965"/>
      <c r="K31" s="1966"/>
      <c r="L31" s="1966"/>
      <c r="M31" s="1966"/>
      <c r="N31" s="1966"/>
      <c r="O31" s="1966"/>
      <c r="P31" s="1966"/>
      <c r="Q31" s="1966"/>
      <c r="R31" s="1966"/>
      <c r="S31" s="1966"/>
      <c r="T31" s="1966"/>
      <c r="U31" s="1966"/>
      <c r="V31" s="1966"/>
      <c r="W31" s="1966"/>
      <c r="X31" s="1966"/>
      <c r="Y31" s="1966"/>
      <c r="Z31" s="1966"/>
    </row>
    <row r="32" spans="2:38" s="1935" customFormat="1">
      <c r="B32" s="1935" t="s">
        <v>1236</v>
      </c>
      <c r="I32" s="1937"/>
      <c r="Q32" s="1911"/>
      <c r="R32" s="1911"/>
      <c r="S32" s="1911"/>
      <c r="T32" s="1911"/>
      <c r="U32" s="1911"/>
      <c r="V32" s="1911"/>
      <c r="W32" s="1911"/>
      <c r="X32" s="1911"/>
      <c r="Y32" s="1911"/>
      <c r="Z32" s="1911"/>
      <c r="AA32" s="1938"/>
      <c r="AB32" s="1938"/>
      <c r="AC32" s="1938"/>
      <c r="AD32" s="1938"/>
      <c r="AE32" s="1938"/>
      <c r="AF32" s="1938"/>
      <c r="AG32" s="1938"/>
      <c r="AH32" s="1938"/>
      <c r="AI32" s="1938"/>
      <c r="AJ32" s="1938"/>
      <c r="AK32" s="1938"/>
      <c r="AL32" s="1938"/>
    </row>
    <row r="33" spans="1:38" s="1935" customFormat="1">
      <c r="B33" s="1935" t="s">
        <v>1237</v>
      </c>
      <c r="H33" s="1967"/>
      <c r="I33" s="2252"/>
      <c r="J33" s="1962"/>
      <c r="K33" s="1962"/>
      <c r="L33" s="1962"/>
      <c r="M33" s="1962"/>
      <c r="N33" s="1962"/>
      <c r="O33" s="1962"/>
      <c r="Q33" s="1911"/>
      <c r="R33" s="1911"/>
      <c r="S33" s="1911"/>
      <c r="T33" s="1911"/>
      <c r="U33" s="1911"/>
      <c r="V33" s="1911"/>
      <c r="W33" s="1911"/>
      <c r="X33" s="1911"/>
      <c r="Y33" s="1911"/>
      <c r="Z33" s="1911"/>
      <c r="AA33" s="1938"/>
      <c r="AB33" s="1938"/>
      <c r="AC33" s="1938"/>
      <c r="AD33" s="1938"/>
      <c r="AE33" s="1938"/>
      <c r="AF33" s="1938"/>
      <c r="AG33" s="1938"/>
      <c r="AH33" s="1938"/>
      <c r="AI33" s="1938"/>
      <c r="AJ33" s="1938"/>
      <c r="AK33" s="1938"/>
      <c r="AL33" s="1938"/>
    </row>
    <row r="34" spans="1:38" s="1935" customFormat="1">
      <c r="B34" s="1935" t="s">
        <v>1238</v>
      </c>
      <c r="I34" s="1937"/>
      <c r="W34" s="1911"/>
      <c r="X34" s="1911"/>
      <c r="Y34" s="1911"/>
      <c r="Z34" s="1911"/>
      <c r="AA34" s="1938"/>
      <c r="AB34" s="1938"/>
      <c r="AC34" s="1938"/>
      <c r="AD34" s="1938"/>
      <c r="AE34" s="1938"/>
      <c r="AF34" s="1938"/>
      <c r="AG34" s="1938"/>
      <c r="AH34" s="1938"/>
      <c r="AI34" s="1938"/>
      <c r="AJ34" s="1938"/>
      <c r="AK34" s="1938"/>
      <c r="AL34" s="1938"/>
    </row>
    <row r="35" spans="1:38" s="1935" customFormat="1">
      <c r="B35" s="1935" t="s">
        <v>1239</v>
      </c>
      <c r="I35" s="2252"/>
      <c r="J35" s="1962"/>
      <c r="K35" s="1962"/>
      <c r="L35" s="1962"/>
      <c r="M35" s="1962"/>
      <c r="N35" s="1962"/>
      <c r="O35" s="1962"/>
      <c r="W35" s="1911"/>
      <c r="X35" s="1911"/>
      <c r="Y35" s="1911"/>
      <c r="Z35" s="1911"/>
      <c r="AA35" s="1938"/>
      <c r="AB35" s="1938"/>
      <c r="AC35" s="1938"/>
      <c r="AD35" s="1938"/>
      <c r="AE35" s="1938"/>
      <c r="AF35" s="1938"/>
      <c r="AG35" s="1938"/>
      <c r="AH35" s="1938"/>
      <c r="AI35" s="1938"/>
      <c r="AJ35" s="1938"/>
      <c r="AK35" s="1938"/>
      <c r="AL35" s="1938"/>
    </row>
    <row r="36" spans="1:38">
      <c r="B36" s="1925" t="s">
        <v>1240</v>
      </c>
      <c r="D36" s="1968"/>
      <c r="E36" s="1968"/>
      <c r="F36" s="1968"/>
      <c r="G36" s="1929"/>
      <c r="H36" s="1969"/>
      <c r="I36" s="2254"/>
      <c r="J36" s="1969"/>
      <c r="K36" s="1969"/>
      <c r="L36" s="1969"/>
      <c r="M36" s="1969"/>
      <c r="N36" s="1969"/>
      <c r="O36" s="1969"/>
      <c r="P36" s="1935"/>
      <c r="Q36" s="1935"/>
      <c r="R36" s="1935"/>
      <c r="S36" s="1935"/>
      <c r="T36" s="1935"/>
      <c r="U36" s="1935"/>
      <c r="V36" s="1935"/>
      <c r="W36" s="1911"/>
      <c r="X36" s="1911"/>
      <c r="Y36" s="1911"/>
      <c r="Z36" s="1911"/>
    </row>
    <row r="37" spans="1:38">
      <c r="B37" s="1925" t="s">
        <v>1241</v>
      </c>
      <c r="D37" s="1968"/>
      <c r="E37" s="1968"/>
      <c r="F37" s="1968"/>
      <c r="G37" s="1970"/>
      <c r="H37" s="1971"/>
      <c r="I37" s="2255"/>
      <c r="J37" s="1935"/>
      <c r="K37" s="1935"/>
      <c r="L37" s="1935"/>
      <c r="M37" s="1935"/>
      <c r="N37" s="1935"/>
      <c r="O37" s="1935"/>
      <c r="P37" s="1935"/>
      <c r="Q37" s="1935"/>
      <c r="R37" s="1935"/>
      <c r="S37" s="1935"/>
      <c r="T37" s="1935"/>
      <c r="U37" s="1935"/>
      <c r="V37" s="1911"/>
      <c r="W37" s="1911"/>
      <c r="X37" s="1911"/>
      <c r="Y37" s="1911"/>
      <c r="Z37" s="1911"/>
      <c r="AB37" s="1972"/>
      <c r="AC37" s="1972"/>
      <c r="AD37" s="1972"/>
      <c r="AE37" s="1972"/>
      <c r="AF37" s="1972"/>
      <c r="AG37" s="1972"/>
      <c r="AH37" s="1972"/>
      <c r="AI37" s="1972"/>
    </row>
    <row r="38" spans="1:38">
      <c r="B38" s="1925" t="str">
        <f>B125</f>
        <v>Oil price (USD/barrel) (brent)</v>
      </c>
      <c r="I38" s="2254"/>
      <c r="J38" s="1969"/>
      <c r="K38" s="1969"/>
      <c r="L38" s="1969"/>
      <c r="M38" s="1969"/>
      <c r="N38" s="1969"/>
      <c r="O38" s="1969"/>
      <c r="P38" s="1969"/>
      <c r="Q38" s="1969"/>
      <c r="R38" s="1969"/>
      <c r="S38" s="1969"/>
      <c r="T38" s="1969"/>
      <c r="U38" s="1969"/>
      <c r="V38" s="1969"/>
      <c r="AA38" s="1972"/>
      <c r="AB38" s="1972"/>
      <c r="AC38" s="1972"/>
      <c r="AD38" s="1972"/>
      <c r="AE38" s="1972"/>
      <c r="AF38" s="1972"/>
      <c r="AG38" s="1972"/>
      <c r="AH38" s="1972"/>
      <c r="AI38" s="1972"/>
    </row>
    <row r="39" spans="1:38">
      <c r="B39" s="1925" t="str">
        <f>B126</f>
        <v>MFO (USD/ton)</v>
      </c>
      <c r="I39" s="2254"/>
      <c r="J39" s="1969"/>
      <c r="K39" s="1969"/>
      <c r="L39" s="1969"/>
      <c r="M39" s="1969"/>
      <c r="N39" s="1969"/>
      <c r="O39" s="1969"/>
      <c r="P39" s="1969"/>
      <c r="Q39" s="1969"/>
      <c r="R39" s="1969"/>
      <c r="S39" s="1969"/>
      <c r="T39" s="1969"/>
      <c r="U39" s="1969"/>
      <c r="V39" s="1969"/>
      <c r="AA39" s="1972"/>
      <c r="AB39" s="1972"/>
      <c r="AC39" s="1972"/>
      <c r="AD39" s="1972"/>
      <c r="AE39" s="1972"/>
      <c r="AF39" s="1972"/>
      <c r="AG39" s="1972"/>
      <c r="AH39" s="1972"/>
      <c r="AI39" s="1972"/>
    </row>
    <row r="40" spans="1:38" ht="13.8" thickBot="1">
      <c r="B40" s="1925" t="str">
        <f>B132</f>
        <v>Natural Gas Price (USD/mmbtu) no VAT</v>
      </c>
      <c r="I40" s="2256"/>
      <c r="J40" s="1973"/>
      <c r="K40" s="1973"/>
      <c r="L40" s="1973"/>
      <c r="M40" s="1973"/>
      <c r="N40" s="1973"/>
      <c r="O40" s="1973"/>
      <c r="P40" s="1973"/>
      <c r="Q40" s="1973"/>
      <c r="R40" s="1973"/>
      <c r="S40" s="1973"/>
      <c r="T40" s="1973"/>
      <c r="U40" s="1973"/>
      <c r="V40" s="1973"/>
      <c r="AA40" s="1972"/>
      <c r="AB40" s="1972"/>
      <c r="AC40" s="1972"/>
      <c r="AD40" s="1972"/>
      <c r="AE40" s="1972"/>
      <c r="AF40" s="1972"/>
      <c r="AG40" s="1972"/>
      <c r="AH40" s="1972"/>
      <c r="AI40" s="1972"/>
    </row>
    <row r="41" spans="1:38" s="1974" customFormat="1">
      <c r="B41" s="1975" t="s">
        <v>1242</v>
      </c>
      <c r="C41" s="2340"/>
      <c r="D41" s="1976"/>
      <c r="E41" s="1976"/>
      <c r="F41" s="1976"/>
      <c r="G41" s="1976"/>
      <c r="H41" s="1976"/>
      <c r="I41" s="2257"/>
      <c r="J41" s="1976"/>
      <c r="K41" s="1976"/>
      <c r="L41" s="1976"/>
      <c r="M41" s="1976"/>
      <c r="N41" s="1976"/>
      <c r="O41" s="1976"/>
      <c r="P41" s="1959"/>
      <c r="Q41" s="1959"/>
      <c r="R41" s="1959"/>
      <c r="S41" s="1959"/>
      <c r="T41" s="1959"/>
      <c r="U41" s="1959"/>
      <c r="V41" s="1959"/>
      <c r="W41" s="1977"/>
      <c r="X41" s="1977"/>
      <c r="Y41" s="1977"/>
      <c r="Z41" s="1977"/>
      <c r="AA41" s="1972"/>
      <c r="AB41" s="1972"/>
      <c r="AC41" s="1972"/>
      <c r="AD41" s="1972"/>
      <c r="AE41" s="1972"/>
      <c r="AF41" s="1972"/>
      <c r="AG41" s="1972"/>
      <c r="AH41" s="1972"/>
      <c r="AI41" s="1972"/>
      <c r="AJ41" s="1928"/>
      <c r="AK41" s="1928"/>
      <c r="AL41" s="1928"/>
    </row>
    <row r="42" spans="1:38" s="1974" customFormat="1">
      <c r="B42" s="1978" t="s">
        <v>1243</v>
      </c>
      <c r="C42" s="2182"/>
      <c r="D42" s="1959"/>
      <c r="E42" s="1959"/>
      <c r="F42" s="1959"/>
      <c r="G42" s="1959"/>
      <c r="H42" s="1959"/>
      <c r="I42" s="2258"/>
      <c r="J42" s="1959"/>
      <c r="K42" s="1959"/>
      <c r="L42" s="1959"/>
      <c r="M42" s="1959"/>
      <c r="N42" s="1959"/>
      <c r="O42" s="1959"/>
      <c r="P42" s="1959"/>
      <c r="Q42" s="1959"/>
      <c r="R42" s="1959"/>
      <c r="S42" s="1959"/>
      <c r="T42" s="1959"/>
      <c r="U42" s="1959"/>
      <c r="V42" s="1959"/>
      <c r="W42" s="1979"/>
      <c r="X42" s="1979"/>
      <c r="Y42" s="1979"/>
      <c r="Z42" s="1979"/>
      <c r="AA42" s="1972"/>
      <c r="AB42" s="1972"/>
      <c r="AC42" s="1972"/>
      <c r="AD42" s="1972"/>
      <c r="AE42" s="1972"/>
      <c r="AF42" s="1972"/>
      <c r="AG42" s="1972"/>
      <c r="AH42" s="1972"/>
      <c r="AI42" s="1972"/>
      <c r="AJ42" s="1928"/>
      <c r="AK42" s="1928"/>
      <c r="AL42" s="1928"/>
    </row>
    <row r="43" spans="1:38" s="1974" customFormat="1">
      <c r="B43" s="1978" t="s">
        <v>1244</v>
      </c>
      <c r="C43" s="2182"/>
      <c r="D43" s="1959"/>
      <c r="E43" s="1959"/>
      <c r="F43" s="1959"/>
      <c r="G43" s="1959"/>
      <c r="H43" s="1959"/>
      <c r="I43" s="2258"/>
      <c r="J43" s="1959"/>
      <c r="K43" s="1959"/>
      <c r="L43" s="1959"/>
      <c r="M43" s="1959"/>
      <c r="N43" s="1959"/>
      <c r="O43" s="1959"/>
      <c r="P43" s="1959"/>
      <c r="Q43" s="1959"/>
      <c r="R43" s="1959"/>
      <c r="S43" s="1959"/>
      <c r="T43" s="1959"/>
      <c r="U43" s="1959"/>
      <c r="V43" s="1959"/>
      <c r="W43" s="1979"/>
      <c r="X43" s="1979"/>
      <c r="Y43" s="1979"/>
      <c r="Z43" s="1979"/>
      <c r="AA43" s="1972"/>
      <c r="AB43" s="1972"/>
      <c r="AC43" s="1972"/>
      <c r="AD43" s="1972"/>
      <c r="AE43" s="1972"/>
      <c r="AF43" s="1972"/>
      <c r="AG43" s="1972"/>
      <c r="AH43" s="1972"/>
      <c r="AI43" s="1972"/>
      <c r="AJ43" s="1928"/>
      <c r="AK43" s="1928"/>
      <c r="AL43" s="1928"/>
    </row>
    <row r="44" spans="1:38" s="1974" customFormat="1" ht="13.8" thickBot="1">
      <c r="B44" s="1980" t="s">
        <v>1245</v>
      </c>
      <c r="C44" s="2341"/>
      <c r="D44" s="1981"/>
      <c r="E44" s="1981"/>
      <c r="F44" s="1981"/>
      <c r="G44" s="1981"/>
      <c r="H44" s="1981"/>
      <c r="I44" s="2259"/>
      <c r="J44" s="1981"/>
      <c r="K44" s="1981"/>
      <c r="L44" s="1981"/>
      <c r="M44" s="1981"/>
      <c r="N44" s="1981"/>
      <c r="O44" s="1981"/>
      <c r="P44" s="1959"/>
      <c r="Q44" s="1959"/>
      <c r="R44" s="1959"/>
      <c r="S44" s="1959"/>
      <c r="T44" s="1959"/>
      <c r="U44" s="1959"/>
      <c r="V44" s="1959"/>
      <c r="W44" s="1979"/>
      <c r="X44" s="1979"/>
      <c r="Y44" s="1979"/>
      <c r="Z44" s="1979"/>
      <c r="AA44" s="1972"/>
      <c r="AB44" s="1972"/>
      <c r="AC44" s="1972"/>
      <c r="AD44" s="1972"/>
      <c r="AE44" s="1972"/>
      <c r="AF44" s="1972"/>
      <c r="AG44" s="1972"/>
      <c r="AH44" s="1972"/>
      <c r="AI44" s="1972"/>
      <c r="AJ44" s="1928"/>
      <c r="AK44" s="1928"/>
      <c r="AL44" s="1928"/>
    </row>
    <row r="45" spans="1:38" s="1982" customFormat="1">
      <c r="D45" s="1983"/>
      <c r="E45" s="1983"/>
      <c r="F45" s="1983"/>
      <c r="I45" s="2260"/>
      <c r="J45" s="1984"/>
      <c r="AA45" s="1985"/>
      <c r="AB45" s="1985"/>
      <c r="AC45" s="1985"/>
      <c r="AD45" s="1985"/>
      <c r="AE45" s="1985"/>
      <c r="AF45" s="1985"/>
      <c r="AG45" s="1985"/>
      <c r="AH45" s="1985"/>
      <c r="AI45" s="1985"/>
      <c r="AJ45" s="1985"/>
      <c r="AK45" s="1985"/>
      <c r="AL45" s="1985"/>
    </row>
    <row r="46" spans="1:38" s="1982" customFormat="1">
      <c r="A46" s="1986" t="s">
        <v>1246</v>
      </c>
      <c r="B46" s="1986"/>
      <c r="C46" s="1986"/>
      <c r="D46" s="1983"/>
      <c r="E46" s="1983"/>
      <c r="F46" s="1983"/>
      <c r="I46" s="2260"/>
      <c r="J46" s="1984"/>
      <c r="AA46" s="1985"/>
      <c r="AB46" s="1985"/>
      <c r="AC46" s="1985"/>
      <c r="AD46" s="1985"/>
      <c r="AE46" s="1985"/>
      <c r="AF46" s="1985"/>
      <c r="AG46" s="1985"/>
      <c r="AH46" s="1985"/>
      <c r="AI46" s="1985"/>
      <c r="AJ46" s="1985"/>
      <c r="AK46" s="1985"/>
      <c r="AL46" s="1985"/>
    </row>
    <row r="47" spans="1:38" s="1982" customFormat="1">
      <c r="B47" s="1982" t="s">
        <v>1247</v>
      </c>
      <c r="D47" s="1983"/>
      <c r="E47" s="1983"/>
      <c r="F47" s="1983"/>
      <c r="I47" s="2260"/>
      <c r="J47" s="1984"/>
      <c r="AA47" s="1985"/>
      <c r="AB47" s="1985"/>
      <c r="AC47" s="1985"/>
      <c r="AD47" s="1985"/>
      <c r="AE47" s="1985"/>
      <c r="AF47" s="1985"/>
      <c r="AG47" s="1985"/>
      <c r="AH47" s="1985"/>
      <c r="AI47" s="1985"/>
      <c r="AJ47" s="1985"/>
      <c r="AK47" s="1985"/>
      <c r="AL47" s="1985"/>
    </row>
    <row r="48" spans="1:38" s="1982" customFormat="1">
      <c r="B48" s="1911" t="s">
        <v>1248</v>
      </c>
      <c r="C48" s="1911"/>
      <c r="D48" s="1987"/>
      <c r="E48" s="1987"/>
      <c r="F48" s="1987"/>
      <c r="G48" s="1987"/>
      <c r="H48" s="1987"/>
      <c r="I48" s="2261"/>
      <c r="J48" s="1987"/>
      <c r="K48" s="1987"/>
      <c r="L48" s="1987"/>
      <c r="M48" s="1987"/>
      <c r="N48" s="1987"/>
      <c r="O48" s="1987"/>
      <c r="P48" s="1987"/>
      <c r="Q48" s="1987"/>
      <c r="R48" s="1987"/>
      <c r="S48" s="1987"/>
      <c r="T48" s="1987"/>
      <c r="U48" s="1987"/>
      <c r="V48" s="1987"/>
      <c r="AA48" s="1985"/>
      <c r="AB48" s="1985"/>
      <c r="AC48" s="1985"/>
      <c r="AD48" s="1985"/>
      <c r="AE48" s="1985"/>
      <c r="AF48" s="1985"/>
      <c r="AG48" s="1985"/>
      <c r="AH48" s="1985"/>
      <c r="AI48" s="1985"/>
      <c r="AJ48" s="1985"/>
      <c r="AK48" s="1985"/>
      <c r="AL48" s="1985"/>
    </row>
    <row r="49" spans="1:38" s="1982" customFormat="1">
      <c r="B49" s="1911" t="s">
        <v>1249</v>
      </c>
      <c r="C49" s="1911"/>
      <c r="D49" s="2392"/>
      <c r="E49" s="2392"/>
      <c r="F49" s="1987"/>
      <c r="G49" s="1987"/>
      <c r="H49" s="1987"/>
      <c r="I49" s="2261"/>
      <c r="J49" s="1987"/>
      <c r="K49" s="1987"/>
      <c r="L49" s="1987"/>
      <c r="M49" s="1987"/>
      <c r="N49" s="1987"/>
      <c r="O49" s="1987"/>
      <c r="P49" s="1987"/>
      <c r="Q49" s="1987"/>
      <c r="R49" s="1987"/>
      <c r="S49" s="1987"/>
      <c r="T49" s="1987"/>
      <c r="U49" s="1987"/>
      <c r="V49" s="1987"/>
      <c r="AA49" s="1985"/>
      <c r="AB49" s="1985"/>
      <c r="AC49" s="1985"/>
      <c r="AD49" s="1985"/>
      <c r="AE49" s="1985"/>
      <c r="AF49" s="1985"/>
      <c r="AG49" s="1985"/>
      <c r="AH49" s="1985"/>
      <c r="AI49" s="1985"/>
      <c r="AJ49" s="1985"/>
      <c r="AK49" s="1985"/>
      <c r="AL49" s="1985"/>
    </row>
    <row r="50" spans="1:38" s="1982" customFormat="1">
      <c r="B50" s="1911" t="s">
        <v>1250</v>
      </c>
      <c r="C50" s="1911"/>
      <c r="D50" s="1987"/>
      <c r="E50" s="1987"/>
      <c r="F50" s="1987"/>
      <c r="G50" s="1987"/>
      <c r="H50" s="1987"/>
      <c r="I50" s="2261"/>
      <c r="J50" s="1987"/>
      <c r="K50" s="1987"/>
      <c r="L50" s="1987"/>
      <c r="M50" s="1987"/>
      <c r="N50" s="1987"/>
      <c r="O50" s="1987"/>
      <c r="P50" s="1987"/>
      <c r="Q50" s="1987"/>
      <c r="R50" s="1987"/>
      <c r="S50" s="1987"/>
      <c r="T50" s="1987"/>
      <c r="U50" s="1987"/>
      <c r="V50" s="1987"/>
      <c r="W50" s="1987"/>
      <c r="X50" s="1987"/>
      <c r="Y50" s="1987"/>
      <c r="Z50" s="1987"/>
      <c r="AA50" s="1987"/>
      <c r="AB50" s="1987"/>
      <c r="AC50" s="1985"/>
      <c r="AD50" s="1985"/>
      <c r="AE50" s="1985"/>
      <c r="AF50" s="1985"/>
      <c r="AG50" s="1985"/>
      <c r="AH50" s="1985"/>
      <c r="AI50" s="1985"/>
      <c r="AJ50" s="1985"/>
      <c r="AK50" s="1985"/>
      <c r="AL50" s="1985"/>
    </row>
    <row r="51" spans="1:38" s="1982" customFormat="1">
      <c r="B51" s="1988" t="s">
        <v>1251</v>
      </c>
      <c r="C51" s="1988"/>
      <c r="D51" s="1989"/>
      <c r="E51" s="1989"/>
      <c r="F51" s="1989"/>
      <c r="G51" s="1989"/>
      <c r="H51" s="1989"/>
      <c r="I51" s="2262"/>
      <c r="J51" s="1989"/>
      <c r="K51" s="1989"/>
      <c r="L51" s="1989"/>
      <c r="M51" s="1989"/>
      <c r="N51" s="1989"/>
      <c r="O51" s="1989"/>
      <c r="P51" s="1987"/>
      <c r="Q51" s="1987"/>
      <c r="R51" s="1987"/>
      <c r="S51" s="1987"/>
      <c r="T51" s="1987"/>
      <c r="U51" s="1987"/>
      <c r="V51" s="1987"/>
      <c r="W51" s="1987"/>
      <c r="X51" s="1987"/>
      <c r="Y51" s="1987"/>
      <c r="Z51" s="1987"/>
      <c r="AA51" s="1987"/>
      <c r="AB51" s="1987"/>
      <c r="AC51" s="1985"/>
      <c r="AD51" s="1985"/>
      <c r="AE51" s="1985"/>
      <c r="AF51" s="1985"/>
      <c r="AG51" s="1985"/>
      <c r="AH51" s="1985"/>
      <c r="AI51" s="1985"/>
      <c r="AJ51" s="1985"/>
      <c r="AK51" s="1985"/>
      <c r="AL51" s="1985"/>
    </row>
    <row r="52" spans="1:38" s="1982" customFormat="1">
      <c r="B52" s="1911" t="s">
        <v>1252</v>
      </c>
      <c r="C52" s="1911"/>
      <c r="D52" s="1987"/>
      <c r="E52" s="1987"/>
      <c r="F52" s="1987"/>
      <c r="G52" s="1987"/>
      <c r="H52" s="1987"/>
      <c r="I52" s="2261"/>
      <c r="J52" s="1987"/>
      <c r="K52" s="1987"/>
      <c r="L52" s="1987"/>
      <c r="M52" s="1987"/>
      <c r="N52" s="1987"/>
      <c r="O52" s="1987"/>
      <c r="P52" s="1987"/>
      <c r="Q52" s="1987"/>
      <c r="R52" s="1987"/>
      <c r="S52" s="1987"/>
      <c r="T52" s="1987"/>
      <c r="U52" s="1987"/>
      <c r="V52" s="1987"/>
      <c r="W52" s="1987"/>
      <c r="X52" s="1987"/>
      <c r="Y52" s="1987"/>
      <c r="Z52" s="1987"/>
      <c r="AA52" s="1987"/>
      <c r="AB52" s="1987"/>
      <c r="AC52" s="1985"/>
      <c r="AD52" s="1985"/>
      <c r="AE52" s="1985"/>
      <c r="AF52" s="1985"/>
      <c r="AG52" s="1985"/>
      <c r="AH52" s="1985"/>
      <c r="AI52" s="1985"/>
      <c r="AJ52" s="1985"/>
      <c r="AK52" s="1985"/>
      <c r="AL52" s="1985"/>
    </row>
    <row r="53" spans="1:38" s="1982" customFormat="1">
      <c r="B53" s="1911"/>
      <c r="C53" s="1911"/>
      <c r="D53" s="1987"/>
      <c r="E53" s="1987"/>
      <c r="F53" s="1987"/>
      <c r="G53" s="1987"/>
      <c r="H53" s="1987"/>
      <c r="I53" s="2263"/>
      <c r="J53" s="1990"/>
      <c r="K53" s="1990"/>
      <c r="L53" s="1990"/>
      <c r="M53" s="1990"/>
      <c r="N53" s="1990"/>
      <c r="O53" s="1990"/>
      <c r="P53" s="1990"/>
      <c r="Q53" s="1990"/>
      <c r="R53" s="1990"/>
      <c r="S53" s="1990"/>
      <c r="T53" s="1990"/>
      <c r="U53" s="1990"/>
      <c r="V53" s="1990"/>
      <c r="W53" s="1987"/>
      <c r="X53" s="1987"/>
      <c r="Y53" s="1987"/>
      <c r="Z53" s="1987"/>
      <c r="AA53" s="1987"/>
      <c r="AB53" s="1987"/>
      <c r="AC53" s="1985"/>
      <c r="AD53" s="1985"/>
      <c r="AE53" s="1985"/>
      <c r="AF53" s="1985"/>
      <c r="AG53" s="1985"/>
      <c r="AH53" s="1985"/>
      <c r="AI53" s="1985"/>
      <c r="AJ53" s="1985"/>
      <c r="AK53" s="1985"/>
      <c r="AL53" s="1985"/>
    </row>
    <row r="54" spans="1:38" s="1982" customFormat="1">
      <c r="B54" s="1982" t="s">
        <v>1253</v>
      </c>
      <c r="D54" s="1987"/>
      <c r="E54" s="1987"/>
      <c r="F54" s="1987"/>
      <c r="G54" s="1987"/>
      <c r="H54" s="1987"/>
      <c r="I54" s="2261"/>
      <c r="J54" s="1987"/>
      <c r="K54" s="1987"/>
      <c r="L54" s="1987"/>
      <c r="M54" s="1987"/>
      <c r="N54" s="1987"/>
      <c r="O54" s="1987"/>
      <c r="P54" s="1987"/>
      <c r="Q54" s="1987"/>
      <c r="R54" s="1987"/>
      <c r="S54" s="1987"/>
      <c r="T54" s="1987"/>
      <c r="U54" s="1987"/>
      <c r="V54" s="1987"/>
      <c r="W54" s="1987"/>
      <c r="X54" s="1987"/>
      <c r="Y54" s="1987"/>
      <c r="Z54" s="1987"/>
      <c r="AA54" s="1987"/>
      <c r="AB54" s="1987"/>
      <c r="AC54" s="1985"/>
      <c r="AD54" s="1985"/>
      <c r="AE54" s="1985"/>
      <c r="AF54" s="1985"/>
      <c r="AG54" s="1985"/>
      <c r="AH54" s="1985"/>
      <c r="AI54" s="1985"/>
      <c r="AJ54" s="1985"/>
      <c r="AK54" s="1985"/>
      <c r="AL54" s="1985"/>
    </row>
    <row r="55" spans="1:38" s="1982" customFormat="1">
      <c r="B55" s="1911" t="s">
        <v>1254</v>
      </c>
      <c r="C55" s="1911"/>
      <c r="D55" s="1987"/>
      <c r="E55" s="1987"/>
      <c r="F55" s="1987"/>
      <c r="G55" s="1987"/>
      <c r="H55" s="1987"/>
      <c r="I55" s="2261"/>
      <c r="J55" s="1987"/>
      <c r="K55" s="1987"/>
      <c r="L55" s="1987"/>
      <c r="M55" s="1987"/>
      <c r="N55" s="1987"/>
      <c r="O55" s="1987"/>
      <c r="P55" s="1987"/>
      <c r="Q55" s="1987"/>
      <c r="R55" s="1987"/>
      <c r="S55" s="1987"/>
      <c r="T55" s="1987"/>
      <c r="U55" s="1987"/>
      <c r="V55" s="1987"/>
      <c r="W55" s="1987"/>
      <c r="X55" s="1987"/>
      <c r="Y55" s="1987"/>
      <c r="Z55" s="1987"/>
      <c r="AA55" s="1987"/>
      <c r="AB55" s="1987"/>
      <c r="AC55" s="1985"/>
      <c r="AD55" s="1985"/>
      <c r="AE55" s="1985"/>
      <c r="AF55" s="1985"/>
      <c r="AG55" s="1985"/>
      <c r="AH55" s="1985"/>
      <c r="AI55" s="1985"/>
      <c r="AJ55" s="1985"/>
      <c r="AK55" s="1985"/>
      <c r="AL55" s="1985"/>
    </row>
    <row r="56" spans="1:38" s="1982" customFormat="1">
      <c r="B56" s="1911" t="s">
        <v>1255</v>
      </c>
      <c r="C56" s="1911"/>
      <c r="D56" s="1987"/>
      <c r="E56" s="1987"/>
      <c r="F56" s="1987"/>
      <c r="G56" s="1987"/>
      <c r="H56" s="1987"/>
      <c r="I56" s="2261"/>
      <c r="J56" s="1987"/>
      <c r="K56" s="1987"/>
      <c r="L56" s="1987"/>
      <c r="M56" s="1987"/>
      <c r="N56" s="1987"/>
      <c r="O56" s="1987"/>
      <c r="P56" s="1987"/>
      <c r="Q56" s="1987"/>
      <c r="R56" s="1987"/>
      <c r="S56" s="1987"/>
      <c r="T56" s="1987"/>
      <c r="U56" s="1987"/>
      <c r="V56" s="1987"/>
      <c r="W56" s="1987"/>
      <c r="X56" s="1987"/>
      <c r="Y56" s="1987"/>
      <c r="Z56" s="1987"/>
      <c r="AA56" s="1987"/>
      <c r="AB56" s="1987"/>
      <c r="AC56" s="1985"/>
      <c r="AD56" s="1985"/>
      <c r="AE56" s="1985"/>
      <c r="AF56" s="1985"/>
      <c r="AG56" s="1985"/>
      <c r="AH56" s="1985"/>
      <c r="AI56" s="1985"/>
      <c r="AJ56" s="1985"/>
      <c r="AK56" s="1985"/>
      <c r="AL56" s="1985"/>
    </row>
    <row r="57" spans="1:38" s="1982" customFormat="1">
      <c r="B57" s="1988" t="s">
        <v>1256</v>
      </c>
      <c r="C57" s="1988"/>
      <c r="D57" s="1987"/>
      <c r="E57" s="1987"/>
      <c r="F57" s="1987"/>
      <c r="G57" s="1987"/>
      <c r="H57" s="1987"/>
      <c r="I57" s="2261"/>
      <c r="J57" s="1987"/>
      <c r="K57" s="1987"/>
      <c r="L57" s="1987"/>
      <c r="M57" s="1987"/>
      <c r="N57" s="1987"/>
      <c r="O57" s="1987"/>
      <c r="P57" s="1987"/>
      <c r="Q57" s="1987"/>
      <c r="R57" s="1987"/>
      <c r="S57" s="1987"/>
      <c r="T57" s="1987"/>
      <c r="U57" s="1987"/>
      <c r="V57" s="1987"/>
      <c r="W57" s="1987"/>
      <c r="X57" s="1987"/>
      <c r="Y57" s="1987"/>
      <c r="Z57" s="1987"/>
      <c r="AA57" s="1987"/>
      <c r="AB57" s="1987"/>
      <c r="AC57" s="1985"/>
      <c r="AD57" s="1985"/>
      <c r="AE57" s="1985"/>
      <c r="AF57" s="1985"/>
      <c r="AG57" s="1985"/>
      <c r="AH57" s="1985"/>
      <c r="AI57" s="1985"/>
      <c r="AJ57" s="1985"/>
      <c r="AK57" s="1985"/>
      <c r="AL57" s="1985"/>
    </row>
    <row r="58" spans="1:38" s="1982" customFormat="1">
      <c r="B58" s="1911" t="s">
        <v>1257</v>
      </c>
      <c r="C58" s="1911"/>
      <c r="D58" s="1987"/>
      <c r="E58" s="1987"/>
      <c r="F58" s="1987"/>
      <c r="G58" s="1987"/>
      <c r="H58" s="1987"/>
      <c r="I58" s="2261"/>
      <c r="J58" s="1987"/>
      <c r="K58" s="1987"/>
      <c r="L58" s="1987"/>
      <c r="M58" s="1987"/>
      <c r="N58" s="1987"/>
      <c r="O58" s="1987"/>
      <c r="P58" s="1987"/>
      <c r="Q58" s="1987"/>
      <c r="R58" s="1987"/>
      <c r="S58" s="1987"/>
      <c r="T58" s="1987"/>
      <c r="U58" s="1987"/>
      <c r="V58" s="1987"/>
      <c r="W58" s="1987"/>
      <c r="X58" s="1987"/>
      <c r="Y58" s="1987"/>
      <c r="Z58" s="1987"/>
      <c r="AA58" s="1987"/>
      <c r="AB58" s="1987"/>
      <c r="AC58" s="1985"/>
      <c r="AD58" s="1985"/>
      <c r="AE58" s="1985"/>
      <c r="AF58" s="1985"/>
      <c r="AG58" s="1985"/>
      <c r="AH58" s="1985"/>
      <c r="AI58" s="1985"/>
      <c r="AJ58" s="1985"/>
      <c r="AK58" s="1985"/>
      <c r="AL58" s="1985"/>
    </row>
    <row r="59" spans="1:38" s="1982" customFormat="1">
      <c r="B59" s="1911"/>
      <c r="C59" s="1911"/>
      <c r="D59" s="1987"/>
      <c r="E59" s="1987"/>
      <c r="F59" s="1987"/>
      <c r="G59" s="1987"/>
      <c r="H59" s="1987"/>
      <c r="I59" s="2261"/>
      <c r="J59" s="1987"/>
      <c r="K59" s="1987"/>
      <c r="L59" s="1987"/>
      <c r="M59" s="1991"/>
      <c r="N59" s="1987"/>
      <c r="O59" s="1987"/>
      <c r="P59" s="1987"/>
      <c r="Q59" s="1987"/>
      <c r="R59" s="1987"/>
      <c r="S59" s="1987"/>
      <c r="T59" s="1987"/>
      <c r="U59" s="1987"/>
      <c r="V59" s="1987"/>
      <c r="W59" s="1987"/>
      <c r="X59" s="1987"/>
      <c r="Y59" s="1987"/>
      <c r="Z59" s="1987"/>
      <c r="AA59" s="1987"/>
      <c r="AB59" s="1987"/>
      <c r="AC59" s="1985"/>
      <c r="AD59" s="1985"/>
      <c r="AE59" s="1985"/>
      <c r="AF59" s="1985"/>
      <c r="AG59" s="1985"/>
      <c r="AH59" s="1985"/>
      <c r="AI59" s="1985"/>
      <c r="AJ59" s="1985"/>
      <c r="AK59" s="1985"/>
      <c r="AL59" s="1985"/>
    </row>
    <row r="60" spans="1:38" s="1992" customFormat="1">
      <c r="B60" s="1992" t="s">
        <v>1258</v>
      </c>
      <c r="D60" s="1993"/>
      <c r="E60" s="1993"/>
      <c r="F60" s="1993"/>
      <c r="G60" s="1993"/>
      <c r="H60" s="1993"/>
      <c r="I60" s="2264"/>
      <c r="J60" s="1993"/>
      <c r="K60" s="1993"/>
      <c r="L60" s="1993"/>
      <c r="M60" s="1993"/>
      <c r="N60" s="1993"/>
      <c r="O60" s="1993"/>
      <c r="P60" s="1993"/>
      <c r="Q60" s="1993"/>
      <c r="R60" s="1993"/>
      <c r="S60" s="1993"/>
      <c r="T60" s="1993"/>
      <c r="U60" s="1993"/>
      <c r="V60" s="1993"/>
      <c r="W60" s="1993"/>
      <c r="X60" s="1993"/>
      <c r="Y60" s="1993"/>
      <c r="Z60" s="1993"/>
      <c r="AA60" s="1993"/>
      <c r="AB60" s="1993"/>
      <c r="AC60" s="1994"/>
      <c r="AD60" s="1994"/>
      <c r="AE60" s="1994"/>
      <c r="AF60" s="1994"/>
      <c r="AG60" s="1994"/>
      <c r="AH60" s="1994"/>
      <c r="AI60" s="1994"/>
      <c r="AJ60" s="1994"/>
      <c r="AK60" s="1994"/>
      <c r="AL60" s="1994"/>
    </row>
    <row r="61" spans="1:38" s="1982" customFormat="1">
      <c r="B61" s="1995" t="s">
        <v>1256</v>
      </c>
      <c r="C61" s="1995"/>
      <c r="D61" s="1983"/>
      <c r="E61" s="1983"/>
      <c r="F61" s="1983"/>
      <c r="G61" s="1983"/>
      <c r="H61" s="1983"/>
      <c r="I61" s="2265"/>
      <c r="J61" s="1983"/>
      <c r="K61" s="1983"/>
      <c r="L61" s="1983"/>
      <c r="M61" s="1983"/>
      <c r="N61" s="1983"/>
      <c r="O61" s="1983"/>
      <c r="P61" s="1983"/>
      <c r="Q61" s="1983"/>
      <c r="R61" s="1983"/>
      <c r="S61" s="1983"/>
      <c r="T61" s="1983"/>
      <c r="U61" s="1983"/>
      <c r="V61" s="1983"/>
      <c r="W61" s="1983"/>
      <c r="X61" s="1983"/>
      <c r="Y61" s="1983"/>
      <c r="Z61" s="1983"/>
      <c r="AA61" s="1983"/>
      <c r="AB61" s="1983"/>
      <c r="AC61" s="1985"/>
      <c r="AD61" s="1985"/>
      <c r="AE61" s="1985"/>
      <c r="AF61" s="1985"/>
      <c r="AG61" s="1985"/>
      <c r="AH61" s="1985"/>
      <c r="AI61" s="1985"/>
      <c r="AJ61" s="1985"/>
      <c r="AK61" s="1985"/>
      <c r="AL61" s="1985"/>
    </row>
    <row r="62" spans="1:38" s="1996" customFormat="1">
      <c r="B62" s="1996" t="s">
        <v>1257</v>
      </c>
      <c r="D62" s="1997"/>
      <c r="E62" s="1997"/>
      <c r="F62" s="1997"/>
      <c r="G62" s="1997"/>
      <c r="H62" s="1997"/>
      <c r="I62" s="2266"/>
      <c r="J62" s="1997"/>
      <c r="K62" s="1997"/>
      <c r="L62" s="1997"/>
      <c r="M62" s="1997"/>
      <c r="N62" s="1997"/>
      <c r="O62" s="1997"/>
      <c r="P62" s="1997"/>
      <c r="Q62" s="1997"/>
      <c r="R62" s="1997"/>
      <c r="S62" s="1997"/>
      <c r="T62" s="1997"/>
      <c r="U62" s="1997"/>
      <c r="V62" s="1997"/>
      <c r="W62" s="1997"/>
      <c r="X62" s="1997"/>
      <c r="Y62" s="1997"/>
      <c r="Z62" s="1997"/>
      <c r="AA62" s="1997"/>
      <c r="AB62" s="1997"/>
      <c r="AC62" s="1998"/>
      <c r="AD62" s="1998"/>
      <c r="AE62" s="1998"/>
      <c r="AF62" s="1998"/>
      <c r="AG62" s="1998"/>
      <c r="AH62" s="1998"/>
      <c r="AI62" s="1998"/>
      <c r="AJ62" s="1998"/>
      <c r="AK62" s="1998"/>
      <c r="AL62" s="1998"/>
    </row>
    <row r="63" spans="1:38" s="1982" customFormat="1">
      <c r="D63" s="1987"/>
      <c r="E63" s="1987"/>
      <c r="F63" s="1987"/>
      <c r="G63" s="1987"/>
      <c r="H63" s="1987"/>
      <c r="I63" s="2261"/>
      <c r="J63" s="1987"/>
      <c r="K63" s="1987"/>
      <c r="L63" s="1987"/>
      <c r="M63" s="1987"/>
      <c r="N63" s="1987"/>
      <c r="O63" s="1987"/>
      <c r="P63" s="1987"/>
      <c r="Q63" s="1987"/>
      <c r="R63" s="1987"/>
      <c r="S63" s="1987"/>
      <c r="T63" s="1987"/>
      <c r="U63" s="1987"/>
      <c r="V63" s="1987"/>
      <c r="W63" s="1987"/>
      <c r="X63" s="1987"/>
      <c r="Y63" s="1987"/>
      <c r="Z63" s="1987"/>
      <c r="AA63" s="1987"/>
      <c r="AB63" s="1987"/>
      <c r="AC63" s="1985"/>
      <c r="AD63" s="1985"/>
      <c r="AE63" s="1985"/>
      <c r="AF63" s="1985"/>
      <c r="AG63" s="1985"/>
      <c r="AH63" s="1985"/>
      <c r="AI63" s="1985"/>
      <c r="AJ63" s="1985"/>
      <c r="AK63" s="1985"/>
      <c r="AL63" s="1985"/>
    </row>
    <row r="64" spans="1:38" s="1982" customFormat="1">
      <c r="A64" s="1986" t="s">
        <v>1259</v>
      </c>
      <c r="B64" s="1986"/>
      <c r="C64" s="1986"/>
      <c r="D64" s="1987"/>
      <c r="E64" s="1987"/>
      <c r="F64" s="1987"/>
      <c r="G64" s="1987"/>
      <c r="H64" s="1987"/>
      <c r="I64" s="2261"/>
      <c r="J64" s="1987"/>
      <c r="K64" s="1987"/>
      <c r="L64" s="1987"/>
      <c r="M64" s="1987"/>
      <c r="N64" s="1987"/>
      <c r="O64" s="1987"/>
      <c r="P64" s="1987"/>
      <c r="Q64" s="1987"/>
      <c r="R64" s="1987"/>
      <c r="S64" s="1987"/>
      <c r="T64" s="1987"/>
      <c r="U64" s="1987"/>
      <c r="V64" s="1987"/>
      <c r="W64" s="1987"/>
      <c r="X64" s="1987"/>
      <c r="Y64" s="1987"/>
      <c r="Z64" s="1987"/>
      <c r="AA64" s="1987"/>
      <c r="AB64" s="1987"/>
      <c r="AC64" s="1985"/>
      <c r="AD64" s="1985"/>
      <c r="AE64" s="1985"/>
      <c r="AF64" s="1985"/>
      <c r="AG64" s="1985"/>
      <c r="AH64" s="1985"/>
      <c r="AI64" s="1985"/>
      <c r="AJ64" s="1985"/>
      <c r="AK64" s="1985"/>
      <c r="AL64" s="1985"/>
    </row>
    <row r="65" spans="1:38" s="1982" customFormat="1">
      <c r="B65" s="1982" t="s">
        <v>1247</v>
      </c>
      <c r="D65" s="1987"/>
      <c r="E65" s="1987"/>
      <c r="F65" s="1987"/>
      <c r="G65" s="1987"/>
      <c r="H65" s="1987"/>
      <c r="I65" s="2261"/>
      <c r="J65" s="1987"/>
      <c r="K65" s="1987"/>
      <c r="L65" s="1987"/>
      <c r="M65" s="1987"/>
      <c r="N65" s="1987"/>
      <c r="O65" s="1987"/>
      <c r="P65" s="1987"/>
      <c r="Q65" s="1987"/>
      <c r="R65" s="1987"/>
      <c r="S65" s="1987"/>
      <c r="T65" s="1987"/>
      <c r="U65" s="1987"/>
      <c r="V65" s="1987"/>
      <c r="W65" s="1987"/>
      <c r="X65" s="1987"/>
      <c r="Y65" s="1987"/>
      <c r="Z65" s="1987"/>
      <c r="AA65" s="1987"/>
      <c r="AB65" s="1987"/>
      <c r="AC65" s="1985"/>
      <c r="AD65" s="1985"/>
      <c r="AE65" s="1985"/>
      <c r="AF65" s="1985"/>
      <c r="AG65" s="1985"/>
      <c r="AH65" s="1985"/>
      <c r="AI65" s="1985"/>
      <c r="AJ65" s="1985"/>
      <c r="AK65" s="1985"/>
      <c r="AL65" s="1985"/>
    </row>
    <row r="66" spans="1:38" s="1982" customFormat="1">
      <c r="B66" s="1911" t="s">
        <v>1260</v>
      </c>
      <c r="C66" s="1911"/>
      <c r="D66" s="1987"/>
      <c r="E66" s="1987"/>
      <c r="F66" s="1987"/>
      <c r="G66" s="1987"/>
      <c r="H66" s="1987"/>
      <c r="I66" s="2261"/>
      <c r="J66" s="1987"/>
      <c r="K66" s="1987"/>
      <c r="L66" s="1987"/>
      <c r="M66" s="1987"/>
      <c r="N66" s="1987"/>
      <c r="O66" s="1987"/>
      <c r="P66" s="1987"/>
      <c r="Q66" s="1987"/>
      <c r="R66" s="1987"/>
      <c r="S66" s="1987"/>
      <c r="T66" s="1987"/>
      <c r="U66" s="1987"/>
      <c r="V66" s="1987"/>
      <c r="W66" s="1987"/>
      <c r="X66" s="1987"/>
      <c r="Y66" s="1987"/>
      <c r="Z66" s="1987"/>
      <c r="AA66" s="1987"/>
      <c r="AB66" s="1987"/>
      <c r="AC66" s="1985"/>
      <c r="AD66" s="1985"/>
      <c r="AE66" s="1985"/>
      <c r="AF66" s="1985"/>
      <c r="AG66" s="1985"/>
      <c r="AH66" s="1985"/>
      <c r="AI66" s="1985"/>
      <c r="AJ66" s="1985"/>
      <c r="AK66" s="1985"/>
      <c r="AL66" s="1985"/>
    </row>
    <row r="67" spans="1:38" s="1982" customFormat="1">
      <c r="B67" s="1911" t="s">
        <v>1248</v>
      </c>
      <c r="C67" s="1911"/>
      <c r="D67" s="1987"/>
      <c r="E67" s="1987"/>
      <c r="F67" s="1987"/>
      <c r="G67" s="1987"/>
      <c r="H67" s="1987"/>
      <c r="I67" s="2261"/>
      <c r="J67" s="1987"/>
      <c r="K67" s="1987"/>
      <c r="L67" s="1987"/>
      <c r="M67" s="1987"/>
      <c r="N67" s="1987"/>
      <c r="O67" s="1987"/>
      <c r="P67" s="1987"/>
      <c r="Q67" s="1987"/>
      <c r="R67" s="1987"/>
      <c r="S67" s="1987"/>
      <c r="T67" s="1987"/>
      <c r="U67" s="1987"/>
      <c r="V67" s="1987"/>
      <c r="W67" s="1987"/>
      <c r="X67" s="1987"/>
      <c r="Y67" s="1987"/>
      <c r="Z67" s="1987"/>
      <c r="AA67" s="1987"/>
      <c r="AB67" s="1987"/>
      <c r="AC67" s="1985"/>
      <c r="AD67" s="1985"/>
      <c r="AE67" s="1985"/>
      <c r="AF67" s="1985"/>
      <c r="AG67" s="1985"/>
      <c r="AH67" s="1985"/>
      <c r="AI67" s="1985"/>
      <c r="AJ67" s="1985"/>
      <c r="AK67" s="1985"/>
      <c r="AL67" s="1985"/>
    </row>
    <row r="68" spans="1:38" s="1982" customFormat="1">
      <c r="B68" s="1911" t="s">
        <v>1261</v>
      </c>
      <c r="C68" s="1911"/>
      <c r="D68" s="1987"/>
      <c r="E68" s="1987"/>
      <c r="F68" s="1987"/>
      <c r="G68" s="1987"/>
      <c r="H68" s="1987"/>
      <c r="I68" s="2261"/>
      <c r="J68" s="1987"/>
      <c r="K68" s="1987"/>
      <c r="L68" s="1987"/>
      <c r="M68" s="1987"/>
      <c r="N68" s="1987"/>
      <c r="O68" s="1987"/>
      <c r="P68" s="1987"/>
      <c r="Q68" s="1987"/>
      <c r="R68" s="1987"/>
      <c r="S68" s="1987"/>
      <c r="T68" s="1987"/>
      <c r="U68" s="1987"/>
      <c r="V68" s="1987"/>
      <c r="W68" s="1987"/>
      <c r="X68" s="1987"/>
      <c r="Y68" s="1987"/>
      <c r="Z68" s="1987"/>
      <c r="AA68" s="1987"/>
      <c r="AB68" s="1987"/>
      <c r="AC68" s="1985"/>
      <c r="AD68" s="1985"/>
      <c r="AE68" s="1985"/>
      <c r="AF68" s="1985"/>
      <c r="AG68" s="1985"/>
      <c r="AH68" s="1985"/>
      <c r="AI68" s="1985"/>
      <c r="AJ68" s="1985"/>
      <c r="AK68" s="1985"/>
      <c r="AL68" s="1985"/>
    </row>
    <row r="69" spans="1:38" s="1982" customFormat="1">
      <c r="D69" s="1987"/>
      <c r="E69" s="1987"/>
      <c r="F69" s="1987"/>
      <c r="G69" s="1987"/>
      <c r="H69" s="1987"/>
      <c r="I69" s="2261"/>
      <c r="J69" s="1987"/>
      <c r="K69" s="1987"/>
      <c r="L69" s="1987"/>
      <c r="M69" s="1987"/>
      <c r="N69" s="1987"/>
      <c r="O69" s="1987"/>
      <c r="P69" s="1987"/>
      <c r="Q69" s="1987"/>
      <c r="R69" s="1987"/>
      <c r="S69" s="1987"/>
      <c r="T69" s="1987"/>
      <c r="U69" s="1987"/>
      <c r="V69" s="1987"/>
      <c r="W69" s="1987"/>
      <c r="X69" s="1987"/>
      <c r="Y69" s="1987"/>
      <c r="Z69" s="1987"/>
      <c r="AA69" s="1987"/>
      <c r="AB69" s="1987"/>
      <c r="AC69" s="1985"/>
      <c r="AD69" s="1985"/>
      <c r="AE69" s="1985"/>
      <c r="AF69" s="1985"/>
      <c r="AG69" s="1985"/>
      <c r="AH69" s="1985"/>
      <c r="AI69" s="1985"/>
      <c r="AJ69" s="1985"/>
      <c r="AK69" s="1985"/>
      <c r="AL69" s="1985"/>
    </row>
    <row r="70" spans="1:38" s="1982" customFormat="1">
      <c r="B70" s="1982" t="s">
        <v>1262</v>
      </c>
      <c r="D70" s="1987"/>
      <c r="E70" s="1987"/>
      <c r="F70" s="1987"/>
      <c r="G70" s="1987"/>
      <c r="H70" s="1987"/>
      <c r="I70" s="2261"/>
      <c r="J70" s="1987"/>
      <c r="K70" s="1987"/>
      <c r="L70" s="1987"/>
      <c r="M70" s="1987"/>
      <c r="N70" s="1987"/>
      <c r="O70" s="1987"/>
      <c r="P70" s="1987"/>
      <c r="Q70" s="1987"/>
      <c r="R70" s="1987"/>
      <c r="S70" s="1987"/>
      <c r="T70" s="1987"/>
      <c r="U70" s="1987"/>
      <c r="V70" s="1987"/>
      <c r="W70" s="1987"/>
      <c r="X70" s="1987"/>
      <c r="Y70" s="1987"/>
      <c r="Z70" s="1987"/>
      <c r="AA70" s="1987"/>
      <c r="AB70" s="1987"/>
      <c r="AC70" s="1985"/>
      <c r="AD70" s="1985"/>
      <c r="AE70" s="1985"/>
      <c r="AF70" s="1985"/>
      <c r="AG70" s="1985"/>
      <c r="AH70" s="1985"/>
      <c r="AI70" s="1985"/>
      <c r="AJ70" s="1985"/>
      <c r="AK70" s="1985"/>
      <c r="AL70" s="1985"/>
    </row>
    <row r="71" spans="1:38" s="1982" customFormat="1">
      <c r="B71" s="1911" t="s">
        <v>1255</v>
      </c>
      <c r="C71" s="1911"/>
      <c r="D71" s="1987"/>
      <c r="E71" s="1987"/>
      <c r="F71" s="1987"/>
      <c r="G71" s="1987"/>
      <c r="H71" s="1987"/>
      <c r="I71" s="2261"/>
      <c r="J71" s="1987"/>
      <c r="K71" s="1987"/>
      <c r="L71" s="1987"/>
      <c r="M71" s="1987"/>
      <c r="N71" s="1987"/>
      <c r="O71" s="1987"/>
      <c r="P71" s="1987"/>
      <c r="Q71" s="1987"/>
      <c r="R71" s="1987"/>
      <c r="S71" s="1987"/>
      <c r="T71" s="1987"/>
      <c r="U71" s="1987"/>
      <c r="V71" s="1987"/>
      <c r="W71" s="1987"/>
      <c r="X71" s="1987"/>
      <c r="Y71" s="1987"/>
      <c r="Z71" s="1987"/>
      <c r="AA71" s="1987"/>
      <c r="AB71" s="1987"/>
      <c r="AC71" s="1985"/>
      <c r="AD71" s="1985"/>
      <c r="AE71" s="1985"/>
      <c r="AF71" s="1985"/>
      <c r="AG71" s="1985"/>
      <c r="AH71" s="1985"/>
      <c r="AI71" s="1985"/>
      <c r="AJ71" s="1985"/>
      <c r="AK71" s="1985"/>
      <c r="AL71" s="1985"/>
    </row>
    <row r="72" spans="1:38" s="1982" customFormat="1">
      <c r="B72" s="1911"/>
      <c r="C72" s="1911"/>
      <c r="D72" s="1987"/>
      <c r="E72" s="1987"/>
      <c r="F72" s="1987"/>
      <c r="G72" s="1987"/>
      <c r="H72" s="1987"/>
      <c r="I72" s="2261"/>
      <c r="J72" s="1987"/>
      <c r="K72" s="1987"/>
      <c r="L72" s="1987"/>
      <c r="M72" s="1987"/>
      <c r="N72" s="1987"/>
      <c r="O72" s="1987"/>
      <c r="P72" s="1987"/>
      <c r="Q72" s="1987"/>
      <c r="R72" s="1987"/>
      <c r="S72" s="1987"/>
      <c r="T72" s="1987"/>
      <c r="U72" s="1987"/>
      <c r="V72" s="1987"/>
      <c r="W72" s="1987"/>
      <c r="X72" s="1987"/>
      <c r="Y72" s="1987"/>
      <c r="Z72" s="1987"/>
      <c r="AA72" s="1987"/>
      <c r="AB72" s="1987"/>
      <c r="AC72" s="1985"/>
      <c r="AD72" s="1985"/>
      <c r="AE72" s="1985"/>
      <c r="AF72" s="1985"/>
      <c r="AG72" s="1985"/>
      <c r="AH72" s="1985"/>
      <c r="AI72" s="1985"/>
      <c r="AJ72" s="1985"/>
      <c r="AK72" s="1985"/>
      <c r="AL72" s="1985"/>
    </row>
    <row r="73" spans="1:38" s="1999" customFormat="1">
      <c r="B73" s="1999" t="s">
        <v>1263</v>
      </c>
      <c r="D73" s="2000"/>
      <c r="E73" s="2000"/>
      <c r="F73" s="2000"/>
      <c r="G73" s="2000"/>
      <c r="H73" s="2000"/>
      <c r="I73" s="2267"/>
      <c r="J73" s="2000"/>
      <c r="K73" s="2000"/>
      <c r="L73" s="2000"/>
      <c r="M73" s="2000"/>
      <c r="N73" s="2000"/>
      <c r="O73" s="2000"/>
      <c r="P73" s="2000"/>
      <c r="Q73" s="2000"/>
      <c r="R73" s="2000"/>
      <c r="S73" s="2000"/>
      <c r="T73" s="2000"/>
      <c r="U73" s="2000"/>
      <c r="V73" s="2000"/>
      <c r="W73" s="2000"/>
      <c r="X73" s="2000"/>
      <c r="Y73" s="2000"/>
      <c r="Z73" s="2000"/>
      <c r="AA73" s="2000"/>
      <c r="AB73" s="2000"/>
      <c r="AC73" s="2001"/>
      <c r="AD73" s="2001"/>
      <c r="AE73" s="2001"/>
      <c r="AF73" s="2001"/>
      <c r="AG73" s="2001"/>
      <c r="AH73" s="2001"/>
      <c r="AI73" s="2001"/>
      <c r="AJ73" s="2001"/>
      <c r="AK73" s="2001"/>
      <c r="AL73" s="2001"/>
    </row>
    <row r="74" spans="1:38" s="1982" customFormat="1">
      <c r="D74" s="1987"/>
      <c r="E74" s="1987"/>
      <c r="F74" s="1987"/>
      <c r="G74" s="1987"/>
      <c r="H74" s="1987"/>
      <c r="I74" s="2261"/>
      <c r="J74" s="1987"/>
      <c r="K74" s="1987"/>
      <c r="L74" s="1987"/>
      <c r="M74" s="1987"/>
      <c r="N74" s="1987"/>
      <c r="O74" s="1987"/>
      <c r="P74" s="1987"/>
      <c r="Q74" s="1987"/>
      <c r="R74" s="1987"/>
      <c r="S74" s="1987"/>
      <c r="T74" s="1987"/>
      <c r="U74" s="1987"/>
      <c r="V74" s="1987"/>
      <c r="W74" s="1987"/>
      <c r="X74" s="1987"/>
      <c r="Y74" s="1987"/>
      <c r="Z74" s="1987"/>
      <c r="AA74" s="1987"/>
      <c r="AB74" s="1987"/>
      <c r="AC74" s="1985"/>
      <c r="AD74" s="1985"/>
      <c r="AE74" s="1985"/>
      <c r="AF74" s="1985"/>
      <c r="AG74" s="1985"/>
      <c r="AH74" s="1985"/>
      <c r="AI74" s="1985"/>
      <c r="AJ74" s="1985"/>
      <c r="AK74" s="1985"/>
      <c r="AL74" s="1985"/>
    </row>
    <row r="75" spans="1:38" s="1982" customFormat="1">
      <c r="A75" s="1986" t="s">
        <v>1264</v>
      </c>
      <c r="B75" s="1986"/>
      <c r="C75" s="1986"/>
      <c r="D75" s="1987"/>
      <c r="E75" s="1987"/>
      <c r="F75" s="1987"/>
      <c r="G75" s="1987"/>
      <c r="H75" s="1987"/>
      <c r="I75" s="2261"/>
      <c r="J75" s="1987"/>
      <c r="K75" s="1987"/>
      <c r="L75" s="1987"/>
      <c r="M75" s="1987"/>
      <c r="N75" s="1987"/>
      <c r="O75" s="1987"/>
      <c r="P75" s="1987"/>
      <c r="Q75" s="1987"/>
      <c r="R75" s="1987"/>
      <c r="S75" s="1987"/>
      <c r="T75" s="1987"/>
      <c r="U75" s="1987"/>
      <c r="V75" s="1987"/>
      <c r="W75" s="1987"/>
      <c r="X75" s="1987"/>
      <c r="Y75" s="1987"/>
      <c r="Z75" s="1987"/>
      <c r="AA75" s="1987"/>
      <c r="AB75" s="1987"/>
      <c r="AC75" s="1985"/>
      <c r="AD75" s="1985"/>
      <c r="AE75" s="1985"/>
      <c r="AF75" s="1985"/>
      <c r="AG75" s="1985"/>
      <c r="AH75" s="1985"/>
      <c r="AI75" s="1985"/>
      <c r="AJ75" s="1985"/>
      <c r="AK75" s="1985"/>
      <c r="AL75" s="1985"/>
    </row>
    <row r="76" spans="1:38" s="2002" customFormat="1">
      <c r="B76" s="1982" t="s">
        <v>1247</v>
      </c>
      <c r="C76" s="1982"/>
      <c r="D76" s="2003"/>
      <c r="E76" s="2003"/>
      <c r="F76" s="2003"/>
      <c r="G76" s="2003"/>
      <c r="H76" s="2003"/>
      <c r="I76" s="2268"/>
      <c r="J76" s="2003"/>
      <c r="K76" s="2003"/>
      <c r="L76" s="2003"/>
      <c r="M76" s="2003"/>
      <c r="N76" s="2003"/>
      <c r="O76" s="2003"/>
      <c r="P76" s="2003"/>
      <c r="Q76" s="2003"/>
      <c r="R76" s="2003"/>
      <c r="S76" s="2003"/>
      <c r="T76" s="2003"/>
      <c r="U76" s="2003"/>
      <c r="V76" s="2003"/>
      <c r="W76" s="2003"/>
      <c r="X76" s="2003"/>
      <c r="Y76" s="2003"/>
      <c r="Z76" s="2003"/>
      <c r="AA76" s="2003"/>
      <c r="AB76" s="2003"/>
    </row>
    <row r="77" spans="1:38" s="2002" customFormat="1">
      <c r="B77" s="1911" t="s">
        <v>1260</v>
      </c>
      <c r="C77" s="1911"/>
      <c r="D77" s="2003"/>
      <c r="E77" s="2003"/>
      <c r="F77" s="2003"/>
      <c r="G77" s="2003"/>
      <c r="H77" s="2003"/>
      <c r="I77" s="2268"/>
      <c r="J77" s="2003"/>
      <c r="K77" s="2003"/>
      <c r="L77" s="2003"/>
      <c r="M77" s="2003"/>
      <c r="N77" s="2003"/>
      <c r="O77" s="2003"/>
      <c r="P77" s="2003"/>
      <c r="Q77" s="2003"/>
      <c r="R77" s="2003"/>
      <c r="S77" s="2003"/>
      <c r="T77" s="2003"/>
      <c r="U77" s="2003"/>
      <c r="V77" s="2003"/>
      <c r="W77" s="2003"/>
      <c r="X77" s="2003"/>
      <c r="Y77" s="2003"/>
      <c r="Z77" s="2003"/>
      <c r="AA77" s="2003"/>
      <c r="AB77" s="2003"/>
    </row>
    <row r="78" spans="1:38" s="2002" customFormat="1">
      <c r="B78" s="1911" t="s">
        <v>1248</v>
      </c>
      <c r="C78" s="1911"/>
      <c r="D78" s="2003"/>
      <c r="E78" s="2003"/>
      <c r="F78" s="2003"/>
      <c r="G78" s="2003"/>
      <c r="H78" s="2003"/>
      <c r="I78" s="2268"/>
      <c r="J78" s="2003"/>
      <c r="K78" s="2003"/>
      <c r="L78" s="2003"/>
      <c r="M78" s="2003"/>
      <c r="N78" s="2003"/>
      <c r="O78" s="2003"/>
      <c r="P78" s="2003"/>
      <c r="Q78" s="2003"/>
      <c r="R78" s="2003"/>
      <c r="S78" s="2003"/>
      <c r="T78" s="2003"/>
      <c r="U78" s="2003"/>
      <c r="V78" s="2003"/>
      <c r="W78" s="2003"/>
      <c r="X78" s="2003"/>
      <c r="Y78" s="2003"/>
      <c r="Z78" s="2003"/>
      <c r="AA78" s="2003"/>
      <c r="AB78" s="2003"/>
    </row>
    <row r="79" spans="1:38" s="2002" customFormat="1">
      <c r="B79" s="1911" t="s">
        <v>1261</v>
      </c>
      <c r="C79" s="1911"/>
      <c r="D79" s="2003"/>
      <c r="E79" s="2003"/>
      <c r="F79" s="2003"/>
      <c r="G79" s="2003"/>
      <c r="H79" s="2003"/>
      <c r="I79" s="2268"/>
      <c r="J79" s="2003"/>
      <c r="K79" s="2003"/>
      <c r="L79" s="2003"/>
      <c r="M79" s="2003"/>
      <c r="N79" s="2003"/>
      <c r="O79" s="2003"/>
      <c r="P79" s="2003"/>
      <c r="Q79" s="2003"/>
      <c r="R79" s="2003"/>
      <c r="S79" s="2003"/>
      <c r="T79" s="2003"/>
      <c r="U79" s="2003"/>
      <c r="V79" s="2003"/>
      <c r="W79" s="2003"/>
      <c r="X79" s="2003"/>
      <c r="Y79" s="2003"/>
      <c r="Z79" s="2003"/>
      <c r="AA79" s="2003"/>
      <c r="AB79" s="2003"/>
    </row>
    <row r="80" spans="1:38" s="2002" customFormat="1">
      <c r="B80" s="1982"/>
      <c r="C80" s="1982"/>
      <c r="D80" s="2003"/>
      <c r="E80" s="2003"/>
      <c r="F80" s="2003"/>
      <c r="G80" s="2003"/>
      <c r="H80" s="2003"/>
      <c r="I80" s="2268"/>
      <c r="J80" s="2003"/>
      <c r="K80" s="2003"/>
      <c r="L80" s="2003"/>
      <c r="M80" s="2003"/>
      <c r="N80" s="2003"/>
      <c r="O80" s="2003"/>
      <c r="P80" s="2003"/>
      <c r="Q80" s="2003"/>
      <c r="R80" s="2003"/>
      <c r="S80" s="2003"/>
      <c r="T80" s="2003"/>
      <c r="U80" s="2003"/>
      <c r="V80" s="2003"/>
      <c r="W80" s="2003"/>
      <c r="X80" s="2003"/>
      <c r="Y80" s="2003"/>
      <c r="Z80" s="2003"/>
      <c r="AA80" s="2003"/>
      <c r="AB80" s="2003"/>
    </row>
    <row r="81" spans="1:29" s="2002" customFormat="1">
      <c r="B81" s="1982" t="s">
        <v>1262</v>
      </c>
      <c r="C81" s="1982"/>
      <c r="D81" s="2003"/>
      <c r="E81" s="2003"/>
      <c r="F81" s="2003"/>
      <c r="G81" s="2003"/>
      <c r="H81" s="2003"/>
      <c r="I81" s="2268"/>
      <c r="J81" s="2003"/>
      <c r="K81" s="2003"/>
      <c r="L81" s="2003"/>
      <c r="M81" s="2003"/>
      <c r="N81" s="2003"/>
      <c r="O81" s="2003"/>
      <c r="P81" s="2003"/>
      <c r="Q81" s="2003"/>
      <c r="R81" s="2003"/>
      <c r="S81" s="2003"/>
      <c r="T81" s="2003"/>
      <c r="U81" s="2003"/>
      <c r="V81" s="2003"/>
      <c r="W81" s="2003"/>
      <c r="X81" s="2003"/>
      <c r="Y81" s="2003"/>
      <c r="Z81" s="2003"/>
      <c r="AA81" s="2003"/>
      <c r="AB81" s="2003"/>
    </row>
    <row r="82" spans="1:29" s="2002" customFormat="1">
      <c r="B82" s="1911" t="s">
        <v>1255</v>
      </c>
      <c r="C82" s="1911"/>
      <c r="D82" s="2003"/>
      <c r="E82" s="2003"/>
      <c r="F82" s="2003"/>
      <c r="G82" s="2003"/>
      <c r="H82" s="2003"/>
      <c r="I82" s="2268"/>
      <c r="J82" s="2003"/>
      <c r="K82" s="2003"/>
      <c r="L82" s="2003"/>
      <c r="M82" s="2003"/>
      <c r="N82" s="2003"/>
      <c r="O82" s="2003"/>
      <c r="P82" s="2003"/>
      <c r="Q82" s="2003"/>
      <c r="R82" s="2003"/>
      <c r="S82" s="2003"/>
      <c r="T82" s="2003"/>
      <c r="U82" s="2003"/>
      <c r="V82" s="2003"/>
      <c r="W82" s="2003"/>
      <c r="X82" s="2003"/>
      <c r="Y82" s="2003"/>
      <c r="Z82" s="2003"/>
      <c r="AA82" s="2003"/>
      <c r="AB82" s="2003"/>
    </row>
    <row r="83" spans="1:29" s="2002" customFormat="1">
      <c r="B83" s="1911"/>
      <c r="C83" s="1911"/>
      <c r="D83" s="2003"/>
      <c r="E83" s="2003"/>
      <c r="F83" s="2003"/>
      <c r="G83" s="2003"/>
      <c r="H83" s="2003"/>
      <c r="I83" s="2268"/>
      <c r="J83" s="2003"/>
      <c r="K83" s="2003"/>
      <c r="L83" s="2003"/>
      <c r="M83" s="2003"/>
      <c r="N83" s="2003"/>
      <c r="O83" s="2003"/>
      <c r="P83" s="2003"/>
      <c r="Q83" s="2003"/>
      <c r="R83" s="2003"/>
      <c r="S83" s="2003"/>
      <c r="T83" s="2003"/>
      <c r="U83" s="2003"/>
      <c r="V83" s="2003"/>
      <c r="W83" s="2003"/>
      <c r="X83" s="2003"/>
      <c r="Y83" s="2003"/>
      <c r="Z83" s="2003"/>
      <c r="AA83" s="2003"/>
      <c r="AB83" s="2003"/>
    </row>
    <row r="84" spans="1:29" s="2004" customFormat="1">
      <c r="B84" s="2004" t="s">
        <v>1263</v>
      </c>
      <c r="D84" s="2005"/>
      <c r="E84" s="2005"/>
      <c r="F84" s="2005"/>
      <c r="G84" s="2005"/>
      <c r="H84" s="2005"/>
      <c r="I84" s="2269"/>
      <c r="J84" s="2005"/>
      <c r="K84" s="2005"/>
      <c r="L84" s="2005"/>
      <c r="M84" s="2005"/>
      <c r="N84" s="2005"/>
      <c r="O84" s="2005"/>
      <c r="P84" s="2005"/>
      <c r="Q84" s="2005"/>
      <c r="R84" s="2005"/>
      <c r="S84" s="2005"/>
      <c r="T84" s="2005"/>
      <c r="U84" s="2005"/>
      <c r="V84" s="2005"/>
      <c r="W84" s="2005"/>
      <c r="X84" s="2005"/>
      <c r="Y84" s="2005"/>
      <c r="Z84" s="2005"/>
      <c r="AA84" s="2005"/>
      <c r="AB84" s="2005"/>
    </row>
    <row r="85" spans="1:29" s="2002" customFormat="1" ht="13.8" thickBot="1">
      <c r="D85" s="2003"/>
      <c r="E85" s="2003"/>
      <c r="F85" s="2003"/>
      <c r="G85" s="2003"/>
      <c r="H85" s="2003"/>
      <c r="I85" s="2268"/>
      <c r="J85" s="2003"/>
      <c r="K85" s="2003"/>
      <c r="L85" s="2003"/>
      <c r="M85" s="2003"/>
      <c r="N85" s="2003"/>
      <c r="O85" s="2003"/>
      <c r="P85" s="2003"/>
      <c r="Q85" s="2003"/>
      <c r="R85" s="2003"/>
      <c r="S85" s="2003"/>
      <c r="T85" s="2003"/>
      <c r="U85" s="2003"/>
      <c r="V85" s="2003"/>
      <c r="W85" s="2003"/>
      <c r="X85" s="2003"/>
      <c r="Y85" s="2003"/>
      <c r="Z85" s="2003"/>
      <c r="AA85" s="2003"/>
      <c r="AB85" s="2003"/>
    </row>
    <row r="86" spans="1:29" s="2012" customFormat="1">
      <c r="A86" s="2006" t="s">
        <v>1265</v>
      </c>
      <c r="B86" s="2007"/>
      <c r="C86" s="2007"/>
      <c r="D86" s="2008"/>
      <c r="E86" s="2008"/>
      <c r="F86" s="2008"/>
      <c r="G86" s="2008"/>
      <c r="H86" s="2008"/>
      <c r="I86" s="2270"/>
      <c r="J86" s="2008"/>
      <c r="K86" s="2008"/>
      <c r="L86" s="2009"/>
      <c r="M86" s="2010"/>
      <c r="N86" s="2010"/>
      <c r="O86" s="2010"/>
      <c r="P86" s="2011"/>
      <c r="Q86" s="2011"/>
      <c r="R86" s="2011"/>
      <c r="S86" s="2011"/>
      <c r="T86" s="2011"/>
      <c r="U86" s="2011"/>
      <c r="V86" s="2011"/>
      <c r="W86" s="2011"/>
      <c r="X86" s="2011"/>
      <c r="Y86" s="2011"/>
      <c r="Z86" s="2011"/>
      <c r="AB86" s="1958"/>
      <c r="AC86" s="1958"/>
    </row>
    <row r="87" spans="1:29" s="2012" customFormat="1">
      <c r="A87" s="2013"/>
      <c r="B87" s="2012" t="s">
        <v>1266</v>
      </c>
      <c r="D87" s="1958"/>
      <c r="E87" s="1958"/>
      <c r="F87" s="1958"/>
      <c r="G87" s="1958"/>
      <c r="H87" s="1958"/>
      <c r="I87" s="2251"/>
      <c r="J87" s="1958"/>
      <c r="K87" s="1958"/>
      <c r="L87" s="2014"/>
      <c r="M87" s="2010"/>
      <c r="N87" s="2010"/>
      <c r="O87" s="2010"/>
      <c r="P87" s="2011"/>
      <c r="Q87" s="2011"/>
      <c r="R87" s="2011"/>
      <c r="S87" s="2011"/>
      <c r="T87" s="2011"/>
      <c r="U87" s="2011"/>
      <c r="V87" s="2011"/>
      <c r="W87" s="2011"/>
      <c r="X87" s="2011"/>
      <c r="Y87" s="2011"/>
      <c r="Z87" s="2011"/>
      <c r="AB87" s="1958"/>
      <c r="AC87" s="1958"/>
    </row>
    <row r="88" spans="1:29" s="2012" customFormat="1">
      <c r="A88" s="2013"/>
      <c r="B88" s="2012" t="s">
        <v>1267</v>
      </c>
      <c r="D88" s="1958"/>
      <c r="E88" s="1958"/>
      <c r="F88" s="1958"/>
      <c r="G88" s="1958"/>
      <c r="H88" s="1958"/>
      <c r="I88" s="2251"/>
      <c r="J88" s="1958"/>
      <c r="K88" s="1958"/>
      <c r="L88" s="2014"/>
      <c r="M88" s="2010"/>
      <c r="N88" s="2010"/>
      <c r="O88" s="2010"/>
      <c r="P88" s="2011"/>
      <c r="Q88" s="2011"/>
      <c r="R88" s="2011"/>
      <c r="S88" s="2011"/>
      <c r="T88" s="2011"/>
      <c r="U88" s="2011"/>
      <c r="V88" s="2011"/>
      <c r="W88" s="2011"/>
      <c r="X88" s="2011"/>
      <c r="Y88" s="2011"/>
      <c r="Z88" s="2011"/>
      <c r="AB88" s="1958"/>
      <c r="AC88" s="1958"/>
    </row>
    <row r="89" spans="1:29" s="2012" customFormat="1">
      <c r="A89" s="2013"/>
      <c r="B89" s="2012" t="s">
        <v>1268</v>
      </c>
      <c r="D89" s="1958"/>
      <c r="E89" s="1958"/>
      <c r="F89" s="1958"/>
      <c r="G89" s="1958"/>
      <c r="H89" s="1958"/>
      <c r="I89" s="2251"/>
      <c r="J89" s="1958"/>
      <c r="K89" s="1958"/>
      <c r="L89" s="2014"/>
      <c r="M89" s="2010"/>
      <c r="N89" s="2010"/>
      <c r="O89" s="2010"/>
      <c r="P89" s="2011"/>
      <c r="Q89" s="2011"/>
      <c r="R89" s="2011"/>
      <c r="S89" s="2011"/>
      <c r="T89" s="2011"/>
      <c r="U89" s="2011"/>
      <c r="V89" s="2011"/>
      <c r="W89" s="2011"/>
      <c r="X89" s="2011"/>
      <c r="Y89" s="2011"/>
      <c r="Z89" s="2011"/>
      <c r="AB89" s="1958"/>
      <c r="AC89" s="1958"/>
    </row>
    <row r="90" spans="1:29" s="2012" customFormat="1">
      <c r="A90" s="2013"/>
      <c r="D90" s="1958"/>
      <c r="E90" s="1958"/>
      <c r="F90" s="1958"/>
      <c r="G90" s="1958"/>
      <c r="H90" s="1958"/>
      <c r="I90" s="2251"/>
      <c r="J90" s="1958"/>
      <c r="K90" s="1958"/>
      <c r="L90" s="2014"/>
      <c r="M90" s="2010"/>
      <c r="N90" s="2010"/>
      <c r="O90" s="2010"/>
      <c r="P90" s="2011"/>
      <c r="Q90" s="2011"/>
      <c r="R90" s="2011"/>
      <c r="S90" s="2011"/>
      <c r="T90" s="2011"/>
      <c r="U90" s="2011"/>
      <c r="V90" s="2011"/>
      <c r="W90" s="2011"/>
      <c r="X90" s="2011"/>
      <c r="Y90" s="2011"/>
      <c r="Z90" s="2011"/>
      <c r="AB90" s="1958"/>
      <c r="AC90" s="1958"/>
    </row>
    <row r="91" spans="1:29" s="2012" customFormat="1">
      <c r="A91" s="2013"/>
      <c r="D91" s="2010"/>
      <c r="E91" s="2010"/>
      <c r="F91" s="2010"/>
      <c r="G91" s="2010"/>
      <c r="H91" s="2010"/>
      <c r="I91" s="2271"/>
      <c r="J91" s="2010"/>
      <c r="K91" s="2010"/>
      <c r="L91" s="2015"/>
      <c r="M91" s="2010"/>
      <c r="N91" s="2010"/>
      <c r="O91" s="2010"/>
      <c r="P91" s="2011"/>
      <c r="Q91" s="2011"/>
      <c r="R91" s="2011"/>
      <c r="S91" s="2011"/>
      <c r="T91" s="2011"/>
      <c r="U91" s="2011"/>
      <c r="V91" s="2011"/>
      <c r="W91" s="2011"/>
      <c r="X91" s="2011"/>
      <c r="Y91" s="2011"/>
      <c r="Z91" s="2011"/>
      <c r="AB91" s="1958"/>
      <c r="AC91" s="1958"/>
    </row>
    <row r="92" spans="1:29" s="2017" customFormat="1">
      <c r="A92" s="2016" t="s">
        <v>1269</v>
      </c>
      <c r="D92" s="2018"/>
      <c r="E92" s="2018"/>
      <c r="F92" s="2018"/>
      <c r="G92" s="2018"/>
      <c r="H92" s="2018"/>
      <c r="I92" s="2272"/>
      <c r="J92" s="2018"/>
      <c r="K92" s="2018"/>
      <c r="L92" s="2019"/>
      <c r="M92" s="2018"/>
      <c r="N92" s="2018"/>
      <c r="O92" s="2018"/>
      <c r="P92" s="2020"/>
      <c r="Q92" s="2020"/>
      <c r="R92" s="2020"/>
      <c r="S92" s="2020"/>
      <c r="T92" s="2020"/>
      <c r="U92" s="2020"/>
      <c r="V92" s="2020"/>
      <c r="W92" s="2020"/>
      <c r="X92" s="2020"/>
      <c r="Y92" s="2020"/>
      <c r="Z92" s="2020"/>
      <c r="AB92" s="2021"/>
      <c r="AC92" s="2021"/>
    </row>
    <row r="93" spans="1:29" s="2012" customFormat="1">
      <c r="A93" s="2013"/>
      <c r="B93" s="2012" t="s">
        <v>1266</v>
      </c>
      <c r="D93" s="2010"/>
      <c r="E93" s="2010"/>
      <c r="F93" s="2010"/>
      <c r="G93" s="2010"/>
      <c r="H93" s="2010"/>
      <c r="I93" s="2271"/>
      <c r="J93" s="2010"/>
      <c r="K93" s="2010"/>
      <c r="L93" s="2015"/>
      <c r="M93" s="2010"/>
      <c r="N93" s="2010"/>
      <c r="O93" s="2010"/>
      <c r="P93" s="2011"/>
      <c r="Q93" s="2011"/>
      <c r="R93" s="2011"/>
      <c r="S93" s="2011"/>
      <c r="T93" s="2011"/>
      <c r="U93" s="2011"/>
      <c r="V93" s="2011"/>
      <c r="W93" s="2011"/>
      <c r="X93" s="2011"/>
      <c r="Y93" s="2011"/>
      <c r="Z93" s="2011"/>
      <c r="AB93" s="1958"/>
      <c r="AC93" s="1958"/>
    </row>
    <row r="94" spans="1:29" s="2012" customFormat="1">
      <c r="A94" s="2013"/>
      <c r="B94" s="2012" t="s">
        <v>1267</v>
      </c>
      <c r="D94" s="2022"/>
      <c r="E94" s="2022"/>
      <c r="F94" s="2022"/>
      <c r="G94" s="2022"/>
      <c r="H94" s="2022"/>
      <c r="I94" s="2273"/>
      <c r="J94" s="2022"/>
      <c r="K94" s="2022"/>
      <c r="L94" s="2023"/>
      <c r="M94" s="2010"/>
      <c r="N94" s="2010"/>
      <c r="O94" s="2010"/>
      <c r="P94" s="2011"/>
      <c r="Q94" s="2011"/>
      <c r="R94" s="2011"/>
      <c r="S94" s="2011"/>
      <c r="T94" s="2011"/>
      <c r="U94" s="2011"/>
      <c r="V94" s="2011"/>
      <c r="W94" s="2011"/>
      <c r="X94" s="2011"/>
      <c r="Y94" s="2011"/>
      <c r="Z94" s="2011"/>
      <c r="AB94" s="1958"/>
      <c r="AC94" s="1958"/>
    </row>
    <row r="95" spans="1:29" s="2012" customFormat="1" ht="13.8" thickBot="1">
      <c r="A95" s="2024"/>
      <c r="B95" s="2025" t="s">
        <v>1268</v>
      </c>
      <c r="C95" s="2025"/>
      <c r="D95" s="2026"/>
      <c r="E95" s="2026"/>
      <c r="F95" s="2026"/>
      <c r="G95" s="2026"/>
      <c r="H95" s="2026"/>
      <c r="I95" s="2274"/>
      <c r="J95" s="2026"/>
      <c r="K95" s="2026"/>
      <c r="L95" s="2027"/>
      <c r="M95" s="2010"/>
      <c r="N95" s="2010"/>
      <c r="O95" s="2010"/>
      <c r="P95" s="2011"/>
      <c r="Q95" s="2011"/>
      <c r="R95" s="2011"/>
      <c r="S95" s="2011"/>
      <c r="T95" s="2011"/>
      <c r="U95" s="2011"/>
      <c r="V95" s="2011"/>
      <c r="W95" s="2011"/>
      <c r="X95" s="2011"/>
      <c r="Y95" s="2011"/>
      <c r="Z95" s="2011"/>
      <c r="AB95" s="1958"/>
      <c r="AC95" s="1958"/>
    </row>
    <row r="96" spans="1:29" s="2012" customFormat="1">
      <c r="A96" s="2028"/>
      <c r="D96" s="2010"/>
      <c r="E96" s="2010"/>
      <c r="F96" s="2010"/>
      <c r="G96" s="2010"/>
      <c r="H96" s="2010"/>
      <c r="I96" s="2271"/>
      <c r="J96" s="2010"/>
      <c r="K96" s="1936"/>
      <c r="L96" s="1936"/>
      <c r="M96" s="2010"/>
      <c r="N96" s="2010"/>
      <c r="O96" s="2010"/>
      <c r="P96" s="2011"/>
      <c r="Q96" s="2011"/>
      <c r="R96" s="2011"/>
      <c r="S96" s="2011"/>
      <c r="T96" s="2011"/>
      <c r="U96" s="2011"/>
      <c r="V96" s="2011"/>
      <c r="W96" s="2011"/>
      <c r="X96" s="2011"/>
      <c r="Y96" s="2011"/>
      <c r="Z96" s="2011"/>
      <c r="AB96" s="1958"/>
      <c r="AC96" s="1958"/>
    </row>
    <row r="97" spans="1:38">
      <c r="A97" s="2029" t="s">
        <v>1270</v>
      </c>
      <c r="B97" s="2030"/>
      <c r="C97" s="2030"/>
      <c r="I97" s="1926"/>
    </row>
    <row r="98" spans="1:38" s="1982" customFormat="1">
      <c r="A98" s="1982" t="s">
        <v>1248</v>
      </c>
      <c r="D98" s="1983"/>
      <c r="E98" s="1983"/>
      <c r="F98" s="1983"/>
      <c r="I98" s="2275"/>
      <c r="J98" s="2031"/>
      <c r="K98" s="2031"/>
      <c r="L98" s="2031"/>
      <c r="M98" s="2031"/>
      <c r="N98" s="2031"/>
      <c r="O98" s="2031"/>
      <c r="P98" s="2031"/>
      <c r="Q98" s="2031"/>
      <c r="R98" s="2031"/>
      <c r="S98" s="2031"/>
      <c r="T98" s="2031"/>
      <c r="U98" s="2031"/>
      <c r="V98" s="2031"/>
      <c r="AA98" s="1985"/>
      <c r="AB98" s="1985"/>
      <c r="AC98" s="1985"/>
      <c r="AD98" s="1985"/>
      <c r="AE98" s="1985"/>
      <c r="AF98" s="1985"/>
      <c r="AG98" s="1985"/>
      <c r="AH98" s="1985"/>
      <c r="AI98" s="1985"/>
      <c r="AJ98" s="1985"/>
      <c r="AK98" s="1985"/>
      <c r="AL98" s="1985"/>
    </row>
    <row r="99" spans="1:38" s="1935" customFormat="1">
      <c r="B99" s="1935" t="s">
        <v>1271</v>
      </c>
      <c r="D99" s="2413">
        <f>5571385507504/10^9</f>
        <v>5571.3855075040001</v>
      </c>
      <c r="E99" s="2413">
        <f>6073425382360/10^9</f>
        <v>6073.4253823600002</v>
      </c>
      <c r="F99" s="2413">
        <f>7280394927590/10^9</f>
        <v>7280.3949275900004</v>
      </c>
      <c r="G99" s="2413">
        <f>12401793242829/10^9</f>
        <v>12401.793242829001</v>
      </c>
      <c r="H99" s="2413">
        <f>8310998746657/10^9</f>
        <v>8310.9987466570001</v>
      </c>
      <c r="I99" s="2417">
        <f>7701001784904/10^9</f>
        <v>7701.0017849039996</v>
      </c>
      <c r="J99" s="2413">
        <f>(J101*J105*J106) + (J101*(1-J105)*J109)</f>
        <v>9889.787032947741</v>
      </c>
      <c r="K99" s="2413">
        <f t="shared" ref="K99:S99" si="19">(K101*K105*K106) + (K101*(1-K105)*K109)</f>
        <v>10277.635967330329</v>
      </c>
      <c r="L99" s="2413">
        <f t="shared" si="19"/>
        <v>10162.215344561984</v>
      </c>
      <c r="M99" s="2413">
        <f t="shared" si="19"/>
        <v>11631.882000822907</v>
      </c>
      <c r="N99" s="2413">
        <f t="shared" si="19"/>
        <v>11565.757405256471</v>
      </c>
      <c r="O99" s="2413">
        <f t="shared" si="19"/>
        <v>11116.478329530935</v>
      </c>
      <c r="P99" s="2413">
        <f t="shared" si="19"/>
        <v>11248.697290323988</v>
      </c>
      <c r="Q99" s="2413">
        <f t="shared" si="19"/>
        <v>11301.666175549426</v>
      </c>
      <c r="R99" s="2413">
        <f t="shared" si="19"/>
        <v>11975.201490688076</v>
      </c>
      <c r="S99" s="2413">
        <f t="shared" si="19"/>
        <v>11372.534637812638</v>
      </c>
      <c r="AA99" s="1938"/>
      <c r="AB99" s="1938"/>
      <c r="AC99" s="1938"/>
      <c r="AD99" s="1938"/>
      <c r="AE99" s="1938"/>
      <c r="AF99" s="1938"/>
      <c r="AG99" s="1938"/>
      <c r="AH99" s="1938"/>
      <c r="AI99" s="1938"/>
      <c r="AJ99" s="1938"/>
      <c r="AK99" s="1938"/>
      <c r="AL99" s="1938"/>
    </row>
    <row r="100" spans="1:38" s="2033" customFormat="1">
      <c r="B100" s="2033" t="s">
        <v>1272</v>
      </c>
      <c r="D100" s="1936"/>
      <c r="E100" s="2037">
        <f>E99/D99-1</f>
        <v>9.0110417629476913E-2</v>
      </c>
      <c r="F100" s="2037">
        <f t="shared" ref="F100:I100" si="20">F99/E99-1</f>
        <v>0.19872962442834829</v>
      </c>
      <c r="G100" s="2037">
        <f t="shared" si="20"/>
        <v>0.70345061856889068</v>
      </c>
      <c r="H100" s="2037">
        <f t="shared" si="20"/>
        <v>-0.32985507950935977</v>
      </c>
      <c r="I100" s="2037">
        <f t="shared" si="20"/>
        <v>-7.3396348663674726E-2</v>
      </c>
      <c r="J100" s="2037">
        <f t="shared" ref="J100" si="21">J99/I99-1</f>
        <v>0.28422084673897086</v>
      </c>
      <c r="K100" s="2037">
        <f t="shared" ref="K100" si="22">K99/J99-1</f>
        <v>3.9217116919754824E-2</v>
      </c>
      <c r="L100" s="2037">
        <f t="shared" ref="L100" si="23">L99/K99-1</f>
        <v>-1.1230269600444487E-2</v>
      </c>
      <c r="M100" s="2037">
        <f t="shared" ref="M100" si="24">M99/L99-1</f>
        <v>0.14462069602248406</v>
      </c>
      <c r="N100" s="2037">
        <f t="shared" ref="N100" si="25">N99/M99-1</f>
        <v>-5.684771867678684E-3</v>
      </c>
      <c r="O100" s="2037">
        <f t="shared" ref="O100" si="26">O99/N99-1</f>
        <v>-3.8845625062250089E-2</v>
      </c>
      <c r="P100" s="2037">
        <f t="shared" ref="P100" si="27">P99/O99-1</f>
        <v>1.189396109753682E-2</v>
      </c>
      <c r="Q100" s="2037">
        <f t="shared" ref="Q100" si="28">Q99/P99-1</f>
        <v>4.7088906260284169E-3</v>
      </c>
      <c r="R100" s="2037">
        <f t="shared" ref="R100" si="29">R99/Q99-1</f>
        <v>5.959610774876789E-2</v>
      </c>
      <c r="S100" s="2037">
        <f t="shared" ref="S100" si="30">S99/R99-1</f>
        <v>-5.0326239048593235E-2</v>
      </c>
      <c r="T100" s="1946"/>
      <c r="U100" s="1946"/>
      <c r="V100" s="1946"/>
      <c r="W100" s="1946"/>
      <c r="X100" s="1946"/>
      <c r="Y100" s="1946"/>
      <c r="Z100" s="1946"/>
      <c r="AA100" s="1938"/>
      <c r="AB100" s="1938"/>
      <c r="AC100" s="1938"/>
      <c r="AD100" s="1938"/>
      <c r="AE100" s="1938"/>
      <c r="AF100" s="1938"/>
      <c r="AG100" s="1938"/>
      <c r="AH100" s="1938"/>
      <c r="AI100" s="1938"/>
      <c r="AJ100" s="1938"/>
      <c r="AK100" s="1938"/>
      <c r="AL100" s="1938"/>
    </row>
    <row r="101" spans="1:38" s="1952" customFormat="1">
      <c r="B101" s="1952" t="s">
        <v>1273</v>
      </c>
      <c r="D101" s="2332">
        <f>D335</f>
        <v>807.13</v>
      </c>
      <c r="E101" s="2332">
        <f t="shared" ref="E101:S101" si="31">E335</f>
        <v>1008.56</v>
      </c>
      <c r="F101" s="2332">
        <f t="shared" si="31"/>
        <v>755.5</v>
      </c>
      <c r="G101" s="2332">
        <f t="shared" si="31"/>
        <v>844.08</v>
      </c>
      <c r="H101" s="2332">
        <f t="shared" si="31"/>
        <v>866.03</v>
      </c>
      <c r="I101" s="2332">
        <f t="shared" si="31"/>
        <v>804.7</v>
      </c>
      <c r="J101" s="2332">
        <f t="shared" si="31"/>
        <v>852.7667913310853</v>
      </c>
      <c r="K101" s="2332">
        <f t="shared" si="31"/>
        <v>859.5426410555898</v>
      </c>
      <c r="L101" s="2332">
        <f t="shared" si="31"/>
        <v>837.07511437413541</v>
      </c>
      <c r="M101" s="2332">
        <f t="shared" si="31"/>
        <v>881.61370696287531</v>
      </c>
      <c r="N101" s="2332">
        <f t="shared" si="31"/>
        <v>885.61821144184785</v>
      </c>
      <c r="O101" s="2332">
        <f t="shared" si="31"/>
        <v>890.57183057414875</v>
      </c>
      <c r="P101" s="2332">
        <f t="shared" si="31"/>
        <v>903.74384067110645</v>
      </c>
      <c r="Q101" s="2332">
        <f t="shared" si="31"/>
        <v>884.09068864508515</v>
      </c>
      <c r="R101" s="2332">
        <f t="shared" si="31"/>
        <v>911.55520516060369</v>
      </c>
      <c r="S101" s="2332">
        <f t="shared" si="31"/>
        <v>892.86558057594448</v>
      </c>
      <c r="T101" s="2036"/>
      <c r="U101" s="2036"/>
      <c r="V101" s="2036" t="s">
        <v>1397</v>
      </c>
      <c r="AA101" s="1951"/>
      <c r="AB101" s="1951"/>
      <c r="AC101" s="1951"/>
      <c r="AD101" s="1951"/>
      <c r="AE101" s="1951"/>
      <c r="AF101" s="1951"/>
      <c r="AG101" s="1951"/>
      <c r="AH101" s="1951"/>
      <c r="AI101" s="1951"/>
      <c r="AJ101" s="1951"/>
      <c r="AK101" s="1951"/>
      <c r="AL101" s="1951"/>
    </row>
    <row r="102" spans="1:38" s="2037" customFormat="1">
      <c r="B102" s="2037" t="s">
        <v>1272</v>
      </c>
      <c r="E102" s="2037">
        <f>E101/D101-1</f>
        <v>0.24956326737948031</v>
      </c>
      <c r="F102" s="2037">
        <f t="shared" ref="F102:I102" si="32">F101/E101-1</f>
        <v>-0.25091219163956524</v>
      </c>
      <c r="G102" s="2037">
        <f t="shared" si="32"/>
        <v>0.11724685638649901</v>
      </c>
      <c r="H102" s="2037">
        <f t="shared" si="32"/>
        <v>2.6004644109562935E-2</v>
      </c>
      <c r="I102" s="2037">
        <f t="shared" si="32"/>
        <v>-7.0817408172926921E-2</v>
      </c>
      <c r="L102" s="1958"/>
      <c r="M102" s="1958"/>
      <c r="N102" s="1958"/>
      <c r="O102" s="1958"/>
      <c r="P102" s="2038"/>
      <c r="Q102" s="1958"/>
      <c r="R102" s="1958"/>
      <c r="S102" s="1958"/>
      <c r="T102" s="1958"/>
      <c r="U102" s="1958"/>
      <c r="V102" s="1958" t="s">
        <v>1398</v>
      </c>
      <c r="W102" s="2039" t="s">
        <v>1399</v>
      </c>
      <c r="X102" s="2040"/>
      <c r="Y102" s="2041"/>
      <c r="Z102" s="1958"/>
      <c r="AA102" s="1960"/>
      <c r="AB102" s="1960"/>
      <c r="AC102" s="1960"/>
      <c r="AD102" s="1960"/>
      <c r="AE102" s="1960"/>
      <c r="AF102" s="1960"/>
      <c r="AG102" s="1960"/>
      <c r="AH102" s="1960"/>
      <c r="AI102" s="1960"/>
      <c r="AJ102" s="1960"/>
      <c r="AK102" s="1960"/>
      <c r="AL102" s="1960"/>
    </row>
    <row r="103" spans="1:38" s="2037" customFormat="1">
      <c r="B103" s="2037" t="s">
        <v>1393</v>
      </c>
      <c r="D103" s="1952">
        <v>23110</v>
      </c>
      <c r="E103" s="1952">
        <v>23225.55</v>
      </c>
      <c r="F103" s="1952">
        <v>23225.55</v>
      </c>
      <c r="G103" s="1952">
        <v>23341.677749999995</v>
      </c>
      <c r="H103" s="1952">
        <v>23866.38613875</v>
      </c>
      <c r="I103" s="1952">
        <f>H103*(1+0.045)</f>
        <v>24940.373514993749</v>
      </c>
      <c r="J103" s="1952">
        <v>26382.5</v>
      </c>
      <c r="K103" s="1952">
        <f t="shared" ref="K103:P103" si="33">J103*(1+K104)</f>
        <v>27173.975000000002</v>
      </c>
      <c r="L103" s="1952">
        <f t="shared" si="33"/>
        <v>27717.454500000003</v>
      </c>
      <c r="M103" s="1952">
        <f t="shared" si="33"/>
        <v>28271.803590000003</v>
      </c>
      <c r="N103" s="1952">
        <f t="shared" si="33"/>
        <v>28837.239661800002</v>
      </c>
      <c r="O103" s="1952">
        <f t="shared" si="33"/>
        <v>28548.867265182002</v>
      </c>
      <c r="P103" s="1952">
        <f t="shared" si="33"/>
        <v>28263.378592530182</v>
      </c>
      <c r="Q103" s="1952">
        <f t="shared" ref="Q103" si="34">P103*(1+Q104)</f>
        <v>27980.744806604878</v>
      </c>
      <c r="R103" s="1952">
        <f t="shared" ref="R103" si="35">Q103*(1+R104)</f>
        <v>27700.937358538828</v>
      </c>
      <c r="S103" s="1952">
        <f t="shared" ref="S103" si="36">R103*(1+S104)</f>
        <v>27423.92798495344</v>
      </c>
      <c r="T103" s="1952"/>
      <c r="U103" s="1958"/>
      <c r="V103" s="1958" t="s">
        <v>1400</v>
      </c>
      <c r="W103" s="2319" t="s">
        <v>1401</v>
      </c>
      <c r="X103" s="2040"/>
      <c r="Y103" s="2041"/>
      <c r="Z103" s="1958"/>
      <c r="AA103" s="1960"/>
      <c r="AB103" s="1960"/>
      <c r="AC103" s="1960"/>
      <c r="AD103" s="1960"/>
      <c r="AE103" s="1960"/>
      <c r="AF103" s="1960"/>
      <c r="AG103" s="1960"/>
      <c r="AH103" s="1960"/>
      <c r="AI103" s="1960"/>
      <c r="AJ103" s="1960"/>
      <c r="AK103" s="1960"/>
      <c r="AL103" s="1960"/>
    </row>
    <row r="104" spans="1:38" s="2037" customFormat="1">
      <c r="B104" s="2037" t="s">
        <v>1394</v>
      </c>
      <c r="I104" s="2278"/>
      <c r="J104" s="2037">
        <f>4%</f>
        <v>0.04</v>
      </c>
      <c r="K104" s="2318">
        <f>3%</f>
        <v>0.03</v>
      </c>
      <c r="L104" s="2318">
        <f>2%</f>
        <v>0.02</v>
      </c>
      <c r="M104" s="2318">
        <f>2%</f>
        <v>0.02</v>
      </c>
      <c r="N104" s="2318">
        <f>2%</f>
        <v>0.02</v>
      </c>
      <c r="O104" s="2318">
        <f>-1%</f>
        <v>-0.01</v>
      </c>
      <c r="P104" s="2318">
        <f>-1%</f>
        <v>-0.01</v>
      </c>
      <c r="Q104" s="2318">
        <f>P104</f>
        <v>-0.01</v>
      </c>
      <c r="R104" s="2318">
        <f>Q104</f>
        <v>-0.01</v>
      </c>
      <c r="S104" s="2318">
        <f>R104</f>
        <v>-0.01</v>
      </c>
      <c r="T104" s="2318"/>
      <c r="U104" s="1958"/>
      <c r="V104" s="1958" t="s">
        <v>1402</v>
      </c>
      <c r="W104" s="2039" t="s">
        <v>1403</v>
      </c>
      <c r="X104" s="2040"/>
      <c r="Y104" s="2041"/>
      <c r="Z104" s="1958"/>
      <c r="AA104" s="1960"/>
      <c r="AB104" s="1960"/>
      <c r="AC104" s="1960"/>
      <c r="AD104" s="1960"/>
      <c r="AE104" s="1960"/>
      <c r="AF104" s="1960"/>
      <c r="AG104" s="1960"/>
      <c r="AH104" s="1960"/>
      <c r="AI104" s="1960"/>
      <c r="AJ104" s="1960"/>
      <c r="AK104" s="1960"/>
      <c r="AL104" s="1960"/>
    </row>
    <row r="105" spans="1:38" s="2037" customFormat="1">
      <c r="B105" s="2037" t="s">
        <v>1427</v>
      </c>
      <c r="I105" s="2278"/>
      <c r="J105" s="2037">
        <f>J106/(J106+J109)</f>
        <v>0.53380258875848563</v>
      </c>
      <c r="K105" s="2037">
        <f>K106/(K106+K109)</f>
        <v>0.52150060384590879</v>
      </c>
      <c r="L105" s="2037">
        <f t="shared" ref="L105:S105" si="37">L106/(L106+L109)</f>
        <v>0.49732297932344677</v>
      </c>
      <c r="M105" s="2037">
        <f t="shared" si="37"/>
        <v>0.46858618351121767</v>
      </c>
      <c r="N105" s="2037">
        <f t="shared" si="37"/>
        <v>0.4400562434400801</v>
      </c>
      <c r="O105" s="2037">
        <f t="shared" si="37"/>
        <v>0.41916705559935674</v>
      </c>
      <c r="P105" s="2037">
        <f t="shared" si="37"/>
        <v>0.41679459289943699</v>
      </c>
      <c r="Q105" s="2037">
        <f t="shared" si="37"/>
        <v>0.42416640184359122</v>
      </c>
      <c r="R105" s="2037">
        <f t="shared" si="37"/>
        <v>0.43157211074107238</v>
      </c>
      <c r="S105" s="2037">
        <f t="shared" si="37"/>
        <v>0.43900854278140056</v>
      </c>
      <c r="U105" s="1958"/>
      <c r="V105" s="1958" t="s">
        <v>1404</v>
      </c>
      <c r="W105" s="2039" t="s">
        <v>1405</v>
      </c>
      <c r="X105" s="2040"/>
      <c r="Y105" s="2041"/>
      <c r="Z105" s="1958"/>
      <c r="AA105" s="1960"/>
      <c r="AB105" s="1960"/>
      <c r="AC105" s="1960"/>
      <c r="AD105" s="1960"/>
      <c r="AE105" s="1960"/>
      <c r="AF105" s="1960"/>
      <c r="AG105" s="1960"/>
      <c r="AH105" s="1960"/>
      <c r="AI105" s="1960"/>
      <c r="AJ105" s="1960"/>
      <c r="AK105" s="1960"/>
      <c r="AL105" s="1960"/>
    </row>
    <row r="106" spans="1:38" s="2638" customFormat="1">
      <c r="B106" s="2638" t="s">
        <v>1274</v>
      </c>
      <c r="D106" s="2639">
        <f>D99/D101</f>
        <v>6.9027114684177269</v>
      </c>
      <c r="E106" s="2639">
        <f t="shared" ref="E106:I106" si="38">E99/E101</f>
        <v>6.0218781057745705</v>
      </c>
      <c r="F106" s="2639">
        <f t="shared" si="38"/>
        <v>9.6365253839708807</v>
      </c>
      <c r="G106" s="2639">
        <f t="shared" si="38"/>
        <v>14.692675152626528</v>
      </c>
      <c r="H106" s="2639">
        <f t="shared" si="38"/>
        <v>9.5966637953154059</v>
      </c>
      <c r="I106" s="2639">
        <f t="shared" si="38"/>
        <v>9.5700283147806626</v>
      </c>
      <c r="J106" s="2640">
        <f>14500*0.85/1000</f>
        <v>12.324999999999999</v>
      </c>
      <c r="K106" s="2640">
        <f>J106*K107</f>
        <v>12.44825</v>
      </c>
      <c r="L106" s="2640">
        <f t="shared" ref="L106:S106" si="39">K106*L107</f>
        <v>12.074802499999999</v>
      </c>
      <c r="M106" s="2640">
        <f t="shared" si="39"/>
        <v>12.316298549999999</v>
      </c>
      <c r="N106" s="2640">
        <f t="shared" si="39"/>
        <v>11.330994666</v>
      </c>
      <c r="O106" s="2640">
        <f t="shared" si="39"/>
        <v>10.197895199400001</v>
      </c>
      <c r="P106" s="2640">
        <f t="shared" si="39"/>
        <v>10.095916247406</v>
      </c>
      <c r="Q106" s="2640">
        <f t="shared" si="39"/>
        <v>10.600712059776301</v>
      </c>
      <c r="R106" s="2640">
        <f t="shared" si="39"/>
        <v>11.130747662765117</v>
      </c>
      <c r="S106" s="2640">
        <f t="shared" si="39"/>
        <v>11.019440186137466</v>
      </c>
      <c r="V106" s="2638" t="s">
        <v>1406</v>
      </c>
      <c r="W106" s="2638" t="s">
        <v>1407</v>
      </c>
    </row>
    <row r="107" spans="1:38" s="2395" customFormat="1">
      <c r="B107" s="2396" t="s">
        <v>1272</v>
      </c>
      <c r="C107" s="2396"/>
      <c r="E107" s="2397"/>
      <c r="F107" s="2397"/>
      <c r="G107" s="2397"/>
      <c r="H107" s="2397"/>
      <c r="I107" s="2397"/>
      <c r="J107" s="2398">
        <f>J106/I106</f>
        <v>1.2878749774401768</v>
      </c>
      <c r="K107" s="2398">
        <f>1% + 100%</f>
        <v>1.01</v>
      </c>
      <c r="L107" s="2398">
        <f>-3% + 100%</f>
        <v>0.97</v>
      </c>
      <c r="M107" s="2398">
        <f>0% + 100%+2%</f>
        <v>1.02</v>
      </c>
      <c r="N107" s="2398">
        <f>-8% + 100%</f>
        <v>0.92</v>
      </c>
      <c r="O107" s="2398">
        <f>-10% + 100%</f>
        <v>0.9</v>
      </c>
      <c r="P107" s="2398">
        <f>-1% + 100%</f>
        <v>0.99</v>
      </c>
      <c r="Q107" s="2398">
        <f>5% + 100%</f>
        <v>1.05</v>
      </c>
      <c r="R107" s="2398">
        <f>5% + 100%</f>
        <v>1.05</v>
      </c>
      <c r="S107" s="2398">
        <f>-1% + 100%</f>
        <v>0.99</v>
      </c>
      <c r="T107" s="2398"/>
      <c r="AA107" s="2399"/>
      <c r="AB107" s="2399"/>
      <c r="AC107" s="2399"/>
      <c r="AD107" s="2399"/>
      <c r="AE107" s="2399"/>
      <c r="AF107" s="2399"/>
      <c r="AG107" s="2399"/>
      <c r="AH107" s="2399"/>
      <c r="AI107" s="2399"/>
      <c r="AJ107" s="2399"/>
      <c r="AK107" s="2399"/>
      <c r="AL107" s="2399"/>
    </row>
    <row r="108" spans="1:38" s="2638" customFormat="1" ht="14.4">
      <c r="B108" s="2638" t="s">
        <v>1392</v>
      </c>
      <c r="I108" s="2641"/>
      <c r="J108" s="2638">
        <f>480*0.85</f>
        <v>408</v>
      </c>
      <c r="K108" s="2638">
        <f>J108*K110</f>
        <v>420.32159999999999</v>
      </c>
      <c r="L108" s="2638">
        <f t="shared" ref="L108:P108" si="40">K108*L110</f>
        <v>440.32890816000003</v>
      </c>
      <c r="M108" s="2638">
        <f t="shared" si="40"/>
        <v>494.04903495552009</v>
      </c>
      <c r="N108" s="2638">
        <f t="shared" si="40"/>
        <v>499.97762337498642</v>
      </c>
      <c r="O108" s="2638">
        <f t="shared" si="40"/>
        <v>494.97784714123662</v>
      </c>
      <c r="P108" s="2638">
        <f t="shared" si="40"/>
        <v>499.82863004322076</v>
      </c>
      <c r="Q108" s="2638">
        <f t="shared" ref="Q108" si="41">P108*Q110</f>
        <v>514.32366031447407</v>
      </c>
      <c r="R108" s="2638">
        <f t="shared" ref="R108" si="42">Q108*R110</f>
        <v>529.23904646359381</v>
      </c>
      <c r="S108" s="2638">
        <f t="shared" ref="S108" si="43">R108*S110</f>
        <v>513.46772287897863</v>
      </c>
      <c r="U108" s="2642" t="s">
        <v>1396</v>
      </c>
    </row>
    <row r="109" spans="1:38" s="2638" customFormat="1">
      <c r="B109" s="2638" t="s">
        <v>1395</v>
      </c>
      <c r="I109" s="2641"/>
      <c r="J109" s="2640">
        <f>J108*J103/1000000</f>
        <v>10.764060000000001</v>
      </c>
      <c r="K109" s="2640">
        <f t="shared" ref="K109:S109" si="44">K108*K103/1000000</f>
        <v>11.421808650360001</v>
      </c>
      <c r="L109" s="2640">
        <f t="shared" si="44"/>
        <v>12.204796476959482</v>
      </c>
      <c r="M109" s="2640">
        <f t="shared" si="44"/>
        <v>13.96765728009151</v>
      </c>
      <c r="N109" s="2640">
        <f t="shared" si="44"/>
        <v>14.417974550801663</v>
      </c>
      <c r="O109" s="2640">
        <f t="shared" si="44"/>
        <v>14.13105685724071</v>
      </c>
      <c r="P109" s="2640">
        <f t="shared" si="44"/>
        <v>14.126845802297254</v>
      </c>
      <c r="Q109" s="2640">
        <f t="shared" si="44"/>
        <v>14.391159087258231</v>
      </c>
      <c r="R109" s="2640">
        <f t="shared" si="44"/>
        <v>14.660417673780833</v>
      </c>
      <c r="S109" s="2640">
        <f t="shared" si="44"/>
        <v>14.081301854831141</v>
      </c>
    </row>
    <row r="110" spans="1:38" s="2042" customFormat="1">
      <c r="B110" s="2042" t="s">
        <v>1272</v>
      </c>
      <c r="E110" s="2043"/>
      <c r="F110" s="2043"/>
      <c r="G110" s="2043"/>
      <c r="H110" s="2043"/>
      <c r="I110" s="2279"/>
      <c r="J110" s="2043">
        <f>J107*1.05</f>
        <v>1.3522687263121858</v>
      </c>
      <c r="K110" s="2318">
        <f>K107*1.02</f>
        <v>1.0302</v>
      </c>
      <c r="L110" s="2318">
        <f>L107*1.08</f>
        <v>1.0476000000000001</v>
      </c>
      <c r="M110" s="2318">
        <f>M107*1.1</f>
        <v>1.1220000000000001</v>
      </c>
      <c r="N110" s="2318">
        <f>N107*1.1</f>
        <v>1.0120000000000002</v>
      </c>
      <c r="O110" s="2318">
        <f>O107*1.1</f>
        <v>0.9900000000000001</v>
      </c>
      <c r="P110" s="2318">
        <f>P107*1.02</f>
        <v>1.0098</v>
      </c>
      <c r="Q110" s="2318">
        <f>Q107*0.98</f>
        <v>1.0289999999999999</v>
      </c>
      <c r="R110" s="2318">
        <f t="shared" ref="R110:S110" si="45">R107*0.98</f>
        <v>1.0289999999999999</v>
      </c>
      <c r="S110" s="2318">
        <f t="shared" si="45"/>
        <v>0.97019999999999995</v>
      </c>
      <c r="T110" s="2318"/>
      <c r="U110" s="2044"/>
      <c r="V110" s="2044"/>
      <c r="W110" s="2011"/>
      <c r="X110" s="2011"/>
      <c r="Y110" s="2011"/>
      <c r="Z110" s="2011"/>
      <c r="AA110" s="2045"/>
      <c r="AB110" s="2045"/>
      <c r="AC110" s="2045"/>
      <c r="AD110" s="2045"/>
      <c r="AE110" s="2045"/>
      <c r="AF110" s="2045"/>
      <c r="AG110" s="2045"/>
      <c r="AH110" s="2045"/>
      <c r="AI110" s="2045"/>
      <c r="AJ110" s="2045"/>
      <c r="AK110" s="2045"/>
      <c r="AL110" s="2045"/>
    </row>
    <row r="111" spans="1:38" s="2042" customFormat="1">
      <c r="B111" s="2042" t="s">
        <v>1223</v>
      </c>
      <c r="D111" s="2042">
        <f>D99*D8</f>
        <v>103.7242273903662</v>
      </c>
      <c r="E111" s="2042">
        <f t="shared" ref="E111:S111" si="46">E99*E8</f>
        <v>122.47399190005105</v>
      </c>
      <c r="F111" s="2042">
        <f t="shared" si="46"/>
        <v>157.61014137874554</v>
      </c>
      <c r="G111" s="2042">
        <f t="shared" si="46"/>
        <v>344.88174882164446</v>
      </c>
      <c r="H111" s="2042">
        <f t="shared" si="46"/>
        <v>243.20871714398154</v>
      </c>
      <c r="I111" s="2042">
        <f t="shared" si="46"/>
        <v>268.96831313127228</v>
      </c>
      <c r="J111" s="2042">
        <f t="shared" si="46"/>
        <v>251.25060477235837</v>
      </c>
      <c r="K111" s="2042">
        <f t="shared" si="46"/>
        <v>261.10392911587508</v>
      </c>
      <c r="L111" s="2042">
        <f t="shared" si="46"/>
        <v>258.1716615981685</v>
      </c>
      <c r="M111" s="2042">
        <f t="shared" si="46"/>
        <v>295.50862699177685</v>
      </c>
      <c r="N111" s="2042">
        <f t="shared" si="46"/>
        <v>293.82872786239761</v>
      </c>
      <c r="O111" s="2042">
        <f t="shared" si="46"/>
        <v>282.41476726733703</v>
      </c>
      <c r="P111" s="2042">
        <f t="shared" si="46"/>
        <v>285.77379752258463</v>
      </c>
      <c r="Q111" s="2042">
        <f t="shared" si="46"/>
        <v>287.11947507890329</v>
      </c>
      <c r="R111" s="2042">
        <f t="shared" si="46"/>
        <v>304.23067825247529</v>
      </c>
      <c r="S111" s="2042">
        <f t="shared" si="46"/>
        <v>288.91989241282556</v>
      </c>
      <c r="W111" s="2046"/>
      <c r="X111" s="2046"/>
      <c r="Y111" s="2046"/>
      <c r="Z111" s="2046"/>
      <c r="AA111" s="2045"/>
      <c r="AB111" s="2045"/>
      <c r="AC111" s="2045"/>
      <c r="AD111" s="2045"/>
      <c r="AE111" s="2045"/>
      <c r="AF111" s="2045"/>
      <c r="AG111" s="2045"/>
      <c r="AH111" s="2045"/>
      <c r="AI111" s="2045"/>
      <c r="AJ111" s="2045"/>
      <c r="AK111" s="2045"/>
      <c r="AL111" s="2045"/>
    </row>
    <row r="112" spans="1:38" s="2047" customFormat="1">
      <c r="B112" s="2047" t="s">
        <v>1275</v>
      </c>
      <c r="D112" s="2047">
        <f>D99-D111</f>
        <v>5467.6612801136343</v>
      </c>
      <c r="E112" s="2047">
        <f t="shared" ref="E112:I112" si="47">E99-E111</f>
        <v>5950.9513904599489</v>
      </c>
      <c r="F112" s="2047">
        <f t="shared" si="47"/>
        <v>7122.7847862112549</v>
      </c>
      <c r="G112" s="2047">
        <f t="shared" si="47"/>
        <v>12056.911494007356</v>
      </c>
      <c r="H112" s="2047">
        <f t="shared" si="47"/>
        <v>8067.7900295130185</v>
      </c>
      <c r="I112" s="2047">
        <f t="shared" si="47"/>
        <v>7432.0334717727274</v>
      </c>
      <c r="J112" s="2047">
        <f t="shared" ref="J112" si="48">J99-J111</f>
        <v>9638.5364281753828</v>
      </c>
      <c r="K112" s="2047">
        <f t="shared" ref="K112" si="49">K99-K111</f>
        <v>10016.532038214453</v>
      </c>
      <c r="L112" s="2047">
        <f t="shared" ref="L112" si="50">L99-L111</f>
        <v>9904.0436829638165</v>
      </c>
      <c r="M112" s="2047">
        <f t="shared" ref="M112" si="51">M99-M111</f>
        <v>11336.373373831129</v>
      </c>
      <c r="N112" s="2047">
        <f t="shared" ref="N112" si="52">N99-N111</f>
        <v>11271.928677394073</v>
      </c>
      <c r="O112" s="2047">
        <f t="shared" ref="O112" si="53">O99-O111</f>
        <v>10834.063562263598</v>
      </c>
      <c r="P112" s="2047">
        <f t="shared" ref="P112" si="54">P99-P111</f>
        <v>10962.923492801403</v>
      </c>
      <c r="Q112" s="2047">
        <f t="shared" ref="Q112" si="55">Q99-Q111</f>
        <v>11014.546700470522</v>
      </c>
      <c r="R112" s="2047">
        <f t="shared" ref="R112" si="56">R99-R111</f>
        <v>11670.9708124356</v>
      </c>
      <c r="S112" s="2047">
        <f t="shared" ref="S112" si="57">S99-S111</f>
        <v>11083.614745399813</v>
      </c>
      <c r="W112" s="2048"/>
      <c r="X112" s="2048"/>
      <c r="Y112" s="2048"/>
      <c r="Z112" s="2048"/>
      <c r="AA112" s="2049"/>
      <c r="AB112" s="2049"/>
      <c r="AC112" s="2049"/>
      <c r="AD112" s="2049"/>
      <c r="AE112" s="2049"/>
      <c r="AF112" s="2049"/>
      <c r="AG112" s="2049"/>
      <c r="AH112" s="2049"/>
      <c r="AI112" s="2049"/>
      <c r="AJ112" s="2049"/>
      <c r="AK112" s="2049"/>
      <c r="AL112" s="2049"/>
    </row>
    <row r="113" spans="2:38" s="2047" customFormat="1">
      <c r="I113" s="2280"/>
      <c r="S113" s="2048"/>
      <c r="T113" s="2048"/>
      <c r="U113" s="2048"/>
      <c r="V113" s="2048"/>
      <c r="W113" s="2048"/>
      <c r="X113" s="2048"/>
      <c r="Y113" s="2048"/>
      <c r="Z113" s="2048"/>
      <c r="AA113" s="2049"/>
      <c r="AB113" s="2049"/>
      <c r="AC113" s="2049"/>
      <c r="AD113" s="2049"/>
      <c r="AE113" s="2049"/>
      <c r="AF113" s="2049"/>
      <c r="AG113" s="2049"/>
      <c r="AH113" s="2049"/>
      <c r="AI113" s="2049"/>
      <c r="AJ113" s="2049"/>
      <c r="AK113" s="2049"/>
      <c r="AL113" s="2049"/>
    </row>
    <row r="114" spans="2:38">
      <c r="B114" s="2047" t="s">
        <v>1276</v>
      </c>
      <c r="C114" s="2047"/>
      <c r="P114" s="1925"/>
      <c r="Q114" s="1925"/>
      <c r="R114" s="1925"/>
      <c r="S114" s="1925"/>
      <c r="T114" s="1925"/>
      <c r="U114" s="1925"/>
      <c r="V114" s="1925"/>
    </row>
    <row r="115" spans="2:38" s="1935" customFormat="1" ht="13.8" thickBot="1">
      <c r="B115" s="1952" t="s">
        <v>1277</v>
      </c>
      <c r="C115" s="1952"/>
      <c r="D115" s="1957">
        <f>4728608570217/10^9</f>
        <v>4728.6085702170003</v>
      </c>
      <c r="E115" s="1957">
        <f>4868626033251/10^9</f>
        <v>4868.6260332510001</v>
      </c>
      <c r="F115" s="1957">
        <f>4786064054966/10^9</f>
        <v>4786.0640549660002</v>
      </c>
      <c r="G115" s="1957">
        <f>6654161422282/10^9</f>
        <v>6654.1614222819999</v>
      </c>
      <c r="H115" s="1936">
        <f>6433055911189/10^9</f>
        <v>6433.0559111889997</v>
      </c>
      <c r="I115" s="2247">
        <f>5498270227049/10^9</f>
        <v>5498.2702270489999</v>
      </c>
      <c r="J115" s="1936">
        <f>J116/J118</f>
        <v>6918.3945317521348</v>
      </c>
      <c r="K115" s="1936">
        <f t="shared" ref="K115:S115" si="58">K116/K118</f>
        <v>6909.4822414834425</v>
      </c>
      <c r="L115" s="1936">
        <f t="shared" si="58"/>
        <v>6724.0947510577316</v>
      </c>
      <c r="M115" s="1936">
        <f t="shared" si="58"/>
        <v>6985.7694719518349</v>
      </c>
      <c r="N115" s="1936">
        <f t="shared" si="58"/>
        <v>7610.1723364793943</v>
      </c>
      <c r="O115" s="1936">
        <f t="shared" si="58"/>
        <v>7643.8765289386256</v>
      </c>
      <c r="P115" s="1936">
        <f t="shared" si="58"/>
        <v>7932.979647262343</v>
      </c>
      <c r="Q115" s="1936">
        <f t="shared" si="58"/>
        <v>7845.9209141766678</v>
      </c>
      <c r="R115" s="1936">
        <f t="shared" si="58"/>
        <v>8147.0038376363809</v>
      </c>
      <c r="S115" s="1936">
        <f t="shared" si="58"/>
        <v>7995.8431482396672</v>
      </c>
      <c r="W115" s="1911"/>
      <c r="X115" s="1911"/>
      <c r="Y115" s="1911"/>
      <c r="Z115" s="1911"/>
      <c r="AA115" s="1938"/>
      <c r="AB115" s="1938"/>
      <c r="AC115" s="2051"/>
      <c r="AD115" s="1938"/>
      <c r="AE115" s="1938"/>
      <c r="AF115" s="1938"/>
      <c r="AG115" s="1938"/>
      <c r="AH115" s="1938"/>
      <c r="AI115" s="1938"/>
      <c r="AJ115" s="1938"/>
      <c r="AK115" s="1938"/>
      <c r="AL115" s="1938"/>
    </row>
    <row r="116" spans="2:38" s="1935" customFormat="1">
      <c r="B116" s="2052" t="s">
        <v>1278</v>
      </c>
      <c r="C116" s="2342"/>
      <c r="D116" s="2053">
        <f>D115*D118</f>
        <v>2506.1625422150105</v>
      </c>
      <c r="E116" s="2053">
        <f t="shared" ref="E116:I116" si="59">E115*E118</f>
        <v>2142.1954546304401</v>
      </c>
      <c r="F116" s="2053">
        <f t="shared" si="59"/>
        <v>2440.8926680326599</v>
      </c>
      <c r="G116" s="2053">
        <f t="shared" si="59"/>
        <v>3659.7887822551002</v>
      </c>
      <c r="H116" s="2053">
        <f t="shared" si="59"/>
        <v>4245.81690138474</v>
      </c>
      <c r="I116" s="2053">
        <f t="shared" si="59"/>
        <v>2958.0693821523623</v>
      </c>
      <c r="J116" s="2053">
        <f>J101*J139*1000*1000/10^9</f>
        <v>3322.5174635067724</v>
      </c>
      <c r="K116" s="2053">
        <f t="shared" ref="K116:S116" si="60">K101*K139*1000*1000/10^9</f>
        <v>3318.2373895789747</v>
      </c>
      <c r="L116" s="2053">
        <f t="shared" si="60"/>
        <v>3229.2061596269696</v>
      </c>
      <c r="M116" s="2053">
        <f t="shared" si="60"/>
        <v>3354.8738742880373</v>
      </c>
      <c r="N116" s="2053">
        <f t="shared" si="60"/>
        <v>3654.7396035602105</v>
      </c>
      <c r="O116" s="2053">
        <f t="shared" si="60"/>
        <v>3670.9258397636017</v>
      </c>
      <c r="P116" s="2053">
        <f t="shared" si="60"/>
        <v>3809.7658777198571</v>
      </c>
      <c r="Q116" s="2053">
        <f t="shared" si="60"/>
        <v>3767.9564435078601</v>
      </c>
      <c r="R116" s="2053">
        <f t="shared" si="60"/>
        <v>3912.5497110018464</v>
      </c>
      <c r="S116" s="2053">
        <f t="shared" si="60"/>
        <v>3839.9556968832112</v>
      </c>
      <c r="T116" s="2054"/>
      <c r="U116" s="2054"/>
      <c r="V116" s="2054"/>
      <c r="W116" s="1911"/>
      <c r="X116" s="1911"/>
      <c r="Y116" s="1911"/>
      <c r="Z116" s="1911"/>
      <c r="AA116" s="1938"/>
      <c r="AB116" s="1938"/>
      <c r="AC116" s="2051"/>
      <c r="AD116" s="1938"/>
      <c r="AE116" s="1938"/>
      <c r="AF116" s="1938"/>
      <c r="AG116" s="1938"/>
      <c r="AH116" s="1938"/>
      <c r="AI116" s="1938"/>
      <c r="AJ116" s="1938"/>
      <c r="AK116" s="1938"/>
      <c r="AL116" s="1938"/>
    </row>
    <row r="117" spans="2:38" s="1935" customFormat="1">
      <c r="B117" s="1934" t="s">
        <v>1279</v>
      </c>
      <c r="D117" s="1936">
        <f>D115-D116</f>
        <v>2222.4460280019898</v>
      </c>
      <c r="E117" s="1936">
        <f t="shared" ref="E117:I117" si="61">E115-E116</f>
        <v>2726.43057862056</v>
      </c>
      <c r="F117" s="1936">
        <f t="shared" si="61"/>
        <v>2345.1713869333403</v>
      </c>
      <c r="G117" s="1936">
        <f t="shared" si="61"/>
        <v>2994.3726400268997</v>
      </c>
      <c r="H117" s="1936">
        <f t="shared" si="61"/>
        <v>2187.2390098042597</v>
      </c>
      <c r="I117" s="1936">
        <f t="shared" si="61"/>
        <v>2540.2008448966376</v>
      </c>
      <c r="J117" s="1936">
        <f t="shared" ref="J117" si="62">J115-J116</f>
        <v>3595.8770682453624</v>
      </c>
      <c r="K117" s="1936">
        <f t="shared" ref="K117" si="63">K115-K116</f>
        <v>3591.2448519044679</v>
      </c>
      <c r="L117" s="1936">
        <f t="shared" ref="L117" si="64">L115-L116</f>
        <v>3494.8885914307621</v>
      </c>
      <c r="M117" s="1936">
        <f t="shared" ref="M117" si="65">M115-M116</f>
        <v>3630.8955976637976</v>
      </c>
      <c r="N117" s="1936">
        <f t="shared" ref="N117" si="66">N115-N116</f>
        <v>3955.4327329191838</v>
      </c>
      <c r="O117" s="1936">
        <f t="shared" ref="O117" si="67">O115-O116</f>
        <v>3972.9506891750239</v>
      </c>
      <c r="P117" s="1936">
        <f t="shared" ref="P117" si="68">P115-P116</f>
        <v>4123.2137695424863</v>
      </c>
      <c r="Q117" s="1936">
        <f t="shared" ref="Q117" si="69">Q115-Q116</f>
        <v>4077.9644706688077</v>
      </c>
      <c r="R117" s="1936">
        <f t="shared" ref="R117" si="70">R115-R116</f>
        <v>4234.454126634535</v>
      </c>
      <c r="S117" s="1936">
        <f t="shared" ref="S117" si="71">S115-S116</f>
        <v>4155.887451356456</v>
      </c>
      <c r="T117" s="1936"/>
      <c r="U117" s="1936"/>
      <c r="V117" s="1936"/>
      <c r="W117" s="1911"/>
      <c r="X117" s="1911"/>
      <c r="Y117" s="1911"/>
      <c r="Z117" s="1911"/>
      <c r="AA117" s="1938"/>
      <c r="AB117" s="1938"/>
      <c r="AC117" s="2051"/>
      <c r="AD117" s="1938"/>
      <c r="AE117" s="1938"/>
      <c r="AF117" s="1938"/>
      <c r="AG117" s="1938"/>
      <c r="AH117" s="1938"/>
      <c r="AI117" s="1938"/>
      <c r="AJ117" s="1938"/>
      <c r="AK117" s="1938"/>
      <c r="AL117" s="1938"/>
    </row>
    <row r="118" spans="2:38" s="1935" customFormat="1" ht="13.8" thickBot="1">
      <c r="B118" s="2055" t="s">
        <v>1280</v>
      </c>
      <c r="C118" s="2343"/>
      <c r="D118" s="2386">
        <v>0.53</v>
      </c>
      <c r="E118" s="2386">
        <v>0.44</v>
      </c>
      <c r="F118" s="2386">
        <v>0.51</v>
      </c>
      <c r="G118" s="2386">
        <v>0.55000000000000004</v>
      </c>
      <c r="H118" s="2386">
        <v>0.66</v>
      </c>
      <c r="I118" s="2386">
        <f>AVERAGE(D118:H118)</f>
        <v>0.53800000000000003</v>
      </c>
      <c r="J118" s="2386">
        <f>AVERAGE(E118:I118)*0.89</f>
        <v>0.48024400000000006</v>
      </c>
      <c r="K118" s="2386">
        <f>J118</f>
        <v>0.48024400000000006</v>
      </c>
      <c r="L118" s="2386">
        <f t="shared" ref="L118:S118" si="72">K118</f>
        <v>0.48024400000000006</v>
      </c>
      <c r="M118" s="2386">
        <f t="shared" si="72"/>
        <v>0.48024400000000006</v>
      </c>
      <c r="N118" s="2386">
        <f t="shared" si="72"/>
        <v>0.48024400000000006</v>
      </c>
      <c r="O118" s="2386">
        <f t="shared" si="72"/>
        <v>0.48024400000000006</v>
      </c>
      <c r="P118" s="2386">
        <f t="shared" si="72"/>
        <v>0.48024400000000006</v>
      </c>
      <c r="Q118" s="2386">
        <f t="shared" si="72"/>
        <v>0.48024400000000006</v>
      </c>
      <c r="R118" s="2386">
        <f t="shared" si="72"/>
        <v>0.48024400000000006</v>
      </c>
      <c r="S118" s="2386">
        <f t="shared" si="72"/>
        <v>0.48024400000000006</v>
      </c>
      <c r="T118" s="2056"/>
      <c r="U118" s="2056"/>
      <c r="V118" s="2056"/>
      <c r="W118" s="1911"/>
      <c r="X118" s="1911"/>
      <c r="Y118" s="1911"/>
      <c r="Z118" s="1911"/>
      <c r="AA118" s="1938"/>
      <c r="AB118" s="1938"/>
      <c r="AC118" s="2051"/>
      <c r="AD118" s="1938"/>
      <c r="AE118" s="1938"/>
      <c r="AF118" s="1938"/>
      <c r="AG118" s="1938"/>
      <c r="AH118" s="1938"/>
      <c r="AI118" s="1938"/>
      <c r="AJ118" s="1938"/>
      <c r="AK118" s="1938"/>
      <c r="AL118" s="1938"/>
    </row>
    <row r="119" spans="2:38" s="1935" customFormat="1">
      <c r="B119" s="2057" t="s">
        <v>1281</v>
      </c>
      <c r="C119" s="2057"/>
      <c r="D119" s="1936">
        <f>(D115*10^9)/(D101*10^3*10^3)</f>
        <v>5858.5464178224074</v>
      </c>
      <c r="E119" s="1936">
        <f t="shared" ref="E119:S119" si="73">(E115*10^9)/(E101*10^3*10^3)</f>
        <v>4827.304308371341</v>
      </c>
      <c r="F119" s="1936">
        <f t="shared" si="73"/>
        <v>6334.9623493924555</v>
      </c>
      <c r="G119" s="1936">
        <f t="shared" si="73"/>
        <v>7883.3302794545543</v>
      </c>
      <c r="H119" s="1936">
        <f t="shared" si="73"/>
        <v>7428.2137006674129</v>
      </c>
      <c r="I119" s="1936">
        <f t="shared" si="73"/>
        <v>6832.6956965937616</v>
      </c>
      <c r="J119" s="1936">
        <f t="shared" si="73"/>
        <v>8112.8798659633549</v>
      </c>
      <c r="K119" s="1936">
        <f t="shared" si="73"/>
        <v>8038.5566828866386</v>
      </c>
      <c r="L119" s="1936">
        <f t="shared" si="73"/>
        <v>8032.8451241621306</v>
      </c>
      <c r="M119" s="1936">
        <f t="shared" si="73"/>
        <v>7923.843988335364</v>
      </c>
      <c r="N119" s="1936">
        <f t="shared" si="73"/>
        <v>8593.0621549544539</v>
      </c>
      <c r="O119" s="1936">
        <f t="shared" si="73"/>
        <v>8583.1106110897799</v>
      </c>
      <c r="P119" s="1936">
        <f t="shared" si="73"/>
        <v>8777.9072899367511</v>
      </c>
      <c r="Q119" s="1936">
        <f t="shared" si="73"/>
        <v>8874.565714746921</v>
      </c>
      <c r="R119" s="1936">
        <f t="shared" si="73"/>
        <v>8937.477172543804</v>
      </c>
      <c r="S119" s="1936">
        <f t="shared" si="73"/>
        <v>8955.2596966297369</v>
      </c>
      <c r="T119" s="1936"/>
      <c r="U119" s="1936"/>
      <c r="V119" s="1936"/>
      <c r="W119" s="1911"/>
      <c r="X119" s="1911"/>
      <c r="Y119" s="1911"/>
      <c r="Z119" s="1911"/>
      <c r="AA119" s="1938"/>
      <c r="AB119" s="1938"/>
      <c r="AC119" s="2051"/>
      <c r="AD119" s="1938"/>
      <c r="AE119" s="1938"/>
      <c r="AF119" s="1938"/>
      <c r="AG119" s="1938"/>
      <c r="AH119" s="1938"/>
      <c r="AI119" s="1938"/>
      <c r="AJ119" s="1938"/>
      <c r="AK119" s="1938"/>
      <c r="AL119" s="1938"/>
    </row>
    <row r="120" spans="2:38" s="1935" customFormat="1">
      <c r="B120" s="2059" t="s">
        <v>1282</v>
      </c>
      <c r="C120" s="2059"/>
      <c r="D120" s="1936">
        <f>D355</f>
        <v>2330.2599498640002</v>
      </c>
      <c r="E120" s="1936">
        <f t="shared" ref="E120:S120" si="74">E355</f>
        <v>1890.7017315769999</v>
      </c>
      <c r="F120" s="1936">
        <f t="shared" si="74"/>
        <v>2718.010730255</v>
      </c>
      <c r="G120" s="1936">
        <f t="shared" si="74"/>
        <v>4149.4693847460003</v>
      </c>
      <c r="H120" s="1936">
        <f t="shared" si="74"/>
        <v>4099.4986882069998</v>
      </c>
      <c r="I120" s="1936">
        <f t="shared" si="74"/>
        <v>4423.6960891150002</v>
      </c>
      <c r="J120" s="1936">
        <f t="shared" si="74"/>
        <v>3486.5851171788722</v>
      </c>
      <c r="K120" s="1936">
        <f t="shared" si="74"/>
        <v>3486.6533469740402</v>
      </c>
      <c r="L120" s="1936">
        <f t="shared" si="74"/>
        <v>3493.9987470668661</v>
      </c>
      <c r="M120" s="1936">
        <f t="shared" si="74"/>
        <v>3608.7121257442814</v>
      </c>
      <c r="N120" s="1936">
        <f t="shared" si="74"/>
        <v>3871.6202084741576</v>
      </c>
      <c r="O120" s="1936">
        <f t="shared" si="74"/>
        <v>3942.7357113518506</v>
      </c>
      <c r="P120" s="1936">
        <f t="shared" si="74"/>
        <v>4014.2164099093984</v>
      </c>
      <c r="Q120" s="1936">
        <f t="shared" si="74"/>
        <v>4086.0692004269472</v>
      </c>
      <c r="R120" s="1936">
        <f t="shared" si="74"/>
        <v>4158.3010135945633</v>
      </c>
      <c r="S120" s="1936">
        <f t="shared" si="74"/>
        <v>4168.2617488157139</v>
      </c>
      <c r="T120" s="1936"/>
      <c r="U120" s="1936"/>
      <c r="V120" s="1936"/>
      <c r="W120" s="1911"/>
      <c r="X120" s="1911"/>
      <c r="Y120" s="1911"/>
      <c r="Z120" s="1911"/>
      <c r="AA120" s="1938"/>
      <c r="AB120" s="1938"/>
      <c r="AC120" s="2051"/>
      <c r="AD120" s="1938"/>
      <c r="AE120" s="1938"/>
      <c r="AF120" s="1938"/>
      <c r="AG120" s="1938"/>
      <c r="AH120" s="1938"/>
      <c r="AI120" s="1938"/>
      <c r="AJ120" s="1938"/>
      <c r="AK120" s="1938"/>
      <c r="AL120" s="1938"/>
    </row>
    <row r="121" spans="2:38" s="1935" customFormat="1">
      <c r="B121" s="2059" t="s">
        <v>659</v>
      </c>
      <c r="C121" s="2059"/>
      <c r="D121" s="1936">
        <f>1200</f>
        <v>1200</v>
      </c>
      <c r="E121" s="1936">
        <f>1200</f>
        <v>1200</v>
      </c>
      <c r="F121" s="1936">
        <f>1200</f>
        <v>1200</v>
      </c>
      <c r="G121" s="1936">
        <f>1200</f>
        <v>1200</v>
      </c>
      <c r="H121" s="1936">
        <f>1200</f>
        <v>1200</v>
      </c>
      <c r="I121" s="1936">
        <f t="shared" ref="I121:S121" si="75">0.1*1200</f>
        <v>120</v>
      </c>
      <c r="J121" s="1936">
        <f t="shared" si="75"/>
        <v>120</v>
      </c>
      <c r="K121" s="1936">
        <f t="shared" si="75"/>
        <v>120</v>
      </c>
      <c r="L121" s="1936">
        <f t="shared" si="75"/>
        <v>120</v>
      </c>
      <c r="M121" s="1936">
        <f t="shared" si="75"/>
        <v>120</v>
      </c>
      <c r="N121" s="1936">
        <f t="shared" si="75"/>
        <v>120</v>
      </c>
      <c r="O121" s="1936">
        <f t="shared" si="75"/>
        <v>120</v>
      </c>
      <c r="P121" s="1936">
        <f t="shared" si="75"/>
        <v>120</v>
      </c>
      <c r="Q121" s="1936">
        <f t="shared" si="75"/>
        <v>120</v>
      </c>
      <c r="R121" s="1936">
        <f t="shared" si="75"/>
        <v>120</v>
      </c>
      <c r="S121" s="1936">
        <f t="shared" si="75"/>
        <v>120</v>
      </c>
      <c r="T121" s="1936"/>
      <c r="U121" s="1936"/>
      <c r="V121" s="1936"/>
      <c r="W121" s="1911"/>
      <c r="X121" s="1911"/>
      <c r="Y121" s="1911"/>
      <c r="Z121" s="1911"/>
      <c r="AA121" s="1938"/>
      <c r="AB121" s="1938"/>
      <c r="AC121" s="2051"/>
      <c r="AD121" s="1938"/>
      <c r="AE121" s="1938"/>
      <c r="AF121" s="1938"/>
      <c r="AG121" s="1938"/>
      <c r="AH121" s="1938"/>
      <c r="AI121" s="1938"/>
      <c r="AJ121" s="1938"/>
      <c r="AK121" s="1938"/>
      <c r="AL121" s="1938"/>
    </row>
    <row r="122" spans="2:38" s="1935" customFormat="1">
      <c r="B122" s="2059" t="s">
        <v>1279</v>
      </c>
      <c r="C122" s="2059"/>
      <c r="D122" s="1936">
        <f>D115-D120-D121</f>
        <v>1198.3486203530001</v>
      </c>
      <c r="E122" s="1936">
        <f t="shared" ref="E122:I122" si="76">E115-E120-E121</f>
        <v>1777.9243016740002</v>
      </c>
      <c r="F122" s="1936">
        <f t="shared" si="76"/>
        <v>868.05332471100019</v>
      </c>
      <c r="G122" s="1936">
        <f t="shared" si="76"/>
        <v>1304.6920375359996</v>
      </c>
      <c r="H122" s="1936">
        <f t="shared" si="76"/>
        <v>1133.557222982</v>
      </c>
      <c r="I122" s="1936">
        <f t="shared" si="76"/>
        <v>954.57413793399974</v>
      </c>
      <c r="J122" s="1936">
        <f t="shared" ref="J122" si="77">J115-J120-J121</f>
        <v>3311.8094145732625</v>
      </c>
      <c r="K122" s="1936">
        <f t="shared" ref="K122" si="78">K115-K120-K121</f>
        <v>3302.8288945094023</v>
      </c>
      <c r="L122" s="1936">
        <f t="shared" ref="L122" si="79">L115-L120-L121</f>
        <v>3110.0960039908655</v>
      </c>
      <c r="M122" s="1936">
        <f t="shared" ref="M122" si="80">M115-M120-M121</f>
        <v>3257.0573462075536</v>
      </c>
      <c r="N122" s="1936">
        <f t="shared" ref="N122" si="81">N115-N120-N121</f>
        <v>3618.5521280052367</v>
      </c>
      <c r="O122" s="1936">
        <f t="shared" ref="O122" si="82">O115-O120-O121</f>
        <v>3581.140817586775</v>
      </c>
      <c r="P122" s="1936">
        <f t="shared" ref="P122" si="83">P115-P120-P121</f>
        <v>3798.7632373529445</v>
      </c>
      <c r="Q122" s="1936">
        <f t="shared" ref="Q122" si="84">Q115-Q120-Q121</f>
        <v>3639.8517137497206</v>
      </c>
      <c r="R122" s="1936">
        <f t="shared" ref="R122" si="85">R115-R120-R121</f>
        <v>3868.7028240418176</v>
      </c>
      <c r="S122" s="1936">
        <f t="shared" ref="S122" si="86">S115-S120-S121</f>
        <v>3707.5813994239534</v>
      </c>
      <c r="T122" s="1936"/>
      <c r="U122" s="1936"/>
      <c r="V122" s="1936"/>
      <c r="AA122" s="1938"/>
      <c r="AB122" s="1938"/>
      <c r="AC122" s="2051"/>
      <c r="AD122" s="1938"/>
      <c r="AE122" s="1938"/>
      <c r="AF122" s="1938"/>
      <c r="AG122" s="1938"/>
      <c r="AH122" s="1938"/>
      <c r="AI122" s="1938"/>
      <c r="AJ122" s="1938"/>
      <c r="AK122" s="1938"/>
      <c r="AL122" s="1938"/>
    </row>
    <row r="123" spans="2:38" s="1935" customFormat="1">
      <c r="B123" s="2059" t="s">
        <v>1283</v>
      </c>
      <c r="C123" s="2059"/>
      <c r="D123" s="1936">
        <f>D122/D101*1000</f>
        <v>1484.7033567740018</v>
      </c>
      <c r="E123" s="1936">
        <f t="shared" ref="E123:I123" si="87">E122/E101*1000</f>
        <v>1762.8344388772111</v>
      </c>
      <c r="F123" s="1936">
        <f t="shared" si="87"/>
        <v>1148.978589954997</v>
      </c>
      <c r="G123" s="1936">
        <f t="shared" si="87"/>
        <v>1545.69713479291</v>
      </c>
      <c r="H123" s="1936">
        <f t="shared" si="87"/>
        <v>1308.9121889334087</v>
      </c>
      <c r="I123" s="1936">
        <f t="shared" si="87"/>
        <v>1186.248462699142</v>
      </c>
      <c r="J123" s="1936">
        <f t="shared" ref="J123" si="88">J122/J101*1000</f>
        <v>3883.6050468192516</v>
      </c>
      <c r="K123" s="1936">
        <f t="shared" ref="K123" si="89">K122/K101*1000</f>
        <v>3842.5422274027665</v>
      </c>
      <c r="L123" s="1936">
        <f t="shared" ref="L123" si="90">L122/L101*1000</f>
        <v>3715.432403358715</v>
      </c>
      <c r="M123" s="1936">
        <f t="shared" ref="M123" si="91">M122/M101*1000</f>
        <v>3694.4268453220729</v>
      </c>
      <c r="N123" s="1936">
        <f t="shared" ref="N123" si="92">N122/N101*1000</f>
        <v>4085.9052820447123</v>
      </c>
      <c r="O123" s="1936">
        <f t="shared" ref="O123" si="93">O122/O101*1000</f>
        <v>4021.1701006509779</v>
      </c>
      <c r="P123" s="1936">
        <f t="shared" ref="P123" si="94">P122/P101*1000</f>
        <v>4203.3627964004054</v>
      </c>
      <c r="Q123" s="1936">
        <f t="shared" ref="Q123" si="95">Q122/Q101*1000</f>
        <v>4117.0569495850959</v>
      </c>
      <c r="R123" s="1936">
        <f t="shared" ref="R123" si="96">R122/R101*1000</f>
        <v>4244.0686007165132</v>
      </c>
      <c r="S123" s="1936">
        <f t="shared" ref="S123" si="97">S122/S101*1000</f>
        <v>4152.451925666539</v>
      </c>
      <c r="T123" s="2012"/>
      <c r="U123" s="2012"/>
      <c r="V123" s="2012"/>
      <c r="AA123" s="1938"/>
      <c r="AB123" s="1938"/>
      <c r="AC123" s="2051"/>
      <c r="AD123" s="1938"/>
      <c r="AE123" s="1938"/>
      <c r="AF123" s="1938"/>
      <c r="AG123" s="1938"/>
      <c r="AH123" s="1938"/>
      <c r="AI123" s="1938"/>
      <c r="AJ123" s="1938"/>
      <c r="AK123" s="1938"/>
      <c r="AL123" s="1938"/>
    </row>
    <row r="124" spans="2:38" s="1935" customFormat="1">
      <c r="B124" s="2061"/>
      <c r="C124" s="2061"/>
      <c r="D124" s="1936"/>
      <c r="E124" s="2058"/>
      <c r="F124" s="2058"/>
      <c r="G124" s="2058"/>
      <c r="H124" s="2062"/>
      <c r="I124" s="2282"/>
      <c r="J124" s="2063"/>
      <c r="K124" s="2063"/>
      <c r="L124" s="2063"/>
      <c r="M124" s="2063"/>
      <c r="N124" s="2063"/>
      <c r="O124" s="2063"/>
      <c r="P124" s="2063"/>
      <c r="Q124" s="2063"/>
      <c r="R124" s="2063"/>
      <c r="S124" s="2063"/>
      <c r="T124" s="2063"/>
      <c r="U124" s="2063"/>
      <c r="V124" s="2063"/>
      <c r="AA124" s="1938"/>
      <c r="AB124" s="1938"/>
      <c r="AC124" s="2051"/>
      <c r="AD124" s="1938"/>
      <c r="AE124" s="1938"/>
      <c r="AF124" s="1938"/>
      <c r="AG124" s="1938"/>
      <c r="AH124" s="1938"/>
      <c r="AI124" s="1938"/>
      <c r="AJ124" s="1938"/>
      <c r="AK124" s="1938"/>
      <c r="AL124" s="1938"/>
    </row>
    <row r="125" spans="2:38" s="2663" customFormat="1">
      <c r="B125" s="2663" t="s">
        <v>1284</v>
      </c>
      <c r="D125" s="2664">
        <v>65</v>
      </c>
      <c r="E125" s="2664">
        <v>41.69</v>
      </c>
      <c r="F125" s="2664">
        <v>70.89</v>
      </c>
      <c r="G125" s="2664">
        <v>107.37</v>
      </c>
      <c r="H125" s="2664">
        <v>97.24</v>
      </c>
      <c r="I125" s="2664">
        <v>85</v>
      </c>
      <c r="J125" s="2664">
        <f>68+1</f>
        <v>69</v>
      </c>
      <c r="K125" s="2664">
        <f>J125*0.95+1</f>
        <v>66.55</v>
      </c>
      <c r="L125" s="2664">
        <f>K125*0.95+1</f>
        <v>64.222499999999997</v>
      </c>
      <c r="M125" s="2664">
        <f>L125*0.95+1</f>
        <v>62.011374999999994</v>
      </c>
      <c r="N125" s="2664">
        <f>65+1</f>
        <v>66</v>
      </c>
      <c r="O125" s="2664">
        <f>N125*1.02+1</f>
        <v>68.320000000000007</v>
      </c>
      <c r="P125" s="2664">
        <f>O125*1.02+1</f>
        <v>70.686400000000006</v>
      </c>
      <c r="Q125" s="2664">
        <f>P125*1.02+1</f>
        <v>73.100128000000012</v>
      </c>
      <c r="R125" s="2664">
        <f>Q125*1.02+1</f>
        <v>75.562130560000014</v>
      </c>
      <c r="S125" s="2664">
        <f>R125*1.015</f>
        <v>76.69556251840001</v>
      </c>
      <c r="AC125" s="2665"/>
    </row>
    <row r="126" spans="2:38" s="1935" customFormat="1">
      <c r="B126" s="1935" t="s">
        <v>1285</v>
      </c>
      <c r="D126" s="1936">
        <v>362</v>
      </c>
      <c r="E126" s="1936">
        <f>$D$126*E125/$D$125</f>
        <v>232.18123076923075</v>
      </c>
      <c r="F126" s="1936">
        <f t="shared" ref="F126:I126" si="98">$D$126*F125/$D$125</f>
        <v>394.80276923076923</v>
      </c>
      <c r="G126" s="1936">
        <f t="shared" si="98"/>
        <v>597.96830769230769</v>
      </c>
      <c r="H126" s="1936">
        <f t="shared" si="98"/>
        <v>541.55199999999991</v>
      </c>
      <c r="I126" s="1936">
        <f t="shared" si="98"/>
        <v>473.38461538461536</v>
      </c>
      <c r="J126" s="1936">
        <v>415</v>
      </c>
      <c r="K126" s="1936">
        <f>$J$126*K125/$J$125</f>
        <v>400.26449275362319</v>
      </c>
      <c r="L126" s="1936">
        <f t="shared" ref="L126:S126" si="99">$J$126*L125/$J$125</f>
        <v>386.26576086956521</v>
      </c>
      <c r="M126" s="1936">
        <f t="shared" si="99"/>
        <v>372.96696557971012</v>
      </c>
      <c r="N126" s="1936">
        <f t="shared" si="99"/>
        <v>396.95652173913044</v>
      </c>
      <c r="O126" s="1936">
        <f t="shared" si="99"/>
        <v>410.91014492753629</v>
      </c>
      <c r="P126" s="1936">
        <f t="shared" si="99"/>
        <v>425.1428405797102</v>
      </c>
      <c r="Q126" s="1936">
        <f t="shared" si="99"/>
        <v>439.66019014492758</v>
      </c>
      <c r="R126" s="1936">
        <f t="shared" si="99"/>
        <v>454.46788670144934</v>
      </c>
      <c r="S126" s="1936">
        <f t="shared" si="99"/>
        <v>461.28490500197108</v>
      </c>
      <c r="T126" s="1936"/>
      <c r="U126" s="1936"/>
      <c r="V126" s="1936"/>
      <c r="AA126" s="1982"/>
      <c r="AB126" s="1911"/>
      <c r="AC126" s="1911"/>
      <c r="AD126" s="1911"/>
      <c r="AE126" s="1911"/>
      <c r="AF126" s="1938"/>
      <c r="AG126" s="1938"/>
      <c r="AH126" s="1938"/>
      <c r="AI126" s="1938"/>
      <c r="AJ126" s="1938"/>
      <c r="AK126" s="1938"/>
      <c r="AL126" s="1938"/>
    </row>
    <row r="127" spans="2:38" s="1935" customFormat="1">
      <c r="B127" s="1935" t="s">
        <v>1286</v>
      </c>
      <c r="D127" s="2069">
        <f>D126/42.1</f>
        <v>8.5985748218527309</v>
      </c>
      <c r="E127" s="2069">
        <f t="shared" ref="E127:O127" si="100">E126/42.1</f>
        <v>5.5149936049698516</v>
      </c>
      <c r="F127" s="2069">
        <f t="shared" si="100"/>
        <v>9.3777379864790795</v>
      </c>
      <c r="G127" s="2069">
        <f t="shared" si="100"/>
        <v>14.203522748035812</v>
      </c>
      <c r="H127" s="2069">
        <f t="shared" si="100"/>
        <v>12.863467933491684</v>
      </c>
      <c r="I127" s="2069">
        <f t="shared" si="100"/>
        <v>11.244290151653571</v>
      </c>
      <c r="J127" s="2069">
        <f t="shared" si="100"/>
        <v>9.8574821852731596</v>
      </c>
      <c r="K127" s="2069">
        <f t="shared" si="100"/>
        <v>9.5074701366656331</v>
      </c>
      <c r="L127" s="2069">
        <f t="shared" si="100"/>
        <v>9.1749586904884843</v>
      </c>
      <c r="M127" s="2069">
        <f t="shared" si="100"/>
        <v>8.8590728166201931</v>
      </c>
      <c r="N127" s="2069">
        <f t="shared" si="100"/>
        <v>9.4288960033047609</v>
      </c>
      <c r="O127" s="2069">
        <f t="shared" si="100"/>
        <v>9.7603359840269892</v>
      </c>
      <c r="P127" s="2069">
        <f t="shared" ref="P127" si="101">P126/42.1</f>
        <v>10.098404764363663</v>
      </c>
      <c r="Q127" s="2069">
        <f t="shared" ref="Q127" si="102">Q126/42.1</f>
        <v>10.443234920307068</v>
      </c>
      <c r="R127" s="2069">
        <f t="shared" ref="R127" si="103">R126/42.1</f>
        <v>10.794961679369342</v>
      </c>
      <c r="S127" s="2069">
        <f t="shared" ref="S127" si="104">S126/42.1</f>
        <v>10.956886104559883</v>
      </c>
      <c r="T127" s="2065"/>
      <c r="U127" s="2065"/>
      <c r="V127" s="2065"/>
      <c r="X127" s="1911"/>
      <c r="Y127" s="1911"/>
      <c r="Z127" s="1911"/>
      <c r="AA127" s="1911"/>
      <c r="AB127" s="1911"/>
      <c r="AC127" s="1911"/>
      <c r="AD127" s="1911"/>
      <c r="AE127" s="1911"/>
      <c r="AF127" s="1938"/>
      <c r="AG127" s="1938"/>
      <c r="AH127" s="1938"/>
      <c r="AI127" s="1938"/>
      <c r="AJ127" s="1938"/>
      <c r="AK127" s="1938"/>
      <c r="AL127" s="1938"/>
    </row>
    <row r="128" spans="2:38" s="1935" customFormat="1">
      <c r="B128" s="2066" t="s">
        <v>1287</v>
      </c>
      <c r="C128" s="2066"/>
      <c r="D128" s="2069">
        <v>1.43</v>
      </c>
      <c r="E128" s="2069">
        <v>1.74</v>
      </c>
      <c r="F128" s="2069">
        <v>1.9</v>
      </c>
      <c r="G128" s="2069">
        <v>1.9379999999999999</v>
      </c>
      <c r="H128" s="2069">
        <v>1.9767600000000001</v>
      </c>
      <c r="I128" s="2069">
        <v>2.0162952000000001</v>
      </c>
      <c r="J128" s="2069">
        <v>2.056621104</v>
      </c>
      <c r="K128" s="2069">
        <f>J128</f>
        <v>2.056621104</v>
      </c>
      <c r="L128" s="2069">
        <f t="shared" ref="L128:S128" si="105">K128</f>
        <v>2.056621104</v>
      </c>
      <c r="M128" s="2069">
        <f t="shared" si="105"/>
        <v>2.056621104</v>
      </c>
      <c r="N128" s="2069">
        <f t="shared" si="105"/>
        <v>2.056621104</v>
      </c>
      <c r="O128" s="2069">
        <f t="shared" si="105"/>
        <v>2.056621104</v>
      </c>
      <c r="P128" s="2069">
        <f t="shared" si="105"/>
        <v>2.056621104</v>
      </c>
      <c r="Q128" s="2069">
        <f t="shared" si="105"/>
        <v>2.056621104</v>
      </c>
      <c r="R128" s="2069">
        <f t="shared" si="105"/>
        <v>2.056621104</v>
      </c>
      <c r="S128" s="2069">
        <f t="shared" si="105"/>
        <v>2.056621104</v>
      </c>
      <c r="T128" s="2068"/>
      <c r="U128" s="2068"/>
      <c r="V128" s="2068"/>
      <c r="X128" s="1911"/>
      <c r="Y128" s="1911"/>
      <c r="Z128" s="1911"/>
      <c r="AA128" s="1911"/>
      <c r="AB128" s="1911"/>
      <c r="AC128" s="1911"/>
      <c r="AD128" s="1911"/>
      <c r="AE128" s="1911"/>
      <c r="AF128" s="1938"/>
      <c r="AG128" s="1938"/>
      <c r="AH128" s="1938"/>
      <c r="AI128" s="1938"/>
      <c r="AJ128" s="1938"/>
      <c r="AK128" s="1938"/>
      <c r="AL128" s="1938"/>
    </row>
    <row r="129" spans="2:38" s="1935" customFormat="1">
      <c r="B129" s="1935" t="s">
        <v>1288</v>
      </c>
      <c r="D129" s="2065">
        <f>0.127*D125</f>
        <v>8.2550000000000008</v>
      </c>
      <c r="E129" s="2065">
        <f t="shared" ref="E129:K129" si="106">0.127*E125</f>
        <v>5.2946299999999997</v>
      </c>
      <c r="F129" s="2065">
        <f t="shared" si="106"/>
        <v>9.0030300000000008</v>
      </c>
      <c r="G129" s="2065">
        <f t="shared" si="106"/>
        <v>13.635990000000001</v>
      </c>
      <c r="H129" s="2065">
        <f t="shared" si="106"/>
        <v>12.34948</v>
      </c>
      <c r="I129" s="2065">
        <f t="shared" si="106"/>
        <v>10.795</v>
      </c>
      <c r="J129" s="2065">
        <f t="shared" si="106"/>
        <v>8.7629999999999999</v>
      </c>
      <c r="K129" s="2065">
        <f t="shared" si="106"/>
        <v>8.4518500000000003</v>
      </c>
      <c r="L129" s="2065">
        <f>0.137*L125</f>
        <v>8.7984825000000004</v>
      </c>
      <c r="M129" s="2065">
        <f t="shared" ref="M129:S129" si="107">0.137*M125</f>
        <v>8.4955583749999999</v>
      </c>
      <c r="N129" s="2065">
        <f t="shared" si="107"/>
        <v>9.0420000000000016</v>
      </c>
      <c r="O129" s="2065">
        <f t="shared" si="107"/>
        <v>9.3598400000000019</v>
      </c>
      <c r="P129" s="2065">
        <f t="shared" si="107"/>
        <v>9.6840368000000012</v>
      </c>
      <c r="Q129" s="2065">
        <f t="shared" si="107"/>
        <v>10.014717536000003</v>
      </c>
      <c r="R129" s="2065">
        <f t="shared" si="107"/>
        <v>10.352011886720003</v>
      </c>
      <c r="S129" s="2065">
        <f t="shared" si="107"/>
        <v>10.507292065020803</v>
      </c>
      <c r="T129" s="2067"/>
      <c r="U129" s="2067"/>
      <c r="V129" s="2067"/>
      <c r="X129" s="1911"/>
      <c r="Y129" s="1911"/>
      <c r="Z129" s="1911"/>
      <c r="AA129" s="1911"/>
      <c r="AB129" s="1911"/>
      <c r="AC129" s="1911"/>
      <c r="AD129" s="1911"/>
      <c r="AE129" s="1911"/>
      <c r="AF129" s="1938"/>
      <c r="AG129" s="1938"/>
      <c r="AH129" s="1938"/>
      <c r="AI129" s="1938"/>
      <c r="AJ129" s="1938"/>
      <c r="AK129" s="1938"/>
      <c r="AL129" s="1938"/>
    </row>
    <row r="130" spans="2:38" s="1935" customFormat="1">
      <c r="B130" s="1935" t="s">
        <v>1289</v>
      </c>
      <c r="D130" s="2065">
        <f>0.46*D126</f>
        <v>166.52</v>
      </c>
      <c r="E130" s="2065">
        <f t="shared" ref="E130:S130" si="108">0.46*E126</f>
        <v>106.80336615384616</v>
      </c>
      <c r="F130" s="2065">
        <f t="shared" si="108"/>
        <v>181.60927384615385</v>
      </c>
      <c r="G130" s="2065">
        <f t="shared" si="108"/>
        <v>275.06542153846152</v>
      </c>
      <c r="H130" s="2065">
        <f t="shared" si="108"/>
        <v>249.11391999999998</v>
      </c>
      <c r="I130" s="2065">
        <f t="shared" si="108"/>
        <v>217.75692307692307</v>
      </c>
      <c r="J130" s="2065">
        <f t="shared" si="108"/>
        <v>190.9</v>
      </c>
      <c r="K130" s="2065">
        <f t="shared" si="108"/>
        <v>184.12166666666667</v>
      </c>
      <c r="L130" s="2065">
        <f t="shared" si="108"/>
        <v>177.68225000000001</v>
      </c>
      <c r="M130" s="2065">
        <f t="shared" si="108"/>
        <v>171.56480416666668</v>
      </c>
      <c r="N130" s="2065">
        <f t="shared" si="108"/>
        <v>182.60000000000002</v>
      </c>
      <c r="O130" s="2065">
        <f t="shared" si="108"/>
        <v>189.01866666666669</v>
      </c>
      <c r="P130" s="2065">
        <f t="shared" si="108"/>
        <v>195.5657066666667</v>
      </c>
      <c r="Q130" s="2065">
        <f t="shared" si="108"/>
        <v>202.2436874666667</v>
      </c>
      <c r="R130" s="2065">
        <f t="shared" si="108"/>
        <v>209.05522788266671</v>
      </c>
      <c r="S130" s="2065">
        <f t="shared" si="108"/>
        <v>212.19105630090669</v>
      </c>
      <c r="T130" s="2067"/>
      <c r="U130" s="2067"/>
      <c r="V130" s="2067"/>
      <c r="X130" s="1911"/>
      <c r="Y130" s="1911"/>
      <c r="Z130" s="1911"/>
      <c r="AA130" s="1911"/>
      <c r="AB130" s="1911"/>
      <c r="AC130" s="1911"/>
      <c r="AD130" s="1911"/>
      <c r="AE130" s="1911"/>
      <c r="AF130" s="1938"/>
      <c r="AG130" s="1938"/>
      <c r="AH130" s="1938"/>
      <c r="AI130" s="1938"/>
      <c r="AJ130" s="1938"/>
      <c r="AK130" s="1938"/>
      <c r="AL130" s="1938"/>
    </row>
    <row r="131" spans="2:38" s="1935" customFormat="1">
      <c r="B131" s="1935" t="s">
        <v>1290</v>
      </c>
      <c r="D131" s="2065">
        <f>1.09</f>
        <v>1.0900000000000001</v>
      </c>
      <c r="E131" s="2065">
        <f t="shared" ref="E131:S131" si="109">1.09</f>
        <v>1.0900000000000001</v>
      </c>
      <c r="F131" s="2065">
        <f t="shared" si="109"/>
        <v>1.0900000000000001</v>
      </c>
      <c r="G131" s="2065">
        <f t="shared" si="109"/>
        <v>1.0900000000000001</v>
      </c>
      <c r="H131" s="2065">
        <f t="shared" si="109"/>
        <v>1.0900000000000001</v>
      </c>
      <c r="I131" s="2065">
        <f t="shared" si="109"/>
        <v>1.0900000000000001</v>
      </c>
      <c r="J131" s="2065">
        <f t="shared" si="109"/>
        <v>1.0900000000000001</v>
      </c>
      <c r="K131" s="2065">
        <f t="shared" si="109"/>
        <v>1.0900000000000001</v>
      </c>
      <c r="L131" s="2065">
        <f t="shared" si="109"/>
        <v>1.0900000000000001</v>
      </c>
      <c r="M131" s="2065">
        <f t="shared" si="109"/>
        <v>1.0900000000000001</v>
      </c>
      <c r="N131" s="2065">
        <f t="shared" si="109"/>
        <v>1.0900000000000001</v>
      </c>
      <c r="O131" s="2065">
        <f t="shared" si="109"/>
        <v>1.0900000000000001</v>
      </c>
      <c r="P131" s="2065">
        <f t="shared" si="109"/>
        <v>1.0900000000000001</v>
      </c>
      <c r="Q131" s="2065">
        <f t="shared" si="109"/>
        <v>1.0900000000000001</v>
      </c>
      <c r="R131" s="2065">
        <f t="shared" si="109"/>
        <v>1.0900000000000001</v>
      </c>
      <c r="S131" s="2065">
        <f t="shared" si="109"/>
        <v>1.0900000000000001</v>
      </c>
      <c r="T131" s="2068"/>
      <c r="U131" s="2068"/>
      <c r="V131" s="2068"/>
      <c r="X131" s="1911"/>
      <c r="Y131" s="1911"/>
      <c r="Z131" s="1911"/>
      <c r="AA131" s="1911"/>
      <c r="AB131" s="1911"/>
      <c r="AC131" s="1911"/>
      <c r="AD131" s="1911"/>
      <c r="AE131" s="1911"/>
      <c r="AF131" s="1938"/>
      <c r="AG131" s="1938"/>
      <c r="AH131" s="1938"/>
      <c r="AI131" s="1938"/>
      <c r="AJ131" s="1938"/>
      <c r="AK131" s="1938"/>
      <c r="AL131" s="1938"/>
    </row>
    <row r="132" spans="2:38" s="1935" customFormat="1">
      <c r="B132" s="1935" t="s">
        <v>1291</v>
      </c>
      <c r="D132" s="2065">
        <f>0.1*D129+0.9*0.46*D127+D131</f>
        <v>5.475309976247031</v>
      </c>
      <c r="E132" s="2065">
        <f t="shared" ref="E132:S132" si="110">0.1*E129+0.9*0.46*E127+E131</f>
        <v>3.9026703524575188</v>
      </c>
      <c r="F132" s="2065">
        <f t="shared" si="110"/>
        <v>5.8726865264023393</v>
      </c>
      <c r="G132" s="2065">
        <f>0.15*G129+0.85*0.46*G127+G131</f>
        <v>8.6889758944820041</v>
      </c>
      <c r="H132" s="2065">
        <f>0.15*H129+0.85*0.46*H127+H131</f>
        <v>7.9720379619952482</v>
      </c>
      <c r="I132" s="2065">
        <f>0.15*I129+0.85*0.46*I127+I131</f>
        <v>7.1057674492965459</v>
      </c>
      <c r="J132" s="2065">
        <f t="shared" si="110"/>
        <v>6.0472976247030878</v>
      </c>
      <c r="K132" s="2065">
        <f t="shared" si="110"/>
        <v>5.8712776365795722</v>
      </c>
      <c r="L132" s="2065">
        <f t="shared" si="110"/>
        <v>5.7682811478622327</v>
      </c>
      <c r="M132" s="2065">
        <f t="shared" si="110"/>
        <v>5.6072119835807603</v>
      </c>
      <c r="N132" s="2065">
        <f t="shared" si="110"/>
        <v>5.8977629453681715</v>
      </c>
      <c r="O132" s="2065">
        <f t="shared" si="110"/>
        <v>6.0667630973871738</v>
      </c>
      <c r="P132" s="2065">
        <f t="shared" si="110"/>
        <v>6.2391432524465564</v>
      </c>
      <c r="Q132" s="2065">
        <f t="shared" si="110"/>
        <v>6.4149710106071272</v>
      </c>
      <c r="R132" s="2065">
        <f t="shared" si="110"/>
        <v>6.5943153239309087</v>
      </c>
      <c r="S132" s="2065">
        <f t="shared" si="110"/>
        <v>6.6768800537898727</v>
      </c>
      <c r="T132" s="2362"/>
      <c r="U132" s="2362"/>
      <c r="V132" s="2362"/>
      <c r="W132" s="2377"/>
      <c r="X132" s="2070"/>
      <c r="Y132" s="2070"/>
      <c r="Z132" s="2070"/>
      <c r="AA132" s="1911"/>
      <c r="AB132" s="1911"/>
      <c r="AC132" s="1911"/>
      <c r="AD132" s="1911"/>
      <c r="AE132" s="1911"/>
      <c r="AF132" s="1938"/>
      <c r="AG132" s="1938"/>
      <c r="AH132" s="1938"/>
      <c r="AI132" s="1938"/>
      <c r="AJ132" s="1938"/>
      <c r="AK132" s="1938"/>
      <c r="AL132" s="1938"/>
    </row>
    <row r="133" spans="2:38" s="2012" customFormat="1">
      <c r="B133" s="2012" t="s">
        <v>382</v>
      </c>
      <c r="D133" s="2071"/>
      <c r="E133" s="2383">
        <f>E132/D132-1</f>
        <v>-0.28722385227721015</v>
      </c>
      <c r="F133" s="2383">
        <f t="shared" ref="F133:S133" si="111">F132/E132-1</f>
        <v>0.50478672191831353</v>
      </c>
      <c r="G133" s="2383">
        <f t="shared" si="111"/>
        <v>0.47955724444310643</v>
      </c>
      <c r="H133" s="2383">
        <f t="shared" si="111"/>
        <v>-8.2511212045374926E-2</v>
      </c>
      <c r="I133" s="2383">
        <f t="shared" si="111"/>
        <v>-0.10866362112529271</v>
      </c>
      <c r="J133" s="2383">
        <f t="shared" si="111"/>
        <v>-0.14895925487939299</v>
      </c>
      <c r="K133" s="2383">
        <f t="shared" si="111"/>
        <v>-2.9107214337273146E-2</v>
      </c>
      <c r="L133" s="2383">
        <f t="shared" si="111"/>
        <v>-1.75424320041766E-2</v>
      </c>
      <c r="M133" s="2383">
        <f t="shared" si="111"/>
        <v>-2.7923251338254462E-2</v>
      </c>
      <c r="N133" s="2383">
        <f t="shared" si="111"/>
        <v>5.1817367104759482E-2</v>
      </c>
      <c r="O133" s="2383">
        <f t="shared" si="111"/>
        <v>2.8654958428216748E-2</v>
      </c>
      <c r="P133" s="2383">
        <f t="shared" si="111"/>
        <v>2.8413859630290084E-2</v>
      </c>
      <c r="Q133" s="2383">
        <f t="shared" si="111"/>
        <v>2.8181394631646484E-2</v>
      </c>
      <c r="R133" s="2383">
        <f t="shared" si="111"/>
        <v>2.7957151018646265E-2</v>
      </c>
      <c r="S133" s="2383">
        <f t="shared" si="111"/>
        <v>1.2520591722287699E-2</v>
      </c>
      <c r="T133" s="2378"/>
      <c r="U133" s="2378"/>
      <c r="V133" s="2378"/>
      <c r="W133" s="2379"/>
      <c r="X133" s="2073"/>
      <c r="Y133" s="2073"/>
      <c r="Z133" s="2073"/>
      <c r="AA133" s="1982"/>
      <c r="AB133" s="1911"/>
      <c r="AC133" s="1911"/>
      <c r="AD133" s="1911"/>
      <c r="AE133" s="1911"/>
    </row>
    <row r="134" spans="2:38" s="1935" customFormat="1">
      <c r="B134" s="1935" t="s">
        <v>1292</v>
      </c>
      <c r="D134" s="1939">
        <f>0.1</f>
        <v>0.1</v>
      </c>
      <c r="E134" s="1939">
        <f t="shared" ref="E134:S134" si="112">0.1</f>
        <v>0.1</v>
      </c>
      <c r="F134" s="1939">
        <f t="shared" si="112"/>
        <v>0.1</v>
      </c>
      <c r="G134" s="1939">
        <f t="shared" si="112"/>
        <v>0.1</v>
      </c>
      <c r="H134" s="1939">
        <f t="shared" si="112"/>
        <v>0.1</v>
      </c>
      <c r="I134" s="1939">
        <f t="shared" si="112"/>
        <v>0.1</v>
      </c>
      <c r="J134" s="1939">
        <f t="shared" si="112"/>
        <v>0.1</v>
      </c>
      <c r="K134" s="1939">
        <f t="shared" si="112"/>
        <v>0.1</v>
      </c>
      <c r="L134" s="1939">
        <f t="shared" si="112"/>
        <v>0.1</v>
      </c>
      <c r="M134" s="1939">
        <f t="shared" si="112"/>
        <v>0.1</v>
      </c>
      <c r="N134" s="1939">
        <f t="shared" si="112"/>
        <v>0.1</v>
      </c>
      <c r="O134" s="1939">
        <f t="shared" si="112"/>
        <v>0.1</v>
      </c>
      <c r="P134" s="1939">
        <f t="shared" si="112"/>
        <v>0.1</v>
      </c>
      <c r="Q134" s="1939">
        <f t="shared" si="112"/>
        <v>0.1</v>
      </c>
      <c r="R134" s="1939">
        <f t="shared" si="112"/>
        <v>0.1</v>
      </c>
      <c r="S134" s="1939">
        <f t="shared" si="112"/>
        <v>0.1</v>
      </c>
      <c r="T134" s="2380"/>
      <c r="U134" s="2380"/>
      <c r="V134" s="2380"/>
      <c r="W134" s="2380"/>
      <c r="X134" s="2074"/>
      <c r="Y134" s="2074"/>
      <c r="Z134" s="2074"/>
      <c r="AA134" s="2075"/>
      <c r="AB134" s="2058"/>
      <c r="AC134" s="1938"/>
      <c r="AD134" s="1938"/>
      <c r="AE134" s="1938"/>
      <c r="AF134" s="1938"/>
      <c r="AG134" s="1938"/>
      <c r="AH134" s="1938"/>
      <c r="AI134" s="1938"/>
      <c r="AJ134" s="1938"/>
      <c r="AK134" s="1938"/>
      <c r="AL134" s="1938"/>
    </row>
    <row r="135" spans="2:38" s="2663" customFormat="1">
      <c r="B135" s="2663" t="s">
        <v>1293</v>
      </c>
      <c r="D135" s="2664">
        <f>D103</f>
        <v>23110</v>
      </c>
      <c r="E135" s="2664">
        <f t="shared" ref="E135:S135" si="113">E103</f>
        <v>23225.55</v>
      </c>
      <c r="F135" s="2664">
        <f t="shared" si="113"/>
        <v>23225.55</v>
      </c>
      <c r="G135" s="2664">
        <f t="shared" si="113"/>
        <v>23341.677749999995</v>
      </c>
      <c r="H135" s="2664">
        <f t="shared" si="113"/>
        <v>23866.38613875</v>
      </c>
      <c r="I135" s="2664">
        <f t="shared" si="113"/>
        <v>24940.373514993749</v>
      </c>
      <c r="J135" s="2664">
        <f t="shared" si="113"/>
        <v>26382.5</v>
      </c>
      <c r="K135" s="2664">
        <f t="shared" si="113"/>
        <v>27173.975000000002</v>
      </c>
      <c r="L135" s="2664">
        <f t="shared" si="113"/>
        <v>27717.454500000003</v>
      </c>
      <c r="M135" s="2664">
        <f t="shared" si="113"/>
        <v>28271.803590000003</v>
      </c>
      <c r="N135" s="2664">
        <f t="shared" si="113"/>
        <v>28837.239661800002</v>
      </c>
      <c r="O135" s="2664">
        <f t="shared" si="113"/>
        <v>28548.867265182002</v>
      </c>
      <c r="P135" s="2664">
        <f t="shared" si="113"/>
        <v>28263.378592530182</v>
      </c>
      <c r="Q135" s="2664">
        <f t="shared" si="113"/>
        <v>27980.744806604878</v>
      </c>
      <c r="R135" s="2664">
        <f t="shared" si="113"/>
        <v>27700.937358538828</v>
      </c>
      <c r="S135" s="2664">
        <f t="shared" si="113"/>
        <v>27423.92798495344</v>
      </c>
      <c r="X135" s="2692"/>
      <c r="Y135" s="2692"/>
      <c r="Z135" s="2692"/>
    </row>
    <row r="136" spans="2:38" s="2042" customFormat="1">
      <c r="B136" s="2042" t="s">
        <v>1294</v>
      </c>
      <c r="E136" s="2318">
        <f>E135/D135-1</f>
        <v>4.9999999999998934E-3</v>
      </c>
      <c r="F136" s="2318">
        <f t="shared" ref="F136:S136" si="114">F135/E135-1</f>
        <v>0</v>
      </c>
      <c r="G136" s="2318">
        <f t="shared" si="114"/>
        <v>4.9999999999998934E-3</v>
      </c>
      <c r="H136" s="2318">
        <f t="shared" si="114"/>
        <v>2.2479463317498949E-2</v>
      </c>
      <c r="I136" s="2318">
        <f t="shared" si="114"/>
        <v>4.4999999999999929E-2</v>
      </c>
      <c r="J136" s="2318">
        <f t="shared" si="114"/>
        <v>5.7822970619877401E-2</v>
      </c>
      <c r="K136" s="2318">
        <f t="shared" si="114"/>
        <v>3.0000000000000027E-2</v>
      </c>
      <c r="L136" s="2318">
        <f t="shared" si="114"/>
        <v>2.0000000000000018E-2</v>
      </c>
      <c r="M136" s="2318">
        <f t="shared" si="114"/>
        <v>2.0000000000000018E-2</v>
      </c>
      <c r="N136" s="2318">
        <f t="shared" si="114"/>
        <v>2.0000000000000018E-2</v>
      </c>
      <c r="O136" s="2318">
        <f t="shared" si="114"/>
        <v>-1.0000000000000009E-2</v>
      </c>
      <c r="P136" s="2318">
        <f t="shared" si="114"/>
        <v>-1.0000000000000009E-2</v>
      </c>
      <c r="Q136" s="2318">
        <f t="shared" si="114"/>
        <v>-1.0000000000000009E-2</v>
      </c>
      <c r="R136" s="2318">
        <f t="shared" si="114"/>
        <v>-1.000000000000012E-2</v>
      </c>
      <c r="S136" s="2318">
        <f t="shared" si="114"/>
        <v>-1.0000000000000009E-2</v>
      </c>
      <c r="T136" s="2381"/>
      <c r="U136" s="2381"/>
      <c r="V136" s="2381"/>
      <c r="W136" s="2382"/>
      <c r="X136" s="2076"/>
      <c r="Y136" s="2076"/>
      <c r="Z136" s="2076"/>
      <c r="AA136" s="2045"/>
      <c r="AB136" s="2045"/>
      <c r="AC136" s="2077"/>
      <c r="AD136" s="2045"/>
      <c r="AE136" s="2045"/>
      <c r="AF136" s="2045"/>
      <c r="AG136" s="2045"/>
      <c r="AH136" s="2045"/>
      <c r="AI136" s="2045"/>
      <c r="AJ136" s="2045"/>
      <c r="AK136" s="2045"/>
      <c r="AL136" s="2045"/>
    </row>
    <row r="137" spans="2:38" s="1935" customFormat="1">
      <c r="B137" s="1952"/>
      <c r="C137" s="1952"/>
      <c r="D137" s="1936"/>
      <c r="E137" s="1936"/>
      <c r="F137" s="1936"/>
      <c r="G137" s="1936"/>
      <c r="H137" s="1936"/>
      <c r="I137" s="2247"/>
      <c r="M137" s="2065"/>
      <c r="N137" s="2065"/>
      <c r="O137" s="2065"/>
      <c r="Q137" s="1911"/>
      <c r="R137" s="1911"/>
      <c r="S137" s="1911"/>
      <c r="T137" s="1911"/>
      <c r="U137" s="1911"/>
      <c r="V137" s="1911"/>
      <c r="W137" s="1911"/>
      <c r="X137" s="1911"/>
      <c r="Y137" s="1911"/>
      <c r="Z137" s="1911"/>
      <c r="AA137" s="1938"/>
      <c r="AB137" s="1938"/>
      <c r="AC137" s="2051"/>
      <c r="AD137" s="1938"/>
      <c r="AE137" s="1938"/>
      <c r="AF137" s="1938"/>
      <c r="AG137" s="1938"/>
      <c r="AH137" s="1938"/>
      <c r="AI137" s="1938"/>
      <c r="AJ137" s="1938"/>
      <c r="AK137" s="1938"/>
      <c r="AL137" s="1938"/>
    </row>
    <row r="138" spans="2:38" s="1935" customFormat="1" ht="26.4" customHeight="1" thickBot="1">
      <c r="B138" s="2551" t="s">
        <v>1469</v>
      </c>
      <c r="C138" s="2551"/>
      <c r="D138" s="2552">
        <v>1</v>
      </c>
      <c r="E138" s="2552">
        <f>D138</f>
        <v>1</v>
      </c>
      <c r="F138" s="2552">
        <f t="shared" ref="F138:I138" si="115">E138</f>
        <v>1</v>
      </c>
      <c r="G138" s="2552">
        <f t="shared" si="115"/>
        <v>1</v>
      </c>
      <c r="H138" s="2552">
        <f t="shared" si="115"/>
        <v>1</v>
      </c>
      <c r="I138" s="2552">
        <f t="shared" si="115"/>
        <v>1</v>
      </c>
      <c r="J138" s="2552">
        <v>1.05</v>
      </c>
      <c r="K138" s="2552">
        <v>1.05</v>
      </c>
      <c r="L138" s="2552">
        <v>1.05</v>
      </c>
      <c r="M138" s="2552">
        <v>1.05</v>
      </c>
      <c r="N138" s="2552">
        <v>1.05</v>
      </c>
      <c r="O138" s="2552">
        <v>1.05</v>
      </c>
      <c r="P138" s="2552">
        <v>1.04</v>
      </c>
      <c r="Q138" s="2553">
        <v>1.0349999999999999</v>
      </c>
      <c r="R138" s="2553">
        <v>1.0249999999999999</v>
      </c>
      <c r="S138" s="2553">
        <v>1.0249999999999999</v>
      </c>
      <c r="T138" s="2705" t="s">
        <v>1486</v>
      </c>
      <c r="U138" s="2706"/>
      <c r="V138" s="2706"/>
      <c r="W138" s="2706"/>
      <c r="X138" s="2706"/>
      <c r="Y138" s="1911"/>
      <c r="Z138" s="1911"/>
      <c r="AA138" s="1938"/>
      <c r="AB138" s="1938"/>
      <c r="AC138" s="2051"/>
      <c r="AD138" s="1938"/>
      <c r="AE138" s="1938"/>
      <c r="AF138" s="1938"/>
      <c r="AG138" s="1938"/>
      <c r="AH138" s="1938"/>
      <c r="AI138" s="1938"/>
      <c r="AJ138" s="1938"/>
      <c r="AK138" s="1938"/>
      <c r="AL138" s="1938"/>
    </row>
    <row r="139" spans="2:38" s="1935" customFormat="1">
      <c r="B139" s="2078" t="s">
        <v>1295</v>
      </c>
      <c r="C139" s="2344"/>
      <c r="D139" s="2053">
        <f>(D116*10^9)/(D101*1000*1000)</f>
        <v>3105.0296014458763</v>
      </c>
      <c r="E139" s="2053">
        <f t="shared" ref="E139:I139" si="116">(E116*10^9)/(E101*1000*1000)</f>
        <v>2124.0138956833903</v>
      </c>
      <c r="F139" s="2053">
        <f t="shared" si="116"/>
        <v>3230.8307981901526</v>
      </c>
      <c r="G139" s="2053">
        <f t="shared" si="116"/>
        <v>4335.8316537000046</v>
      </c>
      <c r="H139" s="2053">
        <f t="shared" si="116"/>
        <v>4902.6210424404935</v>
      </c>
      <c r="I139" s="2053">
        <f t="shared" si="116"/>
        <v>3675.9902847674443</v>
      </c>
      <c r="J139" s="2053">
        <f t="shared" ref="J139:S139" si="117">J140*J135*J132*(1+J134)*J138</f>
        <v>3896.1618783497056</v>
      </c>
      <c r="K139" s="2053">
        <f t="shared" si="117"/>
        <v>3860.4686156162111</v>
      </c>
      <c r="L139" s="2053">
        <f t="shared" si="117"/>
        <v>3857.7256738081187</v>
      </c>
      <c r="M139" s="2053">
        <f t="shared" si="117"/>
        <v>3805.378532334129</v>
      </c>
      <c r="N139" s="2053">
        <f t="shared" si="117"/>
        <v>4126.7665415439469</v>
      </c>
      <c r="O139" s="2053">
        <f t="shared" si="117"/>
        <v>4121.9873723122009</v>
      </c>
      <c r="P139" s="2053">
        <f t="shared" si="117"/>
        <v>4215.5373085483852</v>
      </c>
      <c r="Q139" s="2053">
        <f t="shared" si="117"/>
        <v>4261.9569371129201</v>
      </c>
      <c r="R139" s="2053">
        <f t="shared" si="117"/>
        <v>4292.1697872511277</v>
      </c>
      <c r="S139" s="2053">
        <f t="shared" si="117"/>
        <v>4300.7097377482532</v>
      </c>
      <c r="T139" s="2054"/>
      <c r="U139" s="2054"/>
      <c r="V139" s="2079"/>
      <c r="W139" s="1911"/>
      <c r="X139" s="1911"/>
      <c r="Y139" s="1911"/>
      <c r="Z139" s="1911"/>
      <c r="AA139" s="1938"/>
      <c r="AB139" s="1938"/>
      <c r="AC139" s="2051"/>
      <c r="AD139" s="1938"/>
      <c r="AE139" s="1938"/>
      <c r="AF139" s="1938"/>
      <c r="AG139" s="1938"/>
      <c r="AH139" s="1938"/>
      <c r="AI139" s="1938"/>
      <c r="AJ139" s="1938"/>
      <c r="AK139" s="1938"/>
      <c r="AL139" s="1938"/>
    </row>
    <row r="140" spans="2:38" s="1935" customFormat="1" ht="13.8" thickBot="1">
      <c r="B140" s="2080" t="s">
        <v>1296</v>
      </c>
      <c r="C140" s="2345"/>
      <c r="D140" s="2390">
        <f>D139/(D132*D135)/(1+D134)</f>
        <v>2.2308193509691814E-2</v>
      </c>
      <c r="E140" s="2390">
        <f t="shared" ref="E140:I140" si="118">E139/(E132*E135)/(1+E134)</f>
        <v>2.1302805003980581E-2</v>
      </c>
      <c r="F140" s="2390">
        <f t="shared" si="118"/>
        <v>2.1533702175479705E-2</v>
      </c>
      <c r="G140" s="2390">
        <f t="shared" si="118"/>
        <v>1.9434754772638282E-2</v>
      </c>
      <c r="H140" s="2390">
        <f t="shared" si="118"/>
        <v>2.3425001036723063E-2</v>
      </c>
      <c r="I140" s="2390">
        <f t="shared" si="118"/>
        <v>1.8856788336253771E-2</v>
      </c>
      <c r="J140" s="2391">
        <f>AVERAGE(D140:I140)</f>
        <v>2.1143540805794534E-2</v>
      </c>
      <c r="K140" s="2391">
        <f t="shared" ref="K140:S140" si="119">AVERAGE(E140:J140)</f>
        <v>2.0949432021811657E-2</v>
      </c>
      <c r="L140" s="2391">
        <f t="shared" si="119"/>
        <v>2.0890536524783506E-2</v>
      </c>
      <c r="M140" s="2391">
        <f t="shared" si="119"/>
        <v>2.0783342249667467E-2</v>
      </c>
      <c r="N140" s="2391">
        <f t="shared" si="119"/>
        <v>2.100810682917233E-2</v>
      </c>
      <c r="O140" s="2391">
        <f t="shared" si="119"/>
        <v>2.0605291127913875E-2</v>
      </c>
      <c r="P140" s="2391">
        <f t="shared" si="119"/>
        <v>2.0896708259857229E-2</v>
      </c>
      <c r="Q140" s="2391">
        <f t="shared" si="119"/>
        <v>2.0855569502201007E-2</v>
      </c>
      <c r="R140" s="2391">
        <f t="shared" si="119"/>
        <v>2.0839925748932567E-2</v>
      </c>
      <c r="S140" s="2391">
        <f t="shared" si="119"/>
        <v>2.0831490619624079E-2</v>
      </c>
      <c r="T140" s="2081"/>
      <c r="U140" s="2081"/>
      <c r="V140" s="2082"/>
      <c r="W140" s="1911"/>
      <c r="X140" s="1911"/>
      <c r="Y140" s="1911"/>
      <c r="Z140" s="1911"/>
      <c r="AA140" s="1938"/>
      <c r="AB140" s="1938"/>
      <c r="AC140" s="2051"/>
      <c r="AD140" s="1938"/>
      <c r="AE140" s="1938"/>
      <c r="AF140" s="1938"/>
      <c r="AG140" s="1938"/>
      <c r="AH140" s="1938"/>
      <c r="AI140" s="1938"/>
      <c r="AJ140" s="1938"/>
      <c r="AK140" s="1938"/>
      <c r="AL140" s="1938"/>
    </row>
    <row r="141" spans="2:38" s="1935" customFormat="1">
      <c r="B141" s="1952"/>
      <c r="C141" s="1952"/>
      <c r="D141" s="1936"/>
      <c r="E141" s="1936"/>
      <c r="F141" s="1936"/>
      <c r="G141" s="1936"/>
      <c r="H141" s="1936"/>
      <c r="I141" s="2247"/>
      <c r="Q141" s="1911"/>
      <c r="R141" s="1911"/>
      <c r="S141" s="1911"/>
      <c r="T141" s="1911"/>
      <c r="U141" s="1911"/>
      <c r="V141" s="1911"/>
      <c r="W141" s="1911"/>
      <c r="X141" s="1911"/>
      <c r="Y141" s="1911"/>
      <c r="Z141" s="1911"/>
      <c r="AA141" s="1938"/>
      <c r="AB141" s="1938"/>
      <c r="AC141" s="2051"/>
      <c r="AD141" s="1938"/>
      <c r="AE141" s="1938"/>
      <c r="AF141" s="1938"/>
      <c r="AG141" s="1938"/>
      <c r="AH141" s="1938"/>
      <c r="AI141" s="1938"/>
      <c r="AJ141" s="1938"/>
      <c r="AK141" s="1938"/>
      <c r="AL141" s="1938"/>
    </row>
    <row r="142" spans="2:38" s="2028" customFormat="1">
      <c r="B142" s="2028" t="s">
        <v>323</v>
      </c>
      <c r="D142" s="2028">
        <f>D112-D115</f>
        <v>739.05270989663404</v>
      </c>
      <c r="E142" s="2028">
        <f t="shared" ref="E142:S142" si="120">E112-E115</f>
        <v>1082.3253572089488</v>
      </c>
      <c r="F142" s="2028">
        <f t="shared" si="120"/>
        <v>2336.7207312452547</v>
      </c>
      <c r="G142" s="2028">
        <f t="shared" si="120"/>
        <v>5402.7500717253561</v>
      </c>
      <c r="H142" s="2028">
        <f t="shared" si="120"/>
        <v>1634.7341183240187</v>
      </c>
      <c r="I142" s="2028">
        <f t="shared" si="120"/>
        <v>1933.7632447237274</v>
      </c>
      <c r="J142" s="2028">
        <f t="shared" si="120"/>
        <v>2720.141896423248</v>
      </c>
      <c r="K142" s="2028">
        <f t="shared" si="120"/>
        <v>3107.0497967310102</v>
      </c>
      <c r="L142" s="2028">
        <f t="shared" si="120"/>
        <v>3179.9489319060849</v>
      </c>
      <c r="M142" s="2028">
        <f t="shared" si="120"/>
        <v>4350.6039018792944</v>
      </c>
      <c r="N142" s="2028">
        <f t="shared" si="120"/>
        <v>3661.7563409146787</v>
      </c>
      <c r="O142" s="2028">
        <f t="shared" si="120"/>
        <v>3190.1870333249726</v>
      </c>
      <c r="P142" s="2028">
        <f t="shared" si="120"/>
        <v>3029.94384553906</v>
      </c>
      <c r="Q142" s="2028">
        <f t="shared" si="120"/>
        <v>3168.6257862938546</v>
      </c>
      <c r="R142" s="2028">
        <f t="shared" si="120"/>
        <v>3523.9669747992193</v>
      </c>
      <c r="S142" s="2028">
        <f t="shared" si="120"/>
        <v>3087.7715971601456</v>
      </c>
      <c r="W142" s="2002"/>
      <c r="X142" s="2002"/>
      <c r="Y142" s="2002"/>
      <c r="Z142" s="2002"/>
      <c r="AA142" s="1951"/>
      <c r="AB142" s="1951"/>
      <c r="AC142" s="1951"/>
      <c r="AD142" s="1951"/>
      <c r="AE142" s="1951"/>
      <c r="AF142" s="1951"/>
      <c r="AG142" s="1951"/>
      <c r="AH142" s="1951"/>
      <c r="AI142" s="1951"/>
      <c r="AJ142" s="1951"/>
      <c r="AK142" s="1951"/>
      <c r="AL142" s="1951"/>
    </row>
    <row r="143" spans="2:38" s="2400" customFormat="1">
      <c r="B143" s="2400" t="s">
        <v>1226</v>
      </c>
      <c r="D143" s="2401">
        <f>D142/D112</f>
        <v>0.1351679762213204</v>
      </c>
      <c r="E143" s="2401">
        <f t="shared" ref="E143:S143" si="121">E142/E112</f>
        <v>0.18187434011711798</v>
      </c>
      <c r="F143" s="2401">
        <f t="shared" si="121"/>
        <v>0.32806280147181044</v>
      </c>
      <c r="G143" s="2401">
        <f t="shared" si="121"/>
        <v>0.44810398371180576</v>
      </c>
      <c r="H143" s="2401">
        <f t="shared" si="121"/>
        <v>0.20262477237805521</v>
      </c>
      <c r="I143" s="2401">
        <f t="shared" si="121"/>
        <v>0.26019302147497947</v>
      </c>
      <c r="J143" s="2401">
        <f t="shared" si="121"/>
        <v>0.28221524260381747</v>
      </c>
      <c r="K143" s="2401">
        <f t="shared" si="121"/>
        <v>0.31019216879426792</v>
      </c>
      <c r="L143" s="2401">
        <f t="shared" si="121"/>
        <v>0.32107581849381295</v>
      </c>
      <c r="M143" s="2401">
        <f t="shared" si="121"/>
        <v>0.38377387180297212</v>
      </c>
      <c r="N143" s="2401">
        <f t="shared" si="121"/>
        <v>0.32485623762491994</v>
      </c>
      <c r="O143" s="2401">
        <f t="shared" si="121"/>
        <v>0.29445895485021834</v>
      </c>
      <c r="P143" s="2401">
        <f t="shared" si="121"/>
        <v>0.2763810079974211</v>
      </c>
      <c r="Q143" s="2401">
        <f t="shared" si="121"/>
        <v>0.28767645845638806</v>
      </c>
      <c r="R143" s="2401">
        <f t="shared" si="121"/>
        <v>0.30194291729736639</v>
      </c>
      <c r="S143" s="2401">
        <f t="shared" si="121"/>
        <v>0.27858886005052697</v>
      </c>
      <c r="T143" s="2401"/>
      <c r="U143" s="2401"/>
      <c r="V143" s="2401"/>
      <c r="W143" s="2402"/>
      <c r="X143" s="2402"/>
      <c r="Y143" s="2402"/>
      <c r="Z143" s="2402"/>
      <c r="AA143" s="2403"/>
      <c r="AB143" s="2404"/>
      <c r="AC143" s="2404"/>
    </row>
    <row r="144" spans="2:38" s="2084" customFormat="1" ht="14.4">
      <c r="B144" s="2405" t="s">
        <v>1428</v>
      </c>
      <c r="D144" s="2085"/>
      <c r="E144" s="2693" t="s">
        <v>1429</v>
      </c>
      <c r="F144" s="2693"/>
      <c r="G144" s="2693"/>
      <c r="H144" s="2693"/>
      <c r="I144" s="2693"/>
      <c r="J144" s="2693"/>
      <c r="K144" s="2693"/>
      <c r="L144" s="2693"/>
      <c r="M144" s="2693"/>
      <c r="N144" s="2085"/>
      <c r="O144" s="2085"/>
      <c r="P144" s="2086"/>
      <c r="Q144" s="2086"/>
      <c r="R144" s="2086"/>
      <c r="S144" s="2086"/>
      <c r="T144" s="2086"/>
      <c r="U144" s="2086"/>
      <c r="V144" s="2086"/>
      <c r="W144" s="2086"/>
      <c r="X144" s="2086"/>
      <c r="Y144" s="2086"/>
      <c r="Z144" s="2086"/>
      <c r="AA144" s="2087"/>
      <c r="AB144" s="2088"/>
      <c r="AC144" s="2088"/>
      <c r="AD144" s="2058"/>
      <c r="AE144" s="2058"/>
      <c r="AF144" s="2058"/>
      <c r="AG144" s="2058"/>
      <c r="AH144" s="2058"/>
      <c r="AI144" s="2058"/>
      <c r="AJ144" s="2058"/>
      <c r="AK144" s="2058"/>
      <c r="AL144" s="2058"/>
    </row>
    <row r="145" spans="1:38" s="1911" customFormat="1">
      <c r="A145" s="1982" t="s">
        <v>1297</v>
      </c>
      <c r="I145" s="2281"/>
      <c r="AA145" s="2050"/>
      <c r="AB145" s="2050"/>
      <c r="AC145" s="2050"/>
      <c r="AD145" s="2050"/>
      <c r="AE145" s="2050"/>
      <c r="AF145" s="2050"/>
      <c r="AG145" s="2050"/>
      <c r="AH145" s="2050"/>
      <c r="AI145" s="2050"/>
      <c r="AJ145" s="2050"/>
      <c r="AK145" s="2050"/>
      <c r="AL145" s="2050"/>
    </row>
    <row r="146" spans="1:38" s="1935" customFormat="1" ht="18.75" customHeight="1" collapsed="1">
      <c r="B146" s="1935" t="s">
        <v>317</v>
      </c>
      <c r="D146" s="2032"/>
      <c r="E146" s="2032"/>
      <c r="F146" s="2032"/>
      <c r="G146" s="2032"/>
      <c r="H146" s="2032"/>
      <c r="I146" s="2276"/>
      <c r="J146" s="2032"/>
      <c r="K146" s="2032"/>
      <c r="O146" s="2065"/>
      <c r="Q146" s="2089"/>
      <c r="R146" s="1911"/>
      <c r="S146" s="1911"/>
      <c r="T146" s="1911"/>
      <c r="U146" s="1911"/>
      <c r="V146" s="1911"/>
      <c r="W146" s="1911"/>
      <c r="X146" s="1911"/>
      <c r="Y146" s="1911"/>
      <c r="Z146" s="1911"/>
      <c r="AA146" s="1938"/>
      <c r="AB146" s="1938"/>
      <c r="AC146" s="1938"/>
      <c r="AD146" s="1938"/>
      <c r="AE146" s="1938"/>
      <c r="AF146" s="1938"/>
      <c r="AG146" s="1938"/>
      <c r="AH146" s="1938"/>
      <c r="AI146" s="1938"/>
      <c r="AJ146" s="1938"/>
      <c r="AK146" s="1938"/>
      <c r="AL146" s="1938"/>
    </row>
    <row r="147" spans="1:38" s="1952" customFormat="1">
      <c r="B147" s="1952" t="s">
        <v>1298</v>
      </c>
      <c r="D147" s="2090"/>
      <c r="E147" s="2090"/>
      <c r="F147" s="2090"/>
      <c r="G147" s="2036"/>
      <c r="H147" s="2090"/>
      <c r="I147" s="2284"/>
      <c r="J147" s="2090"/>
      <c r="K147" s="2036"/>
      <c r="L147" s="2036"/>
      <c r="M147" s="2036"/>
      <c r="N147" s="2036"/>
      <c r="O147" s="2036"/>
      <c r="P147" s="2036"/>
      <c r="Q147" s="1982"/>
      <c r="R147" s="1982"/>
      <c r="S147" s="1982"/>
      <c r="T147" s="1982"/>
      <c r="U147" s="1982"/>
      <c r="V147" s="1982"/>
      <c r="W147" s="1982"/>
      <c r="X147" s="1982"/>
      <c r="Y147" s="1982"/>
      <c r="Z147" s="1982"/>
      <c r="AA147" s="1951"/>
      <c r="AB147" s="1951"/>
      <c r="AC147" s="1951"/>
      <c r="AD147" s="1951"/>
      <c r="AE147" s="1951"/>
      <c r="AF147" s="1951"/>
      <c r="AG147" s="1951"/>
      <c r="AH147" s="1951"/>
      <c r="AI147" s="1951"/>
      <c r="AJ147" s="1951"/>
      <c r="AK147" s="1951"/>
      <c r="AL147" s="1951"/>
    </row>
    <row r="148" spans="1:38" s="1935" customFormat="1">
      <c r="B148" s="1935" t="s">
        <v>1272</v>
      </c>
      <c r="D148" s="1911"/>
      <c r="E148" s="1911"/>
      <c r="F148" s="1911"/>
      <c r="G148" s="1911"/>
      <c r="H148" s="1911"/>
      <c r="I148" s="2281"/>
      <c r="J148" s="2091"/>
      <c r="K148" s="1939"/>
      <c r="L148" s="1939"/>
      <c r="M148" s="1939"/>
      <c r="N148" s="1939"/>
      <c r="O148" s="1939"/>
      <c r="P148" s="1939"/>
      <c r="Q148" s="2089"/>
      <c r="R148" s="2089"/>
      <c r="S148" s="2089"/>
      <c r="T148" s="2089"/>
      <c r="U148" s="2089"/>
      <c r="V148" s="2089"/>
      <c r="W148" s="2089"/>
      <c r="X148" s="2089"/>
      <c r="Y148" s="2089"/>
      <c r="Z148" s="2089"/>
      <c r="AA148" s="1938"/>
      <c r="AB148" s="1938"/>
      <c r="AC148" s="1938"/>
      <c r="AD148" s="1938"/>
      <c r="AE148" s="1938"/>
      <c r="AF148" s="1938"/>
      <c r="AG148" s="1938"/>
      <c r="AH148" s="1938"/>
      <c r="AI148" s="1938"/>
      <c r="AJ148" s="1938"/>
      <c r="AK148" s="1938"/>
      <c r="AL148" s="1938"/>
    </row>
    <row r="149" spans="1:38" s="1952" customFormat="1">
      <c r="B149" s="1952" t="s">
        <v>1299</v>
      </c>
      <c r="D149" s="2028"/>
      <c r="E149" s="2028"/>
      <c r="F149" s="2028"/>
      <c r="G149" s="2028"/>
      <c r="H149" s="2028"/>
      <c r="I149" s="2283"/>
      <c r="J149" s="2028"/>
      <c r="Q149" s="1982"/>
      <c r="R149" s="1982"/>
      <c r="S149" s="1982"/>
      <c r="T149" s="1982"/>
      <c r="U149" s="1982"/>
      <c r="V149" s="1982"/>
      <c r="W149" s="1982"/>
      <c r="X149" s="1982"/>
      <c r="Y149" s="1982"/>
      <c r="Z149" s="1982"/>
      <c r="AA149" s="1951"/>
      <c r="AB149" s="1951"/>
      <c r="AC149" s="1951"/>
      <c r="AD149" s="1951"/>
      <c r="AE149" s="1951"/>
      <c r="AF149" s="1951"/>
      <c r="AG149" s="1951"/>
      <c r="AH149" s="1951"/>
      <c r="AI149" s="1951"/>
      <c r="AJ149" s="1951"/>
      <c r="AK149" s="1951"/>
      <c r="AL149" s="1951"/>
    </row>
    <row r="150" spans="1:38" s="1952" customFormat="1">
      <c r="B150" s="2092" t="s">
        <v>1155</v>
      </c>
      <c r="C150" s="2346"/>
      <c r="D150" s="2093"/>
      <c r="E150" s="2093"/>
      <c r="F150" s="2093"/>
      <c r="G150" s="2093"/>
      <c r="H150" s="2093"/>
      <c r="I150" s="2247"/>
      <c r="J150" s="1936"/>
      <c r="Q150" s="1982"/>
      <c r="R150" s="1982"/>
      <c r="S150" s="1982"/>
      <c r="T150" s="1982"/>
      <c r="U150" s="1982"/>
      <c r="V150" s="1982"/>
      <c r="W150" s="1982"/>
      <c r="X150" s="1982"/>
      <c r="Y150" s="1982"/>
      <c r="Z150" s="1982"/>
      <c r="AA150" s="1951"/>
      <c r="AB150" s="1951"/>
      <c r="AC150" s="1951"/>
      <c r="AD150" s="1951"/>
      <c r="AE150" s="1951"/>
      <c r="AF150" s="1951"/>
      <c r="AG150" s="1951"/>
      <c r="AH150" s="1951"/>
      <c r="AI150" s="1951"/>
      <c r="AJ150" s="1951"/>
      <c r="AK150" s="1951"/>
      <c r="AL150" s="1951"/>
    </row>
    <row r="151" spans="1:38" s="1952" customFormat="1">
      <c r="B151" s="2094" t="s">
        <v>317</v>
      </c>
      <c r="C151" s="2347"/>
      <c r="D151" s="1936"/>
      <c r="E151" s="1936"/>
      <c r="F151" s="1936"/>
      <c r="G151" s="1936"/>
      <c r="H151" s="1936"/>
      <c r="I151" s="2247"/>
      <c r="J151" s="1936"/>
      <c r="Q151" s="1982"/>
      <c r="R151" s="1982"/>
      <c r="S151" s="1982"/>
      <c r="T151" s="1982"/>
      <c r="U151" s="1982"/>
      <c r="V151" s="1982"/>
      <c r="W151" s="1982"/>
      <c r="X151" s="1982"/>
      <c r="Y151" s="1982"/>
      <c r="Z151" s="1982"/>
      <c r="AA151" s="1951"/>
      <c r="AB151" s="1951"/>
      <c r="AC151" s="1951"/>
      <c r="AD151" s="1951"/>
      <c r="AE151" s="1951"/>
      <c r="AF151" s="1951"/>
      <c r="AG151" s="1951"/>
      <c r="AH151" s="1951"/>
      <c r="AI151" s="1951"/>
      <c r="AJ151" s="1951"/>
      <c r="AK151" s="1951"/>
      <c r="AL151" s="1951"/>
    </row>
    <row r="152" spans="1:38" s="1952" customFormat="1">
      <c r="B152" s="2095" t="s">
        <v>1298</v>
      </c>
      <c r="C152" s="2348"/>
      <c r="D152" s="2096"/>
      <c r="E152" s="2096"/>
      <c r="F152" s="2096"/>
      <c r="G152" s="2096"/>
      <c r="H152" s="2096"/>
      <c r="I152" s="2247"/>
      <c r="J152" s="1936"/>
      <c r="Q152" s="1982"/>
      <c r="R152" s="1982"/>
      <c r="S152" s="1982"/>
      <c r="T152" s="1982"/>
      <c r="U152" s="1982"/>
      <c r="V152" s="1982"/>
      <c r="W152" s="1982"/>
      <c r="X152" s="1982"/>
      <c r="Y152" s="1982"/>
      <c r="Z152" s="1982"/>
      <c r="AA152" s="1951"/>
      <c r="AB152" s="1951"/>
      <c r="AC152" s="1951"/>
      <c r="AD152" s="1951"/>
      <c r="AE152" s="1951"/>
      <c r="AF152" s="1951"/>
      <c r="AG152" s="1951"/>
      <c r="AH152" s="1951"/>
      <c r="AI152" s="1951"/>
      <c r="AJ152" s="1951"/>
      <c r="AK152" s="1951"/>
      <c r="AL152" s="1951"/>
    </row>
    <row r="153" spans="1:38" s="2043" customFormat="1">
      <c r="B153" s="2043" t="s">
        <v>1272</v>
      </c>
      <c r="I153" s="2279"/>
      <c r="Q153" s="2097"/>
      <c r="R153" s="2097"/>
      <c r="S153" s="2097"/>
      <c r="T153" s="2097"/>
      <c r="U153" s="2097"/>
      <c r="V153" s="2097"/>
      <c r="W153" s="2097"/>
      <c r="X153" s="2097"/>
      <c r="Y153" s="2097"/>
      <c r="Z153" s="2097"/>
      <c r="AA153" s="2083"/>
      <c r="AB153" s="2083"/>
      <c r="AC153" s="2083"/>
      <c r="AD153" s="2083"/>
      <c r="AE153" s="2083"/>
      <c r="AF153" s="2083"/>
      <c r="AG153" s="2083"/>
      <c r="AH153" s="2083"/>
      <c r="AI153" s="2083"/>
      <c r="AJ153" s="2083"/>
      <c r="AK153" s="2083"/>
      <c r="AL153" s="2083"/>
    </row>
    <row r="154" spans="1:38" s="1935" customFormat="1">
      <c r="B154" s="1935" t="s">
        <v>320</v>
      </c>
      <c r="D154" s="2032"/>
      <c r="E154" s="2032"/>
      <c r="F154" s="2032"/>
      <c r="G154" s="2032"/>
      <c r="H154" s="2032"/>
      <c r="I154" s="2276"/>
      <c r="J154" s="2032"/>
      <c r="K154" s="2032"/>
      <c r="Q154" s="1911"/>
      <c r="R154" s="1911"/>
      <c r="S154" s="1911"/>
      <c r="T154" s="1911"/>
      <c r="U154" s="1911"/>
      <c r="V154" s="1911"/>
      <c r="W154" s="1911"/>
      <c r="X154" s="1911"/>
      <c r="Y154" s="1911"/>
      <c r="Z154" s="1911"/>
      <c r="AA154" s="1938"/>
      <c r="AB154" s="1938"/>
      <c r="AC154" s="1938"/>
      <c r="AD154" s="1938"/>
      <c r="AE154" s="1938"/>
      <c r="AF154" s="1938"/>
      <c r="AG154" s="1938"/>
      <c r="AH154" s="1938"/>
      <c r="AI154" s="1938"/>
      <c r="AJ154" s="1938"/>
      <c r="AK154" s="1938"/>
      <c r="AL154" s="1938"/>
    </row>
    <row r="155" spans="1:38" s="1952" customFormat="1">
      <c r="B155" s="1952" t="s">
        <v>1300</v>
      </c>
      <c r="I155" s="2250"/>
      <c r="Q155" s="1982"/>
      <c r="R155" s="1982"/>
      <c r="S155" s="1982"/>
      <c r="T155" s="1982"/>
      <c r="U155" s="1982"/>
      <c r="V155" s="1982"/>
      <c r="W155" s="1982"/>
      <c r="X155" s="1982"/>
      <c r="Y155" s="1982"/>
      <c r="Z155" s="1982"/>
      <c r="AA155" s="1951"/>
      <c r="AB155" s="1951"/>
      <c r="AC155" s="1951"/>
      <c r="AD155" s="1951"/>
      <c r="AE155" s="1951"/>
      <c r="AF155" s="1951"/>
      <c r="AG155" s="1951"/>
      <c r="AH155" s="1951"/>
      <c r="AI155" s="1951"/>
      <c r="AJ155" s="1951"/>
      <c r="AK155" s="1951"/>
      <c r="AL155" s="1951"/>
    </row>
    <row r="156" spans="1:38" s="2043" customFormat="1">
      <c r="B156" s="2043" t="s">
        <v>1226</v>
      </c>
      <c r="D156" s="2037"/>
      <c r="E156" s="2037"/>
      <c r="F156" s="2037"/>
      <c r="G156" s="2037"/>
      <c r="H156" s="2037"/>
      <c r="I156" s="2278"/>
      <c r="J156" s="2037"/>
      <c r="K156" s="2037"/>
      <c r="L156" s="2037"/>
      <c r="M156" s="2037"/>
      <c r="N156" s="2037"/>
      <c r="O156" s="2037"/>
      <c r="P156" s="2037"/>
      <c r="Q156" s="2098"/>
      <c r="R156" s="2098"/>
      <c r="S156" s="2098"/>
      <c r="T156" s="2098"/>
      <c r="U156" s="2098"/>
      <c r="V156" s="2098"/>
      <c r="W156" s="2098"/>
      <c r="X156" s="2098"/>
      <c r="Y156" s="2098"/>
      <c r="Z156" s="2098"/>
      <c r="AA156" s="2083"/>
      <c r="AB156" s="2083"/>
      <c r="AC156" s="2083"/>
      <c r="AD156" s="2083"/>
      <c r="AE156" s="2083"/>
      <c r="AF156" s="2083"/>
      <c r="AG156" s="2083"/>
      <c r="AH156" s="2083"/>
      <c r="AI156" s="2083"/>
      <c r="AJ156" s="2083"/>
      <c r="AK156" s="2083"/>
      <c r="AL156" s="2083"/>
    </row>
    <row r="157" spans="1:38" s="2034" customFormat="1">
      <c r="D157" s="2099"/>
      <c r="F157" s="2099"/>
      <c r="G157" s="2099"/>
      <c r="H157" s="2099"/>
      <c r="I157" s="2285"/>
      <c r="J157" s="2099"/>
      <c r="K157" s="2099"/>
      <c r="L157" s="2099"/>
      <c r="M157" s="2099"/>
      <c r="N157" s="2099"/>
      <c r="O157" s="2099"/>
      <c r="P157" s="2099"/>
      <c r="Q157" s="1979"/>
      <c r="R157" s="1979"/>
      <c r="S157" s="1979"/>
      <c r="T157" s="1979"/>
      <c r="U157" s="1979"/>
      <c r="V157" s="1979"/>
      <c r="W157" s="1979"/>
      <c r="X157" s="1979"/>
      <c r="Y157" s="1979"/>
      <c r="Z157" s="1979"/>
      <c r="AA157" s="2087"/>
      <c r="AB157" s="2087"/>
      <c r="AC157" s="2087"/>
      <c r="AD157" s="2087"/>
      <c r="AE157" s="2087"/>
      <c r="AF157" s="2087"/>
      <c r="AG157" s="2087"/>
      <c r="AH157" s="2087"/>
      <c r="AI157" s="2087"/>
      <c r="AJ157" s="2087"/>
      <c r="AK157" s="2087"/>
      <c r="AL157" s="2087"/>
    </row>
    <row r="158" spans="1:38" s="1911" customFormat="1">
      <c r="A158" s="1982" t="s">
        <v>1301</v>
      </c>
      <c r="I158" s="2281"/>
      <c r="AA158" s="2050"/>
      <c r="AB158" s="2050"/>
      <c r="AC158" s="2050"/>
      <c r="AD158" s="2050"/>
      <c r="AE158" s="2050"/>
      <c r="AF158" s="2050"/>
      <c r="AG158" s="2050"/>
      <c r="AH158" s="2050"/>
      <c r="AI158" s="2050"/>
      <c r="AJ158" s="2050"/>
      <c r="AK158" s="2050"/>
      <c r="AL158" s="2050"/>
    </row>
    <row r="159" spans="1:38" s="1935" customFormat="1">
      <c r="B159" s="1935" t="s">
        <v>1275</v>
      </c>
      <c r="D159" s="2418">
        <f>1311882295090/10^9</f>
        <v>1311.8822950900001</v>
      </c>
      <c r="E159" s="2418">
        <f>1331323910380/10^9</f>
        <v>1331.3239103799999</v>
      </c>
      <c r="F159" s="2418">
        <f>1638158931515/10^9</f>
        <v>1638.1589315149999</v>
      </c>
      <c r="G159" s="2418">
        <f>1972775403171/10^9</f>
        <v>1972.7754031710001</v>
      </c>
      <c r="H159" s="2418">
        <f>2167429355154/10^9</f>
        <v>2167.4293551539999</v>
      </c>
      <c r="I159" s="2418">
        <f>2439978681725/10^9</f>
        <v>2439.9786817250001</v>
      </c>
      <c r="J159" s="2418">
        <f>J163*J161</f>
        <v>3159.7158572379631</v>
      </c>
      <c r="K159" s="2418">
        <f t="shared" ref="K159:S159" si="122">K163*K161</f>
        <v>2965.1725279663046</v>
      </c>
      <c r="L159" s="2418">
        <f t="shared" si="122"/>
        <v>2588.9714294842306</v>
      </c>
      <c r="M159" s="2418">
        <f t="shared" si="122"/>
        <v>2361.7725379443286</v>
      </c>
      <c r="N159" s="2418">
        <f t="shared" si="122"/>
        <v>1902.2698196928409</v>
      </c>
      <c r="O159" s="2418">
        <f t="shared" si="122"/>
        <v>1473.6778779081594</v>
      </c>
      <c r="P159" s="2418">
        <f t="shared" si="122"/>
        <v>1264.6581123006997</v>
      </c>
      <c r="Q159" s="2418">
        <f t="shared" si="122"/>
        <v>1144.1319237141502</v>
      </c>
      <c r="R159" s="2418">
        <f t="shared" si="122"/>
        <v>1035.0922878914721</v>
      </c>
      <c r="S159" s="2418">
        <f t="shared" si="122"/>
        <v>855.50377594230167</v>
      </c>
      <c r="W159" s="1911"/>
      <c r="X159" s="1911"/>
      <c r="Y159" s="1911"/>
      <c r="Z159" s="1911"/>
      <c r="AA159" s="1938"/>
      <c r="AB159" s="1938"/>
      <c r="AC159" s="1938"/>
      <c r="AD159" s="1938"/>
      <c r="AE159" s="1938"/>
      <c r="AF159" s="1938"/>
      <c r="AG159" s="1938"/>
      <c r="AH159" s="1938"/>
      <c r="AI159" s="1938"/>
      <c r="AJ159" s="1938"/>
      <c r="AK159" s="1938"/>
      <c r="AL159" s="1938"/>
    </row>
    <row r="160" spans="1:38" s="1935" customFormat="1">
      <c r="B160" s="1935" t="s">
        <v>1302</v>
      </c>
      <c r="D160" s="2032"/>
      <c r="E160" s="2032"/>
      <c r="F160" s="2032"/>
      <c r="G160" s="2032"/>
      <c r="H160" s="2032"/>
      <c r="I160" s="1937"/>
      <c r="Q160" s="1911"/>
      <c r="R160" s="1911"/>
      <c r="S160" s="1911"/>
      <c r="T160" s="1911"/>
      <c r="U160" s="1911"/>
      <c r="V160" s="1911"/>
      <c r="W160" s="1911"/>
      <c r="X160" s="1911"/>
      <c r="Y160" s="1911"/>
      <c r="Z160" s="1911"/>
      <c r="AA160" s="1938"/>
      <c r="AB160" s="1938"/>
      <c r="AC160" s="1938"/>
      <c r="AD160" s="1938"/>
      <c r="AE160" s="1938"/>
      <c r="AF160" s="1938"/>
      <c r="AG160" s="1938"/>
      <c r="AH160" s="1938"/>
      <c r="AI160" s="1938"/>
      <c r="AJ160" s="1938"/>
      <c r="AK160" s="1938"/>
      <c r="AL160" s="1938"/>
    </row>
    <row r="161" spans="1:38" s="1952" customFormat="1">
      <c r="B161" s="1952" t="s">
        <v>1303</v>
      </c>
      <c r="D161" s="2419">
        <v>167.07</v>
      </c>
      <c r="E161" s="2419">
        <v>171.48</v>
      </c>
      <c r="F161" s="2419">
        <v>161.07</v>
      </c>
      <c r="G161" s="2419">
        <v>123.48</v>
      </c>
      <c r="H161" s="2419">
        <v>183.24</v>
      </c>
      <c r="I161" s="2419">
        <v>254.4</v>
      </c>
      <c r="J161" s="2421">
        <f>I161*(1+J162)</f>
        <v>282.08679163552915</v>
      </c>
      <c r="K161" s="2421">
        <f t="shared" ref="K161:S161" si="123">J161*(1+K162)</f>
        <v>297.43678814328831</v>
      </c>
      <c r="L161" s="2421">
        <f t="shared" si="123"/>
        <v>305.52942805883885</v>
      </c>
      <c r="M161" s="2421">
        <f t="shared" si="123"/>
        <v>309.68584001500409</v>
      </c>
      <c r="N161" s="2421">
        <f t="shared" si="123"/>
        <v>311.79231783658651</v>
      </c>
      <c r="O161" s="2421">
        <f t="shared" si="123"/>
        <v>309.67151178865504</v>
      </c>
      <c r="P161" s="2421">
        <f t="shared" si="123"/>
        <v>305.45875106619445</v>
      </c>
      <c r="Q161" s="2421">
        <f t="shared" si="123"/>
        <v>297.14785012867605</v>
      </c>
      <c r="R161" s="2421">
        <f t="shared" si="123"/>
        <v>289.06307161898843</v>
      </c>
      <c r="S161" s="2421">
        <f t="shared" si="123"/>
        <v>274.60991803803898</v>
      </c>
      <c r="W161" s="1982"/>
      <c r="X161" s="1982"/>
      <c r="Y161" s="1982"/>
      <c r="Z161" s="1982"/>
      <c r="AA161" s="1951"/>
      <c r="AB161" s="1951"/>
      <c r="AC161" s="1951"/>
      <c r="AD161" s="1951"/>
      <c r="AE161" s="1951"/>
      <c r="AF161" s="1951"/>
      <c r="AG161" s="1951"/>
      <c r="AH161" s="1951"/>
      <c r="AI161" s="1951"/>
      <c r="AJ161" s="1951"/>
      <c r="AK161" s="1951"/>
      <c r="AL161" s="1951"/>
    </row>
    <row r="162" spans="1:38" s="1935" customFormat="1">
      <c r="B162" s="1935" t="s">
        <v>1272</v>
      </c>
      <c r="E162" s="2420">
        <f>E161/D161-1</f>
        <v>2.6396121386245364E-2</v>
      </c>
      <c r="F162" s="2420">
        <f t="shared" ref="F162:I162" si="124">F161/E161-1</f>
        <v>-6.0706787963610953E-2</v>
      </c>
      <c r="G162" s="2420">
        <f t="shared" si="124"/>
        <v>-0.2333767926988265</v>
      </c>
      <c r="H162" s="2420">
        <f t="shared" si="124"/>
        <v>0.4839650145772596</v>
      </c>
      <c r="I162" s="2420">
        <f t="shared" si="124"/>
        <v>0.38834315651604445</v>
      </c>
      <c r="J162" s="2420">
        <f>AVERAGE(E162:I162)*0.9</f>
        <v>0.10883172812708015</v>
      </c>
      <c r="K162" s="2420">
        <f>J162/2</f>
        <v>5.4415864063540077E-2</v>
      </c>
      <c r="L162" s="2420">
        <f t="shared" ref="L162:M162" si="125">K162/2</f>
        <v>2.7207932031770039E-2</v>
      </c>
      <c r="M162" s="2420">
        <f t="shared" si="125"/>
        <v>1.3603966015885019E-2</v>
      </c>
      <c r="N162" s="2420">
        <f>M162/2</f>
        <v>6.8019830079425097E-3</v>
      </c>
      <c r="O162" s="2420">
        <f>-N162</f>
        <v>-6.8019830079425097E-3</v>
      </c>
      <c r="P162" s="2420">
        <f>O162*2</f>
        <v>-1.3603966015885019E-2</v>
      </c>
      <c r="Q162" s="2420">
        <f t="shared" ref="Q162" si="126">P162*2</f>
        <v>-2.7207932031770039E-2</v>
      </c>
      <c r="R162" s="2420">
        <f>Q162</f>
        <v>-2.7207932031770039E-2</v>
      </c>
      <c r="S162" s="2420">
        <v>-0.05</v>
      </c>
      <c r="T162" s="2100"/>
      <c r="U162" s="2100"/>
      <c r="V162" s="2100"/>
      <c r="W162" s="2089"/>
      <c r="X162" s="2089"/>
      <c r="Y162" s="2089"/>
      <c r="Z162" s="2089"/>
      <c r="AA162" s="1938"/>
      <c r="AB162" s="1938"/>
      <c r="AC162" s="1938"/>
      <c r="AD162" s="1938"/>
      <c r="AE162" s="1938"/>
      <c r="AF162" s="1938"/>
      <c r="AG162" s="1938"/>
      <c r="AH162" s="1938"/>
      <c r="AI162" s="1938"/>
      <c r="AJ162" s="1938"/>
      <c r="AK162" s="1938"/>
      <c r="AL162" s="1938"/>
    </row>
    <row r="163" spans="1:38" s="1952" customFormat="1">
      <c r="B163" s="1952" t="s">
        <v>1304</v>
      </c>
      <c r="D163" s="2332">
        <f>D159/D161</f>
        <v>7.8522912257736284</v>
      </c>
      <c r="E163" s="2332">
        <f t="shared" ref="E163:I163" si="127">E159/E161</f>
        <v>7.7637270257756006</v>
      </c>
      <c r="F163" s="2332">
        <f t="shared" si="127"/>
        <v>10.170478248680698</v>
      </c>
      <c r="G163" s="2332">
        <f t="shared" si="127"/>
        <v>15.976477187973762</v>
      </c>
      <c r="H163" s="2332">
        <f t="shared" si="127"/>
        <v>11.828363649607072</v>
      </c>
      <c r="I163" s="2332">
        <f t="shared" si="127"/>
        <v>9.591111170302673</v>
      </c>
      <c r="J163" s="2332">
        <f>I163*J164</f>
        <v>11.20121874164346</v>
      </c>
      <c r="K163" s="2332">
        <f t="shared" ref="K163:S163" si="128">J163*K164</f>
        <v>9.9690846800626804</v>
      </c>
      <c r="L163" s="2332">
        <f t="shared" si="128"/>
        <v>8.4737219780532786</v>
      </c>
      <c r="M163" s="2332">
        <f t="shared" si="128"/>
        <v>7.626349780247951</v>
      </c>
      <c r="N163" s="2332">
        <f t="shared" si="128"/>
        <v>6.1010798241983615</v>
      </c>
      <c r="O163" s="2332">
        <f t="shared" si="128"/>
        <v>4.7588422628747225</v>
      </c>
      <c r="P163" s="2332">
        <f t="shared" si="128"/>
        <v>4.1401927687010085</v>
      </c>
      <c r="Q163" s="2332">
        <f t="shared" si="128"/>
        <v>3.8503792748919383</v>
      </c>
      <c r="R163" s="2332">
        <f t="shared" si="128"/>
        <v>3.5808527256495029</v>
      </c>
      <c r="S163" s="2332">
        <f t="shared" si="128"/>
        <v>3.1153418713150676</v>
      </c>
      <c r="W163" s="1982"/>
      <c r="X163" s="1982"/>
      <c r="Y163" s="1982"/>
      <c r="Z163" s="1982"/>
      <c r="AA163" s="1951"/>
      <c r="AB163" s="1951"/>
      <c r="AC163" s="1951"/>
      <c r="AD163" s="1951"/>
      <c r="AE163" s="1951"/>
      <c r="AF163" s="1951"/>
      <c r="AG163" s="1951"/>
      <c r="AH163" s="1951"/>
      <c r="AI163" s="1951"/>
      <c r="AJ163" s="1951"/>
      <c r="AK163" s="1951"/>
      <c r="AL163" s="1951"/>
    </row>
    <row r="164" spans="1:38" s="2043" customFormat="1">
      <c r="B164" s="2043" t="s">
        <v>1272</v>
      </c>
      <c r="E164" s="2318">
        <f>E163/D163-1</f>
        <v>-1.1278771692437073E-2</v>
      </c>
      <c r="F164" s="2318">
        <f t="shared" ref="F164:I164" si="129">F163/E163-1</f>
        <v>0.30999946480790408</v>
      </c>
      <c r="G164" s="2318">
        <f t="shared" si="129"/>
        <v>0.57086783898743509</v>
      </c>
      <c r="H164" s="2318">
        <f t="shared" si="129"/>
        <v>-0.25963881083178764</v>
      </c>
      <c r="I164" s="2318">
        <f t="shared" si="129"/>
        <v>-0.18914302481550083</v>
      </c>
      <c r="J164" s="2318">
        <f>J107-12%</f>
        <v>1.1678749774401767</v>
      </c>
      <c r="K164" s="2318">
        <f t="shared" ref="K164:S164" si="130">K107-12%</f>
        <v>0.89</v>
      </c>
      <c r="L164" s="2318">
        <f t="shared" si="130"/>
        <v>0.85</v>
      </c>
      <c r="M164" s="2318">
        <f t="shared" si="130"/>
        <v>0.9</v>
      </c>
      <c r="N164" s="2318">
        <f t="shared" si="130"/>
        <v>0.8</v>
      </c>
      <c r="O164" s="2318">
        <f t="shared" si="130"/>
        <v>0.78</v>
      </c>
      <c r="P164" s="2318">
        <f t="shared" si="130"/>
        <v>0.87</v>
      </c>
      <c r="Q164" s="2318">
        <f t="shared" si="130"/>
        <v>0.93</v>
      </c>
      <c r="R164" s="2318">
        <f t="shared" si="130"/>
        <v>0.93</v>
      </c>
      <c r="S164" s="2318">
        <f t="shared" si="130"/>
        <v>0.87</v>
      </c>
      <c r="T164" s="2101"/>
      <c r="U164" s="2101"/>
      <c r="V164" s="2101"/>
      <c r="W164" s="2097"/>
      <c r="X164" s="2097"/>
      <c r="Y164" s="2097"/>
      <c r="Z164" s="2097"/>
      <c r="AA164" s="2083"/>
      <c r="AB164" s="2083"/>
      <c r="AC164" s="2083"/>
      <c r="AD164" s="2083"/>
      <c r="AE164" s="2083"/>
      <c r="AF164" s="2083"/>
      <c r="AG164" s="2083"/>
      <c r="AH164" s="2083"/>
      <c r="AI164" s="2083"/>
      <c r="AJ164" s="2083"/>
      <c r="AK164" s="2083"/>
      <c r="AL164" s="2083"/>
    </row>
    <row r="165" spans="1:38" s="1935" customFormat="1">
      <c r="B165" s="1935" t="s">
        <v>320</v>
      </c>
      <c r="D165" s="2418">
        <f>1185332593258/10^9</f>
        <v>1185.3325932580001</v>
      </c>
      <c r="E165" s="2418">
        <f>1232744382350/10^9</f>
        <v>1232.74438235</v>
      </c>
      <c r="F165" s="2418">
        <f>1483980402380/10^9</f>
        <v>1483.98040238</v>
      </c>
      <c r="G165" s="2418">
        <f>1876086382217/10^9</f>
        <v>1876.0863822169999</v>
      </c>
      <c r="H165" s="2418">
        <f>2023815679790/10^9</f>
        <v>2023.8156797900001</v>
      </c>
      <c r="I165" s="2418">
        <f>2289618642470/10^9</f>
        <v>2289.6186424699999</v>
      </c>
      <c r="J165" s="2418">
        <f>J159-J166</f>
        <v>2938.827296632337</v>
      </c>
      <c r="K165" s="2418">
        <f t="shared" ref="K165:S165" si="131">K159-K166</f>
        <v>2770.3519409061055</v>
      </c>
      <c r="L165" s="2418">
        <f t="shared" si="131"/>
        <v>2422.2884492043413</v>
      </c>
      <c r="M165" s="2418">
        <f t="shared" si="131"/>
        <v>2220.8363931958479</v>
      </c>
      <c r="N165" s="2418">
        <f t="shared" si="131"/>
        <v>1785.5426064837452</v>
      </c>
      <c r="O165" s="2418">
        <f t="shared" si="131"/>
        <v>1384.3927779369244</v>
      </c>
      <c r="P165" s="2418">
        <f t="shared" si="131"/>
        <v>1188.2444364320202</v>
      </c>
      <c r="Q165" s="2418">
        <f t="shared" si="131"/>
        <v>1076.7190369712773</v>
      </c>
      <c r="R165" s="2418">
        <f t="shared" si="131"/>
        <v>975.21564141280078</v>
      </c>
      <c r="S165" s="2418">
        <f t="shared" si="131"/>
        <v>806.90095929917845</v>
      </c>
      <c r="W165" s="1911"/>
      <c r="X165" s="1911"/>
      <c r="Y165" s="1911"/>
      <c r="Z165" s="1911"/>
      <c r="AA165" s="1938"/>
      <c r="AB165" s="1938"/>
      <c r="AC165" s="1938"/>
      <c r="AD165" s="1938"/>
      <c r="AE165" s="1938"/>
      <c r="AF165" s="1938"/>
      <c r="AG165" s="1938"/>
      <c r="AH165" s="1938"/>
      <c r="AI165" s="1938"/>
      <c r="AJ165" s="1938"/>
      <c r="AK165" s="1938"/>
      <c r="AL165" s="1938"/>
    </row>
    <row r="166" spans="1:38" s="1952" customFormat="1">
      <c r="B166" s="1952" t="s">
        <v>1305</v>
      </c>
      <c r="D166" s="2385">
        <f>D159-D165</f>
        <v>126.54970183199998</v>
      </c>
      <c r="E166" s="2385">
        <f t="shared" ref="E166:I166" si="132">E159-E165</f>
        <v>98.579528029999892</v>
      </c>
      <c r="F166" s="2385">
        <f t="shared" si="132"/>
        <v>154.17852913499996</v>
      </c>
      <c r="G166" s="2385">
        <f t="shared" si="132"/>
        <v>96.689020954000171</v>
      </c>
      <c r="H166" s="2385">
        <f t="shared" si="132"/>
        <v>143.61367536399985</v>
      </c>
      <c r="I166" s="2385">
        <f t="shared" si="132"/>
        <v>150.36003925500017</v>
      </c>
      <c r="J166" s="2385">
        <f>J159*J167</f>
        <v>220.88856060562583</v>
      </c>
      <c r="K166" s="2385">
        <f t="shared" ref="K166:S166" si="133">K159*K167</f>
        <v>194.82058706019924</v>
      </c>
      <c r="L166" s="2385">
        <f t="shared" si="133"/>
        <v>166.68298027988934</v>
      </c>
      <c r="M166" s="2385">
        <f t="shared" si="133"/>
        <v>140.9361447484807</v>
      </c>
      <c r="N166" s="2385">
        <f t="shared" si="133"/>
        <v>116.72721320909565</v>
      </c>
      <c r="O166" s="2385">
        <f t="shared" si="133"/>
        <v>89.285099971235027</v>
      </c>
      <c r="P166" s="2385">
        <f t="shared" si="133"/>
        <v>76.413675868679576</v>
      </c>
      <c r="Q166" s="2385">
        <f t="shared" si="133"/>
        <v>67.412886742872786</v>
      </c>
      <c r="R166" s="2385">
        <f t="shared" si="133"/>
        <v>59.876646478671347</v>
      </c>
      <c r="S166" s="2385">
        <f t="shared" si="133"/>
        <v>48.602816643123255</v>
      </c>
      <c r="W166" s="1982"/>
      <c r="X166" s="1982"/>
      <c r="Y166" s="1982"/>
      <c r="Z166" s="1982"/>
      <c r="AA166" s="1951"/>
      <c r="AB166" s="1951"/>
      <c r="AC166" s="1951"/>
      <c r="AD166" s="1951"/>
      <c r="AE166" s="1951"/>
      <c r="AF166" s="1951"/>
      <c r="AG166" s="1951"/>
      <c r="AH166" s="1951"/>
      <c r="AI166" s="1951"/>
      <c r="AJ166" s="1951"/>
      <c r="AK166" s="1951"/>
      <c r="AL166" s="1951"/>
    </row>
    <row r="167" spans="1:38" s="2043" customFormat="1">
      <c r="B167" s="2043" t="s">
        <v>1226</v>
      </c>
      <c r="D167" s="2037">
        <f>D166/D159</f>
        <v>9.646421962217136E-2</v>
      </c>
      <c r="E167" s="2037">
        <f t="shared" ref="E167:I167" si="134">E166/E159</f>
        <v>7.4046238681210436E-2</v>
      </c>
      <c r="F167" s="2037">
        <f t="shared" si="134"/>
        <v>9.4116954203224218E-2</v>
      </c>
      <c r="G167" s="2037">
        <f t="shared" si="134"/>
        <v>4.901167198181007E-2</v>
      </c>
      <c r="H167" s="2037">
        <f t="shared" si="134"/>
        <v>6.6259910627535001E-2</v>
      </c>
      <c r="I167" s="2037">
        <f t="shared" si="134"/>
        <v>6.1623505312226587E-2</v>
      </c>
      <c r="J167" s="2037">
        <f>AVERAGE(D167:I167)*0.95</f>
        <v>6.9907729234461466E-2</v>
      </c>
      <c r="K167" s="2037">
        <f t="shared" ref="K167:S167" si="135">AVERAGE(E167:J167)*0.95</f>
        <v>6.5702951589740724E-2</v>
      </c>
      <c r="L167" s="2037">
        <f t="shared" si="135"/>
        <v>6.4381931133591364E-2</v>
      </c>
      <c r="M167" s="2037">
        <f t="shared" si="135"/>
        <v>5.9673885814232816E-2</v>
      </c>
      <c r="N167" s="2037">
        <f t="shared" si="135"/>
        <v>6.1362069671033088E-2</v>
      </c>
      <c r="O167" s="2037">
        <f t="shared" si="135"/>
        <v>6.0586578186253626E-2</v>
      </c>
      <c r="P167" s="2037">
        <f t="shared" si="135"/>
        <v>6.0422398057974565E-2</v>
      </c>
      <c r="Q167" s="2037">
        <f t="shared" si="135"/>
        <v>5.8920553955030812E-2</v>
      </c>
      <c r="R167" s="2037">
        <f t="shared" si="135"/>
        <v>5.7846674329535074E-2</v>
      </c>
      <c r="S167" s="2037">
        <f t="shared" si="135"/>
        <v>5.6811925335559489E-2</v>
      </c>
      <c r="T167" s="2102"/>
      <c r="U167" s="2102"/>
      <c r="V167" s="2102"/>
      <c r="W167" s="2098"/>
      <c r="X167" s="2098"/>
      <c r="Y167" s="2098"/>
      <c r="Z167" s="2098"/>
      <c r="AA167" s="2083"/>
      <c r="AB167" s="2083"/>
      <c r="AC167" s="2083"/>
      <c r="AD167" s="2083"/>
      <c r="AE167" s="2083"/>
      <c r="AF167" s="2083"/>
      <c r="AG167" s="2083"/>
      <c r="AH167" s="2083"/>
      <c r="AI167" s="2083"/>
      <c r="AJ167" s="2083"/>
      <c r="AK167" s="2083"/>
      <c r="AL167" s="2083"/>
    </row>
    <row r="168" spans="1:38" s="2034" customFormat="1">
      <c r="D168" s="2099"/>
      <c r="F168" s="2099"/>
      <c r="G168" s="2099"/>
      <c r="H168" s="2099"/>
      <c r="I168" s="2285"/>
      <c r="J168" s="2099"/>
      <c r="K168" s="2099"/>
      <c r="L168" s="2099"/>
      <c r="M168" s="2099"/>
      <c r="N168" s="2099"/>
      <c r="O168" s="2099"/>
      <c r="P168" s="1979"/>
      <c r="Q168" s="1979"/>
      <c r="R168" s="1979"/>
      <c r="S168" s="1979"/>
      <c r="T168" s="1979"/>
      <c r="U168" s="1979"/>
      <c r="V168" s="1979"/>
      <c r="W168" s="1979"/>
      <c r="X168" s="1979"/>
      <c r="Y168" s="1979"/>
      <c r="Z168" s="1979"/>
      <c r="AA168" s="2087"/>
      <c r="AB168" s="2087"/>
      <c r="AC168" s="2087"/>
      <c r="AD168" s="2087"/>
      <c r="AE168" s="2087"/>
      <c r="AF168" s="2087"/>
      <c r="AG168" s="2087"/>
      <c r="AH168" s="2087"/>
      <c r="AI168" s="2087"/>
      <c r="AJ168" s="2087"/>
      <c r="AK168" s="2087"/>
      <c r="AL168" s="2087"/>
    </row>
    <row r="169" spans="1:38" s="1911" customFormat="1">
      <c r="A169" s="1982" t="s">
        <v>1249</v>
      </c>
      <c r="I169" s="2281"/>
      <c r="L169" s="1988"/>
      <c r="O169" s="2089"/>
      <c r="P169" s="2089"/>
      <c r="Q169" s="2089"/>
      <c r="R169" s="2089"/>
      <c r="S169" s="2089"/>
      <c r="T169" s="2089"/>
      <c r="U169" s="2089"/>
      <c r="V169" s="2089"/>
      <c r="W169" s="2089"/>
      <c r="X169" s="2089"/>
      <c r="Y169" s="2089"/>
      <c r="Z169" s="2089"/>
      <c r="AA169" s="2050"/>
      <c r="AB169" s="2050"/>
      <c r="AC169" s="2050"/>
      <c r="AD169" s="2050"/>
      <c r="AE169" s="2050"/>
      <c r="AF169" s="2050"/>
      <c r="AG169" s="2050"/>
      <c r="AH169" s="2050"/>
      <c r="AI169" s="2050"/>
      <c r="AJ169" s="2050"/>
      <c r="AK169" s="2050"/>
      <c r="AL169" s="2050"/>
    </row>
    <row r="170" spans="1:38" s="1952" customFormat="1">
      <c r="B170" s="1952" t="s">
        <v>1271</v>
      </c>
      <c r="D170" s="2036">
        <f>38074579385/10^9</f>
        <v>38.074579385</v>
      </c>
      <c r="E170" s="2036">
        <v>0</v>
      </c>
      <c r="F170" s="2103">
        <f>24014972941/10^9</f>
        <v>24.014972941</v>
      </c>
      <c r="G170" s="2103">
        <f>G171*G173/1000</f>
        <v>98.512861313706182</v>
      </c>
      <c r="H170" s="2103">
        <f t="shared" ref="H170:S170" si="136">H171*H173/1000</f>
        <v>39.608263827160215</v>
      </c>
      <c r="I170" s="2103">
        <f t="shared" si="136"/>
        <v>47.733035894269996</v>
      </c>
      <c r="J170" s="2103">
        <f t="shared" si="136"/>
        <v>45.701842877492552</v>
      </c>
      <c r="K170" s="2103">
        <f t="shared" si="136"/>
        <v>44.787806019942707</v>
      </c>
      <c r="L170" s="2103">
        <f t="shared" si="136"/>
        <v>43.892049899543849</v>
      </c>
      <c r="M170" s="2103">
        <f t="shared" si="136"/>
        <v>43.014208901552969</v>
      </c>
      <c r="N170" s="2103">
        <f t="shared" si="136"/>
        <v>42.153924723521911</v>
      </c>
      <c r="O170" s="2103">
        <f t="shared" si="136"/>
        <v>41.310846229051471</v>
      </c>
      <c r="P170" s="2103">
        <f t="shared" si="136"/>
        <v>40.897737766760955</v>
      </c>
      <c r="Q170" s="2103">
        <f t="shared" si="136"/>
        <v>40.488760389093343</v>
      </c>
      <c r="R170" s="2103">
        <f t="shared" si="136"/>
        <v>40.083872785202416</v>
      </c>
      <c r="S170" s="2103">
        <f t="shared" si="136"/>
        <v>39.68303405735039</v>
      </c>
      <c r="W170" s="1982"/>
      <c r="X170" s="1982"/>
      <c r="Y170" s="1982"/>
      <c r="Z170" s="1982"/>
      <c r="AA170" s="1951"/>
      <c r="AB170" s="1951"/>
      <c r="AC170" s="1951"/>
      <c r="AD170" s="1951"/>
      <c r="AE170" s="1951"/>
      <c r="AF170" s="1951"/>
      <c r="AG170" s="1951"/>
      <c r="AH170" s="1951"/>
      <c r="AI170" s="1951"/>
      <c r="AJ170" s="1951"/>
      <c r="AK170" s="1951"/>
      <c r="AL170" s="1951"/>
    </row>
    <row r="171" spans="1:38" s="1935" customFormat="1">
      <c r="B171" s="1935" t="s">
        <v>1306</v>
      </c>
      <c r="D171" s="2032">
        <f>D170/D173*1000</f>
        <v>5911.5794308289514</v>
      </c>
      <c r="E171" s="2032">
        <f>E170/E173*1000</f>
        <v>0</v>
      </c>
      <c r="F171" s="2032">
        <f>F170/F173*1000</f>
        <v>1784.0385337685777</v>
      </c>
      <c r="G171" s="2032">
        <f>AVERAGE(D171,F171)</f>
        <v>3847.8089822987645</v>
      </c>
      <c r="H171" s="2032">
        <f>G171</f>
        <v>3847.8089822987645</v>
      </c>
      <c r="I171" s="2032">
        <f t="shared" ref="I171:S171" si="137">H171</f>
        <v>3847.8089822987645</v>
      </c>
      <c r="J171" s="2032">
        <f t="shared" si="137"/>
        <v>3847.8089822987645</v>
      </c>
      <c r="K171" s="2032">
        <f t="shared" si="137"/>
        <v>3847.8089822987645</v>
      </c>
      <c r="L171" s="2032">
        <f t="shared" si="137"/>
        <v>3847.8089822987645</v>
      </c>
      <c r="M171" s="2032">
        <f t="shared" si="137"/>
        <v>3847.8089822987645</v>
      </c>
      <c r="N171" s="2032">
        <f t="shared" si="137"/>
        <v>3847.8089822987645</v>
      </c>
      <c r="O171" s="2032">
        <f t="shared" si="137"/>
        <v>3847.8089822987645</v>
      </c>
      <c r="P171" s="2032">
        <f t="shared" si="137"/>
        <v>3847.8089822987645</v>
      </c>
      <c r="Q171" s="2032">
        <f t="shared" si="137"/>
        <v>3847.8089822987645</v>
      </c>
      <c r="R171" s="2032">
        <f t="shared" si="137"/>
        <v>3847.8089822987645</v>
      </c>
      <c r="S171" s="2032">
        <f t="shared" si="137"/>
        <v>3847.8089822987645</v>
      </c>
      <c r="T171" s="1967"/>
      <c r="U171" s="1967"/>
      <c r="V171" s="1967"/>
      <c r="W171" s="1988"/>
      <c r="X171" s="1988"/>
      <c r="Y171" s="1988"/>
      <c r="Z171" s="1988"/>
      <c r="AA171" s="1938"/>
      <c r="AB171" s="1938"/>
      <c r="AC171" s="1938"/>
      <c r="AD171" s="1938"/>
      <c r="AE171" s="1938"/>
      <c r="AF171" s="1938"/>
      <c r="AG171" s="1938"/>
      <c r="AH171" s="1938"/>
      <c r="AI171" s="1938"/>
      <c r="AJ171" s="1938"/>
      <c r="AK171" s="1938"/>
      <c r="AL171" s="1938"/>
    </row>
    <row r="172" spans="1:38" s="2042" customFormat="1">
      <c r="B172" s="2042" t="s">
        <v>1272</v>
      </c>
      <c r="I172" s="2286"/>
      <c r="J172" s="2104"/>
      <c r="K172" s="2104"/>
      <c r="L172" s="2104"/>
      <c r="M172" s="2104"/>
      <c r="N172" s="2104"/>
      <c r="O172" s="2101"/>
      <c r="P172" s="2101"/>
      <c r="Q172" s="2101"/>
      <c r="R172" s="2101"/>
      <c r="S172" s="2101"/>
      <c r="T172" s="2101"/>
      <c r="U172" s="2101"/>
      <c r="V172" s="2101"/>
      <c r="W172" s="2097"/>
      <c r="X172" s="2097"/>
      <c r="Y172" s="2097"/>
      <c r="Z172" s="2097"/>
      <c r="AA172" s="2083"/>
      <c r="AB172" s="2045"/>
      <c r="AC172" s="2045"/>
      <c r="AD172" s="2045"/>
      <c r="AE172" s="2045"/>
      <c r="AF172" s="2045"/>
      <c r="AG172" s="2045"/>
      <c r="AH172" s="2045"/>
      <c r="AI172" s="2045"/>
      <c r="AJ172" s="2045"/>
      <c r="AK172" s="2045"/>
      <c r="AL172" s="2045"/>
    </row>
    <row r="173" spans="1:38" s="1935" customFormat="1">
      <c r="B173" s="1935" t="s">
        <v>1274</v>
      </c>
      <c r="D173" s="2065">
        <f>6440.67796610169/1000</f>
        <v>6.4406779661016902</v>
      </c>
      <c r="E173" s="2065">
        <f>6118.64406779661/1000</f>
        <v>6.1186440677966099</v>
      </c>
      <c r="F173" s="2065">
        <f>13461.0169491525/1000</f>
        <v>13.4610169491525</v>
      </c>
      <c r="G173" s="2065">
        <f>F173*0.97/0.51</f>
        <v>25.602326354270438</v>
      </c>
      <c r="H173" s="2065">
        <f>G173*0.39/0.97</f>
        <v>10.293718843469557</v>
      </c>
      <c r="I173" s="2065">
        <f>H173*0.47/0.39</f>
        <v>12.405250913924851</v>
      </c>
      <c r="J173" s="2065">
        <f>I173*0.45/0.47</f>
        <v>11.877367896311029</v>
      </c>
      <c r="K173" s="2065">
        <f>J173*(1+K174)</f>
        <v>11.639820538384807</v>
      </c>
      <c r="L173" s="2065">
        <f t="shared" ref="L173:S173" si="138">K173*(1+L174)</f>
        <v>11.407024127617111</v>
      </c>
      <c r="M173" s="2065">
        <f t="shared" si="138"/>
        <v>11.178883645064769</v>
      </c>
      <c r="N173" s="2065">
        <f t="shared" si="138"/>
        <v>10.955305972163472</v>
      </c>
      <c r="O173" s="2065">
        <f t="shared" si="138"/>
        <v>10.736199852720203</v>
      </c>
      <c r="P173" s="2065">
        <f t="shared" si="138"/>
        <v>10.628837854193002</v>
      </c>
      <c r="Q173" s="2065">
        <f t="shared" si="138"/>
        <v>10.522549475651072</v>
      </c>
      <c r="R173" s="2065">
        <f t="shared" si="138"/>
        <v>10.417323980894562</v>
      </c>
      <c r="S173" s="2065">
        <f t="shared" si="138"/>
        <v>10.313150741085616</v>
      </c>
      <c r="T173" s="1935" t="s">
        <v>1419</v>
      </c>
      <c r="W173" s="1911"/>
      <c r="X173" s="1911"/>
      <c r="Y173" s="1911"/>
      <c r="Z173" s="1911"/>
      <c r="AA173" s="2087"/>
      <c r="AB173" s="1938"/>
      <c r="AC173" s="1938"/>
      <c r="AD173" s="1938"/>
      <c r="AE173" s="1938"/>
      <c r="AF173" s="1938"/>
      <c r="AG173" s="1938"/>
      <c r="AH173" s="1938"/>
      <c r="AI173" s="1938"/>
      <c r="AJ173" s="1938"/>
      <c r="AK173" s="1938"/>
      <c r="AL173" s="1938"/>
    </row>
    <row r="174" spans="1:38" s="2034" customFormat="1">
      <c r="B174" s="2034" t="s">
        <v>1235</v>
      </c>
      <c r="E174" s="2373">
        <f>E173/D173-1</f>
        <v>-4.9999999999999378E-2</v>
      </c>
      <c r="F174" s="2373">
        <f>F173/E173-1</f>
        <v>1.1999999999999931</v>
      </c>
      <c r="G174" s="2373">
        <f t="shared" ref="G174:J174" si="139">G173/F173-1</f>
        <v>0.90196078431372539</v>
      </c>
      <c r="H174" s="2373">
        <f t="shared" si="139"/>
        <v>-0.59793814432989689</v>
      </c>
      <c r="I174" s="2373">
        <f t="shared" si="139"/>
        <v>0.20512820512820507</v>
      </c>
      <c r="J174" s="2373">
        <f t="shared" si="139"/>
        <v>-4.2553191489361653E-2</v>
      </c>
      <c r="K174" s="2105">
        <f>-0.02</f>
        <v>-0.02</v>
      </c>
      <c r="L174" s="2105">
        <f>K174</f>
        <v>-0.02</v>
      </c>
      <c r="M174" s="2105">
        <f t="shared" ref="M174:O174" si="140">L174</f>
        <v>-0.02</v>
      </c>
      <c r="N174" s="2105">
        <f t="shared" si="140"/>
        <v>-0.02</v>
      </c>
      <c r="O174" s="2105">
        <f t="shared" si="140"/>
        <v>-0.02</v>
      </c>
      <c r="P174" s="2105">
        <f>-0.01</f>
        <v>-0.01</v>
      </c>
      <c r="Q174" s="2105">
        <f t="shared" ref="Q174:S174" si="141">-0.01</f>
        <v>-0.01</v>
      </c>
      <c r="R174" s="2105">
        <f t="shared" si="141"/>
        <v>-0.01</v>
      </c>
      <c r="S174" s="2105">
        <f t="shared" si="141"/>
        <v>-0.01</v>
      </c>
      <c r="T174" s="2091"/>
      <c r="U174" s="2091"/>
      <c r="V174" s="2091"/>
      <c r="W174" s="2106"/>
      <c r="X174" s="2106"/>
      <c r="Y174" s="2106"/>
      <c r="Z174" s="2106"/>
      <c r="AA174" s="2087"/>
      <c r="AB174" s="2087"/>
      <c r="AC174" s="2087"/>
      <c r="AD174" s="2087"/>
      <c r="AE174" s="2087"/>
      <c r="AF174" s="2087"/>
      <c r="AG174" s="2087"/>
      <c r="AH174" s="2087"/>
      <c r="AI174" s="2087"/>
      <c r="AJ174" s="2087"/>
      <c r="AK174" s="2087"/>
      <c r="AL174" s="2087"/>
    </row>
    <row r="175" spans="1:38" s="1935" customFormat="1">
      <c r="B175" s="1935" t="s">
        <v>320</v>
      </c>
      <c r="D175" s="2065">
        <f>48754893520/10^9</f>
        <v>48.754893520000003</v>
      </c>
      <c r="E175" s="1935">
        <v>0</v>
      </c>
      <c r="F175" s="1935">
        <f>13466273668/10^9</f>
        <v>13.466273667999999</v>
      </c>
      <c r="G175" s="1935">
        <f>G170*(1-G176)</f>
        <v>59.107716788223705</v>
      </c>
      <c r="H175" s="1935">
        <f t="shared" ref="H175:S175" si="142">H170*(1-H176)</f>
        <v>23.764958296296129</v>
      </c>
      <c r="I175" s="1935">
        <f t="shared" si="142"/>
        <v>28.639821536561996</v>
      </c>
      <c r="J175" s="1935">
        <f t="shared" si="142"/>
        <v>27.421105726495529</v>
      </c>
      <c r="K175" s="1935">
        <f t="shared" si="142"/>
        <v>26.872683611965623</v>
      </c>
      <c r="L175" s="1935">
        <f t="shared" si="142"/>
        <v>26.335229939726307</v>
      </c>
      <c r="M175" s="1935">
        <f t="shared" si="142"/>
        <v>25.80852534093178</v>
      </c>
      <c r="N175" s="1935">
        <f t="shared" si="142"/>
        <v>25.292354834113144</v>
      </c>
      <c r="O175" s="1935">
        <f t="shared" si="142"/>
        <v>24.786507737430881</v>
      </c>
      <c r="P175" s="1935">
        <f t="shared" si="142"/>
        <v>24.538642660056571</v>
      </c>
      <c r="Q175" s="1935">
        <f t="shared" si="142"/>
        <v>24.293256233456006</v>
      </c>
      <c r="R175" s="1935">
        <f t="shared" si="142"/>
        <v>24.050323671121451</v>
      </c>
      <c r="S175" s="1935">
        <f t="shared" si="142"/>
        <v>23.809820434410234</v>
      </c>
      <c r="W175" s="1911"/>
      <c r="X175" s="1911"/>
      <c r="Y175" s="1911"/>
      <c r="Z175" s="1911"/>
      <c r="AA175" s="1938"/>
      <c r="AB175" s="1938"/>
      <c r="AC175" s="1938"/>
      <c r="AD175" s="1938"/>
      <c r="AE175" s="1938"/>
      <c r="AF175" s="1938"/>
      <c r="AG175" s="1938"/>
      <c r="AH175" s="1938"/>
      <c r="AI175" s="1938"/>
      <c r="AJ175" s="1938"/>
      <c r="AK175" s="1938"/>
      <c r="AL175" s="1938"/>
    </row>
    <row r="176" spans="1:38" s="1935" customFormat="1">
      <c r="B176" s="1935" t="s">
        <v>1226</v>
      </c>
      <c r="D176" s="2063">
        <f>(D170-D175)/D170</f>
        <v>-0.28051036433005638</v>
      </c>
      <c r="E176" s="1935">
        <v>0</v>
      </c>
      <c r="F176" s="2063">
        <f t="shared" ref="F176" si="143">(F170-F175)/F170</f>
        <v>0.43925509718108163</v>
      </c>
      <c r="G176" s="2063">
        <v>0.4</v>
      </c>
      <c r="H176" s="2063">
        <f>G176</f>
        <v>0.4</v>
      </c>
      <c r="I176" s="2063">
        <f t="shared" ref="I176:S176" si="144">H176</f>
        <v>0.4</v>
      </c>
      <c r="J176" s="2063">
        <f t="shared" si="144"/>
        <v>0.4</v>
      </c>
      <c r="K176" s="2063">
        <f t="shared" si="144"/>
        <v>0.4</v>
      </c>
      <c r="L176" s="2063">
        <f t="shared" si="144"/>
        <v>0.4</v>
      </c>
      <c r="M176" s="2063">
        <f t="shared" si="144"/>
        <v>0.4</v>
      </c>
      <c r="N176" s="2063">
        <f t="shared" si="144"/>
        <v>0.4</v>
      </c>
      <c r="O176" s="2063">
        <f t="shared" si="144"/>
        <v>0.4</v>
      </c>
      <c r="P176" s="2063">
        <f t="shared" si="144"/>
        <v>0.4</v>
      </c>
      <c r="Q176" s="2063">
        <f t="shared" si="144"/>
        <v>0.4</v>
      </c>
      <c r="R176" s="2063">
        <f t="shared" si="144"/>
        <v>0.4</v>
      </c>
      <c r="S176" s="2063">
        <f t="shared" si="144"/>
        <v>0.4</v>
      </c>
      <c r="T176" s="2100"/>
      <c r="U176" s="2100"/>
      <c r="V176" s="2100"/>
      <c r="W176" s="1911"/>
      <c r="X176" s="1911"/>
      <c r="Y176" s="1911"/>
      <c r="Z176" s="1911"/>
      <c r="AA176" s="1938"/>
      <c r="AB176" s="1938"/>
      <c r="AC176" s="1938"/>
      <c r="AD176" s="1938"/>
      <c r="AE176" s="1938"/>
      <c r="AF176" s="1938"/>
      <c r="AG176" s="1938"/>
      <c r="AH176" s="1938"/>
      <c r="AI176" s="1938"/>
      <c r="AJ176" s="1938"/>
      <c r="AK176" s="1938"/>
      <c r="AL176" s="1938"/>
    </row>
    <row r="177" spans="1:38" s="1935" customFormat="1">
      <c r="B177" s="2387" t="s">
        <v>659</v>
      </c>
      <c r="C177" s="2387"/>
      <c r="D177" s="2388">
        <f>1500/10</f>
        <v>150</v>
      </c>
      <c r="E177" s="2388">
        <f t="shared" ref="E177:M177" si="145">1500/10</f>
        <v>150</v>
      </c>
      <c r="F177" s="2388">
        <f t="shared" si="145"/>
        <v>150</v>
      </c>
      <c r="G177" s="2388">
        <f t="shared" si="145"/>
        <v>150</v>
      </c>
      <c r="H177" s="2388">
        <f t="shared" si="145"/>
        <v>150</v>
      </c>
      <c r="I177" s="2388">
        <f t="shared" si="145"/>
        <v>150</v>
      </c>
      <c r="J177" s="2388">
        <f t="shared" si="145"/>
        <v>150</v>
      </c>
      <c r="K177" s="2388">
        <f t="shared" si="145"/>
        <v>150</v>
      </c>
      <c r="L177" s="2388">
        <f t="shared" si="145"/>
        <v>150</v>
      </c>
      <c r="M177" s="2388">
        <f t="shared" si="145"/>
        <v>150</v>
      </c>
      <c r="N177" s="2388">
        <v>0</v>
      </c>
      <c r="O177" s="2389">
        <f>N177</f>
        <v>0</v>
      </c>
      <c r="P177" s="2389">
        <f t="shared" ref="P177:S177" si="146">O177</f>
        <v>0</v>
      </c>
      <c r="Q177" s="2389">
        <f t="shared" si="146"/>
        <v>0</v>
      </c>
      <c r="R177" s="2389">
        <f t="shared" si="146"/>
        <v>0</v>
      </c>
      <c r="S177" s="2389">
        <f t="shared" si="146"/>
        <v>0</v>
      </c>
      <c r="T177" s="2700" t="s">
        <v>1425</v>
      </c>
      <c r="U177" s="1911"/>
      <c r="V177" s="1911"/>
      <c r="W177" s="1911"/>
      <c r="X177" s="1911"/>
      <c r="Y177" s="1911"/>
      <c r="Z177" s="1911"/>
      <c r="AA177" s="1938"/>
      <c r="AB177" s="1938"/>
      <c r="AC177" s="1938"/>
      <c r="AD177" s="1938"/>
      <c r="AE177" s="1938"/>
      <c r="AF177" s="1938"/>
      <c r="AG177" s="1938"/>
      <c r="AH177" s="1938"/>
      <c r="AI177" s="1938"/>
      <c r="AJ177" s="1938"/>
      <c r="AK177" s="1938"/>
      <c r="AL177" s="1938"/>
    </row>
    <row r="178" spans="1:38" s="1935" customFormat="1">
      <c r="B178" s="2387" t="s">
        <v>1307</v>
      </c>
      <c r="C178" s="2387"/>
      <c r="D178" s="2388">
        <f>D181*D171/1000000</f>
        <v>48.754893520000003</v>
      </c>
      <c r="E178" s="2388" t="e">
        <f t="shared" ref="E178:S178" si="147">E181*E171/1000000</f>
        <v>#DIV/0!</v>
      </c>
      <c r="F178" s="2388">
        <f t="shared" si="147"/>
        <v>13.466273667999999</v>
      </c>
      <c r="G178" s="2388">
        <f t="shared" si="147"/>
        <v>59.107716788223705</v>
      </c>
      <c r="H178" s="2388">
        <f t="shared" si="147"/>
        <v>23.764958296296125</v>
      </c>
      <c r="I178" s="2388">
        <f t="shared" si="147"/>
        <v>28.639821536561996</v>
      </c>
      <c r="J178" s="2388">
        <f t="shared" si="147"/>
        <v>27.421105726495529</v>
      </c>
      <c r="K178" s="2388">
        <f t="shared" si="147"/>
        <v>26.872683611965627</v>
      </c>
      <c r="L178" s="2388">
        <f t="shared" si="147"/>
        <v>26.335229939726307</v>
      </c>
      <c r="M178" s="2388">
        <f t="shared" si="147"/>
        <v>25.808525340931784</v>
      </c>
      <c r="N178" s="2388">
        <f t="shared" si="147"/>
        <v>25.292354834113144</v>
      </c>
      <c r="O178" s="2388">
        <f t="shared" si="147"/>
        <v>24.786507737430881</v>
      </c>
      <c r="P178" s="2388">
        <f t="shared" si="147"/>
        <v>24.538642660056574</v>
      </c>
      <c r="Q178" s="2388">
        <f t="shared" si="147"/>
        <v>24.29325623345601</v>
      </c>
      <c r="R178" s="2388">
        <f t="shared" si="147"/>
        <v>24.050323671121451</v>
      </c>
      <c r="S178" s="2388">
        <f t="shared" si="147"/>
        <v>23.809820434410234</v>
      </c>
      <c r="T178" s="2700"/>
      <c r="U178" s="1911"/>
      <c r="V178" s="1911"/>
      <c r="W178" s="1911"/>
      <c r="X178" s="1911"/>
      <c r="Y178" s="1911"/>
      <c r="Z178" s="1911"/>
      <c r="AA178" s="1938"/>
      <c r="AB178" s="1938"/>
      <c r="AC178" s="1938"/>
      <c r="AD178" s="1938"/>
      <c r="AE178" s="1938"/>
      <c r="AF178" s="1938"/>
      <c r="AG178" s="1938"/>
      <c r="AH178" s="1938"/>
      <c r="AI178" s="1938"/>
      <c r="AJ178" s="1938"/>
      <c r="AK178" s="1938"/>
      <c r="AL178" s="1938"/>
    </row>
    <row r="179" spans="1:38" s="1935" customFormat="1">
      <c r="B179" s="1952" t="s">
        <v>1300</v>
      </c>
      <c r="C179" s="1952"/>
      <c r="D179" s="1952">
        <f>D170-D175</f>
        <v>-10.680314135000003</v>
      </c>
      <c r="E179" s="1952">
        <f t="shared" ref="E179:S179" si="148">E170-E175</f>
        <v>0</v>
      </c>
      <c r="F179" s="1952">
        <f t="shared" si="148"/>
        <v>10.548699273</v>
      </c>
      <c r="G179" s="1952">
        <f t="shared" si="148"/>
        <v>39.405144525482477</v>
      </c>
      <c r="H179" s="1952">
        <f t="shared" si="148"/>
        <v>15.843305530864086</v>
      </c>
      <c r="I179" s="1952">
        <f t="shared" si="148"/>
        <v>19.093214357708</v>
      </c>
      <c r="J179" s="1952">
        <f t="shared" si="148"/>
        <v>18.280737150997023</v>
      </c>
      <c r="K179" s="1952">
        <f t="shared" si="148"/>
        <v>17.915122407977083</v>
      </c>
      <c r="L179" s="1952">
        <f t="shared" si="148"/>
        <v>17.556819959817542</v>
      </c>
      <c r="M179" s="1952">
        <f t="shared" si="148"/>
        <v>17.205683560621189</v>
      </c>
      <c r="N179" s="1952">
        <f t="shared" si="148"/>
        <v>16.861569889408766</v>
      </c>
      <c r="O179" s="1952">
        <f t="shared" si="148"/>
        <v>16.52433849162059</v>
      </c>
      <c r="P179" s="1952">
        <f t="shared" si="148"/>
        <v>16.359095106704384</v>
      </c>
      <c r="Q179" s="1952">
        <f t="shared" si="148"/>
        <v>16.195504155637337</v>
      </c>
      <c r="R179" s="1952">
        <f t="shared" si="148"/>
        <v>16.033549114080966</v>
      </c>
      <c r="S179" s="1952">
        <f t="shared" si="148"/>
        <v>15.873213622940156</v>
      </c>
      <c r="T179" s="1952"/>
      <c r="U179" s="1952"/>
      <c r="V179" s="1952"/>
      <c r="W179" s="1982"/>
      <c r="X179" s="1982"/>
      <c r="Y179" s="1982"/>
      <c r="Z179" s="1982"/>
      <c r="AA179" s="1938"/>
      <c r="AB179" s="1938"/>
      <c r="AC179" s="1938"/>
      <c r="AD179" s="1938"/>
      <c r="AE179" s="1938"/>
      <c r="AF179" s="1938"/>
      <c r="AG179" s="1938"/>
      <c r="AH179" s="1938"/>
      <c r="AI179" s="1938"/>
      <c r="AJ179" s="1938"/>
      <c r="AK179" s="1938"/>
      <c r="AL179" s="1938"/>
    </row>
    <row r="180" spans="1:38" s="2034" customFormat="1">
      <c r="B180" s="2034" t="s">
        <v>1226</v>
      </c>
      <c r="I180" s="2277"/>
      <c r="W180" s="1947"/>
      <c r="X180" s="2107"/>
      <c r="Y180" s="1947"/>
      <c r="Z180" s="1947"/>
      <c r="AA180" s="2087"/>
      <c r="AB180" s="2087"/>
      <c r="AC180" s="2087"/>
      <c r="AD180" s="2087"/>
      <c r="AE180" s="2087"/>
      <c r="AF180" s="2087"/>
      <c r="AG180" s="2087"/>
      <c r="AH180" s="2087"/>
      <c r="AI180" s="2087"/>
      <c r="AJ180" s="2087"/>
      <c r="AK180" s="2087"/>
      <c r="AL180" s="2087"/>
    </row>
    <row r="181" spans="1:38" s="2034" customFormat="1">
      <c r="B181" s="2034" t="s">
        <v>1308</v>
      </c>
      <c r="D181" s="1935">
        <f>D175/D171*1000000</f>
        <v>8247.3548889054418</v>
      </c>
      <c r="E181" s="1935" t="e">
        <f t="shared" ref="E181:S181" si="149">E175/E171*1000000</f>
        <v>#DIV/0!</v>
      </c>
      <c r="F181" s="1935">
        <f t="shared" si="149"/>
        <v>7548.1966409963316</v>
      </c>
      <c r="G181" s="1935">
        <f t="shared" si="149"/>
        <v>15361.395812562263</v>
      </c>
      <c r="H181" s="1935">
        <f t="shared" si="149"/>
        <v>6176.2313060817341</v>
      </c>
      <c r="I181" s="1935">
        <f t="shared" si="149"/>
        <v>7443.1505483549099</v>
      </c>
      <c r="J181" s="1935">
        <f t="shared" si="149"/>
        <v>7126.420737786616</v>
      </c>
      <c r="K181" s="1935">
        <f t="shared" si="149"/>
        <v>6983.8923230308856</v>
      </c>
      <c r="L181" s="1935">
        <f t="shared" si="149"/>
        <v>6844.214476570266</v>
      </c>
      <c r="M181" s="1935">
        <f t="shared" si="149"/>
        <v>6707.3301870388614</v>
      </c>
      <c r="N181" s="1935">
        <f t="shared" si="149"/>
        <v>6573.1835832980832</v>
      </c>
      <c r="O181" s="1935">
        <f t="shared" si="149"/>
        <v>6441.7199116321217</v>
      </c>
      <c r="P181" s="1935">
        <f t="shared" si="149"/>
        <v>6377.3027125158005</v>
      </c>
      <c r="Q181" s="1935">
        <f t="shared" si="149"/>
        <v>6313.529685390643</v>
      </c>
      <c r="R181" s="1935">
        <f t="shared" si="149"/>
        <v>6250.3943885367371</v>
      </c>
      <c r="S181" s="1935">
        <f t="shared" si="149"/>
        <v>6187.8904446513689</v>
      </c>
      <c r="T181" s="2108"/>
      <c r="U181" s="2108"/>
      <c r="V181" s="2108"/>
      <c r="W181" s="1947"/>
      <c r="X181" s="2107"/>
      <c r="Y181" s="1947"/>
      <c r="Z181" s="1947"/>
      <c r="AA181" s="2087"/>
      <c r="AB181" s="2087"/>
      <c r="AC181" s="2087"/>
      <c r="AD181" s="2087"/>
      <c r="AE181" s="2087"/>
      <c r="AF181" s="2087"/>
      <c r="AG181" s="2087"/>
      <c r="AH181" s="2087"/>
      <c r="AI181" s="2087"/>
      <c r="AJ181" s="2087"/>
      <c r="AK181" s="2087"/>
      <c r="AL181" s="2087"/>
    </row>
    <row r="182" spans="1:38" s="2034" customFormat="1">
      <c r="I182" s="2277"/>
      <c r="K182" s="1947"/>
      <c r="M182" s="2109"/>
      <c r="N182" s="1947"/>
      <c r="O182" s="1947"/>
      <c r="P182" s="1947"/>
      <c r="Q182" s="1947"/>
      <c r="R182" s="1947"/>
      <c r="S182" s="1947"/>
      <c r="T182" s="1947"/>
      <c r="U182" s="1947"/>
      <c r="V182" s="1947"/>
      <c r="W182" s="1947"/>
      <c r="X182" s="1947"/>
      <c r="Y182" s="1947"/>
      <c r="Z182" s="1947"/>
      <c r="AA182" s="2087"/>
      <c r="AB182" s="2087"/>
      <c r="AC182" s="2087"/>
      <c r="AD182" s="2087"/>
      <c r="AE182" s="2087"/>
      <c r="AF182" s="2087"/>
      <c r="AG182" s="2087"/>
      <c r="AH182" s="2087"/>
      <c r="AI182" s="2087"/>
      <c r="AJ182" s="2087"/>
      <c r="AK182" s="2087"/>
      <c r="AL182" s="2087"/>
    </row>
    <row r="183" spans="1:38" s="2034" customFormat="1">
      <c r="A183" s="2110" t="s">
        <v>1309</v>
      </c>
      <c r="I183" s="2277"/>
      <c r="M183" s="1946"/>
      <c r="N183" s="1946"/>
      <c r="O183" s="1946"/>
      <c r="P183" s="1946"/>
      <c r="Q183" s="1946"/>
      <c r="R183" s="1946"/>
      <c r="S183" s="1947"/>
      <c r="T183" s="1947"/>
      <c r="U183" s="1947"/>
      <c r="V183" s="1947"/>
      <c r="W183" s="1947"/>
      <c r="X183" s="1947"/>
      <c r="Y183" s="1947"/>
      <c r="Z183" s="1947"/>
      <c r="AA183" s="2087"/>
      <c r="AB183" s="2087"/>
      <c r="AC183" s="2087"/>
      <c r="AD183" s="2087"/>
      <c r="AE183" s="2087"/>
      <c r="AF183" s="2087"/>
      <c r="AG183" s="2087"/>
      <c r="AH183" s="2087"/>
      <c r="AI183" s="2087"/>
      <c r="AJ183" s="2087"/>
      <c r="AK183" s="2087"/>
      <c r="AL183" s="2087"/>
    </row>
    <row r="184" spans="1:38" s="2034" customFormat="1">
      <c r="B184" s="1952" t="s">
        <v>317</v>
      </c>
      <c r="C184" s="1952"/>
      <c r="D184" s="1969"/>
      <c r="E184" s="1969"/>
      <c r="F184" s="1969"/>
      <c r="G184" s="1969"/>
      <c r="H184" s="1969"/>
      <c r="I184" s="2254"/>
      <c r="J184" s="2111"/>
      <c r="K184" s="2111"/>
      <c r="L184" s="2111"/>
      <c r="M184" s="2111"/>
      <c r="N184" s="1969"/>
      <c r="O184" s="1969"/>
      <c r="P184" s="1969"/>
      <c r="Q184" s="1969"/>
      <c r="R184" s="1969"/>
      <c r="S184" s="1969"/>
      <c r="T184" s="1969"/>
      <c r="U184" s="1969"/>
      <c r="V184" s="1947"/>
      <c r="W184" s="1947"/>
      <c r="X184" s="1947"/>
      <c r="Y184" s="1947"/>
      <c r="Z184" s="1947"/>
      <c r="AA184" s="2087"/>
      <c r="AB184" s="2087"/>
      <c r="AC184" s="2087"/>
      <c r="AD184" s="2087"/>
      <c r="AE184" s="2087"/>
      <c r="AF184" s="2087"/>
      <c r="AG184" s="2087"/>
      <c r="AH184" s="2087"/>
      <c r="AI184" s="2087"/>
      <c r="AJ184" s="2087"/>
      <c r="AK184" s="2087"/>
      <c r="AL184" s="2087"/>
    </row>
    <row r="185" spans="1:38" s="2034" customFormat="1">
      <c r="B185" s="1935" t="s">
        <v>1306</v>
      </c>
      <c r="C185" s="1935"/>
      <c r="D185" s="1969"/>
      <c r="E185" s="1969"/>
      <c r="F185" s="1969"/>
      <c r="G185" s="1969"/>
      <c r="H185" s="1969"/>
      <c r="I185" s="2254"/>
      <c r="J185" s="2111"/>
      <c r="K185" s="2111"/>
      <c r="L185" s="2111"/>
      <c r="M185" s="2111"/>
      <c r="N185" s="2112"/>
      <c r="O185" s="2112"/>
      <c r="P185" s="2112"/>
      <c r="Q185" s="2112"/>
      <c r="R185" s="2112"/>
      <c r="S185" s="2112"/>
      <c r="T185" s="2112"/>
      <c r="U185" s="2112"/>
      <c r="V185" s="1947"/>
      <c r="W185" s="1947"/>
      <c r="X185" s="1947"/>
      <c r="Y185" s="1947"/>
      <c r="Z185" s="1947"/>
      <c r="AA185" s="2087"/>
      <c r="AB185" s="2087"/>
      <c r="AC185" s="2087"/>
      <c r="AD185" s="2087"/>
      <c r="AE185" s="2087"/>
      <c r="AF185" s="2087"/>
      <c r="AG185" s="2087"/>
      <c r="AH185" s="2087"/>
      <c r="AI185" s="2087"/>
      <c r="AJ185" s="2087"/>
      <c r="AK185" s="2087"/>
      <c r="AL185" s="2087"/>
    </row>
    <row r="186" spans="1:38" s="2034" customFormat="1">
      <c r="B186" s="2042" t="s">
        <v>1272</v>
      </c>
      <c r="C186" s="2042"/>
      <c r="D186" s="1969"/>
      <c r="E186" s="1969"/>
      <c r="F186" s="1969"/>
      <c r="G186" s="1969"/>
      <c r="H186" s="1969"/>
      <c r="I186" s="2254"/>
      <c r="J186" s="1969"/>
      <c r="K186" s="2113"/>
      <c r="L186" s="2113"/>
      <c r="M186" s="2113"/>
      <c r="N186" s="1946"/>
      <c r="O186" s="1946"/>
      <c r="P186" s="1946"/>
      <c r="Q186" s="1946"/>
      <c r="R186" s="1946"/>
      <c r="S186" s="1946"/>
      <c r="T186" s="1946"/>
      <c r="U186" s="1946"/>
      <c r="V186" s="1947"/>
      <c r="W186" s="1947"/>
      <c r="X186" s="1947"/>
      <c r="Y186" s="1947"/>
      <c r="Z186" s="1947"/>
      <c r="AA186" s="2087"/>
      <c r="AB186" s="2087"/>
      <c r="AC186" s="2087"/>
      <c r="AD186" s="2087"/>
      <c r="AE186" s="2087"/>
      <c r="AF186" s="2087"/>
      <c r="AG186" s="2087"/>
      <c r="AH186" s="2087"/>
      <c r="AI186" s="2087"/>
      <c r="AJ186" s="2087"/>
      <c r="AK186" s="2087"/>
      <c r="AL186" s="2087"/>
    </row>
    <row r="187" spans="1:38" s="2034" customFormat="1">
      <c r="B187" s="1935" t="s">
        <v>1299</v>
      </c>
      <c r="C187" s="1935"/>
      <c r="D187" s="1969"/>
      <c r="E187" s="1969"/>
      <c r="F187" s="1969"/>
      <c r="G187" s="1969"/>
      <c r="H187" s="1969"/>
      <c r="I187" s="2254"/>
      <c r="J187" s="1969"/>
      <c r="K187" s="1969"/>
      <c r="L187" s="1969"/>
      <c r="M187" s="1969"/>
      <c r="N187" s="1969"/>
      <c r="O187" s="1969"/>
      <c r="P187" s="1969"/>
      <c r="Q187" s="1969"/>
      <c r="R187" s="1969"/>
      <c r="S187" s="1969"/>
      <c r="T187" s="1969"/>
      <c r="U187" s="1969"/>
      <c r="V187" s="2114"/>
      <c r="W187" s="1947"/>
      <c r="X187" s="1947"/>
      <c r="Y187" s="1947"/>
      <c r="Z187" s="1947"/>
      <c r="AA187" s="2087"/>
      <c r="AB187" s="2087"/>
      <c r="AC187" s="2087"/>
      <c r="AD187" s="2087"/>
      <c r="AE187" s="2087"/>
      <c r="AF187" s="2087"/>
      <c r="AG187" s="2087"/>
      <c r="AH187" s="2087"/>
      <c r="AI187" s="2087"/>
      <c r="AJ187" s="2087"/>
      <c r="AK187" s="2087"/>
      <c r="AL187" s="2087"/>
    </row>
    <row r="188" spans="1:38" s="2034" customFormat="1">
      <c r="B188" s="2034" t="s">
        <v>1235</v>
      </c>
      <c r="D188" s="1969"/>
      <c r="E188" s="1969"/>
      <c r="F188" s="1969"/>
      <c r="G188" s="1969"/>
      <c r="H188" s="1969"/>
      <c r="I188" s="2254"/>
      <c r="J188" s="1969"/>
      <c r="K188" s="2115"/>
      <c r="L188" s="2115"/>
      <c r="M188" s="2115"/>
      <c r="N188" s="2116"/>
      <c r="O188" s="2116"/>
      <c r="P188" s="2116"/>
      <c r="Q188" s="2116"/>
      <c r="R188" s="2116"/>
      <c r="S188" s="2116"/>
      <c r="T188" s="2116"/>
      <c r="U188" s="2116"/>
      <c r="V188" s="1947"/>
      <c r="W188" s="1947"/>
      <c r="X188" s="1947"/>
      <c r="Y188" s="1947"/>
      <c r="Z188" s="1947"/>
      <c r="AA188" s="2087"/>
      <c r="AB188" s="2087"/>
      <c r="AC188" s="2087"/>
      <c r="AD188" s="2087"/>
      <c r="AE188" s="2087"/>
      <c r="AF188" s="2087"/>
      <c r="AG188" s="2087"/>
      <c r="AH188" s="2087"/>
      <c r="AI188" s="2087"/>
      <c r="AJ188" s="2087"/>
      <c r="AK188" s="2087"/>
      <c r="AL188" s="2087"/>
    </row>
    <row r="189" spans="1:38" s="2034" customFormat="1">
      <c r="B189" s="1935" t="s">
        <v>320</v>
      </c>
      <c r="C189" s="1935"/>
      <c r="D189" s="1969"/>
      <c r="E189" s="1969"/>
      <c r="F189" s="1969"/>
      <c r="G189" s="1969"/>
      <c r="H189" s="1969"/>
      <c r="I189" s="2254"/>
      <c r="J189" s="2111"/>
      <c r="K189" s="2111"/>
      <c r="L189" s="2111"/>
      <c r="M189" s="2117"/>
      <c r="N189" s="2117"/>
      <c r="O189" s="2117"/>
      <c r="P189" s="2117"/>
      <c r="Q189" s="2117"/>
      <c r="R189" s="2117"/>
      <c r="S189" s="2117"/>
      <c r="T189" s="2117"/>
      <c r="U189" s="2117"/>
      <c r="V189" s="1947"/>
      <c r="W189" s="1947"/>
      <c r="X189" s="1947"/>
      <c r="Y189" s="1947"/>
      <c r="Z189" s="1947"/>
      <c r="AA189" s="2087"/>
      <c r="AB189" s="2087"/>
      <c r="AC189" s="2087"/>
      <c r="AD189" s="2087"/>
      <c r="AE189" s="2087"/>
      <c r="AF189" s="2087"/>
      <c r="AG189" s="2087"/>
      <c r="AH189" s="2087"/>
      <c r="AI189" s="2087"/>
      <c r="AJ189" s="2087"/>
      <c r="AK189" s="2087"/>
      <c r="AL189" s="2087"/>
    </row>
    <row r="190" spans="1:38" s="2034" customFormat="1">
      <c r="B190" s="1952" t="s">
        <v>1300</v>
      </c>
      <c r="C190" s="1952"/>
      <c r="D190" s="1969"/>
      <c r="E190" s="1969"/>
      <c r="F190" s="1969"/>
      <c r="G190" s="1969"/>
      <c r="H190" s="1969"/>
      <c r="I190" s="2254"/>
      <c r="J190" s="1969"/>
      <c r="K190" s="1969"/>
      <c r="L190" s="1969"/>
      <c r="M190" s="1969"/>
      <c r="N190" s="1969"/>
      <c r="O190" s="1969"/>
      <c r="P190" s="1969"/>
      <c r="Q190" s="1969"/>
      <c r="R190" s="1969"/>
      <c r="S190" s="1969"/>
      <c r="T190" s="1969"/>
      <c r="U190" s="1969"/>
      <c r="V190" s="1947"/>
      <c r="W190" s="1947"/>
      <c r="X190" s="1947"/>
      <c r="Y190" s="1947"/>
      <c r="Z190" s="1947"/>
      <c r="AA190" s="2087"/>
      <c r="AB190" s="2087"/>
      <c r="AC190" s="2087"/>
      <c r="AD190" s="2087"/>
      <c r="AE190" s="2087"/>
      <c r="AF190" s="2087"/>
      <c r="AG190" s="2087"/>
      <c r="AH190" s="2087"/>
      <c r="AI190" s="2087"/>
      <c r="AJ190" s="2087"/>
      <c r="AK190" s="2087"/>
      <c r="AL190" s="2087"/>
    </row>
    <row r="191" spans="1:38" s="2043" customFormat="1">
      <c r="B191" s="2010" t="s">
        <v>1226</v>
      </c>
      <c r="C191" s="2010"/>
      <c r="D191" s="2118"/>
      <c r="E191" s="2118"/>
      <c r="F191" s="2118"/>
      <c r="G191" s="2118"/>
      <c r="H191" s="2118"/>
      <c r="I191" s="2287"/>
      <c r="J191" s="2022"/>
      <c r="K191" s="2022"/>
      <c r="L191" s="2022"/>
      <c r="M191" s="2113"/>
      <c r="N191" s="2101"/>
      <c r="O191" s="2101"/>
      <c r="P191" s="2100"/>
      <c r="Q191" s="2100"/>
      <c r="R191" s="2100"/>
      <c r="S191" s="2100"/>
      <c r="T191" s="2100"/>
      <c r="U191" s="2100"/>
      <c r="V191" s="2011"/>
      <c r="W191" s="2011"/>
      <c r="X191" s="2011"/>
      <c r="Y191" s="2011"/>
      <c r="Z191" s="2011"/>
      <c r="AA191" s="2083"/>
      <c r="AB191" s="2083"/>
      <c r="AC191" s="2083"/>
      <c r="AD191" s="2083"/>
      <c r="AE191" s="2083"/>
      <c r="AF191" s="2083"/>
      <c r="AG191" s="2083"/>
      <c r="AH191" s="2083"/>
      <c r="AI191" s="2083"/>
      <c r="AJ191" s="2083"/>
      <c r="AK191" s="2083"/>
      <c r="AL191" s="2083"/>
    </row>
    <row r="192" spans="1:38" s="2034" customFormat="1">
      <c r="I192" s="2277"/>
      <c r="M192" s="2117"/>
      <c r="N192" s="1946"/>
      <c r="O192" s="1946"/>
      <c r="P192" s="1946"/>
      <c r="Q192" s="1946"/>
      <c r="R192" s="1946"/>
      <c r="S192" s="1947"/>
      <c r="T192" s="1947"/>
      <c r="U192" s="1947"/>
      <c r="V192" s="1947"/>
      <c r="W192" s="1947"/>
      <c r="X192" s="1947"/>
      <c r="Y192" s="1947"/>
      <c r="Z192" s="1947"/>
      <c r="AA192" s="2087"/>
      <c r="AB192" s="2087"/>
      <c r="AC192" s="2087"/>
      <c r="AD192" s="2087"/>
      <c r="AE192" s="2087"/>
      <c r="AF192" s="2087"/>
      <c r="AG192" s="2087"/>
      <c r="AH192" s="2087"/>
      <c r="AI192" s="2087"/>
      <c r="AJ192" s="2087"/>
      <c r="AK192" s="2087"/>
      <c r="AL192" s="2087"/>
    </row>
    <row r="193" spans="1:38" s="1911" customFormat="1">
      <c r="A193" s="1982" t="s">
        <v>355</v>
      </c>
      <c r="I193" s="2281"/>
      <c r="AA193" s="2050"/>
      <c r="AB193" s="2050"/>
      <c r="AC193" s="2050"/>
      <c r="AD193" s="2050"/>
      <c r="AE193" s="2050"/>
      <c r="AF193" s="2050"/>
      <c r="AG193" s="2050"/>
      <c r="AH193" s="2050"/>
      <c r="AI193" s="2050"/>
      <c r="AJ193" s="2050"/>
      <c r="AK193" s="2050"/>
      <c r="AL193" s="2050"/>
    </row>
    <row r="194" spans="1:38" s="1911" customFormat="1">
      <c r="B194" s="1911" t="s">
        <v>1310</v>
      </c>
      <c r="D194" s="1911">
        <f>D9-D112-D159-D170-D241</f>
        <v>225.34877552836531</v>
      </c>
      <c r="E194" s="1911">
        <f>E9-E112-E159-E170-E241</f>
        <v>278.99979957805112</v>
      </c>
      <c r="F194" s="1911">
        <f>F9-F112-F159-F170-F241</f>
        <v>693.55518896974536</v>
      </c>
      <c r="G194" s="1911">
        <f>G9-G112-G159-G170-G241</f>
        <v>543.00515290693761</v>
      </c>
      <c r="H194" s="1911">
        <f>H9-H112-H159-H170-H241</f>
        <v>620.06950437582236</v>
      </c>
      <c r="I194" s="1911">
        <f>I9-I112-I159-I170-I241-V248</f>
        <v>739.98095752800191</v>
      </c>
      <c r="J194" s="1911">
        <f>I194*(1+J195)</f>
        <v>881.41247895376534</v>
      </c>
      <c r="K194" s="1911">
        <f t="shared" ref="K194:S194" si="150">J194*(1+K195)</f>
        <v>993.72123197764984</v>
      </c>
      <c r="L194" s="1911">
        <f t="shared" si="150"/>
        <v>1057.0307465815508</v>
      </c>
      <c r="M194" s="1911">
        <f t="shared" si="150"/>
        <v>1090.7022136560222</v>
      </c>
      <c r="N194" s="1911">
        <f t="shared" si="150"/>
        <v>1108.0742455453228</v>
      </c>
      <c r="O194" s="1911">
        <f t="shared" si="150"/>
        <v>1116.8986069926157</v>
      </c>
      <c r="P194" s="1911">
        <f t="shared" si="150"/>
        <v>1161.3717866902005</v>
      </c>
      <c r="Q194" s="1911">
        <f t="shared" si="150"/>
        <v>1253.8598529153915</v>
      </c>
      <c r="R194" s="1911">
        <f t="shared" si="150"/>
        <v>1403.6401486517493</v>
      </c>
      <c r="S194" s="1911">
        <f t="shared" si="150"/>
        <v>1571.3125054017114</v>
      </c>
      <c r="T194" s="2701" t="s">
        <v>1465</v>
      </c>
      <c r="U194" s="2702"/>
      <c r="X194" s="2064"/>
      <c r="Y194" s="2064"/>
      <c r="Z194" s="2064"/>
      <c r="AA194" s="2050"/>
      <c r="AB194" s="2050"/>
      <c r="AC194" s="2050"/>
      <c r="AD194" s="2050"/>
      <c r="AE194" s="2050"/>
      <c r="AF194" s="2050"/>
      <c r="AG194" s="2050"/>
      <c r="AH194" s="2050"/>
      <c r="AI194" s="2050"/>
      <c r="AJ194" s="2050"/>
      <c r="AK194" s="2050"/>
      <c r="AL194" s="2050"/>
    </row>
    <row r="195" spans="1:38" s="2119" customFormat="1">
      <c r="B195" s="2119" t="s">
        <v>1272</v>
      </c>
      <c r="E195" s="2422">
        <f>E194/D194-1</f>
        <v>0.23807994484945683</v>
      </c>
      <c r="F195" s="2422">
        <f t="shared" ref="F195:I195" si="151">F194/E194-1</f>
        <v>1.4858626781046165</v>
      </c>
      <c r="G195" s="2422">
        <f t="shared" si="151"/>
        <v>-0.21707001613879517</v>
      </c>
      <c r="H195" s="2422">
        <f t="shared" si="151"/>
        <v>0.14192195240934002</v>
      </c>
      <c r="I195" s="2422">
        <f t="shared" si="151"/>
        <v>0.19338389052512017</v>
      </c>
      <c r="J195" s="2422">
        <f>AVERAGE(E195,H195,I195)</f>
        <v>0.19112859592797235</v>
      </c>
      <c r="K195" s="2422">
        <f>J195/1.5</f>
        <v>0.12741906395198158</v>
      </c>
      <c r="L195" s="2422">
        <f>K195/2</f>
        <v>6.3709531975990788E-2</v>
      </c>
      <c r="M195" s="2422">
        <f t="shared" ref="M195" si="152">L195/2</f>
        <v>3.1854765987995394E-2</v>
      </c>
      <c r="N195" s="2422">
        <f>M195/2</f>
        <v>1.5927382993997697E-2</v>
      </c>
      <c r="O195" s="2422">
        <f>N195/2</f>
        <v>7.9636914969988485E-3</v>
      </c>
      <c r="P195" s="2422">
        <f>O195*5</f>
        <v>3.9818457484994241E-2</v>
      </c>
      <c r="Q195" s="2422">
        <f>P195*2</f>
        <v>7.9636914969988482E-2</v>
      </c>
      <c r="R195" s="2422">
        <f>Q195*1.5</f>
        <v>0.11945537245498272</v>
      </c>
      <c r="S195" s="2422">
        <f t="shared" ref="S195" si="153">R195</f>
        <v>0.11945537245498272</v>
      </c>
      <c r="T195" s="2702"/>
      <c r="U195" s="2702"/>
      <c r="V195" s="2044"/>
      <c r="W195" s="2011"/>
      <c r="X195" s="2011"/>
      <c r="Y195" s="2011"/>
      <c r="Z195" s="2011"/>
    </row>
    <row r="196" spans="1:38" s="1957" customFormat="1">
      <c r="B196" s="1957" t="s">
        <v>1311</v>
      </c>
      <c r="I196" s="2289"/>
    </row>
    <row r="197" spans="1:38" s="1911" customFormat="1">
      <c r="B197" s="1911" t="s">
        <v>1312</v>
      </c>
      <c r="D197" s="1911">
        <f>D11-D115-D165-D175-D253</f>
        <v>121.07867627199926</v>
      </c>
      <c r="E197" s="1911">
        <f>E11-E115-E165-E175-E253</f>
        <v>143.05688492799959</v>
      </c>
      <c r="F197" s="1911">
        <f>F11-F115-F165-F175-F253</f>
        <v>412.43156697000012</v>
      </c>
      <c r="G197" s="1911">
        <f>G11-G115-G165-G175-G253</f>
        <v>439.74153040877582</v>
      </c>
      <c r="H197" s="1911">
        <f>H11-H115-H165-H175-H253</f>
        <v>599.26648475470415</v>
      </c>
      <c r="I197" s="1911">
        <f>I11-I115-I165-I175-I253-V251</f>
        <v>553.04217419453175</v>
      </c>
      <c r="J197" s="1911">
        <f>J194*(1-J199)</f>
        <v>661.05935921532398</v>
      </c>
      <c r="K197" s="1911">
        <f t="shared" ref="K197:S197" si="154">K194*(1-K199)</f>
        <v>745.29092398323735</v>
      </c>
      <c r="L197" s="1911">
        <f t="shared" si="154"/>
        <v>792.77305993616312</v>
      </c>
      <c r="M197" s="1911">
        <f t="shared" si="154"/>
        <v>818.02666024201665</v>
      </c>
      <c r="N197" s="1911">
        <f t="shared" si="154"/>
        <v>831.05568415899211</v>
      </c>
      <c r="O197" s="1911">
        <f t="shared" si="154"/>
        <v>837.67395524446169</v>
      </c>
      <c r="P197" s="1911">
        <f t="shared" si="154"/>
        <v>841.99454535039536</v>
      </c>
      <c r="Q197" s="1911">
        <f t="shared" si="154"/>
        <v>874.56724740848551</v>
      </c>
      <c r="R197" s="1911">
        <f t="shared" si="154"/>
        <v>936.57888918787955</v>
      </c>
      <c r="S197" s="1911">
        <f t="shared" si="154"/>
        <v>1048.4582692292918</v>
      </c>
      <c r="AA197" s="2050"/>
      <c r="AB197" s="2050"/>
      <c r="AC197" s="2050"/>
      <c r="AD197" s="2050"/>
      <c r="AE197" s="2050"/>
      <c r="AF197" s="2050"/>
      <c r="AG197" s="2050"/>
      <c r="AH197" s="2050"/>
      <c r="AI197" s="2050"/>
      <c r="AJ197" s="2050"/>
      <c r="AK197" s="2050"/>
      <c r="AL197" s="2050"/>
    </row>
    <row r="198" spans="1:38" s="1911" customFormat="1">
      <c r="B198" s="1982" t="s">
        <v>1313</v>
      </c>
      <c r="C198" s="1982"/>
      <c r="D198" s="1911">
        <f>D194-D197</f>
        <v>104.27009925636605</v>
      </c>
      <c r="E198" s="1911">
        <f t="shared" ref="E198:I198" si="155">E194-E197</f>
        <v>135.94291465005153</v>
      </c>
      <c r="F198" s="1911">
        <f t="shared" si="155"/>
        <v>281.12362199974524</v>
      </c>
      <c r="G198" s="1911">
        <f t="shared" si="155"/>
        <v>103.26362249816179</v>
      </c>
      <c r="H198" s="1911">
        <f t="shared" si="155"/>
        <v>20.80301962111821</v>
      </c>
      <c r="I198" s="1911">
        <f t="shared" si="155"/>
        <v>186.93878333347016</v>
      </c>
      <c r="J198" s="1911">
        <f>J194-J197</f>
        <v>220.35311973844136</v>
      </c>
      <c r="K198" s="1911">
        <f t="shared" ref="K198:S198" si="156">K194-K197</f>
        <v>248.43030799441249</v>
      </c>
      <c r="L198" s="1911">
        <f t="shared" si="156"/>
        <v>264.25768664538771</v>
      </c>
      <c r="M198" s="1911">
        <f t="shared" si="156"/>
        <v>272.67555341400555</v>
      </c>
      <c r="N198" s="1911">
        <f t="shared" si="156"/>
        <v>277.0185613863307</v>
      </c>
      <c r="O198" s="1911">
        <f t="shared" si="156"/>
        <v>279.22465174815397</v>
      </c>
      <c r="P198" s="1911">
        <f t="shared" si="156"/>
        <v>319.3772413398051</v>
      </c>
      <c r="Q198" s="1911">
        <f t="shared" si="156"/>
        <v>379.29260550690594</v>
      </c>
      <c r="R198" s="1911">
        <f t="shared" si="156"/>
        <v>467.06125946386976</v>
      </c>
      <c r="S198" s="1911">
        <f t="shared" si="156"/>
        <v>522.85423617241963</v>
      </c>
      <c r="AA198" s="2050"/>
      <c r="AB198" s="2050"/>
      <c r="AC198" s="2050"/>
      <c r="AD198" s="2050"/>
      <c r="AE198" s="2050"/>
      <c r="AF198" s="2050"/>
      <c r="AG198" s="2050"/>
      <c r="AH198" s="2050"/>
      <c r="AI198" s="2050"/>
      <c r="AJ198" s="2050"/>
      <c r="AK198" s="2050"/>
      <c r="AL198" s="2050"/>
    </row>
    <row r="199" spans="1:38" s="2666" customFormat="1">
      <c r="B199" s="2666" t="s">
        <v>1226</v>
      </c>
      <c r="D199" s="2667">
        <f>D198/D194</f>
        <v>0.46270541746627447</v>
      </c>
      <c r="E199" s="2667">
        <f t="shared" ref="E199:I199" si="157">E198/E194</f>
        <v>0.48725094016428155</v>
      </c>
      <c r="F199" s="2667">
        <f t="shared" si="157"/>
        <v>0.40533706108860007</v>
      </c>
      <c r="G199" s="2667">
        <f t="shared" si="157"/>
        <v>0.19017061246168235</v>
      </c>
      <c r="H199" s="2667">
        <f t="shared" si="157"/>
        <v>3.3549496426306363E-2</v>
      </c>
      <c r="I199" s="2667">
        <f t="shared" si="157"/>
        <v>0.25262647833258078</v>
      </c>
      <c r="J199" s="2667">
        <v>0.25</v>
      </c>
      <c r="K199" s="2667">
        <f>J199</f>
        <v>0.25</v>
      </c>
      <c r="L199" s="2667">
        <f t="shared" ref="L199:O199" si="158">K199</f>
        <v>0.25</v>
      </c>
      <c r="M199" s="2667">
        <f t="shared" si="158"/>
        <v>0.25</v>
      </c>
      <c r="N199" s="2667">
        <f t="shared" si="158"/>
        <v>0.25</v>
      </c>
      <c r="O199" s="2667">
        <f t="shared" si="158"/>
        <v>0.25</v>
      </c>
      <c r="P199" s="2667">
        <f>O199*1.1</f>
        <v>0.27500000000000002</v>
      </c>
      <c r="Q199" s="2667">
        <f t="shared" ref="Q199:R199" si="159">P199*1.1</f>
        <v>0.30250000000000005</v>
      </c>
      <c r="R199" s="2667">
        <f t="shared" si="159"/>
        <v>0.3327500000000001</v>
      </c>
      <c r="S199" s="2667">
        <f>R199</f>
        <v>0.3327500000000001</v>
      </c>
      <c r="T199" s="2666" t="s">
        <v>1512</v>
      </c>
    </row>
    <row r="200" spans="1:38" s="2011" customFormat="1">
      <c r="I200" s="2288"/>
    </row>
    <row r="201" spans="1:38" s="2034" customFormat="1">
      <c r="B201" s="2110" t="s">
        <v>1314</v>
      </c>
      <c r="C201" s="2110"/>
      <c r="I201" s="2277"/>
      <c r="L201" s="1946"/>
      <c r="M201" s="1946"/>
      <c r="N201" s="1946"/>
      <c r="O201" s="1946"/>
      <c r="P201" s="1946"/>
      <c r="Q201" s="1946"/>
      <c r="R201" s="1947"/>
      <c r="S201" s="1947"/>
      <c r="T201" s="1947"/>
      <c r="U201" s="1947"/>
      <c r="V201" s="1947"/>
      <c r="W201" s="1947"/>
      <c r="X201" s="1947"/>
      <c r="Y201" s="1947"/>
      <c r="Z201" s="1947"/>
      <c r="AA201" s="2087"/>
      <c r="AB201" s="2087"/>
      <c r="AC201" s="2087"/>
      <c r="AD201" s="2087"/>
      <c r="AE201" s="2087"/>
      <c r="AF201" s="2087"/>
      <c r="AG201" s="2087"/>
      <c r="AH201" s="2087"/>
      <c r="AI201" s="2087"/>
      <c r="AJ201" s="2087"/>
      <c r="AK201" s="2087"/>
      <c r="AL201" s="2087"/>
    </row>
    <row r="202" spans="1:38" s="2034" customFormat="1">
      <c r="B202" s="2120" t="s">
        <v>317</v>
      </c>
      <c r="C202" s="2120"/>
      <c r="D202" s="1969"/>
      <c r="E202" s="1969"/>
      <c r="F202" s="1969"/>
      <c r="G202" s="1969"/>
      <c r="H202" s="2111"/>
      <c r="I202" s="2290"/>
      <c r="J202" s="2111"/>
      <c r="K202" s="2111"/>
      <c r="L202" s="1969"/>
      <c r="M202" s="1969"/>
      <c r="N202" s="1969"/>
      <c r="O202" s="1969"/>
      <c r="P202" s="1969"/>
      <c r="Q202" s="1946"/>
      <c r="R202" s="1947"/>
      <c r="S202" s="1947"/>
      <c r="T202" s="1947"/>
      <c r="U202" s="1947"/>
      <c r="V202" s="1947"/>
      <c r="W202" s="1947"/>
      <c r="X202" s="1947"/>
      <c r="Y202" s="1947"/>
      <c r="Z202" s="1947"/>
      <c r="AA202" s="2087"/>
      <c r="AB202" s="2087"/>
      <c r="AC202" s="2087"/>
      <c r="AD202" s="2087"/>
      <c r="AE202" s="2087"/>
      <c r="AF202" s="2087"/>
      <c r="AG202" s="2087"/>
      <c r="AH202" s="2087"/>
      <c r="AI202" s="2087"/>
      <c r="AJ202" s="2087"/>
      <c r="AK202" s="2087"/>
      <c r="AL202" s="2087"/>
    </row>
    <row r="203" spans="1:38" s="2034" customFormat="1">
      <c r="B203" s="2121" t="s">
        <v>1306</v>
      </c>
      <c r="C203" s="2121"/>
      <c r="D203" s="1969"/>
      <c r="E203" s="1969"/>
      <c r="F203" s="1969"/>
      <c r="G203" s="1969"/>
      <c r="H203" s="2111"/>
      <c r="I203" s="2290"/>
      <c r="J203" s="2111"/>
      <c r="K203" s="2111"/>
      <c r="L203" s="1946"/>
      <c r="M203" s="1946"/>
      <c r="N203" s="1946"/>
      <c r="O203" s="1946"/>
      <c r="P203" s="1946"/>
      <c r="Q203" s="1946"/>
      <c r="R203" s="1947"/>
      <c r="S203" s="1947"/>
      <c r="T203" s="1947"/>
      <c r="U203" s="1947"/>
      <c r="V203" s="1947"/>
      <c r="W203" s="1947"/>
      <c r="X203" s="1947"/>
      <c r="Y203" s="1947"/>
      <c r="Z203" s="1947"/>
      <c r="AA203" s="2087"/>
      <c r="AB203" s="2087"/>
      <c r="AC203" s="2087"/>
      <c r="AD203" s="2087"/>
      <c r="AE203" s="2087"/>
      <c r="AF203" s="2087"/>
      <c r="AG203" s="2087"/>
      <c r="AH203" s="2087"/>
      <c r="AI203" s="2087"/>
      <c r="AJ203" s="2087"/>
      <c r="AK203" s="2087"/>
      <c r="AL203" s="2087"/>
    </row>
    <row r="204" spans="1:38" s="2034" customFormat="1">
      <c r="B204" s="2122" t="s">
        <v>1272</v>
      </c>
      <c r="C204" s="2122"/>
      <c r="D204" s="1969"/>
      <c r="E204" s="1969"/>
      <c r="F204" s="1969"/>
      <c r="G204" s="1969"/>
      <c r="H204" s="1969"/>
      <c r="I204" s="2291"/>
      <c r="J204" s="2115"/>
      <c r="K204" s="2115"/>
      <c r="L204" s="1946"/>
      <c r="M204" s="1946"/>
      <c r="N204" s="1946"/>
      <c r="O204" s="1946"/>
      <c r="P204" s="1946"/>
      <c r="Q204" s="1946"/>
      <c r="R204" s="1947"/>
      <c r="S204" s="1947"/>
      <c r="T204" s="1947"/>
      <c r="U204" s="1947"/>
      <c r="V204" s="1947"/>
      <c r="W204" s="1947"/>
      <c r="X204" s="1947"/>
      <c r="Y204" s="1947"/>
      <c r="Z204" s="1947"/>
      <c r="AA204" s="2087"/>
      <c r="AB204" s="2087"/>
      <c r="AC204" s="2087"/>
      <c r="AD204" s="2087"/>
      <c r="AE204" s="2087"/>
      <c r="AF204" s="2087"/>
      <c r="AG204" s="2087"/>
      <c r="AH204" s="2087"/>
      <c r="AI204" s="2087"/>
      <c r="AJ204" s="2087"/>
      <c r="AK204" s="2087"/>
      <c r="AL204" s="2087"/>
    </row>
    <row r="205" spans="1:38" s="2034" customFormat="1">
      <c r="B205" s="2121" t="s">
        <v>1299</v>
      </c>
      <c r="C205" s="2121"/>
      <c r="D205" s="1969"/>
      <c r="E205" s="1969"/>
      <c r="F205" s="1969"/>
      <c r="G205" s="1969"/>
      <c r="H205" s="1969"/>
      <c r="I205" s="2254"/>
      <c r="J205" s="1969"/>
      <c r="K205" s="1969"/>
      <c r="L205" s="1946"/>
      <c r="M205" s="1946"/>
      <c r="N205" s="1946"/>
      <c r="O205" s="1946"/>
      <c r="P205" s="1946"/>
      <c r="Q205" s="1946"/>
      <c r="R205" s="1947"/>
      <c r="S205" s="1947"/>
      <c r="T205" s="1947"/>
      <c r="U205" s="1947"/>
      <c r="V205" s="1947"/>
      <c r="W205" s="1947"/>
      <c r="X205" s="1947"/>
      <c r="Y205" s="1947"/>
      <c r="Z205" s="1947"/>
      <c r="AA205" s="2087"/>
      <c r="AB205" s="2087"/>
      <c r="AC205" s="2087"/>
      <c r="AD205" s="2087"/>
      <c r="AE205" s="2087"/>
      <c r="AF205" s="2087"/>
      <c r="AG205" s="2087"/>
      <c r="AH205" s="2087"/>
      <c r="AI205" s="2087"/>
      <c r="AJ205" s="2087"/>
      <c r="AK205" s="2087"/>
      <c r="AL205" s="2087"/>
    </row>
    <row r="206" spans="1:38" s="2034" customFormat="1">
      <c r="B206" s="2123" t="s">
        <v>1235</v>
      </c>
      <c r="C206" s="2123"/>
      <c r="D206" s="1969"/>
      <c r="E206" s="1969"/>
      <c r="F206" s="1969"/>
      <c r="G206" s="1969"/>
      <c r="H206" s="1969"/>
      <c r="I206" s="2291"/>
      <c r="J206" s="2115"/>
      <c r="K206" s="2115"/>
      <c r="L206" s="1946"/>
      <c r="M206" s="1946"/>
      <c r="N206" s="1946"/>
      <c r="O206" s="1946"/>
      <c r="P206" s="1946"/>
      <c r="Q206" s="1946"/>
      <c r="R206" s="1947"/>
      <c r="S206" s="1947"/>
      <c r="T206" s="1947"/>
      <c r="U206" s="1947"/>
      <c r="V206" s="1947"/>
      <c r="W206" s="1947"/>
      <c r="X206" s="1947"/>
      <c r="Y206" s="1947"/>
      <c r="Z206" s="1947"/>
      <c r="AA206" s="2087"/>
      <c r="AB206" s="2087"/>
      <c r="AC206" s="2087"/>
      <c r="AD206" s="2087"/>
      <c r="AE206" s="2087"/>
      <c r="AF206" s="2087"/>
      <c r="AG206" s="2087"/>
      <c r="AH206" s="2087"/>
      <c r="AI206" s="2087"/>
      <c r="AJ206" s="2087"/>
      <c r="AK206" s="2087"/>
      <c r="AL206" s="2087"/>
    </row>
    <row r="207" spans="1:38" s="2034" customFormat="1">
      <c r="B207" s="2121" t="s">
        <v>320</v>
      </c>
      <c r="C207" s="2121"/>
      <c r="D207" s="1969"/>
      <c r="E207" s="1969"/>
      <c r="F207" s="1969"/>
      <c r="G207" s="1969"/>
      <c r="H207" s="1969"/>
      <c r="I207" s="2254"/>
      <c r="J207" s="2111"/>
      <c r="K207" s="2111"/>
      <c r="L207" s="2117"/>
      <c r="M207" s="2117"/>
      <c r="N207" s="2117"/>
      <c r="O207" s="2117"/>
      <c r="P207" s="2117"/>
      <c r="Q207" s="1946"/>
      <c r="R207" s="1947"/>
      <c r="S207" s="1947"/>
      <c r="T207" s="1947"/>
      <c r="U207" s="1947"/>
      <c r="V207" s="1947"/>
      <c r="W207" s="1947"/>
      <c r="X207" s="1947"/>
      <c r="Y207" s="1947"/>
      <c r="Z207" s="1947"/>
      <c r="AA207" s="2087"/>
      <c r="AB207" s="2087"/>
      <c r="AC207" s="2087"/>
      <c r="AD207" s="2087"/>
      <c r="AE207" s="2087"/>
      <c r="AF207" s="2087"/>
      <c r="AG207" s="2087"/>
      <c r="AH207" s="2087"/>
      <c r="AI207" s="2087"/>
      <c r="AJ207" s="2087"/>
      <c r="AK207" s="2087"/>
      <c r="AL207" s="2087"/>
    </row>
    <row r="208" spans="1:38" s="2034" customFormat="1">
      <c r="B208" s="2120" t="s">
        <v>1300</v>
      </c>
      <c r="C208" s="2120"/>
      <c r="D208" s="1969"/>
      <c r="E208" s="1969"/>
      <c r="F208" s="1969"/>
      <c r="G208" s="1969"/>
      <c r="H208" s="1969"/>
      <c r="I208" s="2254"/>
      <c r="J208" s="1969"/>
      <c r="K208" s="1969"/>
      <c r="L208" s="1969"/>
      <c r="M208" s="1969"/>
      <c r="N208" s="1969"/>
      <c r="O208" s="1969"/>
      <c r="P208" s="1969"/>
      <c r="Q208" s="1946"/>
      <c r="R208" s="1947"/>
      <c r="S208" s="1947"/>
      <c r="T208" s="1947"/>
      <c r="U208" s="1947"/>
      <c r="V208" s="1947"/>
      <c r="W208" s="1947"/>
      <c r="X208" s="1947"/>
      <c r="Y208" s="1947"/>
      <c r="Z208" s="1947"/>
      <c r="AA208" s="2087"/>
      <c r="AB208" s="2087"/>
      <c r="AC208" s="2087"/>
      <c r="AD208" s="2087"/>
      <c r="AE208" s="2087"/>
      <c r="AF208" s="2087"/>
      <c r="AG208" s="2087"/>
      <c r="AH208" s="2087"/>
      <c r="AI208" s="2087"/>
      <c r="AJ208" s="2087"/>
      <c r="AK208" s="2087"/>
      <c r="AL208" s="2087"/>
    </row>
    <row r="209" spans="1:38" s="2043" customFormat="1">
      <c r="B209" s="2124" t="s">
        <v>1226</v>
      </c>
      <c r="C209" s="2124"/>
      <c r="D209" s="2118"/>
      <c r="E209" s="2118"/>
      <c r="F209" s="2118"/>
      <c r="G209" s="2118"/>
      <c r="H209" s="2118"/>
      <c r="I209" s="2287"/>
      <c r="J209" s="2022"/>
      <c r="K209" s="2022"/>
      <c r="L209" s="2010"/>
      <c r="M209" s="2010"/>
      <c r="N209" s="2010"/>
      <c r="O209" s="2010"/>
      <c r="P209" s="2010"/>
      <c r="Q209" s="2010"/>
      <c r="R209" s="2011"/>
      <c r="S209" s="2011"/>
      <c r="T209" s="2011"/>
      <c r="U209" s="2011"/>
      <c r="V209" s="2011"/>
      <c r="W209" s="2011"/>
      <c r="X209" s="2011"/>
      <c r="Y209" s="2011"/>
      <c r="Z209" s="2011"/>
      <c r="AA209" s="2083"/>
      <c r="AB209" s="2083"/>
      <c r="AC209" s="2083"/>
      <c r="AD209" s="2083"/>
      <c r="AE209" s="2083"/>
      <c r="AF209" s="2083"/>
      <c r="AG209" s="2083"/>
      <c r="AH209" s="2083"/>
      <c r="AI209" s="2083"/>
      <c r="AJ209" s="2083"/>
      <c r="AK209" s="2083"/>
      <c r="AL209" s="2083"/>
    </row>
    <row r="210" spans="1:38" s="2043" customFormat="1">
      <c r="B210" s="2010"/>
      <c r="C210" s="2010"/>
      <c r="D210" s="2118"/>
      <c r="E210" s="2118"/>
      <c r="F210" s="2118"/>
      <c r="G210" s="2118"/>
      <c r="H210" s="2118"/>
      <c r="I210" s="2287"/>
      <c r="J210" s="2022"/>
      <c r="K210" s="2022"/>
      <c r="L210" s="2010"/>
      <c r="M210" s="2010"/>
      <c r="N210" s="2010"/>
      <c r="O210" s="2010"/>
      <c r="P210" s="2010"/>
      <c r="Q210" s="2010"/>
      <c r="R210" s="2011"/>
      <c r="S210" s="2011"/>
      <c r="T210" s="2011"/>
      <c r="U210" s="2011"/>
      <c r="V210" s="2011"/>
      <c r="W210" s="2011"/>
      <c r="X210" s="2011"/>
      <c r="Y210" s="2011"/>
      <c r="Z210" s="2011"/>
      <c r="AA210" s="2083"/>
      <c r="AB210" s="2083"/>
      <c r="AC210" s="2083"/>
      <c r="AD210" s="2083"/>
      <c r="AE210" s="2083"/>
      <c r="AF210" s="2083"/>
      <c r="AG210" s="2083"/>
      <c r="AH210" s="2083"/>
      <c r="AI210" s="2083"/>
      <c r="AJ210" s="2083"/>
      <c r="AK210" s="2083"/>
      <c r="AL210" s="2083"/>
    </row>
    <row r="211" spans="1:38" s="2034" customFormat="1">
      <c r="B211" s="2110" t="s">
        <v>1315</v>
      </c>
      <c r="C211" s="2110"/>
      <c r="I211" s="2277"/>
      <c r="L211" s="1946"/>
      <c r="M211" s="1946"/>
      <c r="N211" s="1946"/>
      <c r="O211" s="1946"/>
      <c r="P211" s="1946"/>
      <c r="Q211" s="1946"/>
      <c r="R211" s="1947"/>
      <c r="S211" s="1947"/>
      <c r="T211" s="1947"/>
      <c r="U211" s="1947"/>
      <c r="V211" s="1947"/>
      <c r="W211" s="1947"/>
      <c r="X211" s="1947"/>
      <c r="Y211" s="1947"/>
      <c r="Z211" s="1947"/>
      <c r="AA211" s="2087"/>
      <c r="AB211" s="2087"/>
      <c r="AC211" s="2087"/>
      <c r="AD211" s="2087"/>
      <c r="AE211" s="2087"/>
      <c r="AF211" s="2087"/>
      <c r="AG211" s="2087"/>
      <c r="AH211" s="2087"/>
      <c r="AI211" s="2087"/>
      <c r="AJ211" s="2087"/>
      <c r="AK211" s="2087"/>
      <c r="AL211" s="2087"/>
    </row>
    <row r="212" spans="1:38" s="2034" customFormat="1">
      <c r="B212" s="2120" t="s">
        <v>317</v>
      </c>
      <c r="C212" s="2120"/>
      <c r="D212" s="1969"/>
      <c r="E212" s="1969"/>
      <c r="F212" s="1969"/>
      <c r="G212" s="1969"/>
      <c r="H212" s="1969"/>
      <c r="I212" s="2254"/>
      <c r="J212" s="2111"/>
      <c r="K212" s="2111"/>
      <c r="L212" s="1969"/>
      <c r="M212" s="1969"/>
      <c r="N212" s="1969"/>
      <c r="O212" s="1969"/>
      <c r="P212" s="1969"/>
      <c r="Q212" s="1946"/>
      <c r="R212" s="1947"/>
      <c r="S212" s="1947"/>
      <c r="T212" s="1947"/>
      <c r="U212" s="1947"/>
      <c r="V212" s="1947"/>
      <c r="W212" s="1947"/>
      <c r="X212" s="1947"/>
      <c r="Y212" s="1947"/>
      <c r="Z212" s="1947"/>
      <c r="AA212" s="2087"/>
      <c r="AB212" s="2087"/>
      <c r="AC212" s="2087"/>
      <c r="AD212" s="2087"/>
      <c r="AE212" s="2087"/>
      <c r="AF212" s="2087"/>
      <c r="AG212" s="2087"/>
      <c r="AH212" s="2087"/>
      <c r="AI212" s="2087"/>
      <c r="AJ212" s="2087"/>
      <c r="AK212" s="2087"/>
      <c r="AL212" s="2087"/>
    </row>
    <row r="213" spans="1:38" s="2034" customFormat="1">
      <c r="B213" s="2121" t="s">
        <v>1306</v>
      </c>
      <c r="C213" s="2121"/>
      <c r="D213" s="1969"/>
      <c r="E213" s="1969"/>
      <c r="F213" s="1969"/>
      <c r="G213" s="1969"/>
      <c r="H213" s="2111"/>
      <c r="I213" s="2290"/>
      <c r="J213" s="2111"/>
      <c r="K213" s="2111"/>
      <c r="L213" s="1946"/>
      <c r="M213" s="1946"/>
      <c r="N213" s="1946"/>
      <c r="O213" s="1946"/>
      <c r="P213" s="1946"/>
      <c r="Q213" s="1946"/>
      <c r="R213" s="1947"/>
      <c r="S213" s="1947"/>
      <c r="T213" s="1947"/>
      <c r="U213" s="1947"/>
      <c r="V213" s="1947"/>
      <c r="W213" s="1947"/>
      <c r="X213" s="1947"/>
      <c r="Y213" s="1947"/>
      <c r="Z213" s="1947"/>
      <c r="AA213" s="2087"/>
      <c r="AB213" s="2087"/>
      <c r="AC213" s="2087"/>
      <c r="AD213" s="2087"/>
      <c r="AE213" s="2087"/>
      <c r="AF213" s="2087"/>
      <c r="AG213" s="2087"/>
      <c r="AH213" s="2087"/>
      <c r="AI213" s="2087"/>
      <c r="AJ213" s="2087"/>
      <c r="AK213" s="2087"/>
      <c r="AL213" s="2087"/>
    </row>
    <row r="214" spans="1:38" s="2034" customFormat="1">
      <c r="B214" s="2122" t="s">
        <v>1272</v>
      </c>
      <c r="C214" s="2122"/>
      <c r="D214" s="1969"/>
      <c r="E214" s="1969"/>
      <c r="F214" s="1969"/>
      <c r="G214" s="1969"/>
      <c r="H214" s="1969"/>
      <c r="I214" s="2254"/>
      <c r="J214" s="1969"/>
      <c r="K214" s="1969"/>
      <c r="L214" s="1946"/>
      <c r="M214" s="1946"/>
      <c r="N214" s="1946"/>
      <c r="O214" s="1946"/>
      <c r="P214" s="1946"/>
      <c r="Q214" s="1946"/>
      <c r="R214" s="1947"/>
      <c r="S214" s="1947"/>
      <c r="T214" s="1947"/>
      <c r="U214" s="1947"/>
      <c r="V214" s="1947"/>
      <c r="W214" s="1947"/>
      <c r="X214" s="1947"/>
      <c r="Y214" s="1947"/>
      <c r="Z214" s="1947"/>
      <c r="AA214" s="2087"/>
      <c r="AB214" s="2087"/>
      <c r="AC214" s="2087"/>
      <c r="AD214" s="2087"/>
      <c r="AE214" s="2087"/>
      <c r="AF214" s="2087"/>
      <c r="AG214" s="2087"/>
      <c r="AH214" s="2087"/>
      <c r="AI214" s="2087"/>
      <c r="AJ214" s="2087"/>
      <c r="AK214" s="2087"/>
      <c r="AL214" s="2087"/>
    </row>
    <row r="215" spans="1:38" s="2034" customFormat="1">
      <c r="B215" s="2121" t="s">
        <v>1316</v>
      </c>
      <c r="C215" s="2121"/>
      <c r="D215" s="1969"/>
      <c r="E215" s="1969"/>
      <c r="F215" s="1969"/>
      <c r="G215" s="1969"/>
      <c r="H215" s="1969"/>
      <c r="I215" s="2254"/>
      <c r="J215" s="1969"/>
      <c r="K215" s="1969"/>
      <c r="L215" s="1946"/>
      <c r="M215" s="1946"/>
      <c r="N215" s="1946"/>
      <c r="O215" s="1946"/>
      <c r="P215" s="1946"/>
      <c r="Q215" s="1946"/>
      <c r="R215" s="1947"/>
      <c r="S215" s="1947"/>
      <c r="T215" s="1947"/>
      <c r="U215" s="1947"/>
      <c r="V215" s="1947"/>
      <c r="W215" s="1947"/>
      <c r="X215" s="1947"/>
      <c r="Y215" s="1947"/>
      <c r="Z215" s="1947"/>
      <c r="AA215" s="2087"/>
      <c r="AB215" s="2087"/>
      <c r="AC215" s="2087"/>
      <c r="AD215" s="2087"/>
      <c r="AE215" s="2087"/>
      <c r="AF215" s="2087"/>
      <c r="AG215" s="2087"/>
      <c r="AH215" s="2087"/>
      <c r="AI215" s="2087"/>
      <c r="AJ215" s="2087"/>
      <c r="AK215" s="2087"/>
      <c r="AL215" s="2087"/>
    </row>
    <row r="216" spans="1:38" s="2034" customFormat="1">
      <c r="B216" s="2123" t="s">
        <v>1235</v>
      </c>
      <c r="C216" s="2123"/>
      <c r="D216" s="1969"/>
      <c r="E216" s="1969"/>
      <c r="F216" s="1969"/>
      <c r="G216" s="1969"/>
      <c r="H216" s="1969"/>
      <c r="I216" s="2254"/>
      <c r="J216" s="1969"/>
      <c r="K216" s="1969"/>
      <c r="L216" s="1946"/>
      <c r="M216" s="1946"/>
      <c r="N216" s="1946"/>
      <c r="O216" s="1946"/>
      <c r="P216" s="1946"/>
      <c r="Q216" s="1946"/>
      <c r="R216" s="1947"/>
      <c r="S216" s="1947"/>
      <c r="T216" s="1947"/>
      <c r="U216" s="1947"/>
      <c r="V216" s="1947"/>
      <c r="W216" s="1947"/>
      <c r="X216" s="1947"/>
      <c r="Y216" s="1947"/>
      <c r="Z216" s="1947"/>
      <c r="AA216" s="2087"/>
      <c r="AB216" s="2087"/>
      <c r="AC216" s="2087"/>
      <c r="AD216" s="2087"/>
      <c r="AE216" s="2087"/>
      <c r="AF216" s="2087"/>
      <c r="AG216" s="2087"/>
      <c r="AH216" s="2087"/>
      <c r="AI216" s="2087"/>
      <c r="AJ216" s="2087"/>
      <c r="AK216" s="2087"/>
      <c r="AL216" s="2087"/>
    </row>
    <row r="217" spans="1:38" s="2034" customFormat="1">
      <c r="B217" s="2121" t="s">
        <v>320</v>
      </c>
      <c r="C217" s="2121"/>
      <c r="D217" s="1969"/>
      <c r="E217" s="1969"/>
      <c r="F217" s="1969"/>
      <c r="G217" s="1969"/>
      <c r="H217" s="1969"/>
      <c r="I217" s="2254"/>
      <c r="J217" s="2111"/>
      <c r="K217" s="2111"/>
      <c r="L217" s="2117"/>
      <c r="M217" s="2117"/>
      <c r="N217" s="2117"/>
      <c r="O217" s="2117"/>
      <c r="P217" s="2117"/>
      <c r="Q217" s="1946"/>
      <c r="R217" s="1947"/>
      <c r="S217" s="1947"/>
      <c r="T217" s="1947"/>
      <c r="U217" s="1947"/>
      <c r="V217" s="1947"/>
      <c r="W217" s="1947"/>
      <c r="X217" s="1947"/>
      <c r="Y217" s="1947"/>
      <c r="Z217" s="1947"/>
      <c r="AA217" s="2087"/>
      <c r="AB217" s="2087"/>
      <c r="AC217" s="2087"/>
      <c r="AD217" s="2087"/>
      <c r="AE217" s="2087"/>
      <c r="AF217" s="2087"/>
      <c r="AG217" s="2087"/>
      <c r="AH217" s="2087"/>
      <c r="AI217" s="2087"/>
      <c r="AJ217" s="2087"/>
      <c r="AK217" s="2087"/>
      <c r="AL217" s="2087"/>
    </row>
    <row r="218" spans="1:38" s="2034" customFormat="1">
      <c r="B218" s="2120" t="s">
        <v>1300</v>
      </c>
      <c r="C218" s="2120"/>
      <c r="D218" s="1969"/>
      <c r="E218" s="1969"/>
      <c r="F218" s="1969"/>
      <c r="G218" s="1969"/>
      <c r="H218" s="1969"/>
      <c r="I218" s="2254"/>
      <c r="J218" s="1969"/>
      <c r="K218" s="1969"/>
      <c r="L218" s="1969"/>
      <c r="M218" s="1969"/>
      <c r="N218" s="1969"/>
      <c r="O218" s="1969"/>
      <c r="P218" s="1969"/>
      <c r="Q218" s="1946"/>
      <c r="R218" s="1947"/>
      <c r="S218" s="1947"/>
      <c r="T218" s="1947"/>
      <c r="U218" s="1947"/>
      <c r="V218" s="1947"/>
      <c r="W218" s="1947"/>
      <c r="X218" s="1947"/>
      <c r="Y218" s="1947"/>
      <c r="Z218" s="1947"/>
      <c r="AA218" s="2087"/>
      <c r="AB218" s="2087"/>
      <c r="AC218" s="2087"/>
      <c r="AD218" s="2087"/>
      <c r="AE218" s="2087"/>
      <c r="AF218" s="2087"/>
      <c r="AG218" s="2087"/>
      <c r="AH218" s="2087"/>
      <c r="AI218" s="2087"/>
      <c r="AJ218" s="2087"/>
      <c r="AK218" s="2087"/>
      <c r="AL218" s="2087"/>
    </row>
    <row r="219" spans="1:38" s="2043" customFormat="1">
      <c r="B219" s="2124" t="s">
        <v>1226</v>
      </c>
      <c r="C219" s="2124"/>
      <c r="D219" s="2118"/>
      <c r="E219" s="2118"/>
      <c r="F219" s="2118"/>
      <c r="G219" s="2118"/>
      <c r="H219" s="2118"/>
      <c r="I219" s="2287"/>
      <c r="J219" s="2022"/>
      <c r="K219" s="2022"/>
      <c r="L219" s="2010"/>
      <c r="M219" s="2010"/>
      <c r="N219" s="2010"/>
      <c r="O219" s="2010"/>
      <c r="P219" s="2010"/>
      <c r="Q219" s="2010"/>
      <c r="R219" s="2011"/>
      <c r="S219" s="2011"/>
      <c r="T219" s="2011"/>
      <c r="U219" s="2011"/>
      <c r="V219" s="2011"/>
      <c r="W219" s="2011"/>
      <c r="X219" s="2011"/>
      <c r="Y219" s="2011"/>
      <c r="Z219" s="2011"/>
      <c r="AA219" s="2083"/>
      <c r="AB219" s="2083"/>
      <c r="AC219" s="2083"/>
      <c r="AD219" s="2083"/>
      <c r="AE219" s="2083"/>
      <c r="AF219" s="2083"/>
      <c r="AG219" s="2083"/>
      <c r="AH219" s="2083"/>
      <c r="AI219" s="2083"/>
      <c r="AJ219" s="2083"/>
      <c r="AK219" s="2083"/>
      <c r="AL219" s="2083"/>
    </row>
    <row r="220" spans="1:38" s="2034" customFormat="1">
      <c r="I220" s="2277"/>
      <c r="K220" s="1947"/>
      <c r="L220" s="1947"/>
      <c r="M220" s="1947"/>
      <c r="N220" s="1947"/>
      <c r="O220" s="1947"/>
      <c r="P220" s="1947"/>
      <c r="Q220" s="1947"/>
      <c r="R220" s="1947"/>
      <c r="S220" s="1947"/>
      <c r="T220" s="1947"/>
      <c r="U220" s="1947"/>
      <c r="V220" s="1947"/>
      <c r="W220" s="1947"/>
      <c r="X220" s="1947"/>
      <c r="Y220" s="1947"/>
      <c r="Z220" s="1947"/>
      <c r="AA220" s="2087"/>
      <c r="AB220" s="2087"/>
      <c r="AC220" s="2087"/>
      <c r="AD220" s="2087"/>
      <c r="AE220" s="2087"/>
      <c r="AF220" s="2087"/>
      <c r="AG220" s="2087"/>
      <c r="AH220" s="2087"/>
      <c r="AI220" s="2087"/>
      <c r="AJ220" s="2087"/>
      <c r="AK220" s="2087"/>
      <c r="AL220" s="2087"/>
    </row>
    <row r="221" spans="1:38" s="1911" customFormat="1">
      <c r="A221" s="1982" t="s">
        <v>1317</v>
      </c>
      <c r="I221" s="2281"/>
      <c r="AA221" s="2050"/>
      <c r="AB221" s="2050"/>
      <c r="AC221" s="2050"/>
      <c r="AD221" s="2050"/>
      <c r="AE221" s="2050"/>
      <c r="AF221" s="2050"/>
      <c r="AG221" s="2050"/>
      <c r="AH221" s="2050"/>
      <c r="AI221" s="2050"/>
      <c r="AJ221" s="2050"/>
      <c r="AK221" s="2050"/>
      <c r="AL221" s="2050"/>
    </row>
    <row r="222" spans="1:38" s="1935" customFormat="1">
      <c r="B222" s="1935" t="s">
        <v>317</v>
      </c>
      <c r="D222" s="2032"/>
      <c r="E222" s="2032"/>
      <c r="F222" s="2032"/>
      <c r="G222" s="2032"/>
      <c r="H222" s="2032"/>
      <c r="I222" s="2276"/>
      <c r="J222" s="2032"/>
      <c r="K222" s="2032"/>
      <c r="L222" s="2032"/>
      <c r="V222" s="1911"/>
      <c r="W222" s="1911"/>
      <c r="X222" s="1911"/>
      <c r="Y222" s="1911"/>
      <c r="Z222" s="1911"/>
      <c r="AA222" s="1938"/>
      <c r="AB222" s="1938"/>
      <c r="AC222" s="1938"/>
      <c r="AD222" s="1938"/>
      <c r="AE222" s="1938"/>
      <c r="AF222" s="1938"/>
      <c r="AG222" s="1938"/>
      <c r="AH222" s="1938"/>
      <c r="AI222" s="1938"/>
      <c r="AJ222" s="1938"/>
      <c r="AK222" s="1938"/>
      <c r="AL222" s="1938"/>
    </row>
    <row r="223" spans="1:38" s="2012" customFormat="1">
      <c r="B223" s="2012" t="s">
        <v>1272</v>
      </c>
      <c r="E223" s="2072"/>
      <c r="F223" s="2072"/>
      <c r="G223" s="2072"/>
      <c r="H223" s="2072"/>
      <c r="I223" s="2292"/>
      <c r="J223" s="2072"/>
      <c r="K223" s="2072"/>
      <c r="L223" s="2072"/>
      <c r="M223" s="2010"/>
      <c r="N223" s="2010"/>
      <c r="O223" s="2010"/>
      <c r="P223" s="2010"/>
      <c r="Q223" s="2011"/>
      <c r="R223" s="2011"/>
      <c r="S223" s="2011"/>
      <c r="T223" s="2011"/>
      <c r="U223" s="2011"/>
      <c r="V223" s="2011"/>
      <c r="W223" s="2011"/>
      <c r="X223" s="2011"/>
      <c r="Y223" s="2011"/>
      <c r="Z223" s="2011"/>
    </row>
    <row r="224" spans="1:38" s="1935" customFormat="1">
      <c r="B224" s="1935" t="s">
        <v>1318</v>
      </c>
      <c r="H224" s="2032"/>
      <c r="I224" s="2276"/>
      <c r="J224" s="2032"/>
      <c r="K224" s="2032"/>
      <c r="L224" s="2032"/>
      <c r="V224" s="1911"/>
      <c r="W224" s="1911"/>
      <c r="X224" s="1911"/>
      <c r="Y224" s="1911"/>
      <c r="Z224" s="1911"/>
      <c r="AA224" s="1938"/>
      <c r="AB224" s="1938"/>
      <c r="AC224" s="1938"/>
      <c r="AD224" s="1938"/>
      <c r="AE224" s="1938"/>
      <c r="AF224" s="1938"/>
      <c r="AG224" s="1938"/>
      <c r="AH224" s="1938"/>
      <c r="AI224" s="1938"/>
      <c r="AJ224" s="1938"/>
      <c r="AK224" s="1938"/>
      <c r="AL224" s="1938"/>
    </row>
    <row r="225" spans="1:38" s="1935" customFormat="1">
      <c r="B225" s="1952" t="s">
        <v>1300</v>
      </c>
      <c r="C225" s="1952"/>
      <c r="I225" s="1937"/>
      <c r="V225" s="1911"/>
      <c r="W225" s="1911"/>
      <c r="X225" s="1911"/>
      <c r="Y225" s="1911"/>
      <c r="Z225" s="1911"/>
      <c r="AA225" s="1938"/>
      <c r="AB225" s="1938"/>
      <c r="AC225" s="1938"/>
      <c r="AD225" s="1938"/>
      <c r="AE225" s="1938"/>
      <c r="AF225" s="1938"/>
      <c r="AG225" s="1938"/>
      <c r="AH225" s="1938"/>
      <c r="AI225" s="1938"/>
      <c r="AJ225" s="1938"/>
      <c r="AK225" s="1938"/>
      <c r="AL225" s="1938"/>
    </row>
    <row r="226" spans="1:38" s="2012" customFormat="1">
      <c r="B226" s="2012" t="s">
        <v>1226</v>
      </c>
      <c r="D226" s="2010"/>
      <c r="E226" s="2010"/>
      <c r="F226" s="2010"/>
      <c r="G226" s="2010"/>
      <c r="H226" s="2010"/>
      <c r="I226" s="2271"/>
      <c r="J226" s="2010"/>
      <c r="K226" s="2010"/>
      <c r="L226" s="2010"/>
      <c r="M226" s="2101"/>
      <c r="N226" s="2101"/>
      <c r="O226" s="2101"/>
      <c r="P226" s="2101"/>
      <c r="Q226" s="2101"/>
      <c r="R226" s="2101"/>
      <c r="S226" s="2101"/>
      <c r="T226" s="2101"/>
      <c r="U226" s="2101"/>
      <c r="V226" s="2011"/>
      <c r="W226" s="2011"/>
      <c r="X226" s="2011"/>
      <c r="Y226" s="2011"/>
      <c r="Z226" s="2011"/>
      <c r="AB226" s="1958"/>
      <c r="AC226" s="1958"/>
    </row>
    <row r="227" spans="1:38" s="2012" customFormat="1">
      <c r="D227" s="2010"/>
      <c r="E227" s="2010"/>
      <c r="F227" s="2010"/>
      <c r="G227" s="2010"/>
      <c r="H227" s="2010"/>
      <c r="I227" s="2271"/>
      <c r="J227" s="2010"/>
      <c r="K227" s="2010"/>
      <c r="L227" s="2010"/>
      <c r="M227" s="2101"/>
      <c r="N227" s="2101"/>
      <c r="O227" s="2101"/>
      <c r="P227" s="2101"/>
      <c r="Q227" s="2101"/>
      <c r="R227" s="2101"/>
      <c r="S227" s="2101"/>
      <c r="T227" s="2101"/>
      <c r="U227" s="2101"/>
      <c r="V227" s="2011"/>
      <c r="W227" s="2011"/>
      <c r="X227" s="2011"/>
      <c r="Y227" s="2011"/>
      <c r="Z227" s="2011"/>
      <c r="AB227" s="1958"/>
      <c r="AC227" s="1958"/>
    </row>
    <row r="228" spans="1:38" s="2012" customFormat="1">
      <c r="A228" s="1982" t="s">
        <v>1520</v>
      </c>
      <c r="B228" s="1911"/>
      <c r="D228" s="2010"/>
      <c r="E228" s="2010"/>
      <c r="F228" s="2010"/>
      <c r="G228" s="2010"/>
      <c r="H228" s="2010"/>
      <c r="I228" s="2271"/>
      <c r="J228" s="2010"/>
      <c r="K228" s="2010"/>
      <c r="L228" s="2010"/>
      <c r="M228" s="2101"/>
      <c r="N228" s="2101"/>
      <c r="O228" s="2101"/>
      <c r="P228" s="2101"/>
      <c r="Q228" s="2101"/>
      <c r="R228" s="2101"/>
      <c r="S228" s="2101"/>
      <c r="T228" s="2101"/>
      <c r="U228" s="2101"/>
      <c r="V228" s="2011"/>
      <c r="W228" s="2011"/>
      <c r="X228" s="2011"/>
      <c r="Y228" s="2011"/>
      <c r="Z228" s="2011"/>
      <c r="AB228" s="1958"/>
      <c r="AC228" s="1958"/>
    </row>
    <row r="229" spans="1:38" s="2012" customFormat="1">
      <c r="A229" s="1935"/>
      <c r="B229" s="1935" t="s">
        <v>317</v>
      </c>
      <c r="D229" s="2010"/>
      <c r="E229" s="2010"/>
      <c r="F229" s="2010"/>
      <c r="G229" s="2010"/>
      <c r="H229" s="2010"/>
      <c r="I229" s="2271"/>
      <c r="J229" s="2010"/>
      <c r="K229" s="2010"/>
      <c r="L229" s="2010"/>
      <c r="M229" s="2101"/>
      <c r="N229" s="2101"/>
      <c r="O229" s="2101"/>
      <c r="P229" s="2101"/>
      <c r="Q229" s="2101"/>
      <c r="R229" s="2101"/>
      <c r="S229" s="2101"/>
      <c r="T229" s="2101"/>
      <c r="U229" s="2101"/>
      <c r="V229" s="2011"/>
      <c r="W229" s="2011"/>
      <c r="X229" s="2011"/>
      <c r="Y229" s="2011"/>
      <c r="Z229" s="2011"/>
      <c r="AB229" s="1958"/>
      <c r="AC229" s="1958"/>
    </row>
    <row r="230" spans="1:38" s="2012" customFormat="1">
      <c r="B230" s="2012" t="s">
        <v>1272</v>
      </c>
      <c r="D230" s="2010"/>
      <c r="E230" s="2010"/>
      <c r="F230" s="2010"/>
      <c r="G230" s="2010"/>
      <c r="H230" s="2010"/>
      <c r="I230" s="2271"/>
      <c r="J230" s="2010"/>
      <c r="K230" s="2010"/>
      <c r="L230" s="2010"/>
      <c r="M230" s="2101"/>
      <c r="N230" s="2101"/>
      <c r="O230" s="2101"/>
      <c r="P230" s="2101"/>
      <c r="Q230" s="2101"/>
      <c r="R230" s="2101"/>
      <c r="S230" s="2101"/>
      <c r="T230" s="2101"/>
      <c r="U230" s="2101"/>
      <c r="V230" s="2011"/>
      <c r="W230" s="2011"/>
      <c r="X230" s="2011"/>
      <c r="Y230" s="2011"/>
      <c r="Z230" s="2011"/>
      <c r="AB230" s="1958"/>
      <c r="AC230" s="1958"/>
    </row>
    <row r="231" spans="1:38" s="2012" customFormat="1">
      <c r="B231" s="2012" t="s">
        <v>1521</v>
      </c>
      <c r="D231" s="2010"/>
      <c r="E231" s="2010"/>
      <c r="F231" s="2010"/>
      <c r="G231" s="2010"/>
      <c r="H231" s="2010"/>
      <c r="I231" s="2271"/>
      <c r="J231" s="2010"/>
      <c r="K231" s="2010"/>
      <c r="L231" s="2010"/>
      <c r="M231" s="2101"/>
      <c r="N231" s="2101"/>
      <c r="O231" s="2101"/>
      <c r="P231" s="2101"/>
      <c r="Q231" s="2101"/>
      <c r="R231" s="2101"/>
      <c r="S231" s="2101"/>
      <c r="T231" s="2101"/>
      <c r="U231" s="2101"/>
      <c r="V231" s="2011"/>
      <c r="W231" s="2011"/>
      <c r="X231" s="2011"/>
      <c r="Y231" s="2011"/>
      <c r="Z231" s="2011"/>
      <c r="AB231" s="1958"/>
      <c r="AC231" s="1958"/>
    </row>
    <row r="232" spans="1:38" s="2012" customFormat="1">
      <c r="B232" s="2012" t="s">
        <v>1522</v>
      </c>
      <c r="D232" s="2010"/>
      <c r="E232" s="2010"/>
      <c r="F232" s="2010"/>
      <c r="G232" s="2010"/>
      <c r="H232" s="2010"/>
      <c r="I232" s="2271"/>
      <c r="J232" s="2010"/>
      <c r="K232" s="2010"/>
      <c r="L232" s="2010"/>
      <c r="M232" s="2101"/>
      <c r="N232" s="2101"/>
      <c r="O232" s="2101"/>
      <c r="P232" s="2101"/>
      <c r="Q232" s="2101"/>
      <c r="R232" s="2101"/>
      <c r="S232" s="2101"/>
      <c r="T232" s="2101"/>
      <c r="U232" s="2101"/>
      <c r="V232" s="2011"/>
      <c r="W232" s="2011"/>
      <c r="X232" s="2011"/>
      <c r="Y232" s="2011"/>
      <c r="Z232" s="2011"/>
      <c r="AB232" s="1958"/>
      <c r="AC232" s="1958"/>
    </row>
    <row r="233" spans="1:38" s="2012" customFormat="1">
      <c r="A233" s="1935"/>
      <c r="B233" s="1935" t="s">
        <v>1318</v>
      </c>
      <c r="D233" s="2010"/>
      <c r="E233" s="2010"/>
      <c r="F233" s="2010"/>
      <c r="G233" s="2010"/>
      <c r="H233" s="2010"/>
      <c r="I233" s="2271"/>
      <c r="J233" s="2010"/>
      <c r="K233" s="2010"/>
      <c r="L233" s="2010"/>
      <c r="M233" s="2101"/>
      <c r="N233" s="2101"/>
      <c r="O233" s="2101"/>
      <c r="P233" s="2101"/>
      <c r="Q233" s="2101"/>
      <c r="R233" s="2101"/>
      <c r="S233" s="2101"/>
      <c r="T233" s="2101"/>
      <c r="U233" s="2101"/>
      <c r="V233" s="2011"/>
      <c r="W233" s="2011"/>
      <c r="X233" s="2011"/>
      <c r="Y233" s="2011"/>
      <c r="Z233" s="2011"/>
      <c r="AB233" s="1958"/>
      <c r="AC233" s="1958"/>
    </row>
    <row r="234" spans="1:38" s="2012" customFormat="1">
      <c r="A234" s="1935"/>
      <c r="B234" s="1952" t="s">
        <v>1300</v>
      </c>
      <c r="D234" s="2010"/>
      <c r="E234" s="2010"/>
      <c r="F234" s="2010"/>
      <c r="G234" s="2010"/>
      <c r="H234" s="2010"/>
      <c r="I234" s="2271"/>
      <c r="J234" s="2010"/>
      <c r="K234" s="2010"/>
      <c r="L234" s="2010"/>
      <c r="M234" s="2101"/>
      <c r="N234" s="2101"/>
      <c r="O234" s="2101"/>
      <c r="P234" s="2101"/>
      <c r="Q234" s="2101"/>
      <c r="R234" s="2101"/>
      <c r="S234" s="2101"/>
      <c r="T234" s="2101"/>
      <c r="U234" s="2101"/>
      <c r="V234" s="2011"/>
      <c r="W234" s="2011"/>
      <c r="X234" s="2011"/>
      <c r="Y234" s="2011"/>
      <c r="Z234" s="2011"/>
      <c r="AB234" s="1958"/>
      <c r="AC234" s="1958"/>
    </row>
    <row r="235" spans="1:38" s="2012" customFormat="1">
      <c r="B235" s="2012" t="s">
        <v>1226</v>
      </c>
      <c r="D235" s="2010"/>
      <c r="E235" s="2010"/>
      <c r="F235" s="2010"/>
      <c r="G235" s="2010"/>
      <c r="H235" s="2010"/>
      <c r="I235" s="2271"/>
      <c r="J235" s="2010"/>
      <c r="K235" s="2010"/>
      <c r="L235" s="2010"/>
      <c r="M235" s="2101"/>
      <c r="N235" s="2101"/>
      <c r="O235" s="2101"/>
      <c r="P235" s="2101"/>
      <c r="Q235" s="2101"/>
      <c r="R235" s="2101"/>
      <c r="S235" s="2101"/>
      <c r="T235" s="2101"/>
      <c r="U235" s="2101"/>
      <c r="V235" s="2011"/>
      <c r="W235" s="2011"/>
      <c r="X235" s="2011"/>
      <c r="Y235" s="2011"/>
      <c r="Z235" s="2011"/>
      <c r="AB235" s="1958"/>
      <c r="AC235" s="1958"/>
    </row>
    <row r="236" spans="1:38" s="2125" customFormat="1">
      <c r="D236" s="2126"/>
      <c r="E236" s="2126"/>
      <c r="F236" s="2126"/>
      <c r="G236" s="2126"/>
      <c r="H236" s="2126"/>
      <c r="I236" s="2293"/>
      <c r="J236" s="2126"/>
      <c r="K236" s="2126"/>
      <c r="L236" s="2126"/>
      <c r="M236" s="2126"/>
      <c r="N236" s="2126"/>
      <c r="O236" s="2010"/>
      <c r="P236" s="2127"/>
      <c r="Q236" s="2127"/>
      <c r="R236" s="2127"/>
      <c r="S236" s="2127"/>
      <c r="T236" s="2127"/>
      <c r="U236" s="2127"/>
      <c r="V236" s="2127"/>
      <c r="W236" s="2127"/>
      <c r="X236" s="2127"/>
      <c r="Y236" s="2127"/>
      <c r="Z236" s="2127"/>
      <c r="AB236" s="2128"/>
      <c r="AC236" s="2128"/>
    </row>
    <row r="237" spans="1:38" s="2033" customFormat="1">
      <c r="B237" s="2703" t="s">
        <v>1485</v>
      </c>
      <c r="C237" s="2703"/>
      <c r="D237" s="2703"/>
      <c r="E237" s="2703"/>
      <c r="F237" s="2703"/>
      <c r="G237" s="2703"/>
      <c r="H237" s="2703"/>
      <c r="I237" s="2704"/>
      <c r="J237" s="2099"/>
      <c r="K237" s="2034"/>
      <c r="L237" s="2034"/>
      <c r="M237" s="2034"/>
      <c r="N237" s="2034"/>
      <c r="O237" s="2129"/>
      <c r="P237" s="2106"/>
      <c r="Q237" s="2106"/>
      <c r="R237" s="2106"/>
      <c r="S237" s="2106"/>
      <c r="T237" s="2106"/>
      <c r="U237" s="2106"/>
      <c r="V237" s="2106"/>
      <c r="W237" s="2106"/>
      <c r="X237" s="2106"/>
      <c r="Y237" s="2106"/>
      <c r="Z237" s="2106"/>
      <c r="AA237" s="1938"/>
      <c r="AB237" s="2088"/>
      <c r="AC237" s="2088"/>
      <c r="AD237" s="1938"/>
      <c r="AE237" s="1938"/>
      <c r="AF237" s="1938"/>
      <c r="AG237" s="1938"/>
      <c r="AH237" s="1938"/>
      <c r="AI237" s="1938"/>
      <c r="AJ237" s="1938"/>
      <c r="AK237" s="1938"/>
      <c r="AL237" s="1938"/>
    </row>
    <row r="238" spans="1:38" s="2130" customFormat="1" outlineLevel="1">
      <c r="A238" s="1995" t="s">
        <v>1250</v>
      </c>
      <c r="D238" s="1911"/>
      <c r="E238" s="1911"/>
      <c r="F238" s="1911"/>
      <c r="G238" s="1911"/>
      <c r="H238" s="1911"/>
      <c r="I238" s="2281"/>
      <c r="J238" s="1911"/>
      <c r="K238" s="1911"/>
      <c r="L238" s="1988"/>
      <c r="M238" s="1911"/>
      <c r="N238" s="1911"/>
      <c r="O238" s="1911"/>
      <c r="P238" s="1911"/>
      <c r="Q238" s="1911"/>
      <c r="R238" s="1911"/>
      <c r="S238" s="1911"/>
      <c r="T238" s="1911"/>
      <c r="U238" s="1911"/>
      <c r="V238" s="1911"/>
      <c r="W238" s="1911"/>
      <c r="X238" s="2374"/>
      <c r="Y238" s="2375"/>
      <c r="Z238" s="2375"/>
      <c r="AA238" s="2375"/>
      <c r="AB238" s="2375"/>
      <c r="AC238" s="2050"/>
      <c r="AD238" s="2050"/>
      <c r="AE238" s="2050"/>
      <c r="AF238" s="2050"/>
      <c r="AG238" s="2050"/>
      <c r="AH238" s="2050"/>
      <c r="AI238" s="2050"/>
      <c r="AJ238" s="2050"/>
      <c r="AK238" s="2050"/>
      <c r="AL238" s="2050"/>
    </row>
    <row r="239" spans="1:38" s="2130" customFormat="1" outlineLevel="1">
      <c r="A239" s="1995"/>
      <c r="B239" s="1936" t="s">
        <v>1454</v>
      </c>
      <c r="D239" s="1911"/>
      <c r="E239" s="1911"/>
      <c r="F239" s="1911">
        <f>F241+F240</f>
        <v>421.13334904263382</v>
      </c>
      <c r="G239" s="1911">
        <f t="shared" ref="G239:S239" si="160">G241+G240</f>
        <v>1286.4633483129489</v>
      </c>
      <c r="H239" s="1911">
        <f t="shared" si="160"/>
        <v>1736.4289733432545</v>
      </c>
      <c r="I239" s="1911">
        <f t="shared" si="160"/>
        <v>1864.6301504083553</v>
      </c>
      <c r="J239" s="1911">
        <f t="shared" si="160"/>
        <v>2621.8477306340183</v>
      </c>
      <c r="K239" s="1911">
        <f t="shared" si="160"/>
        <v>3062.1039093357276</v>
      </c>
      <c r="L239" s="1911">
        <f t="shared" si="160"/>
        <v>3550.1404169209218</v>
      </c>
      <c r="M239" s="1911">
        <f t="shared" si="160"/>
        <v>4879.0954030093799</v>
      </c>
      <c r="N239" s="1911">
        <f t="shared" si="160"/>
        <v>4508.8064441271963</v>
      </c>
      <c r="O239" s="1911">
        <f t="shared" si="160"/>
        <v>4192.2307565336732</v>
      </c>
      <c r="P239" s="1911">
        <f t="shared" si="160"/>
        <v>4250.4522613838481</v>
      </c>
      <c r="Q239" s="1911">
        <f t="shared" si="160"/>
        <v>4271.0512691206241</v>
      </c>
      <c r="R239" s="1911">
        <f t="shared" si="160"/>
        <v>4309.8127749167088</v>
      </c>
      <c r="S239" s="1911">
        <f t="shared" si="160"/>
        <v>4517.1151646123462</v>
      </c>
      <c r="T239" s="1911"/>
      <c r="U239" s="1911"/>
      <c r="V239" s="1911"/>
      <c r="W239" s="1911"/>
      <c r="X239" s="2374"/>
      <c r="Y239" s="2375"/>
      <c r="Z239" s="2375"/>
      <c r="AA239" s="2375"/>
      <c r="AB239" s="2375"/>
      <c r="AC239" s="2050"/>
      <c r="AD239" s="2050"/>
      <c r="AE239" s="2050"/>
      <c r="AF239" s="2050"/>
      <c r="AG239" s="2050"/>
      <c r="AH239" s="2050"/>
      <c r="AI239" s="2050"/>
      <c r="AJ239" s="2050"/>
      <c r="AK239" s="2050"/>
      <c r="AL239" s="2050"/>
    </row>
    <row r="240" spans="1:38" s="2130" customFormat="1" outlineLevel="1">
      <c r="A240" s="1995"/>
      <c r="B240" s="1936" t="s">
        <v>1453</v>
      </c>
      <c r="D240" s="1911"/>
      <c r="E240" s="1911"/>
      <c r="F240" s="1911">
        <f>D7-D111</f>
        <v>29.884324042633807</v>
      </c>
      <c r="G240" s="1911">
        <f>E7-E111</f>
        <v>33.141385312948941</v>
      </c>
      <c r="H240" s="1911">
        <f>F7-F111</f>
        <v>60.784036385254467</v>
      </c>
      <c r="I240" s="1911">
        <f>G7-G111</f>
        <v>110.63114768835555</v>
      </c>
      <c r="J240" s="1911">
        <f>H7-H111</f>
        <v>135.73835563401846</v>
      </c>
      <c r="K240" s="1911">
        <f>I7-I111</f>
        <v>217.99478433572773</v>
      </c>
      <c r="L240" s="1911">
        <f>J7-J111</f>
        <v>171.33877642092176</v>
      </c>
      <c r="M240" s="1911">
        <f>K7-K111</f>
        <v>178.50340300938012</v>
      </c>
      <c r="N240" s="1911">
        <f>L7-L111</f>
        <v>184.26180412719543</v>
      </c>
      <c r="O240" s="1911">
        <f>M7-M111</f>
        <v>213.64968773367275</v>
      </c>
      <c r="P240" s="1911">
        <f>N7-N111</f>
        <v>192.29957120784809</v>
      </c>
      <c r="Q240" s="1911">
        <f>O7-O111</f>
        <v>172.31705204286305</v>
      </c>
      <c r="R240" s="1911">
        <f>P7-P111</f>
        <v>170.09121566817151</v>
      </c>
      <c r="S240" s="1911">
        <f>Q7-Q111</f>
        <v>170.40752740138157</v>
      </c>
      <c r="T240" s="1911"/>
      <c r="U240" s="1911"/>
      <c r="V240" s="1911"/>
      <c r="W240" s="1911"/>
      <c r="X240" s="2374"/>
      <c r="Y240" s="2375"/>
      <c r="Z240" s="2375"/>
      <c r="AA240" s="2375"/>
      <c r="AB240" s="2375"/>
      <c r="AC240" s="2050"/>
      <c r="AD240" s="2050"/>
      <c r="AE240" s="2050"/>
      <c r="AF240" s="2050"/>
      <c r="AG240" s="2050"/>
      <c r="AH240" s="2050"/>
      <c r="AI240" s="2050"/>
      <c r="AJ240" s="2050"/>
      <c r="AK240" s="2050"/>
      <c r="AL240" s="2050"/>
    </row>
    <row r="241" spans="1:38" s="2331" customFormat="1" ht="14.4" customHeight="1" outlineLevel="1">
      <c r="B241" s="2331" t="s">
        <v>1271</v>
      </c>
      <c r="D241" s="2366"/>
      <c r="E241" s="2366"/>
      <c r="F241" s="2367">
        <f>391249025000/10^9</f>
        <v>391.24902500000002</v>
      </c>
      <c r="G241" s="2367">
        <f>1253321963000/10^9</f>
        <v>1253.3219630000001</v>
      </c>
      <c r="H241" s="2367">
        <f>1675644936958/10^9</f>
        <v>1675.644936958</v>
      </c>
      <c r="I241" s="2367">
        <f>V249</f>
        <v>1753.9990027199999</v>
      </c>
      <c r="J241" s="2367">
        <f>J245*J251*1000*1000/10^9</f>
        <v>2486.109375</v>
      </c>
      <c r="K241" s="2367">
        <f t="shared" ref="K241:S241" si="161">K245*K251*1000*1000/10^9</f>
        <v>2844.1091249999999</v>
      </c>
      <c r="L241" s="2367">
        <f t="shared" si="161"/>
        <v>3378.8016404999998</v>
      </c>
      <c r="M241" s="2367">
        <f t="shared" si="161"/>
        <v>4700.5919999999996</v>
      </c>
      <c r="N241" s="2367">
        <f t="shared" si="161"/>
        <v>4324.544640000001</v>
      </c>
      <c r="O241" s="2367">
        <f t="shared" si="161"/>
        <v>3978.5810688000006</v>
      </c>
      <c r="P241" s="2367">
        <f t="shared" si="161"/>
        <v>4058.1526901759999</v>
      </c>
      <c r="Q241" s="2367">
        <f t="shared" si="161"/>
        <v>4098.7342170777611</v>
      </c>
      <c r="R241" s="2367">
        <f t="shared" si="161"/>
        <v>4139.7215592485372</v>
      </c>
      <c r="S241" s="2367">
        <f t="shared" si="161"/>
        <v>4346.707637210965</v>
      </c>
      <c r="T241" s="2698" t="s">
        <v>1412</v>
      </c>
      <c r="U241" s="2698"/>
      <c r="V241" s="2698"/>
      <c r="W241" s="2698"/>
      <c r="X241" s="2375"/>
      <c r="Y241" s="2375"/>
      <c r="Z241" s="2375"/>
      <c r="AA241" s="2375"/>
      <c r="AB241" s="2375"/>
      <c r="AC241" s="2324"/>
      <c r="AD241" s="2324"/>
      <c r="AE241" s="2324"/>
      <c r="AF241" s="2324"/>
      <c r="AG241" s="2324"/>
      <c r="AH241" s="2324"/>
      <c r="AI241" s="2324"/>
      <c r="AJ241" s="2324"/>
      <c r="AK241" s="2324"/>
      <c r="AL241" s="2324"/>
    </row>
    <row r="242" spans="1:38" s="2042" customFormat="1" outlineLevel="1">
      <c r="B242" s="2132" t="s">
        <v>1272</v>
      </c>
      <c r="C242" s="2132"/>
      <c r="D242" s="2097"/>
      <c r="E242" s="2097"/>
      <c r="F242" s="2097"/>
      <c r="G242" s="2372">
        <f t="shared" ref="G242:S242" si="162">G241/F241-1</f>
        <v>2.2033868020501779</v>
      </c>
      <c r="H242" s="2372">
        <f t="shared" si="162"/>
        <v>0.33696287659964974</v>
      </c>
      <c r="I242" s="2372">
        <f t="shared" si="162"/>
        <v>4.6760542185175336E-2</v>
      </c>
      <c r="J242" s="2372">
        <f t="shared" si="162"/>
        <v>0.41739497636240719</v>
      </c>
      <c r="K242" s="2372">
        <f t="shared" si="162"/>
        <v>0.14399999999999991</v>
      </c>
      <c r="L242" s="2372">
        <f t="shared" si="162"/>
        <v>0.18799999999999994</v>
      </c>
      <c r="M242" s="2372">
        <f t="shared" si="162"/>
        <v>0.39120093457288574</v>
      </c>
      <c r="N242" s="2372">
        <f t="shared" si="162"/>
        <v>-7.9999999999999738E-2</v>
      </c>
      <c r="O242" s="2372">
        <f t="shared" si="162"/>
        <v>-8.0000000000000071E-2</v>
      </c>
      <c r="P242" s="2372">
        <f t="shared" si="162"/>
        <v>1.9999999999999796E-2</v>
      </c>
      <c r="Q242" s="2372">
        <f t="shared" si="162"/>
        <v>1.0000000000000231E-2</v>
      </c>
      <c r="R242" s="2372">
        <f t="shared" si="162"/>
        <v>9.9999999999995648E-3</v>
      </c>
      <c r="S242" s="2372">
        <f t="shared" si="162"/>
        <v>5.0000000000000266E-2</v>
      </c>
      <c r="T242" s="2043"/>
      <c r="U242" s="2368">
        <v>2023</v>
      </c>
      <c r="V242" s="2368">
        <v>2024</v>
      </c>
      <c r="W242" s="2097"/>
      <c r="X242" s="2375"/>
      <c r="Y242" s="2375"/>
      <c r="Z242" s="2375"/>
      <c r="AA242" s="2375"/>
      <c r="AB242" s="2375"/>
      <c r="AC242" s="2045"/>
      <c r="AD242" s="2045"/>
      <c r="AE242" s="2045"/>
      <c r="AF242" s="2045"/>
      <c r="AG242" s="2045"/>
      <c r="AH242" s="2045"/>
      <c r="AI242" s="2045"/>
      <c r="AJ242" s="2045"/>
      <c r="AK242" s="2045"/>
      <c r="AL242" s="2045"/>
    </row>
    <row r="243" spans="1:38" s="1936" customFormat="1" outlineLevel="1">
      <c r="B243" s="1936" t="s">
        <v>1319</v>
      </c>
      <c r="D243" s="1947"/>
      <c r="E243" s="2326"/>
      <c r="F243" s="2114">
        <v>300</v>
      </c>
      <c r="G243" s="2114">
        <f>F243</f>
        <v>300</v>
      </c>
      <c r="H243" s="2114">
        <f>G243</f>
        <v>300</v>
      </c>
      <c r="I243" s="2114">
        <f>H243</f>
        <v>300</v>
      </c>
      <c r="J243" s="2114">
        <f t="shared" ref="J243:S243" si="163">I243</f>
        <v>300</v>
      </c>
      <c r="K243" s="2114">
        <f t="shared" si="163"/>
        <v>300</v>
      </c>
      <c r="L243" s="2114">
        <f t="shared" si="163"/>
        <v>300</v>
      </c>
      <c r="M243" s="2114">
        <f t="shared" si="163"/>
        <v>300</v>
      </c>
      <c r="N243" s="2114">
        <f t="shared" si="163"/>
        <v>300</v>
      </c>
      <c r="O243" s="2114">
        <f t="shared" si="163"/>
        <v>300</v>
      </c>
      <c r="P243" s="2114">
        <f t="shared" si="163"/>
        <v>300</v>
      </c>
      <c r="Q243" s="2114">
        <f t="shared" si="163"/>
        <v>300</v>
      </c>
      <c r="R243" s="2114">
        <f t="shared" si="163"/>
        <v>300</v>
      </c>
      <c r="S243" s="2114">
        <f t="shared" si="163"/>
        <v>300</v>
      </c>
      <c r="T243" s="1969" t="s">
        <v>1410</v>
      </c>
      <c r="U243" s="2370">
        <f>H248</f>
        <v>138.61000000000001</v>
      </c>
      <c r="V243" s="2370">
        <f>I248</f>
        <v>175.8</v>
      </c>
      <c r="W243" s="2131"/>
      <c r="X243" s="2375"/>
      <c r="Y243" s="2375"/>
      <c r="Z243" s="2375"/>
      <c r="AA243" s="2375"/>
      <c r="AB243" s="2375"/>
      <c r="AC243" s="2087"/>
      <c r="AD243" s="1938"/>
      <c r="AE243" s="1938"/>
      <c r="AF243" s="1938"/>
      <c r="AG243" s="1938"/>
      <c r="AH243" s="1938"/>
      <c r="AI243" s="1938"/>
      <c r="AJ243" s="1938"/>
      <c r="AK243" s="1938"/>
      <c r="AL243" s="1938"/>
    </row>
    <row r="244" spans="1:38" s="1936" customFormat="1" outlineLevel="1">
      <c r="B244" s="2060" t="s">
        <v>1320</v>
      </c>
      <c r="D244" s="1947"/>
      <c r="E244" s="2326"/>
      <c r="F244" s="2114">
        <v>17.5</v>
      </c>
      <c r="G244" s="2114">
        <f>$F$244*G245/$F$245</f>
        <v>41.772670678564019</v>
      </c>
      <c r="H244" s="2114">
        <f>$F$244*H245/$F$245</f>
        <v>54.874974061008515</v>
      </c>
      <c r="I244" s="2114">
        <f>$F$244*I245/$F$245</f>
        <v>75.352770284291353</v>
      </c>
      <c r="J244" s="2114">
        <f t="shared" ref="J244:S244" si="164">$F$244*J245/$F$245</f>
        <v>80.250700352770281</v>
      </c>
      <c r="K244" s="2114">
        <f t="shared" si="164"/>
        <v>88.275770388047334</v>
      </c>
      <c r="L244" s="2114">
        <f t="shared" si="164"/>
        <v>97.103347426852054</v>
      </c>
      <c r="M244" s="2114">
        <f t="shared" si="164"/>
        <v>108.94376426644533</v>
      </c>
      <c r="N244" s="2114">
        <f t="shared" si="164"/>
        <v>108.94376426644533</v>
      </c>
      <c r="O244" s="2114">
        <f t="shared" si="164"/>
        <v>108.94376426644533</v>
      </c>
      <c r="P244" s="2114">
        <f t="shared" si="164"/>
        <v>108.94376426644533</v>
      </c>
      <c r="Q244" s="2114">
        <f t="shared" si="164"/>
        <v>108.94376426644533</v>
      </c>
      <c r="R244" s="2114">
        <f t="shared" si="164"/>
        <v>108.94376426644533</v>
      </c>
      <c r="S244" s="2114">
        <f t="shared" si="164"/>
        <v>108.94376426644533</v>
      </c>
      <c r="T244" s="1969" t="s">
        <v>1411</v>
      </c>
      <c r="U244" s="1969">
        <f>H251</f>
        <v>12088.918093629609</v>
      </c>
      <c r="V244" s="1969">
        <v>13300</v>
      </c>
      <c r="W244" s="2330">
        <f>V244/U244-1</f>
        <v>0.10018116567508084</v>
      </c>
      <c r="X244" s="2375"/>
      <c r="Y244" s="2375"/>
      <c r="Z244" s="2375"/>
      <c r="AA244" s="2375"/>
      <c r="AB244" s="2375"/>
      <c r="AC244" s="2087"/>
      <c r="AD244" s="1938"/>
      <c r="AE244" s="1938"/>
      <c r="AF244" s="1938"/>
      <c r="AG244" s="1938"/>
      <c r="AH244" s="1938"/>
      <c r="AI244" s="1938"/>
      <c r="AJ244" s="1938"/>
      <c r="AK244" s="1938"/>
      <c r="AL244" s="1938"/>
    </row>
    <row r="245" spans="1:38" s="2042" customFormat="1" outlineLevel="1">
      <c r="B245" s="1936" t="s">
        <v>1321</v>
      </c>
      <c r="C245" s="1936"/>
      <c r="D245" s="2097"/>
      <c r="E245" s="2327"/>
      <c r="F245" s="2114">
        <v>48.19</v>
      </c>
      <c r="G245" s="2114">
        <v>115.03</v>
      </c>
      <c r="H245" s="2114">
        <v>151.11000000000001</v>
      </c>
      <c r="I245" s="2114">
        <v>207.5</v>
      </c>
      <c r="J245" s="2114">
        <f>I245*(1+J246)</f>
        <v>220.98749999999998</v>
      </c>
      <c r="K245" s="2114">
        <f t="shared" ref="K245:L245" si="165">J245*(1+K246)</f>
        <v>243.08625000000001</v>
      </c>
      <c r="L245" s="2114">
        <f t="shared" si="165"/>
        <v>267.39487500000001</v>
      </c>
      <c r="M245" s="2114">
        <f>300</f>
        <v>300</v>
      </c>
      <c r="N245" s="2114">
        <f>M245*(1+N246)</f>
        <v>300</v>
      </c>
      <c r="O245" s="2114">
        <f t="shared" ref="O245:S245" si="166">N245*(1+O246)</f>
        <v>300</v>
      </c>
      <c r="P245" s="2114">
        <f t="shared" si="166"/>
        <v>300</v>
      </c>
      <c r="Q245" s="2114">
        <f t="shared" si="166"/>
        <v>300</v>
      </c>
      <c r="R245" s="2114">
        <f t="shared" si="166"/>
        <v>300</v>
      </c>
      <c r="S245" s="2114">
        <f t="shared" si="166"/>
        <v>300</v>
      </c>
      <c r="T245" s="1969" t="s">
        <v>1413</v>
      </c>
      <c r="U245" s="2370">
        <f>U243*U244/1000</f>
        <v>1675.6449369580002</v>
      </c>
      <c r="V245" s="2370">
        <f>V243*V244/1000</f>
        <v>2338.14</v>
      </c>
      <c r="W245" s="2097"/>
      <c r="X245" s="2375"/>
      <c r="Y245" s="2375"/>
      <c r="Z245" s="2375"/>
      <c r="AA245" s="2375"/>
      <c r="AB245" s="2375"/>
      <c r="AC245" s="2083"/>
      <c r="AD245" s="2045"/>
      <c r="AE245" s="2045"/>
      <c r="AF245" s="2045"/>
      <c r="AG245" s="2045"/>
      <c r="AH245" s="2045"/>
      <c r="AI245" s="2045"/>
      <c r="AJ245" s="2045"/>
      <c r="AK245" s="2045"/>
      <c r="AL245" s="2045"/>
    </row>
    <row r="246" spans="1:38" s="2042" customFormat="1" outlineLevel="1">
      <c r="B246" s="2132" t="s">
        <v>1322</v>
      </c>
      <c r="C246" s="2132"/>
      <c r="D246" s="2097"/>
      <c r="E246" s="2327"/>
      <c r="F246" s="2328"/>
      <c r="G246" s="2372">
        <f>G245/F245-1</f>
        <v>1.3870097530608012</v>
      </c>
      <c r="H246" s="2372">
        <f t="shared" ref="H246:I246" si="167">H245/G245-1</f>
        <v>0.31365730678953319</v>
      </c>
      <c r="I246" s="2372">
        <f t="shared" si="167"/>
        <v>0.37317186155780546</v>
      </c>
      <c r="J246" s="2372">
        <v>6.5000000000000002E-2</v>
      </c>
      <c r="K246" s="2372">
        <f>10%</f>
        <v>0.1</v>
      </c>
      <c r="L246" s="2372">
        <f t="shared" ref="L246:S246" si="168">K246</f>
        <v>0.1</v>
      </c>
      <c r="M246" s="2372">
        <f t="shared" si="168"/>
        <v>0.1</v>
      </c>
      <c r="N246" s="2372">
        <v>0</v>
      </c>
      <c r="O246" s="2372">
        <f t="shared" si="168"/>
        <v>0</v>
      </c>
      <c r="P246" s="2372">
        <f t="shared" si="168"/>
        <v>0</v>
      </c>
      <c r="Q246" s="2372">
        <f t="shared" si="168"/>
        <v>0</v>
      </c>
      <c r="R246" s="2372">
        <f t="shared" si="168"/>
        <v>0</v>
      </c>
      <c r="S246" s="2372">
        <f t="shared" si="168"/>
        <v>0</v>
      </c>
      <c r="T246" s="1969" t="s">
        <v>1414</v>
      </c>
      <c r="U246" s="2370">
        <f>1675644936958/10^9</f>
        <v>1675.644936958</v>
      </c>
      <c r="V246" s="2370">
        <f>2795859002720/10^9</f>
        <v>2795.8590027199998</v>
      </c>
      <c r="W246" s="2097"/>
      <c r="X246" s="2375"/>
      <c r="Y246" s="2375"/>
      <c r="Z246" s="2375"/>
      <c r="AA246" s="2375"/>
      <c r="AB246" s="2375"/>
      <c r="AC246" s="2083"/>
      <c r="AD246" s="2045"/>
      <c r="AE246" s="2045"/>
      <c r="AF246" s="2045"/>
      <c r="AG246" s="2045"/>
      <c r="AH246" s="2045"/>
      <c r="AI246" s="2045"/>
      <c r="AJ246" s="2045"/>
      <c r="AK246" s="2045"/>
      <c r="AL246" s="2045"/>
    </row>
    <row r="247" spans="1:38" s="2042" customFormat="1" outlineLevel="1">
      <c r="B247" s="2132" t="s">
        <v>1323</v>
      </c>
      <c r="C247" s="2132"/>
      <c r="D247" s="2097"/>
      <c r="E247" s="2327"/>
      <c r="F247" s="2330">
        <f>F245/F243</f>
        <v>0.16063333333333332</v>
      </c>
      <c r="G247" s="2330">
        <f>G245/G243</f>
        <v>0.38343333333333335</v>
      </c>
      <c r="H247" s="2330">
        <f>H245/H243</f>
        <v>0.50370000000000004</v>
      </c>
      <c r="I247" s="2330">
        <f>I245/I243</f>
        <v>0.69166666666666665</v>
      </c>
      <c r="J247" s="2330">
        <f t="shared" ref="J247:S247" si="169">J245/J243</f>
        <v>0.73662499999999997</v>
      </c>
      <c r="K247" s="2330">
        <f t="shared" si="169"/>
        <v>0.81028750000000005</v>
      </c>
      <c r="L247" s="2330">
        <f t="shared" si="169"/>
        <v>0.89131625000000003</v>
      </c>
      <c r="M247" s="2330">
        <f t="shared" si="169"/>
        <v>1</v>
      </c>
      <c r="N247" s="2330">
        <f t="shared" si="169"/>
        <v>1</v>
      </c>
      <c r="O247" s="2330">
        <f t="shared" si="169"/>
        <v>1</v>
      </c>
      <c r="P247" s="2330">
        <f t="shared" si="169"/>
        <v>1</v>
      </c>
      <c r="Q247" s="2330">
        <f t="shared" si="169"/>
        <v>1</v>
      </c>
      <c r="R247" s="2330">
        <f t="shared" si="169"/>
        <v>1</v>
      </c>
      <c r="S247" s="2330">
        <f t="shared" si="169"/>
        <v>1</v>
      </c>
      <c r="T247" s="1969" t="s">
        <v>1415</v>
      </c>
      <c r="U247" s="2370"/>
      <c r="V247" s="2370">
        <f>V246-V245</f>
        <v>457.71900271999993</v>
      </c>
      <c r="W247" s="2097"/>
      <c r="X247" s="2375"/>
      <c r="Y247" s="2375"/>
      <c r="Z247" s="2375"/>
      <c r="AA247" s="2375"/>
      <c r="AB247" s="2375"/>
      <c r="AC247" s="2083"/>
      <c r="AD247" s="2045"/>
      <c r="AE247" s="2045"/>
      <c r="AF247" s="2045"/>
      <c r="AG247" s="2045"/>
      <c r="AH247" s="2045"/>
      <c r="AI247" s="2045"/>
      <c r="AJ247" s="2045"/>
      <c r="AK247" s="2045"/>
      <c r="AL247" s="2045"/>
    </row>
    <row r="248" spans="1:38" s="1936" customFormat="1" outlineLevel="1">
      <c r="B248" s="1936" t="s">
        <v>1324</v>
      </c>
      <c r="D248" s="1947"/>
      <c r="E248" s="2326"/>
      <c r="F248" s="2114">
        <v>38.39</v>
      </c>
      <c r="G248" s="2114">
        <v>83.67</v>
      </c>
      <c r="H248" s="2114">
        <v>138.61000000000001</v>
      </c>
      <c r="I248" s="2114">
        <v>175.8</v>
      </c>
      <c r="J248" s="2114">
        <f>I248*(1+J246+0.03)</f>
        <v>192.501</v>
      </c>
      <c r="K248" s="2114">
        <f t="shared" ref="K248:N248" si="170">J248*(1+K246 + 0.05)</f>
        <v>221.37615000000002</v>
      </c>
      <c r="L248" s="2114">
        <f t="shared" si="170"/>
        <v>254.58257250000005</v>
      </c>
      <c r="M248" s="2114">
        <f t="shared" si="170"/>
        <v>292.7699583750001</v>
      </c>
      <c r="N248" s="2114">
        <f t="shared" si="170"/>
        <v>307.40845629375013</v>
      </c>
      <c r="O248" s="2114">
        <f>AVERAGE(L248:N248)</f>
        <v>284.92032905625007</v>
      </c>
      <c r="P248" s="2114">
        <f t="shared" ref="P248:S248" si="171">AVERAGE(M248:O248)</f>
        <v>295.03291457500012</v>
      </c>
      <c r="Q248" s="2114">
        <f t="shared" si="171"/>
        <v>295.78723330833344</v>
      </c>
      <c r="R248" s="2114">
        <f t="shared" si="171"/>
        <v>291.91349231319458</v>
      </c>
      <c r="S248" s="2114">
        <f t="shared" si="171"/>
        <v>294.24454673217605</v>
      </c>
      <c r="T248" s="1969" t="s">
        <v>1416</v>
      </c>
      <c r="U248" s="2370"/>
      <c r="V248" s="2370">
        <v>1041.8599999999999</v>
      </c>
      <c r="W248" s="2134"/>
      <c r="X248" s="2375"/>
      <c r="Y248" s="2375"/>
      <c r="Z248" s="2375"/>
      <c r="AA248" s="2375"/>
      <c r="AB248" s="2375"/>
      <c r="AC248" s="1938"/>
      <c r="AD248" s="1938"/>
      <c r="AE248" s="1938"/>
      <c r="AF248" s="1938"/>
      <c r="AG248" s="1938"/>
      <c r="AH248" s="1938"/>
      <c r="AI248" s="1938"/>
      <c r="AJ248" s="1938"/>
      <c r="AK248" s="1938"/>
      <c r="AL248" s="1938"/>
    </row>
    <row r="249" spans="1:38" s="1936" customFormat="1" outlineLevel="1">
      <c r="B249" s="2132" t="s">
        <v>1325</v>
      </c>
      <c r="C249" s="2132"/>
      <c r="D249" s="1947"/>
      <c r="E249" s="2326"/>
      <c r="F249" s="2330">
        <f>F248/F245</f>
        <v>0.79663830670263547</v>
      </c>
      <c r="G249" s="2330">
        <f>G248/G245</f>
        <v>0.72737546726940794</v>
      </c>
      <c r="H249" s="2330">
        <f>H248/H245</f>
        <v>0.91727880352061408</v>
      </c>
      <c r="I249" s="2330">
        <f>I248/I245</f>
        <v>0.84722891566265068</v>
      </c>
      <c r="J249" s="2330">
        <f t="shared" ref="J249:S249" si="172">J248/J245</f>
        <v>0.87109451892075351</v>
      </c>
      <c r="K249" s="2330">
        <f t="shared" si="172"/>
        <v>0.91068972432624229</v>
      </c>
      <c r="L249" s="2330">
        <f t="shared" si="172"/>
        <v>0.95208471179561704</v>
      </c>
      <c r="M249" s="2330">
        <f t="shared" si="172"/>
        <v>0.97589986125000039</v>
      </c>
      <c r="N249" s="2330">
        <f t="shared" si="172"/>
        <v>1.0246948543125005</v>
      </c>
      <c r="O249" s="2330">
        <f t="shared" si="172"/>
        <v>0.94973443018750026</v>
      </c>
      <c r="P249" s="2330">
        <f t="shared" si="172"/>
        <v>0.98344304858333376</v>
      </c>
      <c r="Q249" s="2330">
        <f t="shared" si="172"/>
        <v>0.98595744436111143</v>
      </c>
      <c r="R249" s="2330">
        <f t="shared" si="172"/>
        <v>0.9730449743773153</v>
      </c>
      <c r="S249" s="2330">
        <f t="shared" si="172"/>
        <v>0.9808151557739202</v>
      </c>
      <c r="T249" s="1969" t="s">
        <v>1417</v>
      </c>
      <c r="U249" s="2133"/>
      <c r="V249" s="2370">
        <f>V246-V248</f>
        <v>1753.9990027199999</v>
      </c>
      <c r="W249" s="2134"/>
      <c r="X249" s="2375"/>
      <c r="Y249" s="2375"/>
      <c r="Z249" s="2375"/>
      <c r="AA249" s="2375"/>
      <c r="AB249" s="2375"/>
      <c r="AC249" s="1938"/>
      <c r="AD249" s="1938"/>
      <c r="AE249" s="1938"/>
      <c r="AF249" s="1938"/>
      <c r="AG249" s="1938"/>
      <c r="AH249" s="1938"/>
      <c r="AI249" s="1938"/>
      <c r="AJ249" s="1938"/>
      <c r="AK249" s="1938"/>
      <c r="AL249" s="1938"/>
    </row>
    <row r="250" spans="1:38" s="2042" customFormat="1" outlineLevel="1">
      <c r="B250" s="2132" t="s">
        <v>1272</v>
      </c>
      <c r="C250" s="2132"/>
      <c r="D250" s="2097"/>
      <c r="E250" s="2327"/>
      <c r="F250" s="2328"/>
      <c r="G250" s="2372">
        <f>G248/F248-1</f>
        <v>1.1794738213076323</v>
      </c>
      <c r="H250" s="2372">
        <f t="shared" ref="H250:S250" si="173">H248/G248-1</f>
        <v>0.65662722600693213</v>
      </c>
      <c r="I250" s="2372">
        <f t="shared" si="173"/>
        <v>0.26830675997402786</v>
      </c>
      <c r="J250" s="2372">
        <f t="shared" si="173"/>
        <v>9.4999999999999973E-2</v>
      </c>
      <c r="K250" s="2372">
        <f t="shared" si="173"/>
        <v>0.15000000000000013</v>
      </c>
      <c r="L250" s="2372">
        <f t="shared" si="173"/>
        <v>0.15000000000000013</v>
      </c>
      <c r="M250" s="2372">
        <f t="shared" si="173"/>
        <v>0.15000000000000013</v>
      </c>
      <c r="N250" s="2372">
        <f t="shared" si="173"/>
        <v>5.0000000000000044E-2</v>
      </c>
      <c r="O250" s="2372">
        <f t="shared" si="173"/>
        <v>-7.3153899240855913E-2</v>
      </c>
      <c r="P250" s="2372">
        <f t="shared" si="173"/>
        <v>3.5492678083892004E-2</v>
      </c>
      <c r="Q250" s="2372">
        <f t="shared" si="173"/>
        <v>2.5567273889421926E-3</v>
      </c>
      <c r="R250" s="2372">
        <f t="shared" si="173"/>
        <v>-1.3096376580597036E-2</v>
      </c>
      <c r="S250" s="2372">
        <f t="shared" si="173"/>
        <v>7.9854288354732628E-3</v>
      </c>
      <c r="T250" s="1969" t="s">
        <v>1418</v>
      </c>
      <c r="U250" s="2043"/>
      <c r="V250" s="2371">
        <f>H256*(V244/U244)</f>
        <v>0.14234841271397841</v>
      </c>
      <c r="W250" s="2097"/>
      <c r="X250" s="2375"/>
      <c r="Y250" s="2375"/>
      <c r="Z250" s="2375"/>
      <c r="AA250" s="2375"/>
      <c r="AB250" s="2375"/>
      <c r="AC250" s="2045"/>
      <c r="AD250" s="2045"/>
      <c r="AE250" s="2045"/>
      <c r="AF250" s="2045"/>
      <c r="AG250" s="2045"/>
      <c r="AH250" s="2045"/>
      <c r="AI250" s="2045"/>
      <c r="AJ250" s="2045"/>
      <c r="AK250" s="2045"/>
      <c r="AL250" s="2045"/>
    </row>
    <row r="251" spans="1:38" s="2643" customFormat="1" outlineLevel="1">
      <c r="B251" s="2643" t="s">
        <v>1511</v>
      </c>
      <c r="D251" s="2644"/>
      <c r="E251" s="2645"/>
      <c r="F251" s="2646">
        <f>F241*10^9/(F248*1000*1000)</f>
        <v>10191.430711122688</v>
      </c>
      <c r="G251" s="2646">
        <f>G241*10^9/(G248*1000*1000)</f>
        <v>14979.34699414366</v>
      </c>
      <c r="H251" s="2646">
        <f>H241*10^9/(H248*1000*1000)</f>
        <v>12088.918093629609</v>
      </c>
      <c r="I251" s="2646">
        <f>I241*10^9/(I248*1000*1000)</f>
        <v>9977.2411986348125</v>
      </c>
      <c r="J251" s="2646">
        <f>12500*0.9</f>
        <v>11250</v>
      </c>
      <c r="K251" s="2646">
        <f>J251*(1+K252)</f>
        <v>11700</v>
      </c>
      <c r="L251" s="2646">
        <f t="shared" ref="L251:S251" si="174">K251*(1+L252)</f>
        <v>12636</v>
      </c>
      <c r="M251" s="2646">
        <f t="shared" si="174"/>
        <v>15668.64</v>
      </c>
      <c r="N251" s="2646">
        <f t="shared" si="174"/>
        <v>14415.148800000001</v>
      </c>
      <c r="O251" s="2646">
        <f t="shared" si="174"/>
        <v>13261.936896000001</v>
      </c>
      <c r="P251" s="2646">
        <f t="shared" si="174"/>
        <v>13527.175633920002</v>
      </c>
      <c r="Q251" s="2646">
        <f t="shared" si="174"/>
        <v>13662.447390259202</v>
      </c>
      <c r="R251" s="2646">
        <f t="shared" si="174"/>
        <v>13799.071864161793</v>
      </c>
      <c r="S251" s="2646">
        <f t="shared" si="174"/>
        <v>14489.025457369884</v>
      </c>
      <c r="T251" s="2647" t="s">
        <v>1431</v>
      </c>
      <c r="U251" s="2647"/>
      <c r="V251" s="2647">
        <f>V248+26.35</f>
        <v>1068.2099999999998</v>
      </c>
      <c r="W251" s="2648"/>
      <c r="X251" s="2649"/>
      <c r="Y251" s="2649"/>
      <c r="Z251" s="2649"/>
      <c r="AA251" s="2649"/>
      <c r="AB251" s="2649"/>
    </row>
    <row r="252" spans="1:38" s="2042" customFormat="1" outlineLevel="1">
      <c r="B252" s="2132" t="s">
        <v>1272</v>
      </c>
      <c r="C252" s="2132"/>
      <c r="D252" s="2043"/>
      <c r="E252" s="2327"/>
      <c r="F252" s="2328"/>
      <c r="G252" s="2372">
        <f>G251/F251-1</f>
        <v>0.4697982470503923</v>
      </c>
      <c r="H252" s="2372">
        <f t="shared" ref="H252:J252" si="175">H251/G251-1</f>
        <v>-0.19296094159806132</v>
      </c>
      <c r="I252" s="2372">
        <f t="shared" si="175"/>
        <v>-0.17467873292214364</v>
      </c>
      <c r="J252" s="2372">
        <f t="shared" si="175"/>
        <v>0.12756620552977505</v>
      </c>
      <c r="K252" s="2372">
        <f>4%</f>
        <v>0.04</v>
      </c>
      <c r="L252" s="2318">
        <f>K252*2</f>
        <v>0.08</v>
      </c>
      <c r="M252" s="2318">
        <f>L252*3</f>
        <v>0.24</v>
      </c>
      <c r="N252" s="2318">
        <f>-M252/3</f>
        <v>-0.08</v>
      </c>
      <c r="O252" s="2318">
        <f>N252</f>
        <v>-0.08</v>
      </c>
      <c r="P252" s="2318">
        <f>2%</f>
        <v>0.02</v>
      </c>
      <c r="Q252" s="2318">
        <f>P252/2</f>
        <v>0.01</v>
      </c>
      <c r="R252" s="2318">
        <f>1%</f>
        <v>0.01</v>
      </c>
      <c r="S252" s="2318">
        <f>R252*5</f>
        <v>0.05</v>
      </c>
      <c r="T252" s="2133" t="s">
        <v>1430</v>
      </c>
      <c r="U252" s="2133"/>
      <c r="V252" s="2133"/>
      <c r="W252" s="2135"/>
      <c r="X252" s="2375"/>
      <c r="Y252" s="2375"/>
      <c r="Z252" s="2375"/>
      <c r="AA252" s="2375"/>
      <c r="AB252" s="2375"/>
      <c r="AC252" s="2045"/>
      <c r="AD252" s="2045"/>
      <c r="AE252" s="2045"/>
      <c r="AF252" s="2045"/>
      <c r="AG252" s="2045"/>
      <c r="AH252" s="2045"/>
      <c r="AI252" s="2045"/>
      <c r="AJ252" s="2045"/>
      <c r="AK252" s="2045"/>
      <c r="AL252" s="2045"/>
    </row>
    <row r="253" spans="1:38" s="2042" customFormat="1" outlineLevel="1">
      <c r="B253" s="1936" t="s">
        <v>1326</v>
      </c>
      <c r="C253" s="1936"/>
      <c r="D253" s="2043"/>
      <c r="E253" s="2327"/>
      <c r="F253" s="2114">
        <f>392883682341/10^9</f>
        <v>392.883682341</v>
      </c>
      <c r="G253" s="2114">
        <f>1192000380535/10^9</f>
        <v>1192.000380535</v>
      </c>
      <c r="H253" s="2114">
        <f>1458839373938/10^9</f>
        <v>1458.8393739380001</v>
      </c>
      <c r="I253" s="2114">
        <f t="shared" ref="I253:S253" si="176">I241*(1-I256)</f>
        <v>1504.3200287809068</v>
      </c>
      <c r="J253" s="2114">
        <f t="shared" si="176"/>
        <v>2087.0707721849844</v>
      </c>
      <c r="K253" s="2114">
        <f t="shared" si="176"/>
        <v>2369.3489569148069</v>
      </c>
      <c r="L253" s="2114">
        <f t="shared" si="176"/>
        <v>2769.6653544399737</v>
      </c>
      <c r="M253" s="2114">
        <f t="shared" si="176"/>
        <v>3649.7775966432832</v>
      </c>
      <c r="N253" s="2114">
        <f t="shared" si="176"/>
        <v>3435.135328998876</v>
      </c>
      <c r="O253" s="2114">
        <f t="shared" si="176"/>
        <v>3225.7850279686481</v>
      </c>
      <c r="P253" s="2114">
        <f t="shared" si="176"/>
        <v>3274.9436892950607</v>
      </c>
      <c r="Q253" s="2114">
        <f t="shared" si="176"/>
        <v>3299.7827152791151</v>
      </c>
      <c r="R253" s="2114">
        <f t="shared" si="176"/>
        <v>3324.7111322637388</v>
      </c>
      <c r="S253" s="2114">
        <f t="shared" si="176"/>
        <v>3448.1586414602248</v>
      </c>
      <c r="T253" s="1969"/>
      <c r="U253" s="1969"/>
      <c r="V253" s="1969"/>
      <c r="W253" s="2135"/>
      <c r="X253" s="2375"/>
      <c r="Y253" s="2375"/>
      <c r="Z253" s="2375"/>
      <c r="AA253" s="2375"/>
      <c r="AB253" s="2375"/>
      <c r="AC253" s="2045"/>
      <c r="AD253" s="2045"/>
      <c r="AE253" s="2045"/>
      <c r="AF253" s="2045"/>
      <c r="AG253" s="2045"/>
      <c r="AH253" s="2045"/>
      <c r="AI253" s="2045"/>
      <c r="AJ253" s="2045"/>
      <c r="AK253" s="2045"/>
      <c r="AL253" s="2045"/>
    </row>
    <row r="254" spans="1:38" s="2042" customFormat="1" outlineLevel="1">
      <c r="B254" s="1936" t="s">
        <v>1455</v>
      </c>
      <c r="C254" s="1936"/>
      <c r="D254" s="2043"/>
      <c r="E254" s="2327"/>
      <c r="F254" s="2070">
        <f>F253/F257</f>
        <v>1.2825117895279918</v>
      </c>
      <c r="G254" s="2070">
        <f t="shared" ref="G254:I254" si="177">G253/G257</f>
        <v>1.4331716611916065</v>
      </c>
      <c r="H254" s="2070">
        <f t="shared" si="177"/>
        <v>1.7852241568526377</v>
      </c>
      <c r="I254" s="2070">
        <f t="shared" si="177"/>
        <v>1.6041060699879153</v>
      </c>
      <c r="J254" s="2070">
        <f>H254</f>
        <v>1.7852241568526377</v>
      </c>
      <c r="K254" s="2070">
        <f>J254</f>
        <v>1.7852241568526377</v>
      </c>
      <c r="L254" s="2070">
        <f t="shared" ref="L254:S254" si="178">K254</f>
        <v>1.7852241568526377</v>
      </c>
      <c r="M254" s="2070">
        <f t="shared" si="178"/>
        <v>1.7852241568526377</v>
      </c>
      <c r="N254" s="2070">
        <f t="shared" si="178"/>
        <v>1.7852241568526377</v>
      </c>
      <c r="O254" s="2070">
        <f t="shared" si="178"/>
        <v>1.7852241568526377</v>
      </c>
      <c r="P254" s="2070">
        <f t="shared" si="178"/>
        <v>1.7852241568526377</v>
      </c>
      <c r="Q254" s="2070">
        <f t="shared" si="178"/>
        <v>1.7852241568526377</v>
      </c>
      <c r="R254" s="2070">
        <f t="shared" si="178"/>
        <v>1.7852241568526377</v>
      </c>
      <c r="S254" s="2070">
        <f t="shared" si="178"/>
        <v>1.7852241568526377</v>
      </c>
      <c r="T254" s="2505" t="s">
        <v>1468</v>
      </c>
      <c r="U254" s="2505"/>
      <c r="V254" s="2505"/>
      <c r="W254" s="2506"/>
      <c r="X254" s="2507"/>
      <c r="Y254" s="2375"/>
      <c r="Z254" s="2375"/>
      <c r="AA254" s="2375"/>
      <c r="AB254" s="2375"/>
      <c r="AC254" s="2045"/>
      <c r="AD254" s="2045"/>
      <c r="AE254" s="2045"/>
      <c r="AF254" s="2045"/>
      <c r="AG254" s="2045"/>
      <c r="AH254" s="2045"/>
      <c r="AI254" s="2045"/>
      <c r="AJ254" s="2045"/>
      <c r="AK254" s="2045"/>
      <c r="AL254" s="2045"/>
    </row>
    <row r="255" spans="1:38" s="2477" customFormat="1" outlineLevel="1">
      <c r="A255" s="2478"/>
      <c r="B255" s="2406" t="s">
        <v>1456</v>
      </c>
      <c r="C255" s="2406"/>
      <c r="D255" s="2403"/>
      <c r="E255" s="2473"/>
      <c r="F255" s="2474">
        <f>F257*F254</f>
        <v>392.883682341</v>
      </c>
      <c r="G255" s="2474">
        <f t="shared" ref="G255:S255" si="179">G257*G254</f>
        <v>1192.000380535</v>
      </c>
      <c r="H255" s="2474">
        <f t="shared" si="179"/>
        <v>1458.8393739380001</v>
      </c>
      <c r="I255" s="2474">
        <f t="shared" si="179"/>
        <v>1504.3200287809068</v>
      </c>
      <c r="J255" s="2474">
        <f t="shared" si="179"/>
        <v>2009.5186434579034</v>
      </c>
      <c r="K255" s="2474">
        <f t="shared" si="179"/>
        <v>2389.8803932281667</v>
      </c>
      <c r="L255" s="2474">
        <f t="shared" si="179"/>
        <v>2628.9659535744609</v>
      </c>
      <c r="M255" s="2474">
        <f t="shared" si="179"/>
        <v>3208.9086077009283</v>
      </c>
      <c r="N255" s="2474">
        <f t="shared" si="179"/>
        <v>3068.2208171490606</v>
      </c>
      <c r="O255" s="2474">
        <f t="shared" si="179"/>
        <v>2965.0626765353736</v>
      </c>
      <c r="P255" s="2474">
        <f t="shared" si="179"/>
        <v>3110.5608666554867</v>
      </c>
      <c r="Q255" s="2474">
        <f t="shared" si="179"/>
        <v>3068.0665990035895</v>
      </c>
      <c r="R255" s="2474">
        <f t="shared" si="179"/>
        <v>3082.9618359421697</v>
      </c>
      <c r="S255" s="2474">
        <f t="shared" si="179"/>
        <v>3244.1742316273476</v>
      </c>
      <c r="T255" s="2475"/>
      <c r="U255" s="2475"/>
      <c r="V255" s="2475"/>
      <c r="W255" s="2476"/>
      <c r="X255" s="2408"/>
      <c r="Y255" s="2408"/>
      <c r="Z255" s="2408"/>
      <c r="AA255" s="2408"/>
      <c r="AB255" s="2408"/>
    </row>
    <row r="256" spans="1:38" s="2042" customFormat="1" outlineLevel="1">
      <c r="B256" s="1936" t="s">
        <v>1327</v>
      </c>
      <c r="C256" s="1936"/>
      <c r="D256" s="2043"/>
      <c r="E256" s="2327"/>
      <c r="F256" s="2330">
        <f>(F241-F253)/F241</f>
        <v>-4.1780483440181839E-3</v>
      </c>
      <c r="G256" s="2330">
        <f>(G241-G253)/G241</f>
        <v>4.8927238391497103E-2</v>
      </c>
      <c r="H256" s="2330">
        <f>(H241-H253)/H241</f>
        <v>0.12938633850056155</v>
      </c>
      <c r="I256" s="2330">
        <f>V250</f>
        <v>0.14234841271397841</v>
      </c>
      <c r="J256" s="2330">
        <f>I256*J251/I251</f>
        <v>0.16050725958708703</v>
      </c>
      <c r="K256" s="2330">
        <f t="shared" ref="K256:S256" si="180">J256*K251/J251</f>
        <v>0.16692754997057049</v>
      </c>
      <c r="L256" s="2330">
        <f t="shared" si="180"/>
        <v>0.18028175396821614</v>
      </c>
      <c r="M256" s="2330">
        <f t="shared" si="180"/>
        <v>0.22354937492058802</v>
      </c>
      <c r="N256" s="2330">
        <f t="shared" si="180"/>
        <v>0.20566542492694098</v>
      </c>
      <c r="O256" s="2330">
        <f t="shared" si="180"/>
        <v>0.18921219093278571</v>
      </c>
      <c r="P256" s="2330">
        <f t="shared" si="180"/>
        <v>0.19299643475144143</v>
      </c>
      <c r="Q256" s="2330">
        <f t="shared" si="180"/>
        <v>0.19492639909895582</v>
      </c>
      <c r="R256" s="2330">
        <f t="shared" si="180"/>
        <v>0.19687566308994539</v>
      </c>
      <c r="S256" s="2330">
        <f t="shared" si="180"/>
        <v>0.20671944624444266</v>
      </c>
      <c r="T256" s="2133"/>
      <c r="U256" s="2133"/>
      <c r="V256" s="2133"/>
      <c r="W256" s="2135"/>
      <c r="X256" s="2375"/>
      <c r="Y256" s="2375"/>
      <c r="Z256" s="2375"/>
      <c r="AA256" s="2375"/>
      <c r="AB256" s="2375"/>
      <c r="AC256" s="2045"/>
      <c r="AD256" s="2045"/>
      <c r="AE256" s="2045"/>
      <c r="AF256" s="2045"/>
      <c r="AG256" s="2045"/>
      <c r="AH256" s="2045"/>
      <c r="AI256" s="2045"/>
      <c r="AJ256" s="2045"/>
      <c r="AK256" s="2045"/>
      <c r="AL256" s="2045"/>
    </row>
    <row r="257" spans="2:38" s="1936" customFormat="1" outlineLevel="1">
      <c r="B257" s="1936" t="s">
        <v>320</v>
      </c>
      <c r="D257" s="1946"/>
      <c r="E257" s="2326"/>
      <c r="F257" s="2114">
        <f>SUM(F258:F261)</f>
        <v>306.33923644912039</v>
      </c>
      <c r="G257" s="2114">
        <f>SUM(G258:G261)</f>
        <v>831.72198614638705</v>
      </c>
      <c r="H257" s="2114">
        <f>SUM(H258:H261)</f>
        <v>817.17434101381639</v>
      </c>
      <c r="I257" s="2114">
        <f>SUM(I258:I261)</f>
        <v>937.79336474441482</v>
      </c>
      <c r="J257" s="2114">
        <f t="shared" ref="J257:S257" si="181">SUM(J258:J261)</f>
        <v>1125.6393970159459</v>
      </c>
      <c r="K257" s="2114">
        <f t="shared" si="181"/>
        <v>1338.7004562169616</v>
      </c>
      <c r="L257" s="2114">
        <f t="shared" si="181"/>
        <v>1472.6251286053321</v>
      </c>
      <c r="M257" s="2114">
        <f t="shared" si="181"/>
        <v>1797.4821791333229</v>
      </c>
      <c r="N257" s="2114">
        <f t="shared" si="181"/>
        <v>1718.6753861533864</v>
      </c>
      <c r="O257" s="2114">
        <f t="shared" si="181"/>
        <v>1660.8909671952899</v>
      </c>
      <c r="P257" s="2114">
        <f t="shared" si="181"/>
        <v>1742.3923235160712</v>
      </c>
      <c r="Q257" s="2114">
        <f t="shared" si="181"/>
        <v>1718.5890002814053</v>
      </c>
      <c r="R257" s="2114">
        <f t="shared" si="181"/>
        <v>1726.9326230591973</v>
      </c>
      <c r="S257" s="2114">
        <f t="shared" si="181"/>
        <v>1817.2363505022522</v>
      </c>
      <c r="T257" s="2136"/>
      <c r="U257" s="2136"/>
      <c r="V257" s="2136"/>
      <c r="W257" s="2130"/>
      <c r="X257" s="2375"/>
      <c r="Y257" s="2375"/>
      <c r="Z257" s="2375"/>
      <c r="AA257" s="2375"/>
      <c r="AB257" s="2375"/>
      <c r="AC257" s="1938"/>
      <c r="AD257" s="1938"/>
      <c r="AE257" s="1938"/>
      <c r="AF257" s="1938"/>
      <c r="AG257" s="1938"/>
      <c r="AH257" s="1938"/>
      <c r="AI257" s="1938"/>
      <c r="AJ257" s="1938"/>
      <c r="AK257" s="1938"/>
      <c r="AL257" s="1938"/>
    </row>
    <row r="258" spans="2:38" s="2033" customFormat="1" outlineLevel="1">
      <c r="B258" s="2137" t="s">
        <v>1328</v>
      </c>
      <c r="C258" s="2137"/>
      <c r="D258" s="2034"/>
      <c r="E258" s="2329"/>
      <c r="F258" s="2114">
        <f t="shared" ref="F258:S258" si="182">F265*F248*1000*1000/10^9</f>
        <v>240.34094019753979</v>
      </c>
      <c r="G258" s="2114">
        <f t="shared" si="182"/>
        <v>722.62709555133802</v>
      </c>
      <c r="H258" s="2114">
        <f t="shared" si="182"/>
        <v>676.56185065710281</v>
      </c>
      <c r="I258" s="2114">
        <f t="shared" si="182"/>
        <v>791.60493284434529</v>
      </c>
      <c r="J258" s="2114">
        <f t="shared" si="182"/>
        <v>944.11853624366859</v>
      </c>
      <c r="K258" s="2114">
        <f t="shared" si="182"/>
        <v>1140.0231325142295</v>
      </c>
      <c r="L258" s="2114">
        <f t="shared" si="182"/>
        <v>1245.5722895034116</v>
      </c>
      <c r="M258" s="2114">
        <f t="shared" si="182"/>
        <v>1504.0285395753699</v>
      </c>
      <c r="N258" s="2114">
        <f t="shared" si="182"/>
        <v>1435.0562615826341</v>
      </c>
      <c r="O258" s="2114">
        <f t="shared" si="182"/>
        <v>1396.5801154387514</v>
      </c>
      <c r="P258" s="2114">
        <f t="shared" si="182"/>
        <v>1469.5155067654232</v>
      </c>
      <c r="Q258" s="2114">
        <f t="shared" si="182"/>
        <v>1440.0017398109646</v>
      </c>
      <c r="R258" s="2114">
        <f t="shared" si="182"/>
        <v>1492.2000814871694</v>
      </c>
      <c r="S258" s="2114">
        <f t="shared" si="182"/>
        <v>1579.3217359984812</v>
      </c>
      <c r="X258" s="2375"/>
      <c r="Y258" s="2375"/>
      <c r="Z258" s="2375"/>
      <c r="AA258" s="2375"/>
      <c r="AB258" s="2375"/>
      <c r="AC258" s="1938"/>
      <c r="AD258" s="1938"/>
      <c r="AE258" s="1938"/>
      <c r="AF258" s="1938"/>
      <c r="AG258" s="1938"/>
      <c r="AH258" s="1938"/>
      <c r="AI258" s="1938"/>
      <c r="AJ258" s="1938"/>
      <c r="AK258" s="1938"/>
      <c r="AL258" s="1938"/>
    </row>
    <row r="259" spans="2:38" s="2033" customFormat="1" outlineLevel="1">
      <c r="B259" s="2137" t="s">
        <v>1329</v>
      </c>
      <c r="C259" s="2137"/>
      <c r="D259" s="2034"/>
      <c r="E259" s="2034"/>
      <c r="F259" s="2114">
        <f>768/12*9/12</f>
        <v>48</v>
      </c>
      <c r="G259" s="2114">
        <f>768/12</f>
        <v>64</v>
      </c>
      <c r="H259" s="2114">
        <f t="shared" ref="H259:Q259" si="183">768/12</f>
        <v>64</v>
      </c>
      <c r="I259" s="2114">
        <f t="shared" si="183"/>
        <v>64</v>
      </c>
      <c r="J259" s="2114">
        <f t="shared" si="183"/>
        <v>64</v>
      </c>
      <c r="K259" s="2114">
        <f t="shared" si="183"/>
        <v>64</v>
      </c>
      <c r="L259" s="2114">
        <f t="shared" si="183"/>
        <v>64</v>
      </c>
      <c r="M259" s="2114">
        <f t="shared" si="183"/>
        <v>64</v>
      </c>
      <c r="N259" s="2114">
        <f t="shared" si="183"/>
        <v>64</v>
      </c>
      <c r="O259" s="2114">
        <f t="shared" si="183"/>
        <v>64</v>
      </c>
      <c r="P259" s="2114">
        <f t="shared" si="183"/>
        <v>64</v>
      </c>
      <c r="Q259" s="2114">
        <f t="shared" si="183"/>
        <v>64</v>
      </c>
      <c r="R259" s="2114">
        <f>768-SUM(F259:Q259)</f>
        <v>16</v>
      </c>
      <c r="S259" s="2114">
        <v>0</v>
      </c>
      <c r="X259" s="2375"/>
      <c r="Y259" s="2375"/>
      <c r="Z259" s="2375"/>
      <c r="AA259" s="2375"/>
      <c r="AB259" s="2375"/>
      <c r="AC259" s="1938"/>
      <c r="AD259" s="1938"/>
      <c r="AE259" s="1938"/>
      <c r="AF259" s="1938"/>
      <c r="AG259" s="1938"/>
      <c r="AH259" s="1938"/>
      <c r="AI259" s="1938"/>
      <c r="AJ259" s="1938"/>
      <c r="AK259" s="1938"/>
      <c r="AL259" s="1938"/>
    </row>
    <row r="260" spans="2:38" s="2033" customFormat="1" outlineLevel="1">
      <c r="B260" s="2137" t="s">
        <v>1330</v>
      </c>
      <c r="C260" s="2361">
        <v>0.4</v>
      </c>
      <c r="D260" s="2106"/>
      <c r="E260" s="2106"/>
      <c r="F260" s="2114">
        <f>F241/(F9)*F296*$C$260</f>
        <v>9.2170045701122643</v>
      </c>
      <c r="G260" s="2114">
        <f>G241/(G9)*G296*$C$260</f>
        <v>18.797785859518971</v>
      </c>
      <c r="H260" s="2114">
        <f>H241/(H9)*H296*$C$260</f>
        <v>36.343384016851772</v>
      </c>
      <c r="I260" s="2114">
        <f>I241/(I9)*I296*$C$260</f>
        <v>35.602961397129597</v>
      </c>
      <c r="J260" s="2114">
        <f>J241/(J9)*J296*$C$260</f>
        <v>58.092604716497284</v>
      </c>
      <c r="K260" s="2114">
        <f>K241/(K9)*K296*$C$260</f>
        <v>64.535707771891325</v>
      </c>
      <c r="L260" s="2114">
        <f>L241/(L9)*L296*$C$260</f>
        <v>76.684981080471729</v>
      </c>
      <c r="M260" s="2114">
        <f>M241/(M9)*M296*$C$260</f>
        <v>106.17637936416557</v>
      </c>
      <c r="N260" s="2114">
        <f>N241/(N9)*N296*$C$260</f>
        <v>103.01871511238863</v>
      </c>
      <c r="O260" s="2114">
        <f>O241/(O9)*O296*$C$260</f>
        <v>93.773407063090389</v>
      </c>
      <c r="P260" s="2114">
        <f>P241/(P9)*P296*$C$260</f>
        <v>99.007875244291171</v>
      </c>
      <c r="Q260" s="2114">
        <f>Q241/(Q9)*Q296*$C$260</f>
        <v>100.98298975326011</v>
      </c>
      <c r="R260" s="2114">
        <f>R241/(R9)*R296*$C$260</f>
        <v>102.61992702084154</v>
      </c>
      <c r="S260" s="2114">
        <f>S241/(S9)*S296*$C$260</f>
        <v>111.57377895381211</v>
      </c>
      <c r="T260" s="2335"/>
      <c r="U260" s="2335"/>
      <c r="V260" s="2335"/>
      <c r="X260" s="2375"/>
      <c r="Y260" s="2375"/>
      <c r="Z260" s="2375"/>
      <c r="AA260" s="2375"/>
      <c r="AB260" s="2375"/>
      <c r="AC260" s="1938"/>
      <c r="AD260" s="1938"/>
      <c r="AE260" s="1938"/>
      <c r="AF260" s="1938"/>
      <c r="AG260" s="1938"/>
      <c r="AH260" s="1938"/>
      <c r="AI260" s="1938"/>
      <c r="AJ260" s="1938"/>
      <c r="AK260" s="1938"/>
      <c r="AL260" s="1938"/>
    </row>
    <row r="261" spans="2:38" s="2033" customFormat="1" ht="12.75" customHeight="1" outlineLevel="1">
      <c r="B261" s="2137" t="s">
        <v>355</v>
      </c>
      <c r="C261" s="2361">
        <v>0.2</v>
      </c>
      <c r="D261" s="2106"/>
      <c r="E261" s="2106"/>
      <c r="F261" s="2114">
        <f>F241/(F9)*(F298+F299)*$C$261</f>
        <v>8.781291681468355</v>
      </c>
      <c r="G261" s="2114">
        <f>G241/(G9)*(G298+G299)*$C$261</f>
        <v>26.297104735530013</v>
      </c>
      <c r="H261" s="2114">
        <f>H241/(H9)*(H298+H299)*$C$261</f>
        <v>40.269106339861771</v>
      </c>
      <c r="I261" s="2114">
        <f>I241/(I9)*(I298+I299)*$C$261</f>
        <v>46.585470502939984</v>
      </c>
      <c r="J261" s="2114">
        <f>J241/(J9)*(J298+J299)*$C$261</f>
        <v>59.428256055779826</v>
      </c>
      <c r="K261" s="2114">
        <f>K241/(K9)*(K298+K299)*$C$261</f>
        <v>70.141615930840871</v>
      </c>
      <c r="L261" s="2114">
        <f>L241/(L9)*(L298+L299)*$C$261</f>
        <v>86.367858021448626</v>
      </c>
      <c r="M261" s="2114">
        <f>M241/(M9)*(M298+M299)*$C$261</f>
        <v>123.27726019378757</v>
      </c>
      <c r="N261" s="2114">
        <f>N241/(N9)*(N298+N299)*$C$261</f>
        <v>116.60040945836361</v>
      </c>
      <c r="O261" s="2114">
        <f>O241/(O9)*(O298+O299)*$C$261</f>
        <v>106.53744469344822</v>
      </c>
      <c r="P261" s="2114">
        <f>P241/(P9)*(P298+P299)*$C$261</f>
        <v>109.86894150635688</v>
      </c>
      <c r="Q261" s="2114">
        <f>Q241/(Q9)*(Q298+Q299)*$C$261</f>
        <v>113.60427071718057</v>
      </c>
      <c r="R261" s="2114">
        <f>R241/(R9)*(R298+R299)*$C$261</f>
        <v>116.11261455118648</v>
      </c>
      <c r="S261" s="2114">
        <f>S241/(S9)*(S298+S299)*$C$261</f>
        <v>126.3408355499588</v>
      </c>
      <c r="T261" s="2335"/>
      <c r="U261" s="2335"/>
      <c r="V261" s="2335"/>
      <c r="X261" s="2374"/>
      <c r="Y261" s="2375"/>
      <c r="Z261" s="2375"/>
      <c r="AA261" s="2375"/>
      <c r="AB261" s="2375"/>
      <c r="AC261" s="1938"/>
      <c r="AD261" s="1938"/>
      <c r="AE261" s="1938"/>
      <c r="AF261" s="1938"/>
      <c r="AG261" s="1938"/>
      <c r="AH261" s="1938"/>
      <c r="AI261" s="1938"/>
      <c r="AJ261" s="1938"/>
      <c r="AK261" s="1938"/>
      <c r="AL261" s="1938"/>
    </row>
    <row r="262" spans="2:38" s="2413" customFormat="1" outlineLevel="1">
      <c r="B262" s="2413" t="s">
        <v>323</v>
      </c>
      <c r="D262" s="2414"/>
      <c r="E262" s="2414"/>
      <c r="F262" s="2415">
        <f>F241-F255</f>
        <v>-1.6346573409999792</v>
      </c>
      <c r="G262" s="2415">
        <f t="shared" ref="G262:S262" si="184">G241-G255</f>
        <v>61.32158246500012</v>
      </c>
      <c r="H262" s="2415">
        <f t="shared" si="184"/>
        <v>216.80556301999991</v>
      </c>
      <c r="I262" s="2415">
        <f t="shared" si="184"/>
        <v>249.67897393909311</v>
      </c>
      <c r="J262" s="2415">
        <f t="shared" si="184"/>
        <v>476.59073154209659</v>
      </c>
      <c r="K262" s="2415">
        <f t="shared" si="184"/>
        <v>454.22873177183328</v>
      </c>
      <c r="L262" s="2415">
        <f t="shared" si="184"/>
        <v>749.83568692553899</v>
      </c>
      <c r="M262" s="2415">
        <f t="shared" si="184"/>
        <v>1491.6833922990713</v>
      </c>
      <c r="N262" s="2415">
        <f t="shared" si="184"/>
        <v>1256.3238228509404</v>
      </c>
      <c r="O262" s="2415">
        <f t="shared" si="184"/>
        <v>1013.518392264627</v>
      </c>
      <c r="P262" s="2415">
        <f t="shared" si="184"/>
        <v>947.59182352051312</v>
      </c>
      <c r="Q262" s="2415">
        <f t="shared" si="184"/>
        <v>1030.6676180741715</v>
      </c>
      <c r="R262" s="2415">
        <f t="shared" si="184"/>
        <v>1056.7597233063675</v>
      </c>
      <c r="S262" s="2415">
        <f t="shared" si="184"/>
        <v>1102.5334055836174</v>
      </c>
      <c r="X262" s="2416"/>
      <c r="Y262" s="2416"/>
      <c r="Z262" s="2416"/>
      <c r="AA262" s="2416"/>
      <c r="AB262" s="2416"/>
    </row>
    <row r="263" spans="2:38" s="2406" customFormat="1" outlineLevel="1">
      <c r="B263" s="2409" t="s">
        <v>1226</v>
      </c>
      <c r="C263" s="2409"/>
      <c r="D263" s="2407"/>
      <c r="E263" s="2407"/>
      <c r="F263" s="2410">
        <f t="shared" ref="F263:S263" si="185">F262/F241</f>
        <v>-4.1780483440181839E-3</v>
      </c>
      <c r="G263" s="2410">
        <f t="shared" si="185"/>
        <v>4.8927238391497103E-2</v>
      </c>
      <c r="H263" s="2410">
        <f t="shared" si="185"/>
        <v>0.12938633850056155</v>
      </c>
      <c r="I263" s="2410">
        <f t="shared" si="185"/>
        <v>0.14234841271397841</v>
      </c>
      <c r="J263" s="2410">
        <f t="shared" si="185"/>
        <v>0.19170143370787804</v>
      </c>
      <c r="K263" s="2410">
        <f t="shared" si="185"/>
        <v>0.15970861588225216</v>
      </c>
      <c r="L263" s="2410">
        <f t="shared" si="185"/>
        <v>0.22192355950631576</v>
      </c>
      <c r="M263" s="2410">
        <f t="shared" si="185"/>
        <v>0.31733947390011119</v>
      </c>
      <c r="N263" s="2410">
        <f t="shared" si="185"/>
        <v>0.29051008312656473</v>
      </c>
      <c r="O263" s="2410">
        <f t="shared" si="185"/>
        <v>0.25474368241799311</v>
      </c>
      <c r="P263" s="2410">
        <f t="shared" si="185"/>
        <v>0.2335032454087913</v>
      </c>
      <c r="Q263" s="2410">
        <f t="shared" si="185"/>
        <v>0.25145997849282298</v>
      </c>
      <c r="R263" s="2410">
        <f t="shared" si="185"/>
        <v>0.25527314051967198</v>
      </c>
      <c r="S263" s="2410">
        <f t="shared" si="185"/>
        <v>0.25364793255132528</v>
      </c>
      <c r="T263" s="2411"/>
      <c r="U263" s="2411"/>
      <c r="V263" s="2411"/>
      <c r="W263" s="2411"/>
      <c r="X263" s="2408"/>
      <c r="Y263" s="2408"/>
      <c r="Z263" s="2408"/>
      <c r="AA263" s="2408"/>
      <c r="AB263" s="2408"/>
    </row>
    <row r="264" spans="2:38" s="2033" customFormat="1" outlineLevel="1">
      <c r="B264" s="2138"/>
      <c r="C264" s="2138"/>
      <c r="D264" s="2106"/>
      <c r="E264" s="2106"/>
      <c r="F264" s="2106"/>
      <c r="G264" s="2106"/>
      <c r="H264" s="2106"/>
      <c r="I264" s="2296"/>
      <c r="J264" s="1979"/>
      <c r="K264" s="2034"/>
      <c r="L264" s="2034"/>
      <c r="M264" s="2034"/>
      <c r="N264" s="2034"/>
      <c r="O264" s="2034"/>
      <c r="P264" s="2034"/>
      <c r="Q264" s="2034"/>
      <c r="R264" s="2034"/>
      <c r="S264" s="2034"/>
      <c r="T264" s="2034"/>
      <c r="U264" s="2034"/>
      <c r="V264" s="2034"/>
      <c r="W264" s="2034"/>
      <c r="X264" s="2375"/>
      <c r="Y264" s="2375"/>
      <c r="Z264" s="2375"/>
      <c r="AA264" s="2375"/>
      <c r="AB264" s="2375"/>
      <c r="AC264" s="1938"/>
      <c r="AD264" s="1938"/>
      <c r="AE264" s="1938"/>
      <c r="AF264" s="1938"/>
      <c r="AG264" s="1938"/>
      <c r="AH264" s="1938"/>
      <c r="AI264" s="1938"/>
      <c r="AJ264" s="1938"/>
      <c r="AK264" s="1938"/>
      <c r="AL264" s="1938"/>
    </row>
    <row r="265" spans="2:38" s="2033" customFormat="1" outlineLevel="1">
      <c r="B265" s="2138" t="s">
        <v>1331</v>
      </c>
      <c r="C265" s="2138"/>
      <c r="D265" s="2114">
        <f>D269</f>
        <v>5270.6107940701922</v>
      </c>
      <c r="E265" s="2114">
        <f t="shared" ref="E265:S265" si="186">E269</f>
        <v>5002.4420480618819</v>
      </c>
      <c r="F265" s="2114">
        <f t="shared" si="186"/>
        <v>6260.5089918608965</v>
      </c>
      <c r="G265" s="2114">
        <f t="shared" si="186"/>
        <v>8636.6331486953259</v>
      </c>
      <c r="H265" s="2114">
        <f t="shared" si="186"/>
        <v>4881.046466034938</v>
      </c>
      <c r="I265" s="2114">
        <f t="shared" si="186"/>
        <v>4502.8722004797801</v>
      </c>
      <c r="J265" s="2114">
        <f t="shared" si="186"/>
        <v>4904.4863987390636</v>
      </c>
      <c r="K265" s="2114">
        <f t="shared" si="186"/>
        <v>5149.7107186760159</v>
      </c>
      <c r="L265" s="2114">
        <f t="shared" si="186"/>
        <v>4892.6062662966115</v>
      </c>
      <c r="M265" s="2114">
        <f t="shared" si="186"/>
        <v>5137.2365796114418</v>
      </c>
      <c r="N265" s="2114">
        <f t="shared" si="186"/>
        <v>4668.2393805437086</v>
      </c>
      <c r="O265" s="2114">
        <f t="shared" si="186"/>
        <v>4901.6513495708941</v>
      </c>
      <c r="P265" s="2114">
        <f t="shared" si="186"/>
        <v>4980.8527597074544</v>
      </c>
      <c r="Q265" s="2114">
        <f t="shared" si="186"/>
        <v>4868.3701581869263</v>
      </c>
      <c r="R265" s="2114">
        <f t="shared" si="186"/>
        <v>5111.7886660962731</v>
      </c>
      <c r="S265" s="2114">
        <f t="shared" si="186"/>
        <v>5367.3780994010867</v>
      </c>
      <c r="T265" s="2336"/>
      <c r="U265" s="2336"/>
      <c r="V265" s="2336"/>
      <c r="W265" s="2034"/>
      <c r="X265" s="2375"/>
      <c r="Y265" s="2375"/>
      <c r="Z265" s="2375"/>
      <c r="AA265" s="2375"/>
      <c r="AB265" s="2375"/>
      <c r="AC265" s="1938"/>
      <c r="AD265" s="1938"/>
      <c r="AE265" s="1938"/>
      <c r="AF265" s="1938"/>
      <c r="AG265" s="1938"/>
      <c r="AH265" s="1938"/>
      <c r="AI265" s="1938"/>
      <c r="AJ265" s="1938"/>
      <c r="AK265" s="1938"/>
      <c r="AL265" s="1938"/>
    </row>
    <row r="266" spans="2:38" s="2033" customFormat="1" outlineLevel="1">
      <c r="B266" s="2138"/>
      <c r="C266" s="2138"/>
      <c r="D266" s="2106"/>
      <c r="E266" s="2106"/>
      <c r="F266" s="2106"/>
      <c r="G266" s="2106"/>
      <c r="H266" s="2106"/>
      <c r="I266" s="2296"/>
      <c r="J266" s="1979"/>
      <c r="K266" s="2337"/>
      <c r="L266" s="2034"/>
      <c r="M266" s="2034"/>
      <c r="N266" s="2034"/>
      <c r="O266" s="2034"/>
      <c r="P266" s="2034"/>
      <c r="Q266" s="2034"/>
      <c r="R266" s="2034"/>
      <c r="S266" s="2034"/>
      <c r="T266" s="2034"/>
      <c r="U266" s="2034"/>
      <c r="V266" s="2034"/>
      <c r="W266" s="2034"/>
      <c r="X266" s="2375"/>
      <c r="Y266" s="2375"/>
      <c r="Z266" s="2375"/>
      <c r="AA266" s="2375"/>
      <c r="AB266" s="2375"/>
      <c r="AC266" s="1938"/>
      <c r="AD266" s="1938"/>
      <c r="AE266" s="1938"/>
      <c r="AF266" s="1938"/>
      <c r="AG266" s="1938"/>
      <c r="AH266" s="1938"/>
      <c r="AI266" s="1938"/>
      <c r="AJ266" s="1938"/>
      <c r="AK266" s="1938"/>
      <c r="AL266" s="1938"/>
    </row>
    <row r="267" spans="2:38" s="2130" customFormat="1" ht="13.8" outlineLevel="1" thickBot="1">
      <c r="D267" s="2106"/>
      <c r="E267" s="2106"/>
      <c r="F267" s="2106"/>
      <c r="G267" s="2106"/>
      <c r="H267" s="2106"/>
      <c r="I267" s="2296"/>
      <c r="J267" s="1979"/>
      <c r="K267" s="2106"/>
      <c r="L267" s="2106"/>
      <c r="M267" s="2106"/>
      <c r="N267" s="2106"/>
      <c r="O267" s="2106"/>
      <c r="P267" s="2106"/>
      <c r="Q267" s="2106"/>
      <c r="R267" s="2106"/>
      <c r="S267" s="2106"/>
      <c r="T267" s="2106"/>
      <c r="Z267" s="2699" t="s">
        <v>1420</v>
      </c>
      <c r="AA267" s="2699"/>
      <c r="AB267" s="2699"/>
      <c r="AC267" s="2699"/>
      <c r="AD267" s="2699"/>
      <c r="AE267" s="2050"/>
      <c r="AF267" s="2050"/>
      <c r="AG267" s="2050"/>
      <c r="AH267" s="2050"/>
      <c r="AI267" s="2050"/>
      <c r="AJ267" s="2050"/>
      <c r="AK267" s="2050"/>
      <c r="AL267" s="2050"/>
    </row>
    <row r="268" spans="2:38" s="2033" customFormat="1" outlineLevel="1">
      <c r="B268" s="2139" t="s">
        <v>1332</v>
      </c>
      <c r="C268" s="2349"/>
      <c r="D268" s="2140"/>
      <c r="E268" s="2140"/>
      <c r="F268" s="2140"/>
      <c r="G268" s="2140"/>
      <c r="H268" s="2140"/>
      <c r="I268" s="2297"/>
      <c r="J268" s="2141"/>
      <c r="K268" s="2140"/>
      <c r="L268" s="2140"/>
      <c r="M268" s="2140"/>
      <c r="N268" s="2140"/>
      <c r="O268" s="2140"/>
      <c r="P268" s="2142"/>
      <c r="Q268" s="2106"/>
      <c r="T268" s="2131"/>
      <c r="X268" s="2131">
        <v>2019</v>
      </c>
      <c r="Y268" s="2131">
        <v>2020</v>
      </c>
      <c r="Z268" s="2131">
        <v>2021</v>
      </c>
      <c r="AA268" s="2131">
        <v>2022</v>
      </c>
      <c r="AB268" s="2131">
        <v>2023</v>
      </c>
      <c r="AC268" s="2131">
        <v>2024</v>
      </c>
      <c r="AD268" s="2131">
        <v>2025</v>
      </c>
      <c r="AE268" s="1938"/>
      <c r="AF268" s="1938"/>
      <c r="AG268" s="1938"/>
      <c r="AH268" s="1938"/>
      <c r="AI268" s="1938"/>
      <c r="AJ268" s="1938"/>
      <c r="AK268" s="1938"/>
      <c r="AL268" s="1938"/>
    </row>
    <row r="269" spans="2:38" s="2147" customFormat="1" outlineLevel="1">
      <c r="B269" s="2143" t="s">
        <v>1333</v>
      </c>
      <c r="C269" s="2144"/>
      <c r="D269" s="2144">
        <f>SUM(D283:D285)/(1-D287)</f>
        <v>5270.6107940701922</v>
      </c>
      <c r="E269" s="2144">
        <f t="shared" ref="E269:S269" si="187">SUM(E283:E285)/(1-E287)</f>
        <v>5002.4420480618819</v>
      </c>
      <c r="F269" s="2144">
        <f t="shared" si="187"/>
        <v>6260.5089918608965</v>
      </c>
      <c r="G269" s="2144">
        <f t="shared" si="187"/>
        <v>8636.6331486953259</v>
      </c>
      <c r="H269" s="2144">
        <f t="shared" si="187"/>
        <v>4881.046466034938</v>
      </c>
      <c r="I269" s="2144">
        <f t="shared" si="187"/>
        <v>4502.8722004797801</v>
      </c>
      <c r="J269" s="2144">
        <f t="shared" si="187"/>
        <v>4904.4863987390636</v>
      </c>
      <c r="K269" s="2144">
        <f t="shared" si="187"/>
        <v>5149.7107186760159</v>
      </c>
      <c r="L269" s="2144">
        <f t="shared" si="187"/>
        <v>4892.6062662966115</v>
      </c>
      <c r="M269" s="2144">
        <f t="shared" si="187"/>
        <v>5137.2365796114418</v>
      </c>
      <c r="N269" s="2144">
        <f t="shared" si="187"/>
        <v>4668.2393805437086</v>
      </c>
      <c r="O269" s="2144">
        <f t="shared" si="187"/>
        <v>4901.6513495708941</v>
      </c>
      <c r="P269" s="2144">
        <f t="shared" si="187"/>
        <v>4980.8527597074544</v>
      </c>
      <c r="Q269" s="2144">
        <f t="shared" si="187"/>
        <v>4868.3701581869263</v>
      </c>
      <c r="R269" s="2144">
        <f t="shared" si="187"/>
        <v>5111.7886660962731</v>
      </c>
      <c r="S269" s="2144">
        <f t="shared" si="187"/>
        <v>5367.3780994010867</v>
      </c>
      <c r="T269" s="1956"/>
      <c r="X269" s="1956"/>
      <c r="Y269" s="1956"/>
      <c r="Z269" s="1956">
        <v>615</v>
      </c>
      <c r="AA269" s="1956">
        <v>840</v>
      </c>
      <c r="AB269" s="1956">
        <v>540</v>
      </c>
      <c r="AC269" s="1956">
        <v>585</v>
      </c>
      <c r="AD269" s="1956">
        <v>755</v>
      </c>
      <c r="AE269" s="2146"/>
      <c r="AF269" s="2146"/>
      <c r="AG269" s="2146"/>
      <c r="AH269" s="2146"/>
      <c r="AI269" s="2146"/>
      <c r="AJ269" s="2146"/>
      <c r="AK269" s="2146"/>
      <c r="AL269" s="2146"/>
    </row>
    <row r="270" spans="2:38" s="2033" customFormat="1" outlineLevel="1">
      <c r="B270" s="2148" t="s">
        <v>1334</v>
      </c>
      <c r="C270" s="2350"/>
      <c r="D270" s="2149"/>
      <c r="E270" s="2149"/>
      <c r="F270" s="2149"/>
      <c r="G270" s="2149"/>
      <c r="H270" s="2149"/>
      <c r="I270" s="2299"/>
      <c r="J270" s="2150"/>
      <c r="K270" s="2151"/>
      <c r="L270" s="2151"/>
      <c r="M270" s="2151"/>
      <c r="N270" s="2151"/>
      <c r="O270" s="2151"/>
      <c r="P270" s="2152"/>
      <c r="Q270" s="2153"/>
      <c r="T270" s="2153"/>
      <c r="X270" s="2153">
        <v>12300</v>
      </c>
      <c r="Y270" s="2153">
        <v>12000</v>
      </c>
      <c r="Z270" s="2153">
        <f>$AD$270*Z269/$AD$269</f>
        <v>12218.543046357616</v>
      </c>
      <c r="AA270" s="2153">
        <f>$AD$270*AA269/$AD$269</f>
        <v>16688.741721854305</v>
      </c>
      <c r="AB270" s="2153">
        <f>$AD$270*AB269/$AD$269</f>
        <v>10728.476821192053</v>
      </c>
      <c r="AC270" s="2153">
        <f>$AD$270*AC269/$AD$269</f>
        <v>11622.51655629139</v>
      </c>
      <c r="AD270" s="2153">
        <v>15000</v>
      </c>
      <c r="AE270" s="1938"/>
      <c r="AF270" s="1938"/>
      <c r="AG270" s="1938"/>
      <c r="AH270" s="1938"/>
      <c r="AI270" s="1938"/>
      <c r="AJ270" s="1938"/>
      <c r="AK270" s="1938"/>
      <c r="AL270" s="1938"/>
    </row>
    <row r="271" spans="2:38" s="2033" customFormat="1" outlineLevel="1">
      <c r="B271" s="2154" t="s">
        <v>1335</v>
      </c>
      <c r="C271" s="2351"/>
      <c r="D271" s="2333">
        <f>D115/D101/10^3</f>
        <v>5.8585464178224087E-3</v>
      </c>
      <c r="E271" s="2333">
        <f>E115/E101/10^3</f>
        <v>4.8273043083713416E-3</v>
      </c>
      <c r="F271" s="2333">
        <f>F115/F101/10^3</f>
        <v>6.3349623493924555E-3</v>
      </c>
      <c r="G271" s="2333">
        <f>G115/G101/10^3</f>
        <v>7.8833302794545541E-3</v>
      </c>
      <c r="H271" s="2333">
        <f>H115/H101/10^3</f>
        <v>7.4282137006674133E-3</v>
      </c>
      <c r="I271" s="2334">
        <f>I115/I101/10^3</f>
        <v>6.8326956965937616E-3</v>
      </c>
      <c r="J271" s="2155">
        <f>I271*(1.05)</f>
        <v>7.1743304814234502E-3</v>
      </c>
      <c r="K271" s="2155">
        <f t="shared" ref="K271:S271" si="188">J271*(1.05)</f>
        <v>7.5330470054946232E-3</v>
      </c>
      <c r="L271" s="2155">
        <f t="shared" si="188"/>
        <v>7.9096993557693542E-3</v>
      </c>
      <c r="M271" s="2155">
        <f t="shared" si="188"/>
        <v>8.3051843235578231E-3</v>
      </c>
      <c r="N271" s="2155">
        <f t="shared" si="188"/>
        <v>8.7204435397357141E-3</v>
      </c>
      <c r="O271" s="2155">
        <f t="shared" si="188"/>
        <v>9.1564657167224998E-3</v>
      </c>
      <c r="P271" s="2155">
        <f t="shared" si="188"/>
        <v>9.614289002558625E-3</v>
      </c>
      <c r="Q271" s="2155">
        <f t="shared" si="188"/>
        <v>1.0095003452686557E-2</v>
      </c>
      <c r="R271" s="2155">
        <f t="shared" si="188"/>
        <v>1.0599753625320885E-2</v>
      </c>
      <c r="S271" s="2155">
        <f t="shared" si="188"/>
        <v>1.112974130658693E-2</v>
      </c>
      <c r="T271" s="2156"/>
      <c r="U271" s="2156"/>
      <c r="V271" s="2156"/>
      <c r="W271" s="2156"/>
      <c r="Z271" s="2156"/>
      <c r="AA271" s="1938"/>
      <c r="AB271" s="1938"/>
      <c r="AC271" s="1938"/>
      <c r="AD271" s="1938"/>
      <c r="AE271" s="1938"/>
      <c r="AF271" s="1938"/>
      <c r="AG271" s="1938"/>
      <c r="AH271" s="1938"/>
      <c r="AI271" s="1938"/>
      <c r="AJ271" s="1938"/>
      <c r="AK271" s="1938"/>
      <c r="AL271" s="1938"/>
    </row>
    <row r="272" spans="2:38" s="2033" customFormat="1" outlineLevel="1">
      <c r="B272" s="2154" t="s">
        <v>1336</v>
      </c>
      <c r="C272" s="2351"/>
      <c r="D272" s="2155">
        <f t="shared" ref="D272:I272" si="189">X270/1000</f>
        <v>12.3</v>
      </c>
      <c r="E272" s="2155">
        <f t="shared" si="189"/>
        <v>12</v>
      </c>
      <c r="F272" s="2155">
        <f t="shared" si="189"/>
        <v>12.218543046357615</v>
      </c>
      <c r="G272" s="2155">
        <f t="shared" si="189"/>
        <v>16.688741721854306</v>
      </c>
      <c r="H272" s="2155">
        <f t="shared" si="189"/>
        <v>10.728476821192054</v>
      </c>
      <c r="I272" s="2300">
        <f t="shared" si="189"/>
        <v>11.622516556291389</v>
      </c>
      <c r="J272" s="2155">
        <f>I272*(1+0.05)</f>
        <v>12.20364238410596</v>
      </c>
      <c r="K272" s="2155">
        <f t="shared" ref="K272:S272" si="190">J272*(1+0.05)</f>
        <v>12.813824503311258</v>
      </c>
      <c r="L272" s="2155">
        <f>K272*(1-0.05)</f>
        <v>12.173133278145695</v>
      </c>
      <c r="M272" s="2155">
        <f t="shared" si="190"/>
        <v>12.781789942052979</v>
      </c>
      <c r="N272" s="2155">
        <f>M272*(1-0.05)</f>
        <v>12.14270044495033</v>
      </c>
      <c r="O272" s="2155">
        <f t="shared" si="190"/>
        <v>12.749835467197848</v>
      </c>
      <c r="P272" s="2155">
        <f>O272*(1+0.02)</f>
        <v>13.004832176541806</v>
      </c>
      <c r="Q272" s="2155">
        <f>P272*(1+0.15)</f>
        <v>14.955557003023076</v>
      </c>
      <c r="R272" s="2155">
        <f t="shared" si="190"/>
        <v>15.70333485317423</v>
      </c>
      <c r="S272" s="2155">
        <f t="shared" si="190"/>
        <v>16.488501595832943</v>
      </c>
      <c r="T272" s="2157"/>
      <c r="U272" s="2157"/>
      <c r="V272" s="2157"/>
      <c r="W272" s="2157"/>
      <c r="X272" s="2157"/>
      <c r="Y272" s="2157"/>
      <c r="Z272" s="2157"/>
      <c r="AA272" s="1938"/>
      <c r="AB272" s="1938"/>
      <c r="AC272" s="1938"/>
      <c r="AD272" s="1938"/>
      <c r="AE272" s="1938"/>
      <c r="AF272" s="1938"/>
      <c r="AG272" s="1938"/>
      <c r="AH272" s="1938"/>
      <c r="AI272" s="1938"/>
      <c r="AJ272" s="1938"/>
      <c r="AK272" s="1938"/>
      <c r="AL272" s="1938"/>
    </row>
    <row r="273" spans="2:38" s="2033" customFormat="1" outlineLevel="1">
      <c r="B273" s="2154" t="s">
        <v>1337</v>
      </c>
      <c r="C273" s="2351"/>
      <c r="D273" s="2155">
        <f>8070/1000</f>
        <v>8.07</v>
      </c>
      <c r="E273" s="2155">
        <f>7400/1000</f>
        <v>7.4</v>
      </c>
      <c r="F273" s="2155">
        <f>11500/1000</f>
        <v>11.5</v>
      </c>
      <c r="G273" s="2155">
        <f>16000/1000</f>
        <v>16</v>
      </c>
      <c r="H273" s="2155">
        <f>G273*400/800</f>
        <v>8</v>
      </c>
      <c r="I273" s="2300">
        <f>H273*0.75</f>
        <v>6</v>
      </c>
      <c r="J273" s="2155">
        <f>I273*(1+0.15)</f>
        <v>6.8999999999999995</v>
      </c>
      <c r="K273" s="2155">
        <f t="shared" ref="K273:S273" si="191">J273*(1+0.05)</f>
        <v>7.2450000000000001</v>
      </c>
      <c r="L273" s="2155">
        <f>K273*(1-0.05)</f>
        <v>6.8827499999999997</v>
      </c>
      <c r="M273" s="2155">
        <f>L273*(1+0.05)</f>
        <v>7.2268875000000001</v>
      </c>
      <c r="N273" s="2155">
        <f>M273*(1-0.15)</f>
        <v>6.1428543749999998</v>
      </c>
      <c r="O273" s="2155">
        <f t="shared" si="191"/>
        <v>6.4499970937500004</v>
      </c>
      <c r="P273" s="2155">
        <f>O273*(1+0.01)</f>
        <v>6.5144970646875002</v>
      </c>
      <c r="Q273" s="2155">
        <f>P273*(1+0.15)</f>
        <v>7.4916716243906247</v>
      </c>
      <c r="R273" s="2155">
        <f t="shared" si="191"/>
        <v>7.8662552056101562</v>
      </c>
      <c r="S273" s="2155">
        <f t="shared" si="191"/>
        <v>8.259567965890664</v>
      </c>
      <c r="T273" s="2157"/>
      <c r="U273" s="2157"/>
      <c r="V273" s="2157"/>
      <c r="W273" s="2157"/>
      <c r="X273" s="2157"/>
      <c r="Y273" s="2157"/>
      <c r="Z273" s="2157"/>
      <c r="AA273" s="1938"/>
      <c r="AB273" s="1938"/>
      <c r="AC273" s="1938"/>
      <c r="AD273" s="1938"/>
      <c r="AE273" s="1938"/>
      <c r="AF273" s="1938"/>
      <c r="AG273" s="1938"/>
      <c r="AH273" s="1938"/>
      <c r="AI273" s="1938"/>
      <c r="AJ273" s="1938"/>
      <c r="AK273" s="1938"/>
      <c r="AL273" s="1938"/>
    </row>
    <row r="274" spans="2:38" s="2033" customFormat="1" outlineLevel="1">
      <c r="B274" s="2158" t="s">
        <v>1338</v>
      </c>
      <c r="C274" s="2352"/>
      <c r="D274" s="2149"/>
      <c r="E274" s="2149"/>
      <c r="F274" s="2149"/>
      <c r="G274" s="2145"/>
      <c r="H274" s="2145"/>
      <c r="I274" s="2298"/>
      <c r="J274" s="2145"/>
      <c r="K274" s="2159"/>
      <c r="L274" s="2159"/>
      <c r="M274" s="2159"/>
      <c r="N274" s="2159"/>
      <c r="O274" s="2159"/>
      <c r="P274" s="2160"/>
      <c r="Q274" s="2161"/>
      <c r="R274" s="2161"/>
      <c r="S274" s="2161"/>
      <c r="T274" s="2161"/>
      <c r="U274" s="2161"/>
      <c r="V274" s="2161"/>
      <c r="W274" s="2161"/>
      <c r="X274" s="2161"/>
      <c r="Y274" s="2161"/>
      <c r="Z274" s="2161"/>
      <c r="AA274" s="1938"/>
      <c r="AB274" s="1938"/>
      <c r="AC274" s="1938"/>
      <c r="AD274" s="1938"/>
      <c r="AE274" s="1938"/>
      <c r="AF274" s="1938"/>
      <c r="AG274" s="1938"/>
      <c r="AH274" s="1938"/>
      <c r="AI274" s="1938"/>
      <c r="AJ274" s="1938"/>
      <c r="AK274" s="1938"/>
      <c r="AL274" s="1938"/>
    </row>
    <row r="275" spans="2:38" s="2033" customFormat="1" outlineLevel="1">
      <c r="B275" s="2154" t="s">
        <v>1335</v>
      </c>
      <c r="C275" s="2351"/>
      <c r="D275" s="2149"/>
      <c r="E275" s="2149">
        <f>E271/D271-1</f>
        <v>-0.1760235450749188</v>
      </c>
      <c r="F275" s="2149">
        <f t="shared" ref="F275:I275" si="192">F271/E271-1</f>
        <v>0.31231883152810269</v>
      </c>
      <c r="G275" s="2149">
        <f t="shared" si="192"/>
        <v>0.24441627979219049</v>
      </c>
      <c r="H275" s="2149">
        <f t="shared" si="192"/>
        <v>-5.773151227384965E-2</v>
      </c>
      <c r="I275" s="2299">
        <f t="shared" si="192"/>
        <v>-8.0169745792335712E-2</v>
      </c>
      <c r="J275" s="2162">
        <f>AVERAGE(E275:I275)</f>
        <v>4.8562061635837803E-2</v>
      </c>
      <c r="K275" s="2162"/>
      <c r="L275" s="2163"/>
      <c r="M275" s="2163"/>
      <c r="N275" s="2163"/>
      <c r="O275" s="2163"/>
      <c r="P275" s="2164"/>
      <c r="Q275" s="2165"/>
      <c r="R275" s="2165"/>
      <c r="S275" s="2165"/>
      <c r="T275" s="2165"/>
      <c r="U275" s="2165"/>
      <c r="V275" s="2165"/>
      <c r="W275" s="2165"/>
      <c r="X275" s="2165"/>
      <c r="Y275" s="2165"/>
      <c r="Z275" s="2165"/>
      <c r="AA275" s="1938"/>
      <c r="AB275" s="1938"/>
      <c r="AC275" s="1938"/>
      <c r="AD275" s="1938"/>
      <c r="AE275" s="1938"/>
      <c r="AF275" s="1938"/>
      <c r="AG275" s="1938"/>
      <c r="AH275" s="1938"/>
      <c r="AI275" s="1938"/>
      <c r="AJ275" s="1938"/>
      <c r="AK275" s="1938"/>
      <c r="AL275" s="1938"/>
    </row>
    <row r="276" spans="2:38" s="2033" customFormat="1" outlineLevel="1">
      <c r="B276" s="2154" t="s">
        <v>1336</v>
      </c>
      <c r="C276" s="2351"/>
      <c r="D276" s="2149"/>
      <c r="E276" s="2149">
        <f>E272/D272-1</f>
        <v>-2.4390243902439046E-2</v>
      </c>
      <c r="F276" s="2149">
        <f t="shared" ref="F276:I276" si="193">F272/E272-1</f>
        <v>1.8211920529801251E-2</v>
      </c>
      <c r="G276" s="2149">
        <f t="shared" si="193"/>
        <v>0.36585365853658569</v>
      </c>
      <c r="H276" s="2149">
        <f t="shared" si="193"/>
        <v>-0.35714285714285721</v>
      </c>
      <c r="I276" s="2299">
        <f t="shared" si="193"/>
        <v>8.3333333333333037E-2</v>
      </c>
      <c r="J276" s="2162">
        <f t="shared" ref="J276:J277" si="194">AVERAGE(E276:I276)</f>
        <v>1.7173162270884744E-2</v>
      </c>
      <c r="K276" s="2163"/>
      <c r="L276" s="2163"/>
      <c r="M276" s="2163"/>
      <c r="N276" s="2163"/>
      <c r="O276" s="2163"/>
      <c r="P276" s="2164"/>
      <c r="Q276" s="2165"/>
      <c r="R276" s="2165"/>
      <c r="S276" s="2165"/>
      <c r="T276" s="2165"/>
      <c r="U276" s="2165"/>
      <c r="V276" s="2165"/>
      <c r="W276" s="2165"/>
      <c r="X276" s="2165"/>
      <c r="Y276" s="2165"/>
      <c r="Z276" s="2165"/>
      <c r="AA276" s="1938"/>
      <c r="AB276" s="1938"/>
      <c r="AC276" s="1938"/>
      <c r="AD276" s="1938"/>
      <c r="AE276" s="1938"/>
      <c r="AF276" s="1938"/>
      <c r="AG276" s="1938"/>
      <c r="AH276" s="1938"/>
      <c r="AI276" s="1938"/>
      <c r="AJ276" s="1938"/>
      <c r="AK276" s="1938"/>
      <c r="AL276" s="1938"/>
    </row>
    <row r="277" spans="2:38" s="2033" customFormat="1" outlineLevel="1">
      <c r="B277" s="2154" t="s">
        <v>1337</v>
      </c>
      <c r="C277" s="2351"/>
      <c r="D277" s="2149"/>
      <c r="E277" s="2149">
        <f>E273/D273-1</f>
        <v>-8.3023543990086712E-2</v>
      </c>
      <c r="F277" s="2149">
        <f t="shared" ref="F277:I277" si="195">F273/E273-1</f>
        <v>0.55405405405405395</v>
      </c>
      <c r="G277" s="2149">
        <f t="shared" si="195"/>
        <v>0.39130434782608692</v>
      </c>
      <c r="H277" s="2149">
        <f t="shared" si="195"/>
        <v>-0.5</v>
      </c>
      <c r="I277" s="2299">
        <f t="shared" si="195"/>
        <v>-0.25</v>
      </c>
      <c r="J277" s="2162">
        <f t="shared" si="194"/>
        <v>2.2466971578010829E-2</v>
      </c>
      <c r="K277" s="2163"/>
      <c r="L277" s="2163"/>
      <c r="M277" s="2163"/>
      <c r="N277" s="2163"/>
      <c r="O277" s="2163"/>
      <c r="P277" s="2164"/>
      <c r="Q277" s="2165"/>
      <c r="R277" s="2165"/>
      <c r="S277" s="2165"/>
      <c r="T277" s="2165"/>
      <c r="U277" s="2165"/>
      <c r="V277" s="2165"/>
      <c r="W277" s="2165"/>
      <c r="X277" s="2165"/>
      <c r="Y277" s="2165"/>
      <c r="Z277" s="2165"/>
      <c r="AA277" s="1938"/>
      <c r="AB277" s="1938"/>
      <c r="AC277" s="1938"/>
      <c r="AD277" s="1938"/>
      <c r="AE277" s="1938"/>
      <c r="AF277" s="1938"/>
      <c r="AG277" s="1938"/>
      <c r="AH277" s="1938"/>
      <c r="AI277" s="1938"/>
      <c r="AJ277" s="1938"/>
      <c r="AK277" s="1938"/>
      <c r="AL277" s="1938"/>
    </row>
    <row r="278" spans="2:38" s="2033" customFormat="1" outlineLevel="1">
      <c r="B278" s="2148" t="s">
        <v>1339</v>
      </c>
      <c r="C278" s="2350"/>
      <c r="D278" s="2149"/>
      <c r="E278" s="2149"/>
      <c r="F278" s="2149"/>
      <c r="G278" s="2145"/>
      <c r="H278" s="2145"/>
      <c r="I278" s="2298"/>
      <c r="J278" s="2145"/>
      <c r="K278" s="2159"/>
      <c r="L278" s="2159"/>
      <c r="M278" s="2159"/>
      <c r="N278" s="2159"/>
      <c r="O278" s="2166"/>
      <c r="P278" s="2160"/>
      <c r="Q278" s="2167"/>
      <c r="R278" s="2167"/>
      <c r="S278" s="2167"/>
      <c r="T278" s="2167"/>
      <c r="U278" s="2167"/>
      <c r="V278" s="2167"/>
      <c r="W278" s="2167"/>
      <c r="X278" s="2167"/>
      <c r="Y278" s="2167"/>
      <c r="Z278" s="2167"/>
      <c r="AA278" s="1938"/>
      <c r="AB278" s="1938"/>
      <c r="AC278" s="1938"/>
      <c r="AD278" s="1938"/>
      <c r="AE278" s="1938"/>
      <c r="AF278" s="1938"/>
      <c r="AG278" s="1938"/>
      <c r="AH278" s="1938"/>
      <c r="AI278" s="1938"/>
      <c r="AJ278" s="1938"/>
      <c r="AK278" s="1938"/>
      <c r="AL278" s="1938"/>
    </row>
    <row r="279" spans="2:38" s="2033" customFormat="1" outlineLevel="1">
      <c r="B279" s="2154" t="s">
        <v>1335</v>
      </c>
      <c r="C279" s="2351"/>
      <c r="D279" s="2155">
        <v>430</v>
      </c>
      <c r="E279" s="2155">
        <f>D279</f>
        <v>430</v>
      </c>
      <c r="F279" s="2155">
        <f t="shared" ref="F279:J279" si="196">E279</f>
        <v>430</v>
      </c>
      <c r="G279" s="2155">
        <f t="shared" si="196"/>
        <v>430</v>
      </c>
      <c r="H279" s="2155">
        <f t="shared" si="196"/>
        <v>430</v>
      </c>
      <c r="I279" s="2300">
        <f t="shared" si="196"/>
        <v>430</v>
      </c>
      <c r="J279" s="2155">
        <f t="shared" si="196"/>
        <v>430</v>
      </c>
      <c r="K279" s="2155">
        <f t="shared" ref="K279:S279" si="197">J279</f>
        <v>430</v>
      </c>
      <c r="L279" s="2155">
        <f t="shared" si="197"/>
        <v>430</v>
      </c>
      <c r="M279" s="2155">
        <f t="shared" si="197"/>
        <v>430</v>
      </c>
      <c r="N279" s="2155">
        <f t="shared" si="197"/>
        <v>430</v>
      </c>
      <c r="O279" s="2155">
        <f t="shared" si="197"/>
        <v>430</v>
      </c>
      <c r="P279" s="2155">
        <f t="shared" si="197"/>
        <v>430</v>
      </c>
      <c r="Q279" s="2155">
        <f t="shared" si="197"/>
        <v>430</v>
      </c>
      <c r="R279" s="2155">
        <f t="shared" si="197"/>
        <v>430</v>
      </c>
      <c r="S279" s="2155">
        <f t="shared" si="197"/>
        <v>430</v>
      </c>
      <c r="T279" s="2155"/>
      <c r="U279" s="2168"/>
      <c r="V279" s="2168"/>
      <c r="W279" s="2168"/>
      <c r="X279" s="2168"/>
      <c r="Y279" s="2168"/>
      <c r="Z279" s="2168"/>
      <c r="AA279" s="1938"/>
      <c r="AB279" s="1938"/>
      <c r="AC279" s="1938"/>
      <c r="AD279" s="1938"/>
      <c r="AE279" s="1938"/>
      <c r="AF279" s="1938"/>
      <c r="AG279" s="1938"/>
      <c r="AH279" s="1938"/>
      <c r="AI279" s="1938"/>
      <c r="AJ279" s="1938"/>
      <c r="AK279" s="1938"/>
      <c r="AL279" s="1938"/>
    </row>
    <row r="280" spans="2:38" s="2033" customFormat="1" outlineLevel="1">
      <c r="B280" s="2154" t="s">
        <v>1336</v>
      </c>
      <c r="C280" s="2351"/>
      <c r="D280" s="2155">
        <v>200</v>
      </c>
      <c r="E280" s="2155">
        <f t="shared" ref="E280:I281" si="198">D280</f>
        <v>200</v>
      </c>
      <c r="F280" s="2155">
        <f t="shared" si="198"/>
        <v>200</v>
      </c>
      <c r="G280" s="2155">
        <f t="shared" si="198"/>
        <v>200</v>
      </c>
      <c r="H280" s="2155">
        <f t="shared" si="198"/>
        <v>200</v>
      </c>
      <c r="I280" s="2300">
        <f t="shared" si="198"/>
        <v>200</v>
      </c>
      <c r="J280" s="2155">
        <f t="shared" ref="J280:S280" si="199">I280</f>
        <v>200</v>
      </c>
      <c r="K280" s="2155">
        <f t="shared" si="199"/>
        <v>200</v>
      </c>
      <c r="L280" s="2155">
        <f t="shared" si="199"/>
        <v>200</v>
      </c>
      <c r="M280" s="2155">
        <f t="shared" si="199"/>
        <v>200</v>
      </c>
      <c r="N280" s="2155">
        <f t="shared" si="199"/>
        <v>200</v>
      </c>
      <c r="O280" s="2155">
        <f t="shared" si="199"/>
        <v>200</v>
      </c>
      <c r="P280" s="2155">
        <f t="shared" si="199"/>
        <v>200</v>
      </c>
      <c r="Q280" s="2155">
        <f t="shared" si="199"/>
        <v>200</v>
      </c>
      <c r="R280" s="2155">
        <f t="shared" si="199"/>
        <v>200</v>
      </c>
      <c r="S280" s="2155">
        <f t="shared" si="199"/>
        <v>200</v>
      </c>
      <c r="T280" s="2155"/>
      <c r="U280" s="2168"/>
      <c r="V280" s="2168"/>
      <c r="W280" s="2168"/>
      <c r="X280" s="2168"/>
      <c r="Y280" s="2168"/>
      <c r="Z280" s="2168"/>
      <c r="AA280" s="1938"/>
      <c r="AB280" s="1938"/>
      <c r="AC280" s="1938"/>
      <c r="AD280" s="1938"/>
      <c r="AE280" s="1938"/>
      <c r="AF280" s="1938"/>
      <c r="AG280" s="1938"/>
      <c r="AH280" s="1938"/>
      <c r="AI280" s="1938"/>
      <c r="AJ280" s="1938"/>
      <c r="AK280" s="1938"/>
      <c r="AL280" s="1938"/>
    </row>
    <row r="281" spans="2:38" s="2033" customFormat="1" outlineLevel="1">
      <c r="B281" s="2154" t="s">
        <v>1337</v>
      </c>
      <c r="C281" s="2351"/>
      <c r="D281" s="2155">
        <v>250</v>
      </c>
      <c r="E281" s="2155">
        <f t="shared" si="198"/>
        <v>250</v>
      </c>
      <c r="F281" s="2155">
        <f t="shared" si="198"/>
        <v>250</v>
      </c>
      <c r="G281" s="2155">
        <f t="shared" si="198"/>
        <v>250</v>
      </c>
      <c r="H281" s="2155">
        <f t="shared" si="198"/>
        <v>250</v>
      </c>
      <c r="I281" s="2300">
        <f t="shared" si="198"/>
        <v>250</v>
      </c>
      <c r="J281" s="2155">
        <f t="shared" ref="J281:S281" si="200">I281</f>
        <v>250</v>
      </c>
      <c r="K281" s="2155">
        <f t="shared" si="200"/>
        <v>250</v>
      </c>
      <c r="L281" s="2155">
        <f t="shared" si="200"/>
        <v>250</v>
      </c>
      <c r="M281" s="2155">
        <f t="shared" si="200"/>
        <v>250</v>
      </c>
      <c r="N281" s="2155">
        <f t="shared" si="200"/>
        <v>250</v>
      </c>
      <c r="O281" s="2155">
        <f t="shared" si="200"/>
        <v>250</v>
      </c>
      <c r="P281" s="2155">
        <f t="shared" si="200"/>
        <v>250</v>
      </c>
      <c r="Q281" s="2155">
        <f t="shared" si="200"/>
        <v>250</v>
      </c>
      <c r="R281" s="2155">
        <f t="shared" si="200"/>
        <v>250</v>
      </c>
      <c r="S281" s="2155">
        <f t="shared" si="200"/>
        <v>250</v>
      </c>
      <c r="T281" s="2155"/>
      <c r="U281" s="2168"/>
      <c r="V281" s="2168"/>
      <c r="W281" s="2168"/>
      <c r="X281" s="2168"/>
      <c r="Y281" s="2168"/>
      <c r="Z281" s="2168"/>
      <c r="AA281" s="1938"/>
      <c r="AB281" s="1938"/>
      <c r="AC281" s="1938"/>
      <c r="AD281" s="1938"/>
      <c r="AE281" s="1938"/>
      <c r="AF281" s="1938"/>
      <c r="AG281" s="1938"/>
      <c r="AH281" s="1938"/>
      <c r="AI281" s="1938"/>
      <c r="AJ281" s="1938"/>
      <c r="AK281" s="1938"/>
      <c r="AL281" s="1938"/>
    </row>
    <row r="282" spans="2:38" s="2033" customFormat="1" outlineLevel="1">
      <c r="B282" s="2148" t="s">
        <v>1340</v>
      </c>
      <c r="C282" s="2350"/>
      <c r="D282" s="2149"/>
      <c r="E282" s="2149"/>
      <c r="F282" s="2149"/>
      <c r="G282" s="2145"/>
      <c r="H282" s="2145"/>
      <c r="I282" s="2298"/>
      <c r="J282" s="2145"/>
      <c r="K282" s="2145"/>
      <c r="L282" s="2159"/>
      <c r="M282" s="2159"/>
      <c r="N282" s="2159"/>
      <c r="O282" s="2166"/>
      <c r="P282" s="2160"/>
      <c r="Q282" s="2167"/>
      <c r="R282" s="2167"/>
      <c r="S282" s="2167"/>
      <c r="T282" s="2167"/>
      <c r="U282" s="2167"/>
      <c r="V282" s="2167"/>
      <c r="W282" s="2167"/>
      <c r="X282" s="2167"/>
      <c r="Y282" s="2167"/>
      <c r="Z282" s="2167"/>
      <c r="AA282" s="1938"/>
      <c r="AB282" s="1938"/>
      <c r="AC282" s="1938"/>
      <c r="AD282" s="1938"/>
      <c r="AE282" s="1938"/>
      <c r="AF282" s="1938"/>
      <c r="AG282" s="1938"/>
      <c r="AH282" s="1938"/>
      <c r="AI282" s="1938"/>
      <c r="AJ282" s="1938"/>
      <c r="AK282" s="1938"/>
      <c r="AL282" s="1938"/>
    </row>
    <row r="283" spans="2:38" s="2033" customFormat="1" outlineLevel="1">
      <c r="B283" s="2154" t="s">
        <v>1335</v>
      </c>
      <c r="C283" s="2351"/>
      <c r="D283" s="2155">
        <f>D271*D279</f>
        <v>2.5191749596636357</v>
      </c>
      <c r="E283" s="2155">
        <f t="shared" ref="E283:S283" si="201">E271*E279</f>
        <v>2.0757408525996768</v>
      </c>
      <c r="F283" s="2155">
        <f t="shared" si="201"/>
        <v>2.724033810238756</v>
      </c>
      <c r="G283" s="2155">
        <f t="shared" si="201"/>
        <v>3.3898320201654584</v>
      </c>
      <c r="H283" s="2155">
        <f t="shared" si="201"/>
        <v>3.1941318912869878</v>
      </c>
      <c r="I283" s="2155">
        <f t="shared" si="201"/>
        <v>2.9380591495353174</v>
      </c>
      <c r="J283" s="2155">
        <f t="shared" si="201"/>
        <v>3.0849621070120836</v>
      </c>
      <c r="K283" s="2155">
        <f t="shared" si="201"/>
        <v>3.2392102123626878</v>
      </c>
      <c r="L283" s="2155">
        <f t="shared" si="201"/>
        <v>3.4011707229808223</v>
      </c>
      <c r="M283" s="2155">
        <f t="shared" si="201"/>
        <v>3.571229259129864</v>
      </c>
      <c r="N283" s="2155">
        <f t="shared" si="201"/>
        <v>3.7497907220863569</v>
      </c>
      <c r="O283" s="2155">
        <f t="shared" si="201"/>
        <v>3.937280258190675</v>
      </c>
      <c r="P283" s="2155">
        <f t="shared" si="201"/>
        <v>4.134144271100209</v>
      </c>
      <c r="Q283" s="2155">
        <f t="shared" si="201"/>
        <v>4.3408514846552197</v>
      </c>
      <c r="R283" s="2155">
        <f t="shared" si="201"/>
        <v>4.5578940588879808</v>
      </c>
      <c r="S283" s="2155">
        <f t="shared" si="201"/>
        <v>4.7857887618323796</v>
      </c>
      <c r="T283" s="2169"/>
      <c r="U283" s="2169"/>
      <c r="V283" s="2169"/>
      <c r="W283" s="2169"/>
      <c r="X283" s="2169"/>
      <c r="Y283" s="2169"/>
      <c r="Z283" s="2169"/>
      <c r="AA283" s="1938"/>
      <c r="AB283" s="1938"/>
      <c r="AC283" s="1938"/>
      <c r="AD283" s="1938"/>
      <c r="AE283" s="1938"/>
      <c r="AF283" s="1938"/>
      <c r="AG283" s="1938"/>
      <c r="AH283" s="1938"/>
      <c r="AI283" s="1938"/>
      <c r="AJ283" s="1938"/>
      <c r="AK283" s="1938"/>
      <c r="AL283" s="1938"/>
    </row>
    <row r="284" spans="2:38" s="2033" customFormat="1" outlineLevel="1">
      <c r="B284" s="2154" t="s">
        <v>1336</v>
      </c>
      <c r="C284" s="2351"/>
      <c r="D284" s="2155">
        <f>D272*D280</f>
        <v>2460</v>
      </c>
      <c r="E284" s="2155">
        <f t="shared" ref="E284:S284" si="202">E272*E280</f>
        <v>2400</v>
      </c>
      <c r="F284" s="2155">
        <f t="shared" si="202"/>
        <v>2443.7086092715231</v>
      </c>
      <c r="G284" s="2155">
        <f t="shared" si="202"/>
        <v>3337.7483443708611</v>
      </c>
      <c r="H284" s="2155">
        <f t="shared" si="202"/>
        <v>2145.6953642384105</v>
      </c>
      <c r="I284" s="2155">
        <f t="shared" si="202"/>
        <v>2324.5033112582778</v>
      </c>
      <c r="J284" s="2155">
        <f t="shared" si="202"/>
        <v>2440.7284768211921</v>
      </c>
      <c r="K284" s="2155">
        <f t="shared" si="202"/>
        <v>2562.7649006622514</v>
      </c>
      <c r="L284" s="2155">
        <f t="shared" si="202"/>
        <v>2434.6266556291389</v>
      </c>
      <c r="M284" s="2155">
        <f t="shared" si="202"/>
        <v>2556.3579884105957</v>
      </c>
      <c r="N284" s="2155">
        <f t="shared" si="202"/>
        <v>2428.5400889900661</v>
      </c>
      <c r="O284" s="2155">
        <f t="shared" si="202"/>
        <v>2549.9670934395695</v>
      </c>
      <c r="P284" s="2155">
        <f t="shared" si="202"/>
        <v>2600.9664353083613</v>
      </c>
      <c r="Q284" s="2155">
        <f t="shared" si="202"/>
        <v>2991.111400604615</v>
      </c>
      <c r="R284" s="2155">
        <f t="shared" si="202"/>
        <v>3140.6669706348462</v>
      </c>
      <c r="S284" s="2155">
        <f t="shared" si="202"/>
        <v>3297.7003191665885</v>
      </c>
      <c r="T284" s="2169"/>
      <c r="U284" s="2169"/>
      <c r="V284" s="2169"/>
      <c r="W284" s="2169"/>
      <c r="X284" s="2169"/>
      <c r="Y284" s="2169"/>
      <c r="Z284" s="2169"/>
      <c r="AA284" s="1938"/>
      <c r="AB284" s="1938"/>
      <c r="AC284" s="1938"/>
      <c r="AD284" s="1938"/>
      <c r="AE284" s="1938"/>
      <c r="AF284" s="1938"/>
      <c r="AG284" s="1938"/>
      <c r="AH284" s="1938"/>
      <c r="AI284" s="1938"/>
      <c r="AJ284" s="1938"/>
      <c r="AK284" s="1938"/>
      <c r="AL284" s="1938"/>
    </row>
    <row r="285" spans="2:38" s="2033" customFormat="1" outlineLevel="1">
      <c r="B285" s="2154" t="s">
        <v>1337</v>
      </c>
      <c r="C285" s="2351"/>
      <c r="D285" s="2155">
        <f>D273*D281</f>
        <v>2017.5</v>
      </c>
      <c r="E285" s="2155">
        <f t="shared" ref="E285:S285" si="203">E273*E281</f>
        <v>1850</v>
      </c>
      <c r="F285" s="2155">
        <f t="shared" si="203"/>
        <v>2875</v>
      </c>
      <c r="G285" s="2155">
        <f t="shared" si="203"/>
        <v>4000</v>
      </c>
      <c r="H285" s="2155">
        <f t="shared" si="203"/>
        <v>2000</v>
      </c>
      <c r="I285" s="2155">
        <f t="shared" si="203"/>
        <v>1500</v>
      </c>
      <c r="J285" s="2155">
        <f t="shared" si="203"/>
        <v>1724.9999999999998</v>
      </c>
      <c r="K285" s="2155">
        <f t="shared" si="203"/>
        <v>1811.25</v>
      </c>
      <c r="L285" s="2155">
        <f t="shared" si="203"/>
        <v>1720.6875</v>
      </c>
      <c r="M285" s="2155">
        <f t="shared" si="203"/>
        <v>1806.721875</v>
      </c>
      <c r="N285" s="2155">
        <f t="shared" si="203"/>
        <v>1535.71359375</v>
      </c>
      <c r="O285" s="2155">
        <f t="shared" si="203"/>
        <v>1612.4992734375001</v>
      </c>
      <c r="P285" s="2155">
        <f t="shared" si="203"/>
        <v>1628.624266171875</v>
      </c>
      <c r="Q285" s="2155">
        <f t="shared" si="203"/>
        <v>1872.9179060976562</v>
      </c>
      <c r="R285" s="2155">
        <f t="shared" si="203"/>
        <v>1966.563801402539</v>
      </c>
      <c r="S285" s="2155">
        <f t="shared" si="203"/>
        <v>2064.8919914726662</v>
      </c>
      <c r="T285" s="2169"/>
      <c r="U285" s="2169"/>
      <c r="V285" s="2169"/>
      <c r="W285" s="2169"/>
      <c r="X285" s="2169"/>
      <c r="Y285" s="2169"/>
      <c r="Z285" s="2169"/>
      <c r="AA285" s="1938"/>
      <c r="AB285" s="1938"/>
      <c r="AC285" s="1938"/>
      <c r="AD285" s="1938"/>
      <c r="AE285" s="1938"/>
      <c r="AF285" s="1938"/>
      <c r="AG285" s="1938"/>
      <c r="AH285" s="1938"/>
      <c r="AI285" s="1938"/>
      <c r="AJ285" s="1938"/>
      <c r="AK285" s="1938"/>
      <c r="AL285" s="1938"/>
    </row>
    <row r="286" spans="2:38" s="2033" customFormat="1" outlineLevel="1">
      <c r="B286" s="2154" t="s">
        <v>729</v>
      </c>
      <c r="C286" s="2351"/>
      <c r="D286" s="2149"/>
      <c r="E286" s="2149"/>
      <c r="F286" s="2149"/>
      <c r="G286" s="2145"/>
      <c r="H286" s="2145"/>
      <c r="I286" s="2298"/>
      <c r="J286" s="2145"/>
      <c r="K286" s="2149"/>
      <c r="L286" s="2149"/>
      <c r="M286" s="2149"/>
      <c r="N286" s="2149"/>
      <c r="O286" s="2149"/>
      <c r="P286" s="2170"/>
      <c r="Q286" s="2106"/>
      <c r="R286" s="2106"/>
      <c r="S286" s="2106"/>
      <c r="T286" s="2106"/>
      <c r="U286" s="2106"/>
      <c r="V286" s="2106"/>
      <c r="W286" s="2106"/>
      <c r="X286" s="2106"/>
      <c r="Y286" s="2106"/>
      <c r="Z286" s="2106"/>
      <c r="AA286" s="1938"/>
      <c r="AB286" s="1938"/>
      <c r="AC286" s="1938"/>
      <c r="AD286" s="1938"/>
      <c r="AE286" s="1938"/>
      <c r="AF286" s="1938"/>
      <c r="AG286" s="1938"/>
      <c r="AH286" s="1938"/>
      <c r="AI286" s="1938"/>
      <c r="AJ286" s="1938"/>
      <c r="AK286" s="1938"/>
      <c r="AL286" s="1938"/>
    </row>
    <row r="287" spans="2:38" s="2033" customFormat="1" ht="13.8" outlineLevel="1" thickBot="1">
      <c r="B287" s="2171" t="s">
        <v>1341</v>
      </c>
      <c r="C287" s="2353"/>
      <c r="D287" s="2172">
        <v>0.15</v>
      </c>
      <c r="E287" s="2172">
        <v>0.15</v>
      </c>
      <c r="F287" s="2172">
        <v>0.15</v>
      </c>
      <c r="G287" s="2172">
        <v>0.15</v>
      </c>
      <c r="H287" s="2172">
        <v>0.15</v>
      </c>
      <c r="I287" s="2338">
        <v>0.15</v>
      </c>
      <c r="J287" s="2173">
        <f>I287</f>
        <v>0.15</v>
      </c>
      <c r="K287" s="2173">
        <f t="shared" ref="K287:P287" si="204">J287</f>
        <v>0.15</v>
      </c>
      <c r="L287" s="2173">
        <f t="shared" si="204"/>
        <v>0.15</v>
      </c>
      <c r="M287" s="2173">
        <f t="shared" si="204"/>
        <v>0.15</v>
      </c>
      <c r="N287" s="2173">
        <f t="shared" si="204"/>
        <v>0.15</v>
      </c>
      <c r="O287" s="2173">
        <f t="shared" si="204"/>
        <v>0.15</v>
      </c>
      <c r="P287" s="2173">
        <f t="shared" si="204"/>
        <v>0.15</v>
      </c>
      <c r="Q287" s="2174"/>
      <c r="R287" s="2174"/>
      <c r="S287" s="2174"/>
      <c r="T287" s="2174"/>
      <c r="U287" s="2174"/>
      <c r="V287" s="2174"/>
      <c r="W287" s="2174"/>
      <c r="X287" s="2174"/>
      <c r="Y287" s="2174"/>
      <c r="Z287" s="2174"/>
      <c r="AA287" s="1938"/>
      <c r="AB287" s="1938"/>
      <c r="AC287" s="1938"/>
      <c r="AD287" s="1938"/>
      <c r="AE287" s="1938"/>
      <c r="AF287" s="1938"/>
      <c r="AG287" s="1938"/>
      <c r="AH287" s="1938"/>
      <c r="AI287" s="1938"/>
      <c r="AJ287" s="1938"/>
      <c r="AK287" s="1938"/>
      <c r="AL287" s="1938"/>
    </row>
    <row r="288" spans="2:38" s="2180" customFormat="1" outlineLevel="1">
      <c r="B288" s="2175"/>
      <c r="C288" s="2175"/>
      <c r="D288" s="2176"/>
      <c r="E288" s="2176"/>
      <c r="F288" s="2176"/>
      <c r="G288" s="2177"/>
      <c r="H288" s="2177"/>
      <c r="I288" s="2301"/>
      <c r="J288" s="2177"/>
      <c r="K288" s="2178"/>
      <c r="L288" s="2178"/>
      <c r="M288" s="2178"/>
      <c r="N288" s="2178"/>
      <c r="O288" s="2178"/>
      <c r="P288" s="2178"/>
      <c r="Q288" s="2178"/>
      <c r="R288" s="2178"/>
      <c r="S288" s="2178"/>
      <c r="T288" s="2178"/>
      <c r="U288" s="2178"/>
      <c r="V288" s="2178"/>
      <c r="W288" s="2178"/>
      <c r="X288" s="2178"/>
      <c r="Y288" s="2178"/>
      <c r="Z288" s="2178"/>
      <c r="AA288" s="2179"/>
      <c r="AB288" s="2179"/>
      <c r="AC288" s="2179"/>
      <c r="AD288" s="2179"/>
      <c r="AE288" s="2179"/>
      <c r="AF288" s="2179"/>
      <c r="AG288" s="2179"/>
      <c r="AH288" s="2179"/>
      <c r="AI288" s="2179"/>
      <c r="AJ288" s="2179"/>
      <c r="AK288" s="2179"/>
      <c r="AL288" s="2179"/>
    </row>
    <row r="289" spans="1:38" s="2130" customFormat="1">
      <c r="B289" s="2181"/>
      <c r="C289" s="2181"/>
      <c r="D289" s="2106"/>
      <c r="E289" s="2106"/>
      <c r="F289" s="2106"/>
      <c r="G289" s="1947"/>
      <c r="H289" s="1947"/>
      <c r="I289" s="2294"/>
      <c r="J289" s="1947"/>
      <c r="K289" s="2174"/>
      <c r="L289" s="2174"/>
      <c r="M289" s="2174"/>
      <c r="N289" s="2174"/>
      <c r="O289" s="2174"/>
      <c r="P289" s="2174"/>
      <c r="Q289" s="2174"/>
      <c r="R289" s="2174"/>
      <c r="S289" s="2174"/>
      <c r="T289" s="2174"/>
      <c r="U289" s="2174"/>
      <c r="V289" s="2174"/>
      <c r="W289" s="2174"/>
      <c r="X289" s="2174"/>
      <c r="Y289" s="2174"/>
      <c r="Z289" s="2174"/>
      <c r="AA289" s="2050"/>
      <c r="AB289" s="2050"/>
      <c r="AC289" s="2050"/>
      <c r="AD289" s="2050"/>
      <c r="AE289" s="2050"/>
      <c r="AF289" s="2050"/>
      <c r="AG289" s="2050"/>
      <c r="AH289" s="2050"/>
      <c r="AI289" s="2050"/>
      <c r="AJ289" s="2050"/>
      <c r="AK289" s="2050"/>
      <c r="AL289" s="2050"/>
    </row>
    <row r="290" spans="1:38" s="1974" customFormat="1">
      <c r="B290" s="2182"/>
      <c r="C290" s="2182"/>
      <c r="D290" s="1959"/>
      <c r="E290" s="1959"/>
      <c r="F290" s="1959"/>
      <c r="G290" s="1959"/>
      <c r="H290" s="1959"/>
      <c r="I290" s="2258"/>
      <c r="J290" s="2011"/>
      <c r="K290" s="1959"/>
      <c r="L290" s="1959"/>
      <c r="M290" s="1959"/>
      <c r="N290" s="1959"/>
      <c r="O290" s="1959"/>
      <c r="P290" s="1979"/>
      <c r="Q290" s="1979"/>
      <c r="R290" s="1979"/>
      <c r="S290" s="1979"/>
      <c r="T290" s="1979"/>
      <c r="U290" s="1979"/>
      <c r="V290" s="1979"/>
      <c r="W290" s="1979"/>
      <c r="X290" s="1979"/>
      <c r="Y290" s="1979"/>
      <c r="Z290" s="1979"/>
      <c r="AA290" s="1972"/>
      <c r="AB290" s="1972"/>
      <c r="AC290" s="1972"/>
      <c r="AD290" s="1972"/>
      <c r="AE290" s="1972"/>
      <c r="AF290" s="1972"/>
      <c r="AG290" s="1972"/>
      <c r="AH290" s="1972"/>
      <c r="AI290" s="1972"/>
      <c r="AJ290" s="1928"/>
      <c r="AK290" s="1928"/>
      <c r="AL290" s="1928"/>
    </row>
    <row r="291" spans="1:38" s="2186" customFormat="1">
      <c r="B291" s="2183"/>
      <c r="C291" s="2183"/>
      <c r="D291" s="1979"/>
      <c r="E291" s="1979"/>
      <c r="F291" s="1979"/>
      <c r="G291" s="1979"/>
      <c r="H291" s="1979"/>
      <c r="I291" s="2295"/>
      <c r="J291" s="2106"/>
      <c r="K291" s="1979"/>
      <c r="L291" s="1979"/>
      <c r="M291" s="1979"/>
      <c r="N291" s="1979"/>
      <c r="O291" s="1979"/>
      <c r="P291" s="1979"/>
      <c r="Q291" s="1979"/>
      <c r="R291" s="1979"/>
      <c r="S291" s="1979"/>
      <c r="T291" s="1979"/>
      <c r="U291" s="1979"/>
      <c r="V291" s="1979"/>
      <c r="W291" s="1979"/>
      <c r="X291" s="1979"/>
      <c r="Y291" s="1979"/>
      <c r="Z291" s="1979"/>
      <c r="AA291" s="2184"/>
      <c r="AB291" s="2184"/>
      <c r="AC291" s="2184"/>
      <c r="AD291" s="2184"/>
      <c r="AE291" s="2184"/>
      <c r="AF291" s="2184"/>
      <c r="AG291" s="2184"/>
      <c r="AH291" s="2184"/>
      <c r="AI291" s="2184"/>
      <c r="AJ291" s="2185"/>
      <c r="AK291" s="2185"/>
      <c r="AL291" s="2185"/>
    </row>
    <row r="292" spans="1:38">
      <c r="A292" s="1917" t="s">
        <v>1342</v>
      </c>
      <c r="B292" s="2187"/>
      <c r="C292" s="2187"/>
      <c r="D292" s="1940"/>
      <c r="E292" s="1940"/>
      <c r="F292" s="1940"/>
      <c r="G292" s="1940"/>
      <c r="H292" s="2035"/>
      <c r="I292" s="2302"/>
      <c r="J292" s="1946"/>
      <c r="K292" s="1972"/>
      <c r="L292" s="1972"/>
      <c r="M292" s="1972"/>
      <c r="N292" s="1972"/>
      <c r="O292" s="1972"/>
      <c r="P292" s="2184"/>
      <c r="Q292" s="2184"/>
      <c r="R292" s="2184"/>
      <c r="S292" s="2184"/>
      <c r="T292" s="2184"/>
      <c r="U292" s="2184"/>
      <c r="V292" s="2184"/>
      <c r="W292" s="2184"/>
      <c r="X292" s="2184"/>
      <c r="Y292" s="2184"/>
      <c r="Z292" s="2184"/>
      <c r="AH292" s="1972"/>
      <c r="AI292" s="1972"/>
    </row>
    <row r="293" spans="1:38" s="1935" customFormat="1">
      <c r="B293" s="1982" t="s">
        <v>1343</v>
      </c>
      <c r="C293" s="1982"/>
      <c r="D293" s="1957">
        <f>SUM(D294:D299)</f>
        <v>5653.7398800210003</v>
      </c>
      <c r="E293" s="1957">
        <f t="shared" ref="E293:I293" si="205">SUM(E294:E299)</f>
        <v>5258.8983620969993</v>
      </c>
      <c r="F293" s="1957">
        <f t="shared" si="205"/>
        <v>7625.3629913343957</v>
      </c>
      <c r="G293" s="1957">
        <f t="shared" si="205"/>
        <v>10163.246193910327</v>
      </c>
      <c r="H293" s="1957">
        <f t="shared" si="205"/>
        <v>9875.9472235261201</v>
      </c>
      <c r="I293" s="1957">
        <f t="shared" si="205"/>
        <v>11025.716330359017</v>
      </c>
      <c r="J293" s="1911"/>
      <c r="K293" s="1911"/>
      <c r="L293" s="1911"/>
      <c r="M293" s="1911"/>
      <c r="N293" s="1911"/>
      <c r="O293" s="1911"/>
      <c r="P293" s="1911"/>
      <c r="Q293" s="1911"/>
      <c r="R293" s="1911"/>
      <c r="S293" s="1911"/>
      <c r="T293" s="1911"/>
      <c r="U293" s="1911"/>
      <c r="V293" s="1911"/>
      <c r="W293" s="1911"/>
      <c r="X293" s="1911"/>
      <c r="Y293" s="1911"/>
      <c r="Z293" s="1911"/>
      <c r="AA293" s="2049"/>
      <c r="AB293" s="2049"/>
      <c r="AC293" s="2049"/>
      <c r="AD293" s="2049"/>
      <c r="AE293" s="2049"/>
      <c r="AF293" s="2049"/>
      <c r="AG293" s="2049"/>
      <c r="AH293" s="2049"/>
      <c r="AI293" s="2088"/>
      <c r="AJ293" s="1938"/>
      <c r="AK293" s="1938"/>
      <c r="AL293" s="1938"/>
    </row>
    <row r="294" spans="1:38">
      <c r="B294" s="2188" t="s">
        <v>1344</v>
      </c>
      <c r="C294" s="2188"/>
      <c r="D294" s="2365">
        <f>Notes!F167</f>
        <v>3218.769225255</v>
      </c>
      <c r="E294" s="2365">
        <f>Notes!G167</f>
        <v>2729.9095732280002</v>
      </c>
      <c r="F294" s="2365">
        <f>Notes!H167</f>
        <v>4548.9810560799997</v>
      </c>
      <c r="G294" s="2365">
        <f>Notes!I167</f>
        <v>6495.9936945239997</v>
      </c>
      <c r="H294" s="2365">
        <f>Notes!J167</f>
        <v>6599.1370385379996</v>
      </c>
      <c r="I294" s="2365">
        <f>Notes!K167</f>
        <v>7793.3567759240004</v>
      </c>
      <c r="J294" s="2189">
        <f>'Consol. Rev.'!Q144</f>
        <v>8117.7932702691214</v>
      </c>
      <c r="K294" s="2189">
        <f>'Consol. Rev.'!R144</f>
        <v>8510.1390865469511</v>
      </c>
      <c r="L294" s="2189">
        <f>'Consol. Rev.'!S144</f>
        <v>9059.157753546624</v>
      </c>
      <c r="M294" s="2189">
        <f>'Consol. Rev.'!T144</f>
        <v>10725.410603998687</v>
      </c>
      <c r="N294" s="2189">
        <f>'Consol. Rev.'!U144</f>
        <v>10642.099052528456</v>
      </c>
      <c r="O294" s="2189">
        <f>'Consol. Rev.'!V144</f>
        <v>9830.9493035195537</v>
      </c>
      <c r="P294" s="2189">
        <f>'Consol. Rev.'!W144</f>
        <v>9899.1800710382558</v>
      </c>
      <c r="Q294" s="2189">
        <f>'Consol. Rev.'!X144</f>
        <v>10168.216804349548</v>
      </c>
      <c r="R294" s="2189">
        <f>'Consol. Rev.'!Y144</f>
        <v>10759.301392801681</v>
      </c>
      <c r="S294" s="2189">
        <f>'Consol. Rev.'!Z144</f>
        <v>10918.227122587823</v>
      </c>
      <c r="T294" s="1925"/>
      <c r="U294" s="1925"/>
      <c r="V294" s="1925"/>
      <c r="AI294" s="2088"/>
    </row>
    <row r="295" spans="1:38">
      <c r="B295" s="2188" t="s">
        <v>1426</v>
      </c>
      <c r="C295" s="2188"/>
      <c r="D295" s="2365"/>
      <c r="E295" s="2365"/>
      <c r="F295" s="2393">
        <f>F294/(F258+F116)</f>
        <v>1.6966000433966821</v>
      </c>
      <c r="G295" s="2393">
        <f>G294/(G258+G116)</f>
        <v>1.4822859983282748</v>
      </c>
      <c r="H295" s="2393">
        <f>H294/(H258+H116)</f>
        <v>1.340639835120494</v>
      </c>
      <c r="I295" s="2393">
        <f>I294/(I258+I116)</f>
        <v>2.0784089820160401</v>
      </c>
      <c r="J295" s="2393">
        <f>J294/(J258+J116)</f>
        <v>1.9026214729224473</v>
      </c>
      <c r="K295" s="2393">
        <f>K294/(K258+K116)</f>
        <v>1.9088474180399275</v>
      </c>
      <c r="L295" s="2393">
        <f>L294/(L258+L116)</f>
        <v>2.0244930238517531</v>
      </c>
      <c r="M295" s="2393">
        <f>M294/(M258+M116)</f>
        <v>2.2073731247198904</v>
      </c>
      <c r="N295" s="2393">
        <f>N294/(N258+N116)</f>
        <v>2.0908695229626439</v>
      </c>
      <c r="O295" s="2393">
        <f>O294/(O258+O116)</f>
        <v>1.9399975827215361</v>
      </c>
      <c r="P295" s="2393">
        <f>P294/(P258+P116)</f>
        <v>1.875099914190955</v>
      </c>
      <c r="Q295" s="2393">
        <f>Q294/(Q258+Q116)</f>
        <v>1.9524382582253659</v>
      </c>
      <c r="R295" s="2393">
        <f>R294/(R258+R116)</f>
        <v>1.9907122079460347</v>
      </c>
      <c r="S295" s="2393">
        <f>S294/(S258+S116)</f>
        <v>2.0147016383293139</v>
      </c>
      <c r="T295" s="1925"/>
      <c r="U295" s="1925"/>
      <c r="V295" s="1925"/>
      <c r="AI295" s="2088"/>
    </row>
    <row r="296" spans="1:38">
      <c r="B296" s="2188" t="s">
        <v>1345</v>
      </c>
      <c r="C296" s="2188"/>
      <c r="D296" s="2365">
        <f>Notes!F168</f>
        <v>457.63177652299998</v>
      </c>
      <c r="E296" s="2365">
        <f>Notes!G168</f>
        <v>438.27071562600003</v>
      </c>
      <c r="F296" s="2365">
        <f>Notes!H168</f>
        <v>581.27716610899995</v>
      </c>
      <c r="G296" s="2365">
        <f>Notes!I168</f>
        <v>597.104844039</v>
      </c>
      <c r="H296" s="2365">
        <f>Notes!J168</f>
        <v>681.61223835999999</v>
      </c>
      <c r="I296" s="2365">
        <f>Notes!K168</f>
        <v>682.80922325999995</v>
      </c>
      <c r="J296" s="2365">
        <f>'Consol. Rev.'!Q146</f>
        <v>947.02879484890445</v>
      </c>
      <c r="K296" s="2365">
        <f>'Consol. Rev.'!R146</f>
        <v>956.67127700411163</v>
      </c>
      <c r="L296" s="2365">
        <f>'Consol. Rev.'!S146</f>
        <v>963.02946259901046</v>
      </c>
      <c r="M296" s="2365">
        <f>'Consol. Rev.'!T146</f>
        <v>1102.9915387867018</v>
      </c>
      <c r="N296" s="2365">
        <f>'Consol. Rev.'!U146</f>
        <v>1110.6331545762423</v>
      </c>
      <c r="O296" s="2365">
        <f>'Consol. Rev.'!V146</f>
        <v>1027.8998771346178</v>
      </c>
      <c r="P296" s="2365">
        <f>'Consol. Rev.'!W146</f>
        <v>1066.6491829198058</v>
      </c>
      <c r="Q296" s="2365">
        <f>'Consol. Rev.'!X146</f>
        <v>1081.0833621104314</v>
      </c>
      <c r="R296" s="2365">
        <f>'Consol. Rev.'!Y146</f>
        <v>1133.4506555757673</v>
      </c>
      <c r="S296" s="2365">
        <f>'Consol. Rev.'!Z146</f>
        <v>1148.4646511624128</v>
      </c>
      <c r="T296" s="1925"/>
      <c r="U296" s="1925"/>
      <c r="V296" s="1925"/>
      <c r="AI296" s="2088"/>
    </row>
    <row r="297" spans="1:38">
      <c r="B297" s="2188" t="s">
        <v>1346</v>
      </c>
      <c r="C297" s="2188"/>
      <c r="D297" s="2365">
        <f>'Consol. Rev.'!K148</f>
        <v>1318.8406424909999</v>
      </c>
      <c r="E297" s="2365">
        <f>'Consol. Rev.'!L148</f>
        <v>1318.1524527060001</v>
      </c>
      <c r="F297" s="2365">
        <f>'Consol. Rev.'!M148</f>
        <v>1385.810943875</v>
      </c>
      <c r="G297" s="2365">
        <f>'Consol. Rev.'!N148</f>
        <v>1398.029397737</v>
      </c>
      <c r="H297" s="2365">
        <f>'Consol. Rev.'!O148</f>
        <v>1083.3806986520001</v>
      </c>
      <c r="I297" s="2365">
        <f>'Consol. Rev.'!P148</f>
        <v>760.59871383799998</v>
      </c>
      <c r="J297" s="2365">
        <f>'Consol. Rev.'!Q148</f>
        <v>866.19597450905121</v>
      </c>
      <c r="K297" s="2365">
        <f>'Consol. Rev.'!R148</f>
        <v>958.07836251496497</v>
      </c>
      <c r="L297" s="2365">
        <f>'Consol. Rev.'!S148</f>
        <v>400.06569213431158</v>
      </c>
      <c r="M297" s="2365">
        <f>'Consol. Rev.'!T148</f>
        <v>404.65673999404856</v>
      </c>
      <c r="N297" s="2365">
        <f>'Consol. Rev.'!U148</f>
        <v>391.81912495422546</v>
      </c>
      <c r="O297" s="2365">
        <f>'Consol. Rev.'!V148</f>
        <v>391.68502453039241</v>
      </c>
      <c r="P297" s="2365">
        <f>'Consol. Rev.'!W148</f>
        <v>351.67260372664737</v>
      </c>
      <c r="Q297" s="2365">
        <f>'Consol. Rev.'!X148</f>
        <v>394.01552606931426</v>
      </c>
      <c r="R297" s="2365">
        <f>'Consol. Rev.'!Y148</f>
        <v>419.30626490537486</v>
      </c>
      <c r="S297" s="2365">
        <f>'Consol. Rev.'!Z148</f>
        <v>447.65035783578924</v>
      </c>
      <c r="T297" s="1925"/>
      <c r="U297" s="1925"/>
      <c r="V297" s="1925"/>
      <c r="AI297" s="2088"/>
    </row>
    <row r="298" spans="1:38">
      <c r="B298" s="2188" t="s">
        <v>1347</v>
      </c>
      <c r="C298" s="2188"/>
      <c r="D298" s="2365">
        <f>Notes!F170</f>
        <v>364.59619801000002</v>
      </c>
      <c r="E298" s="2365">
        <f>Notes!G170</f>
        <v>408.22020965299998</v>
      </c>
      <c r="F298" s="2365">
        <f>Notes!H170</f>
        <v>363.74618269199999</v>
      </c>
      <c r="G298" s="2365">
        <f>Notes!I170</f>
        <v>803.51371968599994</v>
      </c>
      <c r="H298" s="2365">
        <f>Notes!J170</f>
        <v>902.30852354900003</v>
      </c>
      <c r="I298" s="2365">
        <f>Notes!K170</f>
        <v>1098.8248108360001</v>
      </c>
      <c r="J298" s="2365">
        <f>'Consol. Rev.'!Q150</f>
        <v>1005.5924718335727</v>
      </c>
      <c r="K298" s="2365">
        <f>'Consol. Rev.'!R150</f>
        <v>1069.2082245471015</v>
      </c>
      <c r="L298" s="2365">
        <f>'Consol. Rev.'!S150</f>
        <v>1110.699180227708</v>
      </c>
      <c r="M298" s="2365">
        <f>'Consol. Rev.'!T150</f>
        <v>1388.7873136704661</v>
      </c>
      <c r="N298" s="2365">
        <f>'Consol. Rev.'!U150</f>
        <v>1386.5969454179258</v>
      </c>
      <c r="O298" s="2365">
        <f>'Consol. Rev.'!V150</f>
        <v>1269.4013647812185</v>
      </c>
      <c r="P298" s="2365">
        <f>'Consol. Rev.'!W150</f>
        <v>1256.0588235970401</v>
      </c>
      <c r="Q298" s="2365">
        <f>'Consol. Rev.'!X150</f>
        <v>1295.1128291780876</v>
      </c>
      <c r="R298" s="2365">
        <f>'Consol. Rev.'!Y150</f>
        <v>1373.3708838374844</v>
      </c>
      <c r="S298" s="2365">
        <f>'Consol. Rev.'!Z150</f>
        <v>1402.7449242752959</v>
      </c>
      <c r="T298" s="1925"/>
      <c r="U298" s="1925"/>
      <c r="V298" s="1925"/>
      <c r="AI298" s="2088"/>
    </row>
    <row r="299" spans="1:38">
      <c r="B299" s="2188" t="s">
        <v>1348</v>
      </c>
      <c r="C299" s="2188"/>
      <c r="D299" s="2365">
        <f>Notes!F171</f>
        <v>293.902037742</v>
      </c>
      <c r="E299" s="2365">
        <f>Notes!G171</f>
        <v>364.34541088399999</v>
      </c>
      <c r="F299" s="2365">
        <f>Notes!H171</f>
        <v>743.85104253500003</v>
      </c>
      <c r="G299" s="2365">
        <f>Notes!I171</f>
        <v>867.12225192599999</v>
      </c>
      <c r="H299" s="2365">
        <f>Notes!J171</f>
        <v>608.16808459200001</v>
      </c>
      <c r="I299" s="2365">
        <f>Notes!K171</f>
        <v>688.04839751899999</v>
      </c>
      <c r="J299" s="2365">
        <f>'Consol. Rev.'!Q152</f>
        <v>932.01283910524501</v>
      </c>
      <c r="K299" s="2365">
        <f>'Consol. Rev.'!R152</f>
        <v>1010.337242618786</v>
      </c>
      <c r="L299" s="2365">
        <f>'Consol. Rev.'!S152</f>
        <v>1058.5597991529169</v>
      </c>
      <c r="M299" s="2365">
        <f>'Consol. Rev.'!T152</f>
        <v>1172.4937496475659</v>
      </c>
      <c r="N299" s="2365">
        <f>'Consol. Rev.'!U152</f>
        <v>1127.5147951594072</v>
      </c>
      <c r="O299" s="2365">
        <f>'Consol. Rev.'!V152</f>
        <v>1066.2251148443706</v>
      </c>
      <c r="P299" s="2365">
        <f>'Consol. Rev.'!W152</f>
        <v>1111.2602688865009</v>
      </c>
      <c r="Q299" s="2365">
        <f>'Consol. Rev.'!X152</f>
        <v>1137.2906327736464</v>
      </c>
      <c r="R299" s="2365">
        <f>'Consol. Rev.'!Y152</f>
        <v>1191.5874610837675</v>
      </c>
      <c r="S299" s="2365">
        <f>'Consol. Rev.'!Z152</f>
        <v>1198.1884668491011</v>
      </c>
      <c r="T299" s="1925"/>
      <c r="U299" s="1925"/>
      <c r="V299" s="1925"/>
      <c r="AI299" s="2088"/>
    </row>
    <row r="300" spans="1:38" ht="13.8" thickBot="1">
      <c r="A300" s="1909"/>
      <c r="D300" s="1940"/>
      <c r="E300" s="1940"/>
      <c r="F300" s="1940"/>
      <c r="G300" s="1940"/>
      <c r="H300" s="2035"/>
      <c r="I300" s="2302"/>
      <c r="J300" s="1946"/>
      <c r="K300" s="1972"/>
      <c r="L300" s="1972"/>
      <c r="M300" s="1972"/>
      <c r="N300" s="1972"/>
      <c r="O300" s="1972"/>
      <c r="P300" s="1972"/>
      <c r="Q300" s="2184"/>
      <c r="R300" s="2184"/>
      <c r="S300" s="2184"/>
      <c r="T300" s="2184"/>
      <c r="U300" s="2184"/>
      <c r="V300" s="2184"/>
      <c r="W300" s="2184"/>
      <c r="X300" s="2184"/>
      <c r="Y300" s="2184"/>
      <c r="Z300" s="2184"/>
      <c r="AH300" s="1972"/>
      <c r="AI300" s="1972"/>
    </row>
    <row r="301" spans="1:38" s="2061" customFormat="1">
      <c r="B301" s="2190" t="s">
        <v>1349</v>
      </c>
      <c r="C301" s="2354"/>
      <c r="D301" s="2191"/>
      <c r="E301" s="2191"/>
      <c r="F301" s="2191"/>
      <c r="G301" s="2191"/>
      <c r="H301" s="2192"/>
      <c r="I301" s="2303"/>
      <c r="J301" s="2192"/>
      <c r="K301" s="2192"/>
      <c r="L301" s="2192"/>
      <c r="M301" s="2192"/>
      <c r="N301" s="2192"/>
      <c r="O301" s="2192"/>
      <c r="P301" s="2192"/>
      <c r="Q301" s="1914"/>
      <c r="R301" s="1914"/>
      <c r="S301" s="1914"/>
      <c r="T301" s="1914"/>
      <c r="U301" s="1914"/>
      <c r="V301" s="1914"/>
      <c r="W301" s="1914"/>
      <c r="X301" s="1914"/>
      <c r="Y301" s="1914"/>
      <c r="Z301" s="1914"/>
      <c r="AA301" s="2193"/>
      <c r="AB301" s="2193"/>
      <c r="AC301" s="2193"/>
      <c r="AD301" s="2193"/>
      <c r="AE301" s="2193"/>
      <c r="AF301" s="2193"/>
      <c r="AG301" s="2193"/>
      <c r="AH301" s="2193"/>
      <c r="AI301" s="1960"/>
      <c r="AJ301" s="2045"/>
      <c r="AK301" s="2045"/>
      <c r="AL301" s="2045"/>
    </row>
    <row r="302" spans="1:38" s="1932" customFormat="1">
      <c r="B302" s="2194" t="s">
        <v>1350</v>
      </c>
      <c r="C302" s="2355"/>
      <c r="D302" s="1958">
        <f>D294/D$293</f>
        <v>0.56931682276883322</v>
      </c>
      <c r="E302" s="1958">
        <f t="shared" ref="E302:I302" si="206">E294/E$293</f>
        <v>0.51910293473316749</v>
      </c>
      <c r="F302" s="1958">
        <f t="shared" si="206"/>
        <v>0.59655928003028136</v>
      </c>
      <c r="G302" s="1958">
        <f t="shared" si="206"/>
        <v>0.63916524017850784</v>
      </c>
      <c r="H302" s="1958">
        <f t="shared" si="206"/>
        <v>0.66820294693533566</v>
      </c>
      <c r="I302" s="1958">
        <f t="shared" si="206"/>
        <v>0.70683450783739099</v>
      </c>
      <c r="J302" s="1931"/>
      <c r="K302" s="1931"/>
      <c r="L302" s="1931"/>
      <c r="M302" s="1931"/>
      <c r="N302" s="1931"/>
      <c r="O302" s="1931"/>
      <c r="P302" s="1931"/>
      <c r="Q302" s="1931"/>
      <c r="R302" s="1931"/>
      <c r="S302" s="1931"/>
      <c r="T302" s="2195"/>
      <c r="U302" s="2195"/>
      <c r="V302" s="2195"/>
      <c r="W302" s="1914"/>
      <c r="X302" s="1914"/>
      <c r="Y302" s="1914"/>
      <c r="Z302" s="1914"/>
      <c r="AA302" s="1933"/>
      <c r="AB302" s="1933"/>
      <c r="AC302" s="1933"/>
      <c r="AD302" s="1933"/>
      <c r="AE302" s="1933"/>
      <c r="AF302" s="1933"/>
      <c r="AG302" s="1933"/>
      <c r="AH302" s="1933"/>
      <c r="AI302" s="1933"/>
      <c r="AJ302" s="1933"/>
      <c r="AK302" s="1933"/>
      <c r="AL302" s="1933"/>
    </row>
    <row r="303" spans="1:38" s="1932" customFormat="1">
      <c r="B303" s="2194" t="s">
        <v>1351</v>
      </c>
      <c r="C303" s="2355"/>
      <c r="D303" s="1958">
        <f t="shared" ref="D303:I306" si="207">D296/D$293</f>
        <v>8.0943196226654163E-2</v>
      </c>
      <c r="E303" s="1958">
        <f t="shared" si="207"/>
        <v>8.3338883060527238E-2</v>
      </c>
      <c r="F303" s="1958">
        <f t="shared" si="207"/>
        <v>7.6229442030441588E-2</v>
      </c>
      <c r="G303" s="1958">
        <f t="shared" si="207"/>
        <v>5.8751390318260398E-2</v>
      </c>
      <c r="H303" s="1958">
        <f t="shared" si="207"/>
        <v>6.9017403893804563E-2</v>
      </c>
      <c r="I303" s="1958">
        <f t="shared" si="207"/>
        <v>6.192878564995391E-2</v>
      </c>
      <c r="J303" s="1931"/>
      <c r="K303" s="1931"/>
      <c r="L303" s="1931"/>
      <c r="M303" s="1931"/>
      <c r="N303" s="1931"/>
      <c r="O303" s="1931"/>
      <c r="P303" s="1931"/>
      <c r="Q303" s="1931"/>
      <c r="R303" s="1931"/>
      <c r="S303" s="1931"/>
      <c r="T303" s="2195"/>
      <c r="U303" s="2195"/>
      <c r="V303" s="2195"/>
      <c r="W303" s="1914"/>
      <c r="X303" s="1914"/>
      <c r="Y303" s="1914"/>
      <c r="Z303" s="1914"/>
      <c r="AA303" s="1933"/>
      <c r="AB303" s="1933"/>
      <c r="AC303" s="1933"/>
      <c r="AD303" s="1933"/>
      <c r="AE303" s="1933"/>
      <c r="AF303" s="1933"/>
      <c r="AG303" s="1933"/>
      <c r="AH303" s="1933"/>
      <c r="AI303" s="1933"/>
      <c r="AJ303" s="1933"/>
      <c r="AK303" s="1933"/>
      <c r="AL303" s="1933"/>
    </row>
    <row r="304" spans="1:38" s="2196" customFormat="1">
      <c r="B304" s="2194" t="s">
        <v>1352</v>
      </c>
      <c r="C304" s="2355"/>
      <c r="D304" s="1958">
        <f t="shared" si="207"/>
        <v>0.23326871601423962</v>
      </c>
      <c r="E304" s="1958">
        <f t="shared" si="207"/>
        <v>0.25065182134084513</v>
      </c>
      <c r="F304" s="1958">
        <f t="shared" si="207"/>
        <v>0.18173704588881359</v>
      </c>
      <c r="G304" s="1958">
        <f t="shared" si="207"/>
        <v>0.13755736809511507</v>
      </c>
      <c r="H304" s="1958">
        <f t="shared" si="207"/>
        <v>0.10969891536795683</v>
      </c>
      <c r="I304" s="1958">
        <f t="shared" si="207"/>
        <v>6.8984063352302255E-2</v>
      </c>
      <c r="J304" s="1931"/>
      <c r="K304" s="1931"/>
      <c r="L304" s="1931"/>
      <c r="M304" s="1931"/>
      <c r="N304" s="1931"/>
      <c r="O304" s="1931"/>
      <c r="P304" s="1931"/>
      <c r="Q304" s="1931"/>
      <c r="R304" s="1931"/>
      <c r="S304" s="1931"/>
      <c r="T304" s="2195"/>
      <c r="U304" s="2195"/>
      <c r="V304" s="2195"/>
      <c r="W304" s="1914"/>
      <c r="X304" s="1914"/>
      <c r="Y304" s="1914"/>
      <c r="Z304" s="1914"/>
      <c r="AA304" s="2193"/>
      <c r="AB304" s="2193"/>
      <c r="AC304" s="2193"/>
      <c r="AD304" s="2193"/>
      <c r="AE304" s="2193"/>
      <c r="AF304" s="2193"/>
      <c r="AG304" s="2193"/>
      <c r="AH304" s="2193"/>
      <c r="AI304" s="2193"/>
      <c r="AJ304" s="2193"/>
      <c r="AK304" s="2193"/>
      <c r="AL304" s="2193"/>
    </row>
    <row r="305" spans="2:38" s="1932" customFormat="1">
      <c r="B305" s="2194" t="s">
        <v>1353</v>
      </c>
      <c r="C305" s="2355"/>
      <c r="D305" s="1958">
        <f t="shared" si="207"/>
        <v>6.4487614525457398E-2</v>
      </c>
      <c r="E305" s="1958">
        <f t="shared" si="207"/>
        <v>7.7624662342822143E-2</v>
      </c>
      <c r="F305" s="1958">
        <f t="shared" si="207"/>
        <v>4.7702146521466308E-2</v>
      </c>
      <c r="G305" s="1958">
        <f t="shared" si="207"/>
        <v>7.9060735551939501E-2</v>
      </c>
      <c r="H305" s="1958">
        <f t="shared" si="207"/>
        <v>9.1364251258811272E-2</v>
      </c>
      <c r="I305" s="1958">
        <f t="shared" si="207"/>
        <v>9.9660174261006082E-2</v>
      </c>
      <c r="J305" s="1931"/>
      <c r="K305" s="1931"/>
      <c r="L305" s="1931"/>
      <c r="M305" s="1931"/>
      <c r="N305" s="1931"/>
      <c r="O305" s="1931"/>
      <c r="P305" s="1931"/>
      <c r="Q305" s="1931"/>
      <c r="R305" s="1931"/>
      <c r="S305" s="1931"/>
      <c r="T305" s="2195"/>
      <c r="U305" s="2195"/>
      <c r="V305" s="2195"/>
      <c r="W305" s="1914"/>
      <c r="X305" s="1914"/>
      <c r="Y305" s="1914"/>
      <c r="Z305" s="1914"/>
      <c r="AA305" s="1933"/>
      <c r="AB305" s="1933"/>
      <c r="AC305" s="1933"/>
      <c r="AD305" s="1933"/>
      <c r="AE305" s="1933"/>
      <c r="AF305" s="1933"/>
      <c r="AG305" s="1933"/>
      <c r="AH305" s="1933"/>
      <c r="AI305" s="1933"/>
      <c r="AJ305" s="1933"/>
      <c r="AK305" s="1933"/>
      <c r="AL305" s="1933"/>
    </row>
    <row r="306" spans="2:38" s="1932" customFormat="1">
      <c r="B306" s="2194" t="s">
        <v>1354</v>
      </c>
      <c r="C306" s="2355"/>
      <c r="D306" s="1958">
        <f t="shared" si="207"/>
        <v>5.1983650464815574E-2</v>
      </c>
      <c r="E306" s="1958">
        <f t="shared" si="207"/>
        <v>6.9281698522638172E-2</v>
      </c>
      <c r="F306" s="1958">
        <f t="shared" si="207"/>
        <v>9.7549591197209393E-2</v>
      </c>
      <c r="G306" s="1958">
        <f t="shared" si="207"/>
        <v>8.5319418164401778E-2</v>
      </c>
      <c r="H306" s="1958">
        <f t="shared" si="207"/>
        <v>6.1580734569261796E-2</v>
      </c>
      <c r="I306" s="1958">
        <f t="shared" si="207"/>
        <v>6.2403963325673183E-2</v>
      </c>
      <c r="J306" s="1931"/>
      <c r="K306" s="1931"/>
      <c r="L306" s="1931"/>
      <c r="M306" s="1931"/>
      <c r="N306" s="1931"/>
      <c r="O306" s="1931"/>
      <c r="P306" s="1931"/>
      <c r="Q306" s="1931"/>
      <c r="R306" s="1931"/>
      <c r="S306" s="1931"/>
      <c r="T306" s="2195"/>
      <c r="U306" s="2195"/>
      <c r="V306" s="2195"/>
      <c r="W306" s="1914"/>
      <c r="X306" s="1914"/>
      <c r="Y306" s="1914"/>
      <c r="Z306" s="1914"/>
      <c r="AA306" s="1933"/>
      <c r="AB306" s="1933"/>
      <c r="AC306" s="1933"/>
      <c r="AD306" s="1933"/>
      <c r="AE306" s="1933"/>
      <c r="AF306" s="1933"/>
      <c r="AG306" s="1933"/>
      <c r="AH306" s="1933"/>
      <c r="AI306" s="1933"/>
      <c r="AJ306" s="1933"/>
      <c r="AK306" s="1933"/>
      <c r="AL306" s="1933"/>
    </row>
    <row r="307" spans="2:38">
      <c r="B307" s="2197"/>
      <c r="C307" s="2188"/>
      <c r="D307" s="2035"/>
      <c r="E307" s="2035"/>
      <c r="F307" s="2035"/>
      <c r="G307" s="2035"/>
      <c r="H307" s="1940"/>
      <c r="I307" s="1941"/>
      <c r="J307" s="1940"/>
      <c r="K307" s="1940"/>
      <c r="L307" s="1939"/>
      <c r="M307" s="1939"/>
      <c r="N307" s="1939"/>
      <c r="O307" s="1939"/>
      <c r="P307" s="1939"/>
      <c r="Q307" s="2089"/>
      <c r="R307" s="2089"/>
      <c r="S307" s="2089"/>
      <c r="T307" s="2089"/>
      <c r="U307" s="2089"/>
      <c r="V307" s="2089"/>
      <c r="W307" s="2089"/>
      <c r="X307" s="2089"/>
      <c r="Y307" s="2089"/>
      <c r="Z307" s="2089"/>
    </row>
    <row r="308" spans="2:38" s="2061" customFormat="1">
      <c r="B308" s="2198" t="s">
        <v>951</v>
      </c>
      <c r="C308" s="2356"/>
      <c r="D308" s="2011"/>
      <c r="E308" s="2011"/>
      <c r="F308" s="2011"/>
      <c r="G308" s="2011"/>
      <c r="H308" s="1914"/>
      <c r="I308" s="2304"/>
      <c r="J308" s="1914"/>
      <c r="K308" s="1914"/>
      <c r="L308" s="2199"/>
      <c r="M308" s="1939"/>
      <c r="N308" s="1939"/>
      <c r="O308" s="2199"/>
      <c r="P308" s="2199"/>
      <c r="Q308" s="2199"/>
      <c r="R308" s="2199"/>
      <c r="S308" s="2199"/>
      <c r="T308" s="2199"/>
      <c r="U308" s="2199"/>
      <c r="V308" s="2199"/>
      <c r="W308" s="2199"/>
      <c r="X308" s="2199"/>
      <c r="Y308" s="2199"/>
      <c r="Z308" s="2199"/>
      <c r="AA308" s="2193"/>
      <c r="AB308" s="2193"/>
      <c r="AC308" s="2193"/>
      <c r="AD308" s="2193"/>
      <c r="AE308" s="2193"/>
      <c r="AF308" s="2193"/>
      <c r="AG308" s="2193"/>
      <c r="AH308" s="2193"/>
      <c r="AI308" s="1960"/>
      <c r="AJ308" s="2045"/>
      <c r="AK308" s="2045"/>
      <c r="AL308" s="2045"/>
    </row>
    <row r="309" spans="2:38" s="1932" customFormat="1">
      <c r="B309" s="2194" t="s">
        <v>1350</v>
      </c>
      <c r="C309" s="2355"/>
      <c r="D309" s="2200"/>
      <c r="E309" s="2010">
        <f>E294/D294-1</f>
        <v>-0.15187781969310676</v>
      </c>
      <c r="F309" s="2010">
        <f t="shared" ref="F309:I309" si="208">F294/E294-1</f>
        <v>0.66634862220034119</v>
      </c>
      <c r="G309" s="2010">
        <f t="shared" si="208"/>
        <v>0.42801071590344275</v>
      </c>
      <c r="H309" s="2010">
        <f t="shared" si="208"/>
        <v>1.5877993246968147E-2</v>
      </c>
      <c r="I309" s="2010">
        <f t="shared" si="208"/>
        <v>0.18096604607722666</v>
      </c>
      <c r="J309" s="2195"/>
      <c r="K309" s="2195"/>
      <c r="L309" s="2195"/>
      <c r="M309" s="2195"/>
      <c r="N309" s="2195"/>
      <c r="O309" s="2195"/>
      <c r="P309" s="2010"/>
      <c r="Q309" s="2010"/>
      <c r="R309" s="2010"/>
      <c r="S309" s="2010"/>
      <c r="T309" s="2010"/>
      <c r="U309" s="2010"/>
      <c r="V309" s="2010"/>
      <c r="W309" s="1914"/>
      <c r="X309" s="1914"/>
      <c r="Y309" s="1914"/>
      <c r="Z309" s="1914"/>
      <c r="AA309" s="1933"/>
      <c r="AB309" s="1933"/>
      <c r="AC309" s="1933"/>
      <c r="AD309" s="1933"/>
      <c r="AE309" s="1933"/>
      <c r="AF309" s="1933"/>
      <c r="AG309" s="1933"/>
      <c r="AH309" s="1933"/>
      <c r="AI309" s="1933"/>
      <c r="AJ309" s="1933"/>
      <c r="AK309" s="1933"/>
      <c r="AL309" s="1933"/>
    </row>
    <row r="310" spans="2:38" s="1932" customFormat="1">
      <c r="B310" s="2194" t="s">
        <v>1351</v>
      </c>
      <c r="C310" s="2355"/>
      <c r="D310" s="2200"/>
      <c r="E310" s="2010">
        <f t="shared" ref="E310:I313" si="209">E296/D296-1</f>
        <v>-4.2307072826326952E-2</v>
      </c>
      <c r="F310" s="2010">
        <f t="shared" si="209"/>
        <v>0.32629707024512911</v>
      </c>
      <c r="G310" s="2010">
        <f t="shared" si="209"/>
        <v>2.7229141023977554E-2</v>
      </c>
      <c r="H310" s="2010">
        <f t="shared" si="209"/>
        <v>0.14152856933694613</v>
      </c>
      <c r="I310" s="2010">
        <f t="shared" si="209"/>
        <v>1.7561082865531485E-3</v>
      </c>
      <c r="J310" s="2195"/>
      <c r="K310" s="2195"/>
      <c r="L310" s="2195"/>
      <c r="M310" s="2195"/>
      <c r="N310" s="2195"/>
      <c r="O310" s="2195"/>
      <c r="P310" s="2101"/>
      <c r="Q310" s="2101"/>
      <c r="R310" s="2101"/>
      <c r="S310" s="2101"/>
      <c r="T310" s="2101"/>
      <c r="U310" s="2101"/>
      <c r="V310" s="2101"/>
      <c r="W310" s="1914"/>
      <c r="X310" s="1914"/>
      <c r="Y310" s="1914"/>
      <c r="Z310" s="1914"/>
      <c r="AA310" s="1933"/>
      <c r="AB310" s="1933"/>
      <c r="AC310" s="1933"/>
      <c r="AD310" s="1933"/>
      <c r="AE310" s="1933"/>
      <c r="AF310" s="1933"/>
      <c r="AG310" s="1933"/>
      <c r="AH310" s="1933"/>
      <c r="AI310" s="1933"/>
      <c r="AJ310" s="1933"/>
      <c r="AK310" s="1933"/>
      <c r="AL310" s="1933"/>
    </row>
    <row r="311" spans="2:38" s="1932" customFormat="1">
      <c r="B311" s="2194" t="s">
        <v>1352</v>
      </c>
      <c r="C311" s="2355"/>
      <c r="D311" s="2200"/>
      <c r="E311" s="2010">
        <f t="shared" si="209"/>
        <v>-5.2181420774233267E-4</v>
      </c>
      <c r="F311" s="2010">
        <f t="shared" si="209"/>
        <v>5.1328274684848241E-2</v>
      </c>
      <c r="G311" s="2010">
        <f t="shared" si="209"/>
        <v>8.816825928531502E-3</v>
      </c>
      <c r="H311" s="2010">
        <f t="shared" si="209"/>
        <v>-0.22506586742333456</v>
      </c>
      <c r="I311" s="2010">
        <f t="shared" si="209"/>
        <v>-0.29793957490254597</v>
      </c>
      <c r="J311" s="2195"/>
      <c r="K311" s="2195"/>
      <c r="L311" s="2195"/>
      <c r="M311" s="2195"/>
      <c r="N311" s="2195"/>
      <c r="O311" s="2195"/>
      <c r="P311" s="2010"/>
      <c r="Q311" s="2010"/>
      <c r="R311" s="2010"/>
      <c r="S311" s="2010"/>
      <c r="T311" s="2010"/>
      <c r="U311" s="2010"/>
      <c r="V311" s="2010"/>
      <c r="W311" s="1914"/>
      <c r="X311" s="1914"/>
      <c r="Y311" s="1914"/>
      <c r="Z311" s="1914"/>
      <c r="AA311" s="1933"/>
      <c r="AB311" s="1933"/>
      <c r="AC311" s="1933"/>
      <c r="AD311" s="1933"/>
      <c r="AE311" s="1933"/>
      <c r="AF311" s="1933"/>
      <c r="AG311" s="1933"/>
      <c r="AH311" s="1933"/>
      <c r="AI311" s="1933"/>
      <c r="AJ311" s="1933"/>
      <c r="AK311" s="1933"/>
      <c r="AL311" s="1933"/>
    </row>
    <row r="312" spans="2:38" s="1932" customFormat="1">
      <c r="B312" s="2194" t="s">
        <v>1353</v>
      </c>
      <c r="C312" s="2355"/>
      <c r="D312" s="2200"/>
      <c r="E312" s="2010">
        <f t="shared" si="209"/>
        <v>0.11965020996133213</v>
      </c>
      <c r="F312" s="2010">
        <f t="shared" si="209"/>
        <v>-0.10894616657711365</v>
      </c>
      <c r="G312" s="2010">
        <f t="shared" si="209"/>
        <v>1.2089956071549226</v>
      </c>
      <c r="H312" s="2010">
        <f t="shared" si="209"/>
        <v>0.12295347477278606</v>
      </c>
      <c r="I312" s="2010">
        <f t="shared" si="209"/>
        <v>0.21779278612381203</v>
      </c>
      <c r="J312" s="2195"/>
      <c r="K312" s="2195"/>
      <c r="L312" s="2195"/>
      <c r="M312" s="2195"/>
      <c r="N312" s="2195"/>
      <c r="O312" s="2195"/>
      <c r="P312" s="2101"/>
      <c r="Q312" s="2101"/>
      <c r="R312" s="2101"/>
      <c r="S312" s="2101"/>
      <c r="T312" s="2101"/>
      <c r="U312" s="2101"/>
      <c r="V312" s="2101"/>
      <c r="W312" s="1914"/>
      <c r="X312" s="1914"/>
      <c r="Y312" s="1914"/>
      <c r="Z312" s="1914"/>
      <c r="AA312" s="1933"/>
      <c r="AB312" s="1933"/>
      <c r="AC312" s="1933"/>
      <c r="AD312" s="1933"/>
      <c r="AE312" s="1933"/>
      <c r="AF312" s="1933"/>
      <c r="AG312" s="1933"/>
      <c r="AH312" s="1933"/>
      <c r="AI312" s="1933"/>
      <c r="AJ312" s="1933"/>
      <c r="AK312" s="1933"/>
      <c r="AL312" s="1933"/>
    </row>
    <row r="313" spans="2:38" s="1932" customFormat="1">
      <c r="B313" s="2194" t="s">
        <v>1354</v>
      </c>
      <c r="C313" s="2355"/>
      <c r="D313" s="2200"/>
      <c r="E313" s="2010">
        <f t="shared" si="209"/>
        <v>0.23968317362888869</v>
      </c>
      <c r="F313" s="2010">
        <f t="shared" si="209"/>
        <v>1.0416094736316763</v>
      </c>
      <c r="G313" s="2010">
        <f t="shared" si="209"/>
        <v>0.16572028852833087</v>
      </c>
      <c r="H313" s="2010">
        <f t="shared" si="209"/>
        <v>-0.29863628428266775</v>
      </c>
      <c r="I313" s="2010">
        <f t="shared" si="209"/>
        <v>0.13134578244201855</v>
      </c>
      <c r="J313" s="2195"/>
      <c r="K313" s="2195"/>
      <c r="L313" s="2195"/>
      <c r="M313" s="2195"/>
      <c r="N313" s="2195"/>
      <c r="O313" s="2195"/>
      <c r="P313" s="2101"/>
      <c r="Q313" s="2101"/>
      <c r="R313" s="2101"/>
      <c r="S313" s="2101"/>
      <c r="T313" s="2101"/>
      <c r="U313" s="2101"/>
      <c r="V313" s="2101"/>
      <c r="W313" s="1914"/>
      <c r="X313" s="1914"/>
      <c r="Y313" s="1914"/>
      <c r="Z313" s="1914"/>
      <c r="AA313" s="1933"/>
      <c r="AB313" s="1933"/>
      <c r="AC313" s="1933"/>
      <c r="AD313" s="1933"/>
      <c r="AE313" s="1933"/>
      <c r="AF313" s="1933"/>
      <c r="AG313" s="1933"/>
      <c r="AH313" s="1933"/>
      <c r="AI313" s="1933"/>
      <c r="AJ313" s="1933"/>
      <c r="AK313" s="1933"/>
      <c r="AL313" s="1933"/>
    </row>
    <row r="314" spans="2:38" s="2204" customFormat="1" ht="13.8" thickBot="1">
      <c r="B314" s="2201"/>
      <c r="C314" s="2202"/>
      <c r="D314" s="2202"/>
      <c r="E314" s="2203"/>
      <c r="F314" s="2203"/>
      <c r="G314" s="2203"/>
      <c r="H314" s="2203"/>
      <c r="I314" s="2305"/>
      <c r="J314" s="2203"/>
      <c r="K314" s="2203"/>
      <c r="L314" s="2202"/>
      <c r="M314" s="1925"/>
      <c r="N314" s="1925"/>
      <c r="P314" s="2205"/>
      <c r="Q314" s="2205"/>
      <c r="R314" s="2205"/>
      <c r="S314" s="2205"/>
      <c r="T314" s="2205"/>
      <c r="U314" s="2205"/>
      <c r="V314" s="2205"/>
      <c r="W314" s="2205"/>
      <c r="X314" s="2205"/>
      <c r="Y314" s="2205"/>
      <c r="Z314" s="2205"/>
      <c r="AA314" s="1928"/>
      <c r="AB314" s="1928"/>
      <c r="AC314" s="1928"/>
      <c r="AD314" s="1928"/>
      <c r="AE314" s="1928"/>
      <c r="AF314" s="1928"/>
      <c r="AG314" s="1928"/>
      <c r="AH314" s="1928"/>
      <c r="AI314" s="1928"/>
      <c r="AJ314" s="1928"/>
      <c r="AK314" s="1928"/>
      <c r="AL314" s="1928"/>
    </row>
    <row r="315" spans="2:38">
      <c r="I315" s="1926"/>
    </row>
    <row r="316" spans="2:38">
      <c r="I316" s="1926"/>
    </row>
    <row r="317" spans="2:38">
      <c r="B317" s="2188"/>
      <c r="C317" s="2188"/>
      <c r="I317" s="1926"/>
    </row>
    <row r="318" spans="2:38">
      <c r="B318" s="2188"/>
      <c r="C318" s="2188"/>
      <c r="I318" s="1926"/>
    </row>
    <row r="319" spans="2:38">
      <c r="B319" s="2188"/>
      <c r="C319" s="2188"/>
      <c r="I319" s="1926"/>
    </row>
    <row r="320" spans="2:38">
      <c r="B320" s="2188" t="s">
        <v>1355</v>
      </c>
      <c r="C320" s="2188"/>
      <c r="D320" s="2189"/>
      <c r="E320" s="2189"/>
      <c r="F320" s="1972"/>
      <c r="G320" s="2206"/>
      <c r="H320" s="2206"/>
      <c r="I320" s="2306"/>
      <c r="J320" s="2206"/>
      <c r="K320" s="2206"/>
      <c r="L320" s="2206"/>
      <c r="AI320" s="2088"/>
    </row>
    <row r="321" spans="2:22">
      <c r="B321" s="2188" t="s">
        <v>317</v>
      </c>
      <c r="C321" s="2188"/>
      <c r="I321" s="1926"/>
    </row>
    <row r="322" spans="2:22">
      <c r="B322" s="1925" t="s">
        <v>1356</v>
      </c>
      <c r="I322" s="1926"/>
    </row>
    <row r="323" spans="2:22">
      <c r="I323" s="1926"/>
    </row>
    <row r="324" spans="2:22">
      <c r="B324" s="1925" t="s">
        <v>1357</v>
      </c>
      <c r="G324" s="2207"/>
      <c r="H324" s="2207"/>
      <c r="I324" s="2307"/>
      <c r="J324" s="2207"/>
      <c r="K324" s="2207"/>
      <c r="L324" s="2207"/>
    </row>
    <row r="325" spans="2:22">
      <c r="B325" s="1925" t="s">
        <v>382</v>
      </c>
      <c r="G325" s="2207"/>
      <c r="H325" s="1968"/>
      <c r="I325" s="2308"/>
      <c r="J325" s="1968"/>
      <c r="K325" s="1968"/>
      <c r="L325" s="1968"/>
    </row>
    <row r="326" spans="2:22">
      <c r="B326" s="1925" t="s">
        <v>1358</v>
      </c>
      <c r="G326" s="2207"/>
      <c r="H326" s="2207"/>
      <c r="I326" s="2307"/>
      <c r="J326" s="2207"/>
      <c r="K326" s="2207"/>
      <c r="L326" s="2207"/>
    </row>
    <row r="327" spans="2:22">
      <c r="G327" s="2207"/>
      <c r="H327" s="1968"/>
      <c r="I327" s="2308"/>
      <c r="J327" s="1968"/>
      <c r="K327" s="1968"/>
      <c r="L327" s="1968"/>
    </row>
    <row r="328" spans="2:22">
      <c r="I328" s="1926"/>
    </row>
    <row r="329" spans="2:22">
      <c r="I329" s="1926"/>
      <c r="M329" s="1940"/>
    </row>
    <row r="330" spans="2:22">
      <c r="B330" s="2208"/>
      <c r="C330" s="2208"/>
      <c r="D330" s="1906"/>
      <c r="E330" s="1907"/>
      <c r="F330" s="1907"/>
      <c r="G330" s="1907"/>
      <c r="H330" s="1907"/>
      <c r="I330" s="2309"/>
      <c r="J330" s="1907"/>
      <c r="K330" s="1907"/>
      <c r="L330" s="1907"/>
      <c r="M330" s="1907"/>
      <c r="N330" s="1907"/>
      <c r="O330" s="1907"/>
      <c r="P330" s="2209"/>
      <c r="Q330" s="2209"/>
      <c r="R330" s="2209"/>
      <c r="S330" s="2209"/>
      <c r="T330" s="2209"/>
      <c r="U330" s="2209"/>
      <c r="V330" s="2209"/>
    </row>
    <row r="331" spans="2:22">
      <c r="B331" s="2047" t="s">
        <v>1359</v>
      </c>
      <c r="C331" s="2047"/>
      <c r="I331" s="1926"/>
    </row>
    <row r="332" spans="2:22">
      <c r="B332" s="2210" t="s">
        <v>1360</v>
      </c>
      <c r="C332" s="2210"/>
      <c r="D332" s="2212">
        <v>870.29</v>
      </c>
      <c r="E332" s="2212">
        <v>934.77</v>
      </c>
      <c r="F332" s="2212">
        <v>898.56</v>
      </c>
      <c r="G332" s="2212">
        <v>918.08</v>
      </c>
      <c r="H332" s="2212">
        <v>955.57</v>
      </c>
      <c r="I332" s="2311">
        <v>956.4</v>
      </c>
      <c r="J332" s="2211">
        <f>800*J350</f>
        <v>960</v>
      </c>
      <c r="K332" s="2211">
        <f t="shared" ref="K332:S332" si="210">800*K350</f>
        <v>960</v>
      </c>
      <c r="L332" s="2211">
        <f t="shared" si="210"/>
        <v>960</v>
      </c>
      <c r="M332" s="2211">
        <f t="shared" si="210"/>
        <v>1000</v>
      </c>
      <c r="N332" s="2211">
        <f t="shared" si="210"/>
        <v>1000</v>
      </c>
      <c r="O332" s="2211">
        <f t="shared" si="210"/>
        <v>1000</v>
      </c>
      <c r="P332" s="2211">
        <f t="shared" si="210"/>
        <v>1000</v>
      </c>
      <c r="Q332" s="2211">
        <f t="shared" si="210"/>
        <v>1000</v>
      </c>
      <c r="R332" s="2211">
        <f t="shared" si="210"/>
        <v>1000</v>
      </c>
      <c r="S332" s="2211">
        <f t="shared" si="210"/>
        <v>1000</v>
      </c>
    </row>
    <row r="333" spans="2:22">
      <c r="B333" s="2210" t="s">
        <v>1361</v>
      </c>
      <c r="C333" s="2210"/>
      <c r="F333" s="2211">
        <f t="shared" ref="F333:S333" si="211">F244</f>
        <v>17.5</v>
      </c>
      <c r="G333" s="2211">
        <f t="shared" si="211"/>
        <v>41.772670678564019</v>
      </c>
      <c r="H333" s="2211">
        <f t="shared" si="211"/>
        <v>54.874974061008515</v>
      </c>
      <c r="I333" s="2211">
        <f t="shared" si="211"/>
        <v>75.352770284291353</v>
      </c>
      <c r="J333" s="2211">
        <f t="shared" si="211"/>
        <v>80.250700352770281</v>
      </c>
      <c r="K333" s="2211">
        <f t="shared" si="211"/>
        <v>88.275770388047334</v>
      </c>
      <c r="L333" s="2211">
        <f t="shared" si="211"/>
        <v>97.103347426852054</v>
      </c>
      <c r="M333" s="2211">
        <f t="shared" si="211"/>
        <v>108.94376426644533</v>
      </c>
      <c r="N333" s="2211">
        <f t="shared" si="211"/>
        <v>108.94376426644533</v>
      </c>
      <c r="O333" s="2211">
        <f t="shared" si="211"/>
        <v>108.94376426644533</v>
      </c>
      <c r="P333" s="2211">
        <f t="shared" si="211"/>
        <v>108.94376426644533</v>
      </c>
      <c r="Q333" s="2211">
        <f t="shared" si="211"/>
        <v>108.94376426644533</v>
      </c>
      <c r="R333" s="2211">
        <f t="shared" si="211"/>
        <v>108.94376426644533</v>
      </c>
      <c r="S333" s="2211">
        <f t="shared" si="211"/>
        <v>108.94376426644533</v>
      </c>
      <c r="T333" s="2469" t="s">
        <v>1452</v>
      </c>
      <c r="U333" s="1925"/>
      <c r="V333" s="1925"/>
    </row>
    <row r="334" spans="2:22">
      <c r="B334" s="2210" t="s">
        <v>1362</v>
      </c>
      <c r="C334" s="2210"/>
      <c r="F334" s="2211">
        <f>F332-F333</f>
        <v>881.06</v>
      </c>
      <c r="G334" s="2211">
        <f t="shared" ref="G334:I334" si="212">G332-G333</f>
        <v>876.30732932143599</v>
      </c>
      <c r="H334" s="2211">
        <f t="shared" si="212"/>
        <v>900.69502593899153</v>
      </c>
      <c r="I334" s="2211">
        <f t="shared" si="212"/>
        <v>881.04722971570868</v>
      </c>
      <c r="J334" s="2211">
        <f t="shared" ref="J334" si="213">J332-J333</f>
        <v>879.74929964722969</v>
      </c>
      <c r="K334" s="2211">
        <f t="shared" ref="K334" si="214">K332-K333</f>
        <v>871.72422961195264</v>
      </c>
      <c r="L334" s="2211">
        <f t="shared" ref="L334" si="215">L332-L333</f>
        <v>862.896652573148</v>
      </c>
      <c r="M334" s="2211">
        <f t="shared" ref="M334" si="216">M332-M333</f>
        <v>891.05623573355467</v>
      </c>
      <c r="N334" s="2211">
        <f t="shared" ref="N334" si="217">N332-N333</f>
        <v>891.05623573355467</v>
      </c>
      <c r="O334" s="2211">
        <f t="shared" ref="O334" si="218">O332-O333</f>
        <v>891.05623573355467</v>
      </c>
      <c r="P334" s="2211">
        <f t="shared" ref="P334" si="219">P332-P333</f>
        <v>891.05623573355467</v>
      </c>
      <c r="Q334" s="2211">
        <f t="shared" ref="Q334" si="220">Q332-Q333</f>
        <v>891.05623573355467</v>
      </c>
      <c r="R334" s="2211">
        <f t="shared" ref="R334" si="221">R332-R333</f>
        <v>891.05623573355467</v>
      </c>
      <c r="S334" s="2211">
        <f t="shared" ref="S334" si="222">S332-S333</f>
        <v>891.05623573355467</v>
      </c>
      <c r="T334" s="2470">
        <f>SUM(F334:S334)</f>
        <v>12390.87341694335</v>
      </c>
      <c r="U334" s="1925"/>
      <c r="V334" s="1925"/>
    </row>
    <row r="335" spans="2:22">
      <c r="B335" s="2210" t="s">
        <v>1363</v>
      </c>
      <c r="C335" s="2210"/>
      <c r="D335" s="2212">
        <v>807.13</v>
      </c>
      <c r="E335" s="2212">
        <v>1008.56</v>
      </c>
      <c r="F335" s="2212">
        <v>755.5</v>
      </c>
      <c r="G335" s="2212">
        <v>844.08</v>
      </c>
      <c r="H335" s="2212">
        <v>866.03</v>
      </c>
      <c r="I335" s="2311">
        <v>804.7</v>
      </c>
      <c r="J335" s="2211">
        <f>J334*J336</f>
        <v>852.7667913310853</v>
      </c>
      <c r="K335" s="2211">
        <f t="shared" ref="K335:S335" si="223">K334*K336</f>
        <v>859.5426410555898</v>
      </c>
      <c r="L335" s="2211">
        <f t="shared" si="223"/>
        <v>837.07511437413541</v>
      </c>
      <c r="M335" s="2211">
        <f t="shared" si="223"/>
        <v>881.61370696287531</v>
      </c>
      <c r="N335" s="2211">
        <f t="shared" si="223"/>
        <v>885.61821144184785</v>
      </c>
      <c r="O335" s="2211">
        <f t="shared" si="223"/>
        <v>890.57183057414875</v>
      </c>
      <c r="P335" s="2211">
        <f t="shared" si="223"/>
        <v>903.74384067110645</v>
      </c>
      <c r="Q335" s="2211">
        <f t="shared" si="223"/>
        <v>884.09068864508515</v>
      </c>
      <c r="R335" s="2211">
        <f t="shared" si="223"/>
        <v>911.55520516060369</v>
      </c>
      <c r="S335" s="2211">
        <f t="shared" si="223"/>
        <v>892.86558057594448</v>
      </c>
      <c r="T335" s="2214">
        <f>SUM(F335:S335)</f>
        <v>12069.753610792421</v>
      </c>
    </row>
    <row r="336" spans="2:22">
      <c r="B336" s="2210"/>
      <c r="C336" s="2210"/>
      <c r="D336" s="2325">
        <f>D335/D332</f>
        <v>0.92742649002056787</v>
      </c>
      <c r="E336" s="2325">
        <f t="shared" ref="E336" si="224">E335/E332</f>
        <v>1.078939204296244</v>
      </c>
      <c r="F336" s="2325">
        <f>F335/F334</f>
        <v>0.85748984178149057</v>
      </c>
      <c r="G336" s="2325">
        <f t="shared" ref="G336:I336" si="225">G335/G334</f>
        <v>0.96322371359555903</v>
      </c>
      <c r="H336" s="2325">
        <f t="shared" si="225"/>
        <v>0.96151302611796641</v>
      </c>
      <c r="I336" s="2325">
        <f t="shared" si="225"/>
        <v>0.91334490690091164</v>
      </c>
      <c r="J336" s="1940">
        <f>AVERAGE(D336:I336)*1.02</f>
        <v>0.96932932106116587</v>
      </c>
      <c r="K336" s="1940">
        <f t="shared" ref="K336:R336" si="226">AVERAGE(E336:J336)*1.03</f>
        <v>0.98602586902765632</v>
      </c>
      <c r="L336" s="1940">
        <f t="shared" si="226"/>
        <v>0.97007574647321548</v>
      </c>
      <c r="M336" s="1940">
        <f t="shared" si="226"/>
        <v>0.98940299344529492</v>
      </c>
      <c r="N336" s="1940">
        <f t="shared" si="226"/>
        <v>0.99389710315283297</v>
      </c>
      <c r="O336" s="1940">
        <f t="shared" si="226"/>
        <v>0.99945636971048502</v>
      </c>
      <c r="P336" s="1940">
        <f t="shared" si="226"/>
        <v>1.0142388374927951</v>
      </c>
      <c r="Q336" s="1940">
        <f>AVERAGE(K336:P336)</f>
        <v>0.99218281988371337</v>
      </c>
      <c r="R336" s="1940">
        <f t="shared" si="226"/>
        <v>1.0230052477105145</v>
      </c>
      <c r="S336" s="1940">
        <f>AVERAGE(M336:R336)</f>
        <v>1.0020305618992726</v>
      </c>
      <c r="T336" s="2214">
        <f>T334-T335</f>
        <v>321.11980615092943</v>
      </c>
      <c r="U336" s="1940"/>
      <c r="V336" s="1940"/>
    </row>
    <row r="337" spans="2:25">
      <c r="B337" s="2047" t="s">
        <v>1364</v>
      </c>
      <c r="C337" s="2047"/>
      <c r="F337" s="2211"/>
      <c r="G337" s="2211"/>
      <c r="H337" s="2211"/>
      <c r="I337" s="2310"/>
      <c r="J337" s="2211"/>
      <c r="K337" s="2211"/>
      <c r="L337" s="2211"/>
    </row>
    <row r="338" spans="2:25">
      <c r="B338" s="2210" t="s">
        <v>1360</v>
      </c>
      <c r="C338" s="2210"/>
      <c r="F338" s="2211">
        <f t="shared" ref="F338:S338" si="227">F245</f>
        <v>48.19</v>
      </c>
      <c r="G338" s="2211">
        <f t="shared" si="227"/>
        <v>115.03</v>
      </c>
      <c r="H338" s="2211">
        <f t="shared" si="227"/>
        <v>151.11000000000001</v>
      </c>
      <c r="I338" s="2211">
        <f t="shared" si="227"/>
        <v>207.5</v>
      </c>
      <c r="J338" s="2211">
        <f t="shared" si="227"/>
        <v>220.98749999999998</v>
      </c>
      <c r="K338" s="2211">
        <f t="shared" si="227"/>
        <v>243.08625000000001</v>
      </c>
      <c r="L338" s="2211">
        <f t="shared" si="227"/>
        <v>267.39487500000001</v>
      </c>
      <c r="M338" s="2211">
        <f t="shared" si="227"/>
        <v>300</v>
      </c>
      <c r="N338" s="2211">
        <f t="shared" si="227"/>
        <v>300</v>
      </c>
      <c r="O338" s="2211">
        <f t="shared" si="227"/>
        <v>300</v>
      </c>
      <c r="P338" s="2211">
        <f t="shared" si="227"/>
        <v>300</v>
      </c>
      <c r="Q338" s="2211">
        <f t="shared" si="227"/>
        <v>300</v>
      </c>
      <c r="R338" s="2211">
        <f t="shared" si="227"/>
        <v>300</v>
      </c>
      <c r="S338" s="2211">
        <f t="shared" si="227"/>
        <v>300</v>
      </c>
    </row>
    <row r="339" spans="2:25">
      <c r="B339" s="2210" t="s">
        <v>1363</v>
      </c>
      <c r="C339" s="2210"/>
      <c r="F339" s="2211">
        <f t="shared" ref="F339:S339" si="228">F248</f>
        <v>38.39</v>
      </c>
      <c r="G339" s="2211">
        <f t="shared" si="228"/>
        <v>83.67</v>
      </c>
      <c r="H339" s="2211">
        <f t="shared" si="228"/>
        <v>138.61000000000001</v>
      </c>
      <c r="I339" s="2211">
        <f t="shared" si="228"/>
        <v>175.8</v>
      </c>
      <c r="J339" s="2211">
        <f t="shared" si="228"/>
        <v>192.501</v>
      </c>
      <c r="K339" s="2211">
        <f t="shared" si="228"/>
        <v>221.37615000000002</v>
      </c>
      <c r="L339" s="2211">
        <f t="shared" si="228"/>
        <v>254.58257250000005</v>
      </c>
      <c r="M339" s="2211">
        <f t="shared" si="228"/>
        <v>292.7699583750001</v>
      </c>
      <c r="N339" s="2211">
        <f t="shared" si="228"/>
        <v>307.40845629375013</v>
      </c>
      <c r="O339" s="2211">
        <f t="shared" si="228"/>
        <v>284.92032905625007</v>
      </c>
      <c r="P339" s="2211">
        <f t="shared" si="228"/>
        <v>295.03291457500012</v>
      </c>
      <c r="Q339" s="2211">
        <f t="shared" si="228"/>
        <v>295.78723330833344</v>
      </c>
      <c r="R339" s="2211">
        <f t="shared" si="228"/>
        <v>291.91349231319458</v>
      </c>
      <c r="S339" s="2211">
        <f t="shared" si="228"/>
        <v>294.24454673217605</v>
      </c>
    </row>
    <row r="340" spans="2:25">
      <c r="B340" s="2047" t="s">
        <v>1365</v>
      </c>
      <c r="C340" s="2047"/>
      <c r="F340" s="2211"/>
      <c r="G340" s="2211"/>
      <c r="H340" s="2211"/>
      <c r="I340" s="2310"/>
      <c r="J340" s="2211"/>
      <c r="K340" s="2211"/>
      <c r="L340" s="2211"/>
    </row>
    <row r="341" spans="2:25">
      <c r="B341" s="2210" t="s">
        <v>1363</v>
      </c>
      <c r="C341" s="2210"/>
      <c r="D341" s="2212">
        <v>167.7</v>
      </c>
      <c r="E341" s="2212">
        <v>171.48</v>
      </c>
      <c r="F341" s="2212">
        <v>161.07</v>
      </c>
      <c r="G341" s="2212">
        <v>123.48</v>
      </c>
      <c r="H341" s="2212">
        <v>183.24</v>
      </c>
      <c r="I341" s="2311">
        <v>254.4</v>
      </c>
      <c r="J341" s="2211"/>
      <c r="K341" s="2211"/>
      <c r="L341" s="2211"/>
    </row>
    <row r="342" spans="2:25">
      <c r="B342" s="2047" t="s">
        <v>1249</v>
      </c>
      <c r="C342" s="2047"/>
      <c r="F342" s="2211"/>
      <c r="G342" s="2211"/>
      <c r="H342" s="2211"/>
      <c r="I342" s="2310"/>
      <c r="J342" s="2211"/>
      <c r="K342" s="2211"/>
      <c r="L342" s="2211"/>
    </row>
    <row r="343" spans="2:25">
      <c r="B343" s="2210" t="s">
        <v>1360</v>
      </c>
      <c r="C343" s="2210"/>
      <c r="F343" s="2211"/>
      <c r="G343" s="2211"/>
      <c r="H343" s="2211"/>
      <c r="I343" s="2310"/>
      <c r="J343" s="2211"/>
      <c r="K343" s="2211"/>
      <c r="L343" s="2211"/>
    </row>
    <row r="344" spans="2:25">
      <c r="B344" s="2210" t="s">
        <v>1363</v>
      </c>
      <c r="C344" s="2210"/>
      <c r="D344" s="2212">
        <f t="shared" ref="D344:S344" si="229">D171</f>
        <v>5911.5794308289514</v>
      </c>
      <c r="E344" s="2212">
        <f t="shared" si="229"/>
        <v>0</v>
      </c>
      <c r="F344" s="2212">
        <f t="shared" si="229"/>
        <v>1784.0385337685777</v>
      </c>
      <c r="G344" s="2212">
        <f t="shared" si="229"/>
        <v>3847.8089822987645</v>
      </c>
      <c r="H344" s="2212">
        <f t="shared" si="229"/>
        <v>3847.8089822987645</v>
      </c>
      <c r="I344" s="2212">
        <f t="shared" si="229"/>
        <v>3847.8089822987645</v>
      </c>
      <c r="J344" s="2212">
        <f t="shared" si="229"/>
        <v>3847.8089822987645</v>
      </c>
      <c r="K344" s="2212">
        <f t="shared" si="229"/>
        <v>3847.8089822987645</v>
      </c>
      <c r="L344" s="2212">
        <f t="shared" si="229"/>
        <v>3847.8089822987645</v>
      </c>
      <c r="M344" s="2212">
        <f t="shared" si="229"/>
        <v>3847.8089822987645</v>
      </c>
      <c r="N344" s="2212">
        <f t="shared" si="229"/>
        <v>3847.8089822987645</v>
      </c>
      <c r="O344" s="2212">
        <f t="shared" si="229"/>
        <v>3847.8089822987645</v>
      </c>
      <c r="P344" s="2212">
        <f t="shared" si="229"/>
        <v>3847.8089822987645</v>
      </c>
      <c r="Q344" s="2212">
        <f t="shared" si="229"/>
        <v>3847.8089822987645</v>
      </c>
      <c r="R344" s="2212">
        <f t="shared" si="229"/>
        <v>3847.8089822987645</v>
      </c>
      <c r="S344" s="2212">
        <f t="shared" si="229"/>
        <v>3847.8089822987645</v>
      </c>
      <c r="T344" s="2211"/>
      <c r="U344" s="2211"/>
      <c r="V344" s="2211"/>
    </row>
    <row r="345" spans="2:25">
      <c r="B345" s="2047" t="s">
        <v>1309</v>
      </c>
      <c r="C345" s="2047"/>
      <c r="F345" s="2211"/>
      <c r="G345" s="2211"/>
      <c r="H345" s="2211"/>
      <c r="I345" s="2310"/>
      <c r="J345" s="2211"/>
      <c r="K345" s="2211"/>
      <c r="L345" s="2211"/>
      <c r="N345" s="2212"/>
    </row>
    <row r="346" spans="2:25">
      <c r="B346" s="2210" t="s">
        <v>1360</v>
      </c>
      <c r="C346" s="2210"/>
      <c r="F346" s="2211"/>
      <c r="G346" s="2211"/>
      <c r="H346" s="2211"/>
      <c r="I346" s="2310"/>
      <c r="J346" s="2211"/>
      <c r="K346" s="2211"/>
      <c r="L346" s="2211"/>
    </row>
    <row r="347" spans="2:25">
      <c r="B347" s="2210" t="s">
        <v>1363</v>
      </c>
      <c r="C347" s="2210"/>
      <c r="F347" s="2211"/>
      <c r="G347" s="2211"/>
      <c r="H347" s="2211"/>
      <c r="I347" s="2310"/>
      <c r="J347" s="2211"/>
      <c r="K347" s="2211"/>
      <c r="L347" s="2211"/>
    </row>
    <row r="348" spans="2:25">
      <c r="B348" s="2047" t="s">
        <v>1366</v>
      </c>
      <c r="C348" s="2047"/>
      <c r="F348" s="2211"/>
      <c r="G348" s="2211"/>
      <c r="H348" s="2211"/>
      <c r="I348" s="2310"/>
      <c r="J348" s="2211"/>
      <c r="K348" s="2211"/>
      <c r="L348" s="2211"/>
    </row>
    <row r="349" spans="2:25">
      <c r="B349" s="2213" t="s">
        <v>1367</v>
      </c>
      <c r="C349" s="2213"/>
      <c r="D349" s="1925">
        <f>$E$349*D332/E332</f>
        <v>505.54411245547033</v>
      </c>
      <c r="E349" s="1925">
        <v>543</v>
      </c>
      <c r="F349" s="1925">
        <f>$E$349*F332/$E$332</f>
        <v>521.96591674957472</v>
      </c>
      <c r="G349" s="1925">
        <f t="shared" ref="G349:S349" si="230">$E$349*G332/$E$332</f>
        <v>533.30491992682698</v>
      </c>
      <c r="H349" s="1925">
        <f t="shared" si="230"/>
        <v>555.08254436920311</v>
      </c>
      <c r="I349" s="1925">
        <f t="shared" si="230"/>
        <v>555.56468436085879</v>
      </c>
      <c r="J349" s="1925">
        <f t="shared" si="230"/>
        <v>557.65589396322093</v>
      </c>
      <c r="K349" s="1925">
        <f t="shared" si="230"/>
        <v>557.65589396322093</v>
      </c>
      <c r="L349" s="1925">
        <f t="shared" si="230"/>
        <v>557.65589396322093</v>
      </c>
      <c r="M349" s="1925">
        <f t="shared" si="230"/>
        <v>580.89155621168845</v>
      </c>
      <c r="N349" s="1925">
        <f t="shared" si="230"/>
        <v>580.89155621168845</v>
      </c>
      <c r="O349" s="1925">
        <f t="shared" si="230"/>
        <v>580.89155621168845</v>
      </c>
      <c r="P349" s="1925">
        <f t="shared" si="230"/>
        <v>580.89155621168845</v>
      </c>
      <c r="Q349" s="1925">
        <f t="shared" si="230"/>
        <v>580.89155621168845</v>
      </c>
      <c r="R349" s="1925">
        <f t="shared" si="230"/>
        <v>580.89155621168845</v>
      </c>
      <c r="S349" s="1925">
        <f t="shared" si="230"/>
        <v>580.89155621168845</v>
      </c>
      <c r="T349" s="1925"/>
      <c r="U349" s="1925"/>
      <c r="V349" s="1925"/>
      <c r="X349" s="2696"/>
      <c r="Y349" s="2697"/>
    </row>
    <row r="350" spans="2:25">
      <c r="B350" s="2210" t="s">
        <v>1368</v>
      </c>
      <c r="C350" s="2210"/>
      <c r="D350" s="2325">
        <f>D332/800</f>
        <v>1.0878625</v>
      </c>
      <c r="E350" s="2325">
        <f t="shared" ref="E350:I350" si="231">E332/800</f>
        <v>1.1684625</v>
      </c>
      <c r="F350" s="2325">
        <f t="shared" si="231"/>
        <v>1.1232</v>
      </c>
      <c r="G350" s="2325">
        <f t="shared" si="231"/>
        <v>1.1476</v>
      </c>
      <c r="H350" s="2325">
        <f t="shared" si="231"/>
        <v>1.1944625</v>
      </c>
      <c r="I350" s="2325">
        <f t="shared" si="231"/>
        <v>1.1955</v>
      </c>
      <c r="J350" s="1940">
        <v>1.2</v>
      </c>
      <c r="K350" s="1940">
        <f>J350</f>
        <v>1.2</v>
      </c>
      <c r="L350" s="1940">
        <v>1.2</v>
      </c>
      <c r="M350" s="1940">
        <f>125%</f>
        <v>1.25</v>
      </c>
      <c r="N350" s="1940">
        <f t="shared" ref="N350:S350" si="232">M350</f>
        <v>1.25</v>
      </c>
      <c r="O350" s="1940">
        <f t="shared" si="232"/>
        <v>1.25</v>
      </c>
      <c r="P350" s="1940">
        <f t="shared" si="232"/>
        <v>1.25</v>
      </c>
      <c r="Q350" s="1940">
        <f t="shared" si="232"/>
        <v>1.25</v>
      </c>
      <c r="R350" s="1940">
        <f t="shared" si="232"/>
        <v>1.25</v>
      </c>
      <c r="S350" s="1940">
        <f t="shared" si="232"/>
        <v>1.25</v>
      </c>
      <c r="T350" s="1939"/>
      <c r="U350" s="1939"/>
      <c r="V350" s="1939"/>
      <c r="X350" s="2697"/>
      <c r="Y350" s="2697"/>
    </row>
    <row r="351" spans="2:25">
      <c r="B351" s="2210" t="s">
        <v>1369</v>
      </c>
      <c r="C351" s="2210"/>
      <c r="D351" s="1925">
        <f>947.817*10^-6*40.2*D349*10^6</f>
        <v>19262364.8222153</v>
      </c>
      <c r="E351" s="1925">
        <f t="shared" ref="E351:S351" si="233">947.817*10^-6*40.2*E349*10^6</f>
        <v>20689518.166200001</v>
      </c>
      <c r="F351" s="1925">
        <f t="shared" si="233"/>
        <v>19888072.406496435</v>
      </c>
      <c r="G351" s="1925">
        <f t="shared" si="233"/>
        <v>20320113.865469474</v>
      </c>
      <c r="H351" s="1925">
        <f t="shared" si="233"/>
        <v>21149890.212646674</v>
      </c>
      <c r="I351" s="1925">
        <f t="shared" si="233"/>
        <v>21168260.827961612</v>
      </c>
      <c r="J351" s="1925">
        <f t="shared" si="233"/>
        <v>21247940.605231237</v>
      </c>
      <c r="K351" s="1925">
        <f t="shared" si="233"/>
        <v>21247940.605231237</v>
      </c>
      <c r="L351" s="1925">
        <f t="shared" si="233"/>
        <v>21247940.605231237</v>
      </c>
      <c r="M351" s="1925">
        <f t="shared" si="233"/>
        <v>22133271.463782534</v>
      </c>
      <c r="N351" s="1925">
        <f t="shared" si="233"/>
        <v>22133271.463782534</v>
      </c>
      <c r="O351" s="1925">
        <f t="shared" si="233"/>
        <v>22133271.463782534</v>
      </c>
      <c r="P351" s="1925">
        <f t="shared" si="233"/>
        <v>22133271.463782534</v>
      </c>
      <c r="Q351" s="1925">
        <f t="shared" si="233"/>
        <v>22133271.463782534</v>
      </c>
      <c r="R351" s="1925">
        <f t="shared" si="233"/>
        <v>22133271.463782534</v>
      </c>
      <c r="S351" s="1925">
        <f t="shared" si="233"/>
        <v>22133271.463782534</v>
      </c>
      <c r="T351" s="1925"/>
      <c r="U351" s="1925"/>
      <c r="V351" s="1925"/>
      <c r="X351" s="2697"/>
      <c r="Y351" s="2697"/>
    </row>
    <row r="352" spans="2:25">
      <c r="B352" s="2210" t="s">
        <v>1370</v>
      </c>
      <c r="C352" s="2210"/>
      <c r="D352" s="2376" t="s">
        <v>1421</v>
      </c>
      <c r="E352" s="2376" t="s">
        <v>1422</v>
      </c>
      <c r="F352" s="2376"/>
      <c r="G352" s="2376" t="s">
        <v>1423</v>
      </c>
      <c r="H352" s="2376"/>
      <c r="I352" s="2376"/>
      <c r="J352" s="2376"/>
      <c r="K352" s="2376"/>
      <c r="L352" s="2376"/>
      <c r="M352" s="2376"/>
      <c r="N352" s="2376"/>
      <c r="O352" s="2376"/>
      <c r="P352" s="2214"/>
      <c r="Q352" s="2214"/>
      <c r="R352" s="2214"/>
      <c r="S352" s="2214"/>
      <c r="T352" s="2214"/>
      <c r="U352" s="1925"/>
      <c r="V352" s="1925"/>
      <c r="X352" s="2697"/>
      <c r="Y352" s="2697"/>
    </row>
    <row r="353" spans="2:25">
      <c r="B353" s="2210" t="s">
        <v>1371</v>
      </c>
      <c r="C353" s="2210"/>
      <c r="D353" s="2212">
        <f t="shared" ref="D353:S353" si="234">D132</f>
        <v>5.475309976247031</v>
      </c>
      <c r="E353" s="2212">
        <f t="shared" si="234"/>
        <v>3.9026703524575188</v>
      </c>
      <c r="F353" s="2212">
        <f t="shared" si="234"/>
        <v>5.8726865264023393</v>
      </c>
      <c r="G353" s="2212">
        <f t="shared" si="234"/>
        <v>8.6889758944820041</v>
      </c>
      <c r="H353" s="2212">
        <f t="shared" si="234"/>
        <v>7.9720379619952482</v>
      </c>
      <c r="I353" s="2212">
        <f t="shared" si="234"/>
        <v>7.1057674492965459</v>
      </c>
      <c r="J353" s="2212">
        <f t="shared" si="234"/>
        <v>6.0472976247030878</v>
      </c>
      <c r="K353" s="2212">
        <f t="shared" si="234"/>
        <v>5.8712776365795722</v>
      </c>
      <c r="L353" s="2212">
        <f t="shared" si="234"/>
        <v>5.7682811478622327</v>
      </c>
      <c r="M353" s="2212">
        <f t="shared" si="234"/>
        <v>5.6072119835807603</v>
      </c>
      <c r="N353" s="2212">
        <f t="shared" si="234"/>
        <v>5.8977629453681715</v>
      </c>
      <c r="O353" s="2212">
        <f t="shared" si="234"/>
        <v>6.0667630973871738</v>
      </c>
      <c r="P353" s="2212">
        <f t="shared" si="234"/>
        <v>6.2391432524465564</v>
      </c>
      <c r="Q353" s="2212">
        <f t="shared" si="234"/>
        <v>6.4149710106071272</v>
      </c>
      <c r="R353" s="2212">
        <f t="shared" si="234"/>
        <v>6.5943153239309087</v>
      </c>
      <c r="S353" s="2212">
        <f t="shared" si="234"/>
        <v>6.6768800537898727</v>
      </c>
      <c r="T353" s="2212"/>
      <c r="U353" s="2212"/>
      <c r="V353" s="2212"/>
      <c r="X353" s="2697"/>
      <c r="Y353" s="2697"/>
    </row>
    <row r="354" spans="2:25">
      <c r="B354" s="2210" t="s">
        <v>1372</v>
      </c>
      <c r="C354" s="2210"/>
      <c r="D354" s="2212">
        <f>D353*D351*D135/10^9</f>
        <v>2437.3520363857524</v>
      </c>
      <c r="E354" s="2212">
        <f>E353*E351*E135/10^9</f>
        <v>1875.3323830014331</v>
      </c>
      <c r="F354" s="2212">
        <f>F353*F351*F135/10^9</f>
        <v>2712.6609730993168</v>
      </c>
      <c r="G354" s="2212">
        <f>G353*G351*G135/10^9</f>
        <v>4121.2294878849625</v>
      </c>
      <c r="H354" s="2212">
        <f>H353*H351*H135/10^9</f>
        <v>4024.0571344838154</v>
      </c>
      <c r="I354" s="2212">
        <f>I353*I351*I135/10^9</f>
        <v>3751.4496473209801</v>
      </c>
      <c r="J354" s="2212">
        <f>J353*J351*J135/10^9</f>
        <v>3389.9565669856074</v>
      </c>
      <c r="K354" s="2212">
        <f>K353*K351*K135/10^9</f>
        <v>3390.0229058342002</v>
      </c>
      <c r="L354" s="2212">
        <f>L353*L351*L135/10^9</f>
        <v>3397.1647327063229</v>
      </c>
      <c r="M354" s="2212">
        <f>M353*M351*M135/10^9</f>
        <v>3508.6989010398534</v>
      </c>
      <c r="N354" s="2212">
        <f>N353*N351*N135/10^9</f>
        <v>3764.3206488562041</v>
      </c>
      <c r="O354" s="2212">
        <f>O353*O351*O135/10^9</f>
        <v>3833.4652295540604</v>
      </c>
      <c r="P354" s="2212">
        <f>P353*P351*P135/10^9</f>
        <v>3902.9648847593648</v>
      </c>
      <c r="Q354" s="2212">
        <f>Q353*Q351*Q135/10^9</f>
        <v>3972.8263196261246</v>
      </c>
      <c r="R354" s="2212">
        <f>R353*R351*R135/10^9</f>
        <v>4043.056272764617</v>
      </c>
      <c r="S354" s="2212">
        <f>S353*S351*S135/10^9</f>
        <v>4052.7409523694751</v>
      </c>
      <c r="T354" s="1925"/>
      <c r="U354" s="1925"/>
      <c r="V354" s="1925"/>
      <c r="X354" s="2697"/>
      <c r="Y354" s="2697"/>
    </row>
    <row r="355" spans="2:25">
      <c r="B355" s="2215" t="s">
        <v>1373</v>
      </c>
      <c r="C355" s="2215"/>
      <c r="D355" s="2384">
        <f>2330259949864/10^9</f>
        <v>2330.2599498640002</v>
      </c>
      <c r="E355" s="2384">
        <f>1890701731577/10^9</f>
        <v>1890.7017315769999</v>
      </c>
      <c r="F355" s="2384">
        <f>2718010730255/10^9</f>
        <v>2718.010730255</v>
      </c>
      <c r="G355" s="2384">
        <f>4149469384746/10^9</f>
        <v>4149.4693847460003</v>
      </c>
      <c r="H355" s="2384">
        <f>4099498688207/10^9</f>
        <v>4099.4986882069998</v>
      </c>
      <c r="I355" s="2384">
        <f>4423696089115/10^9</f>
        <v>4423.6960891150002</v>
      </c>
      <c r="J355" s="2384">
        <f>J354*J356</f>
        <v>3486.5851171788722</v>
      </c>
      <c r="K355" s="2384">
        <f t="shared" ref="K355:S355" si="235">K354*K356</f>
        <v>3486.6533469740402</v>
      </c>
      <c r="L355" s="2384">
        <f t="shared" si="235"/>
        <v>3493.9987470668661</v>
      </c>
      <c r="M355" s="2384">
        <f t="shared" si="235"/>
        <v>3608.7121257442814</v>
      </c>
      <c r="N355" s="2384">
        <f t="shared" si="235"/>
        <v>3871.6202084741576</v>
      </c>
      <c r="O355" s="2384">
        <f t="shared" si="235"/>
        <v>3942.7357113518506</v>
      </c>
      <c r="P355" s="2384">
        <f t="shared" si="235"/>
        <v>4014.2164099093984</v>
      </c>
      <c r="Q355" s="2384">
        <f t="shared" si="235"/>
        <v>4086.0692004269472</v>
      </c>
      <c r="R355" s="2384">
        <f t="shared" si="235"/>
        <v>4158.3010135945633</v>
      </c>
      <c r="S355" s="2384">
        <f t="shared" si="235"/>
        <v>4168.2617488157139</v>
      </c>
      <c r="X355" s="2697"/>
      <c r="Y355" s="2697"/>
    </row>
    <row r="356" spans="2:25">
      <c r="B356" s="2215" t="s">
        <v>1424</v>
      </c>
      <c r="C356" s="2215"/>
      <c r="D356" s="2384">
        <f>D355/D354</f>
        <v>0.95606211785452433</v>
      </c>
      <c r="E356" s="2384">
        <f t="shared" ref="E356:I356" si="236">E355/E354</f>
        <v>1.008195533077165</v>
      </c>
      <c r="F356" s="2384">
        <f t="shared" si="236"/>
        <v>1.0019721436658451</v>
      </c>
      <c r="G356" s="2384">
        <f t="shared" si="236"/>
        <v>1.0068522990394138</v>
      </c>
      <c r="H356" s="2384">
        <f t="shared" si="236"/>
        <v>1.0187476348376603</v>
      </c>
      <c r="I356" s="2384">
        <f t="shared" si="236"/>
        <v>1.1791964453725483</v>
      </c>
      <c r="J356" s="2384">
        <f>AVERAGE(D356:I356)</f>
        <v>1.0285043623078594</v>
      </c>
      <c r="K356" s="2384">
        <f>J356</f>
        <v>1.0285043623078594</v>
      </c>
      <c r="L356" s="2384">
        <f t="shared" ref="L356:S356" si="237">K356</f>
        <v>1.0285043623078594</v>
      </c>
      <c r="M356" s="2384">
        <f t="shared" si="237"/>
        <v>1.0285043623078594</v>
      </c>
      <c r="N356" s="2384">
        <f t="shared" si="237"/>
        <v>1.0285043623078594</v>
      </c>
      <c r="O356" s="2384">
        <f t="shared" si="237"/>
        <v>1.0285043623078594</v>
      </c>
      <c r="P356" s="2384">
        <f t="shared" si="237"/>
        <v>1.0285043623078594</v>
      </c>
      <c r="Q356" s="2384">
        <f t="shared" si="237"/>
        <v>1.0285043623078594</v>
      </c>
      <c r="R356" s="2384">
        <f t="shared" si="237"/>
        <v>1.0285043623078594</v>
      </c>
      <c r="S356" s="2384">
        <f t="shared" si="237"/>
        <v>1.0285043623078594</v>
      </c>
      <c r="X356" s="2697"/>
      <c r="Y356" s="2697"/>
    </row>
    <row r="357" spans="2:25" ht="14.4">
      <c r="B357" s="2210" t="s">
        <v>1374</v>
      </c>
      <c r="C357" s="2210"/>
      <c r="D357" s="2394">
        <f>D294</f>
        <v>3218.769225255</v>
      </c>
      <c r="E357" s="2394">
        <f t="shared" ref="E357:S357" si="238">E294</f>
        <v>2729.9095732280002</v>
      </c>
      <c r="F357" s="2394">
        <f t="shared" si="238"/>
        <v>4548.9810560799997</v>
      </c>
      <c r="G357" s="2394">
        <f t="shared" si="238"/>
        <v>6495.9936945239997</v>
      </c>
      <c r="H357" s="2394">
        <f t="shared" si="238"/>
        <v>6599.1370385379996</v>
      </c>
      <c r="I357" s="2394">
        <f t="shared" si="238"/>
        <v>7793.3567759240004</v>
      </c>
      <c r="J357" s="2394">
        <f t="shared" si="238"/>
        <v>8117.7932702691214</v>
      </c>
      <c r="K357" s="2394">
        <f t="shared" si="238"/>
        <v>8510.1390865469511</v>
      </c>
      <c r="L357" s="2394">
        <f t="shared" si="238"/>
        <v>9059.157753546624</v>
      </c>
      <c r="M357" s="2394">
        <f t="shared" si="238"/>
        <v>10725.410603998687</v>
      </c>
      <c r="N357" s="2394">
        <f t="shared" si="238"/>
        <v>10642.099052528456</v>
      </c>
      <c r="O357" s="2394">
        <f t="shared" si="238"/>
        <v>9830.9493035195537</v>
      </c>
      <c r="P357" s="2394">
        <f t="shared" si="238"/>
        <v>9899.1800710382558</v>
      </c>
      <c r="Q357" s="2394">
        <f t="shared" si="238"/>
        <v>10168.216804349548</v>
      </c>
      <c r="R357" s="2394">
        <f t="shared" si="238"/>
        <v>10759.301392801681</v>
      </c>
      <c r="S357" s="2394">
        <f t="shared" si="238"/>
        <v>10918.227122587823</v>
      </c>
      <c r="T357" s="1925"/>
      <c r="U357" s="1925"/>
      <c r="V357" s="1925"/>
      <c r="X357" s="2697"/>
      <c r="Y357" s="2697"/>
    </row>
    <row r="358" spans="2:25">
      <c r="B358" s="2216" t="s">
        <v>1375</v>
      </c>
      <c r="C358" s="2216"/>
      <c r="I358" s="1926"/>
      <c r="X358" s="2697"/>
      <c r="Y358" s="2697"/>
    </row>
    <row r="359" spans="2:25" ht="13.8" thickBot="1">
      <c r="I359" s="1926"/>
      <c r="L359" s="2212"/>
      <c r="M359" s="2212"/>
      <c r="X359" s="2697"/>
      <c r="Y359" s="2697"/>
    </row>
    <row r="360" spans="2:25">
      <c r="B360" s="2217" t="s">
        <v>1376</v>
      </c>
      <c r="C360" s="2357"/>
      <c r="D360" s="2218"/>
      <c r="E360" s="2218"/>
      <c r="F360" s="2219"/>
      <c r="G360" s="2219"/>
      <c r="H360" s="2219"/>
      <c r="I360" s="2312"/>
      <c r="J360" s="2218"/>
      <c r="K360" s="2218"/>
      <c r="L360" s="2218"/>
      <c r="M360" s="2218"/>
      <c r="N360" s="2218"/>
      <c r="O360" s="2218"/>
      <c r="P360" s="2218"/>
      <c r="Q360" s="2218"/>
      <c r="R360" s="2218"/>
      <c r="S360" s="2218"/>
      <c r="T360" s="2220"/>
      <c r="U360" s="2220"/>
      <c r="X360" s="2697"/>
      <c r="Y360" s="2697"/>
    </row>
    <row r="361" spans="2:25">
      <c r="B361" s="2221" t="s">
        <v>1249</v>
      </c>
      <c r="C361" s="2358"/>
      <c r="D361" s="1929"/>
      <c r="E361" s="1929"/>
      <c r="I361" s="1926"/>
      <c r="J361" s="1929"/>
      <c r="K361" s="1929"/>
      <c r="L361" s="1929"/>
      <c r="M361" s="1929"/>
      <c r="N361" s="1929"/>
      <c r="O361" s="1929"/>
      <c r="P361" s="1929"/>
      <c r="Q361" s="1929"/>
      <c r="R361" s="1929"/>
      <c r="S361" s="1929"/>
      <c r="T361" s="1929"/>
      <c r="U361" s="1929"/>
      <c r="X361" s="2697"/>
      <c r="Y361" s="2697"/>
    </row>
    <row r="362" spans="2:25">
      <c r="B362" s="2221" t="s">
        <v>1377</v>
      </c>
      <c r="C362" s="2358"/>
      <c r="D362" s="1929"/>
      <c r="E362" s="1929"/>
      <c r="I362" s="1926"/>
      <c r="J362" s="1929"/>
      <c r="K362" s="1929"/>
      <c r="L362" s="1929"/>
      <c r="M362" s="1929"/>
      <c r="N362" s="2111"/>
      <c r="O362" s="2111"/>
      <c r="P362" s="2111"/>
      <c r="Q362" s="2111"/>
      <c r="R362" s="2111"/>
      <c r="S362" s="2111"/>
      <c r="T362" s="2111"/>
      <c r="U362" s="2111"/>
      <c r="X362" s="2697"/>
      <c r="Y362" s="2697"/>
    </row>
    <row r="363" spans="2:25">
      <c r="B363" s="2222" t="s">
        <v>1336</v>
      </c>
      <c r="C363" s="2359"/>
      <c r="D363" s="2223"/>
      <c r="E363" s="2223"/>
      <c r="I363" s="1926"/>
      <c r="J363" s="2223"/>
      <c r="K363" s="2223"/>
      <c r="L363" s="2223"/>
      <c r="M363" s="2223"/>
      <c r="N363" s="2224"/>
      <c r="O363" s="2224"/>
      <c r="P363" s="2224"/>
      <c r="Q363" s="2224"/>
      <c r="R363" s="2224"/>
      <c r="S363" s="2224"/>
      <c r="T363" s="2224"/>
      <c r="U363" s="2224"/>
      <c r="X363" s="2697"/>
      <c r="Y363" s="2697"/>
    </row>
    <row r="364" spans="2:25">
      <c r="B364" s="2221" t="s">
        <v>1378</v>
      </c>
      <c r="C364" s="2358"/>
      <c r="D364" s="1929"/>
      <c r="E364" s="1929"/>
      <c r="I364" s="1926"/>
      <c r="J364" s="1929"/>
      <c r="K364" s="1929"/>
      <c r="L364" s="1929"/>
    </row>
    <row r="365" spans="2:25">
      <c r="B365" s="2221" t="s">
        <v>1379</v>
      </c>
      <c r="C365" s="2358"/>
      <c r="D365" s="1929"/>
      <c r="E365" s="1929"/>
      <c r="I365" s="1926"/>
      <c r="J365" s="1929"/>
      <c r="K365" s="1929"/>
      <c r="L365" s="1929"/>
      <c r="M365" s="1929"/>
      <c r="N365" s="1929"/>
      <c r="O365" s="1929"/>
      <c r="P365" s="1929"/>
      <c r="Q365" s="1929"/>
      <c r="R365" s="1929"/>
      <c r="S365" s="1929"/>
      <c r="T365" s="1929"/>
      <c r="U365" s="1929"/>
    </row>
    <row r="366" spans="2:25">
      <c r="B366" s="2221" t="s">
        <v>1335</v>
      </c>
      <c r="C366" s="2358"/>
      <c r="D366" s="1929"/>
      <c r="E366" s="1929"/>
      <c r="I366" s="1926"/>
      <c r="J366" s="1929"/>
      <c r="K366" s="1929"/>
      <c r="L366" s="1929"/>
      <c r="M366" s="1929"/>
      <c r="N366" s="1929"/>
      <c r="O366" s="1929"/>
      <c r="P366" s="1929"/>
      <c r="Q366" s="1929"/>
      <c r="R366" s="1929"/>
      <c r="S366" s="1929"/>
      <c r="T366" s="1929"/>
      <c r="U366" s="1929"/>
    </row>
    <row r="367" spans="2:25">
      <c r="B367" s="2221" t="s">
        <v>1380</v>
      </c>
      <c r="C367" s="2358"/>
      <c r="D367" s="1929"/>
      <c r="E367" s="1929"/>
      <c r="I367" s="1926"/>
      <c r="J367" s="1929"/>
      <c r="K367" s="1929"/>
      <c r="L367" s="1929"/>
      <c r="M367" s="1929"/>
      <c r="N367" s="2111"/>
      <c r="O367" s="2111"/>
      <c r="P367" s="2111"/>
      <c r="Q367" s="2111"/>
      <c r="R367" s="2111"/>
      <c r="S367" s="2111"/>
      <c r="T367" s="2111"/>
      <c r="U367" s="2111"/>
    </row>
    <row r="368" spans="2:25">
      <c r="B368" s="2222" t="s">
        <v>1381</v>
      </c>
      <c r="C368" s="2359"/>
      <c r="D368" s="2223"/>
      <c r="E368" s="2223"/>
      <c r="I368" s="1926"/>
      <c r="J368" s="2223"/>
      <c r="K368" s="2223"/>
      <c r="L368" s="2223"/>
      <c r="M368" s="2223"/>
      <c r="N368" s="2223"/>
      <c r="O368" s="2223"/>
      <c r="P368" s="2223"/>
      <c r="Q368" s="2223"/>
      <c r="R368" s="2223"/>
      <c r="S368" s="2223"/>
      <c r="T368" s="2223"/>
      <c r="U368" s="2223"/>
    </row>
    <row r="369" spans="2:21">
      <c r="B369" s="2221" t="s">
        <v>1382</v>
      </c>
      <c r="C369" s="2358"/>
      <c r="D369" s="1929"/>
      <c r="E369" s="1929"/>
      <c r="I369" s="1926"/>
      <c r="J369" s="1929"/>
      <c r="K369" s="1929"/>
      <c r="L369" s="1929"/>
    </row>
    <row r="370" spans="2:21">
      <c r="B370" s="2221" t="s">
        <v>1383</v>
      </c>
      <c r="C370" s="2358"/>
      <c r="D370" s="1929"/>
      <c r="E370" s="1929"/>
      <c r="I370" s="1926"/>
      <c r="J370" s="1929"/>
      <c r="K370" s="1929"/>
      <c r="L370" s="1929"/>
    </row>
    <row r="371" spans="2:21">
      <c r="B371" s="2221" t="s">
        <v>1384</v>
      </c>
      <c r="C371" s="2358"/>
      <c r="D371" s="1929"/>
      <c r="E371" s="1929"/>
      <c r="I371" s="1926"/>
      <c r="J371" s="1929"/>
      <c r="K371" s="1929"/>
      <c r="L371" s="1929"/>
      <c r="M371" s="1929"/>
      <c r="N371" s="1929"/>
      <c r="O371" s="1929"/>
      <c r="P371" s="1929"/>
      <c r="Q371" s="1929"/>
      <c r="R371" s="1929"/>
      <c r="S371" s="1929"/>
      <c r="T371" s="1929"/>
      <c r="U371" s="1929"/>
    </row>
    <row r="372" spans="2:21">
      <c r="B372" s="2225" t="s">
        <v>1263</v>
      </c>
      <c r="C372" s="2360"/>
      <c r="D372" s="2226"/>
      <c r="E372" s="2226"/>
      <c r="I372" s="1926"/>
      <c r="J372" s="2226"/>
      <c r="K372" s="2227"/>
      <c r="L372" s="2227"/>
      <c r="M372" s="2227"/>
      <c r="N372" s="2227"/>
      <c r="O372" s="2227"/>
      <c r="P372" s="2227"/>
      <c r="Q372" s="2227"/>
      <c r="R372" s="2227"/>
      <c r="S372" s="2227"/>
      <c r="T372" s="2227"/>
      <c r="U372" s="2227"/>
    </row>
    <row r="373" spans="2:21">
      <c r="B373" s="2228"/>
      <c r="C373" s="2229"/>
      <c r="D373" s="2229"/>
      <c r="E373" s="2229"/>
      <c r="I373" s="1926"/>
      <c r="J373" s="2229"/>
      <c r="K373" s="2229"/>
      <c r="L373" s="2229"/>
    </row>
    <row r="374" spans="2:21">
      <c r="B374" s="2225" t="s">
        <v>1385</v>
      </c>
      <c r="C374" s="2360"/>
      <c r="D374" s="2230"/>
      <c r="E374" s="2230"/>
      <c r="I374" s="1926"/>
      <c r="J374" s="2230"/>
      <c r="K374" s="2231"/>
      <c r="L374" s="2231"/>
      <c r="M374" s="2231"/>
      <c r="N374" s="2231"/>
      <c r="O374" s="2231"/>
      <c r="P374" s="2231"/>
      <c r="Q374" s="2231"/>
      <c r="R374" s="2231"/>
      <c r="S374" s="2231"/>
      <c r="T374" s="2231"/>
      <c r="U374" s="2231"/>
    </row>
    <row r="375" spans="2:21">
      <c r="B375" s="2228"/>
      <c r="C375" s="2229"/>
      <c r="D375" s="2229"/>
      <c r="E375" s="2229"/>
      <c r="I375" s="1926"/>
      <c r="K375" s="2229"/>
      <c r="L375" s="2229"/>
    </row>
    <row r="376" spans="2:21">
      <c r="B376" s="2228" t="s">
        <v>1386</v>
      </c>
      <c r="C376" s="2229"/>
      <c r="D376" s="2229"/>
      <c r="E376" s="2229"/>
      <c r="I376" s="1926"/>
      <c r="K376" s="2232"/>
      <c r="L376" s="2232"/>
      <c r="M376" s="2232"/>
      <c r="N376" s="2232"/>
      <c r="O376" s="2232"/>
      <c r="P376" s="2232"/>
      <c r="Q376" s="2232"/>
      <c r="R376" s="2232"/>
      <c r="S376" s="2232"/>
      <c r="T376" s="2232"/>
      <c r="U376" s="2232"/>
    </row>
    <row r="377" spans="2:21" ht="13.8" thickBot="1">
      <c r="B377" s="2233"/>
      <c r="C377" s="2234"/>
      <c r="D377" s="2234"/>
      <c r="E377" s="2234"/>
      <c r="F377" s="2234"/>
      <c r="G377" s="2234"/>
      <c r="H377" s="2234"/>
      <c r="I377" s="2313"/>
      <c r="J377" s="2235"/>
      <c r="K377" s="2235"/>
      <c r="L377" s="2235"/>
      <c r="M377" s="2235"/>
      <c r="N377" s="2235"/>
      <c r="O377" s="2235"/>
      <c r="P377" s="2235"/>
      <c r="Q377" s="2235"/>
      <c r="R377" s="2235"/>
      <c r="S377" s="2235"/>
      <c r="T377" s="1925"/>
      <c r="U377" s="1925"/>
    </row>
    <row r="378" spans="2:21" ht="13.8" thickBot="1">
      <c r="I378" s="1926"/>
    </row>
    <row r="379" spans="2:21">
      <c r="B379" s="2217" t="s">
        <v>1387</v>
      </c>
      <c r="C379" s="2357"/>
      <c r="D379" s="2219"/>
      <c r="E379" s="2219"/>
      <c r="F379" s="2219"/>
      <c r="G379" s="2219"/>
      <c r="H379" s="2219"/>
      <c r="I379" s="2312"/>
      <c r="J379" s="2218"/>
      <c r="K379" s="2219"/>
      <c r="L379" s="2218"/>
      <c r="M379" s="2219"/>
      <c r="N379" s="2219"/>
      <c r="O379" s="2219"/>
      <c r="P379" s="2219"/>
      <c r="Q379" s="2219"/>
      <c r="R379" s="2219"/>
    </row>
    <row r="380" spans="2:21">
      <c r="B380" s="1924" t="s">
        <v>1335</v>
      </c>
      <c r="I380" s="1926"/>
    </row>
    <row r="381" spans="2:21">
      <c r="B381" s="1924" t="s">
        <v>1337</v>
      </c>
      <c r="I381" s="1926"/>
    </row>
    <row r="382" spans="2:21">
      <c r="B382" s="1924" t="s">
        <v>1379</v>
      </c>
      <c r="I382" s="1926"/>
    </row>
    <row r="383" spans="2:21">
      <c r="B383" s="1924" t="s">
        <v>1336</v>
      </c>
      <c r="I383" s="1926"/>
    </row>
    <row r="384" spans="2:21">
      <c r="B384" s="1924" t="s">
        <v>355</v>
      </c>
      <c r="I384" s="1926"/>
    </row>
    <row r="385" spans="2:18">
      <c r="B385" s="2236" t="s">
        <v>1388</v>
      </c>
      <c r="C385" s="2047"/>
      <c r="I385" s="1926"/>
    </row>
    <row r="386" spans="2:18">
      <c r="B386" s="1924"/>
      <c r="I386" s="1926"/>
    </row>
    <row r="387" spans="2:18" ht="13.8" thickBot="1">
      <c r="B387" s="1942"/>
      <c r="C387" s="2235"/>
      <c r="D387" s="2235"/>
      <c r="E387" s="2235"/>
      <c r="F387" s="2235"/>
      <c r="G387" s="2235"/>
      <c r="H387" s="2235"/>
      <c r="I387" s="2313"/>
      <c r="J387" s="2235"/>
      <c r="K387" s="2235"/>
      <c r="L387" s="2235"/>
      <c r="M387" s="2235"/>
      <c r="N387" s="2235"/>
      <c r="O387" s="2235"/>
      <c r="P387" s="2235"/>
      <c r="Q387" s="2235"/>
      <c r="R387" s="2235"/>
    </row>
    <row r="388" spans="2:18">
      <c r="I388" s="1926"/>
    </row>
    <row r="389" spans="2:18">
      <c r="I389" s="1926"/>
      <c r="M389" s="2237"/>
      <c r="O389" s="2238"/>
    </row>
    <row r="390" spans="2:18">
      <c r="B390" s="1925" t="s">
        <v>1389</v>
      </c>
      <c r="I390" s="1926"/>
      <c r="M390" s="1939"/>
      <c r="N390" s="1939"/>
    </row>
    <row r="391" spans="2:18">
      <c r="B391" s="1925" t="s">
        <v>1390</v>
      </c>
      <c r="I391" s="1926"/>
      <c r="O391" s="1939"/>
      <c r="P391" s="2089"/>
    </row>
    <row r="392" spans="2:18">
      <c r="I392" s="1926"/>
    </row>
    <row r="393" spans="2:18">
      <c r="I393" s="1926"/>
    </row>
    <row r="394" spans="2:18">
      <c r="I394" s="1926"/>
    </row>
    <row r="395" spans="2:18">
      <c r="I395" s="1926"/>
    </row>
    <row r="396" spans="2:18">
      <c r="I396" s="1926"/>
      <c r="J396" s="2212"/>
      <c r="K396" s="2212"/>
      <c r="L396" s="2212"/>
      <c r="M396" s="2212"/>
      <c r="N396" s="2212"/>
    </row>
    <row r="397" spans="2:18">
      <c r="I397" s="1926"/>
      <c r="J397" s="2212"/>
      <c r="K397" s="2212"/>
      <c r="L397" s="2212"/>
      <c r="M397" s="2212"/>
      <c r="N397" s="2212"/>
    </row>
    <row r="398" spans="2:18">
      <c r="I398" s="1926"/>
      <c r="J398" s="2239"/>
      <c r="K398" s="2239"/>
      <c r="L398" s="2239"/>
      <c r="M398" s="2239"/>
      <c r="N398" s="2239"/>
    </row>
    <row r="399" spans="2:18">
      <c r="I399" s="1926"/>
      <c r="J399" s="2240"/>
      <c r="K399" s="2240"/>
      <c r="L399" s="2240"/>
      <c r="M399" s="2240"/>
      <c r="N399" s="2240"/>
    </row>
    <row r="400" spans="2:18">
      <c r="I400" s="1926"/>
    </row>
    <row r="401" spans="9:9">
      <c r="I401" s="1926"/>
    </row>
    <row r="402" spans="9:9">
      <c r="I402" s="1926"/>
    </row>
    <row r="403" spans="9:9">
      <c r="I403" s="1926"/>
    </row>
    <row r="404" spans="9:9">
      <c r="I404" s="1926"/>
    </row>
    <row r="405" spans="9:9">
      <c r="I405" s="1926"/>
    </row>
    <row r="406" spans="9:9">
      <c r="I406" s="1926"/>
    </row>
    <row r="407" spans="9:9">
      <c r="I407" s="1926"/>
    </row>
    <row r="408" spans="9:9">
      <c r="I408" s="1926"/>
    </row>
    <row r="409" spans="9:9">
      <c r="I409" s="1926"/>
    </row>
    <row r="410" spans="9:9">
      <c r="I410" s="1926"/>
    </row>
    <row r="411" spans="9:9">
      <c r="I411" s="1926"/>
    </row>
    <row r="412" spans="9:9">
      <c r="I412" s="1926"/>
    </row>
    <row r="413" spans="9:9">
      <c r="I413" s="1926"/>
    </row>
    <row r="414" spans="9:9">
      <c r="I414" s="1926"/>
    </row>
    <row r="415" spans="9:9">
      <c r="I415" s="1926"/>
    </row>
    <row r="416" spans="9:9">
      <c r="I416" s="1926"/>
    </row>
    <row r="417" spans="9:9">
      <c r="I417" s="1926"/>
    </row>
    <row r="418" spans="9:9">
      <c r="I418" s="1926"/>
    </row>
    <row r="419" spans="9:9">
      <c r="I419" s="1926"/>
    </row>
    <row r="420" spans="9:9">
      <c r="I420" s="1926"/>
    </row>
    <row r="421" spans="9:9">
      <c r="I421" s="1926"/>
    </row>
    <row r="422" spans="9:9">
      <c r="I422" s="1926"/>
    </row>
    <row r="423" spans="9:9">
      <c r="I423" s="1926"/>
    </row>
    <row r="424" spans="9:9">
      <c r="I424" s="1926"/>
    </row>
    <row r="425" spans="9:9">
      <c r="I425" s="1926"/>
    </row>
    <row r="426" spans="9:9">
      <c r="I426" s="1926"/>
    </row>
    <row r="427" spans="9:9">
      <c r="I427" s="1926"/>
    </row>
    <row r="428" spans="9:9">
      <c r="I428" s="1926"/>
    </row>
    <row r="429" spans="9:9">
      <c r="I429" s="1926"/>
    </row>
    <row r="430" spans="9:9">
      <c r="I430" s="1926"/>
    </row>
    <row r="431" spans="9:9">
      <c r="I431" s="1926"/>
    </row>
    <row r="432" spans="9:9">
      <c r="I432" s="1926"/>
    </row>
    <row r="433" spans="9:9">
      <c r="I433" s="1926"/>
    </row>
    <row r="434" spans="9:9">
      <c r="I434" s="1926"/>
    </row>
    <row r="435" spans="9:9">
      <c r="I435" s="1926"/>
    </row>
    <row r="436" spans="9:9">
      <c r="I436" s="1926"/>
    </row>
    <row r="437" spans="9:9">
      <c r="I437" s="1926"/>
    </row>
    <row r="438" spans="9:9">
      <c r="I438" s="1926"/>
    </row>
    <row r="439" spans="9:9">
      <c r="I439" s="1926"/>
    </row>
    <row r="440" spans="9:9">
      <c r="I440" s="1926"/>
    </row>
    <row r="441" spans="9:9">
      <c r="I441" s="1926"/>
    </row>
    <row r="442" spans="9:9">
      <c r="I442" s="1926"/>
    </row>
    <row r="443" spans="9:9">
      <c r="I443" s="1926"/>
    </row>
    <row r="444" spans="9:9">
      <c r="I444" s="1926"/>
    </row>
    <row r="445" spans="9:9">
      <c r="I445" s="1926"/>
    </row>
    <row r="446" spans="9:9">
      <c r="I446" s="1926"/>
    </row>
    <row r="447" spans="9:9">
      <c r="I447" s="1926"/>
    </row>
    <row r="448" spans="9:9">
      <c r="I448" s="1926"/>
    </row>
    <row r="449" spans="9:9">
      <c r="I449" s="1926"/>
    </row>
    <row r="450" spans="9:9">
      <c r="I450" s="1926"/>
    </row>
    <row r="451" spans="9:9">
      <c r="I451" s="1926"/>
    </row>
    <row r="452" spans="9:9">
      <c r="I452" s="1926"/>
    </row>
    <row r="453" spans="9:9">
      <c r="I453" s="1926"/>
    </row>
    <row r="454" spans="9:9">
      <c r="I454" s="1926"/>
    </row>
    <row r="455" spans="9:9">
      <c r="I455" s="1926"/>
    </row>
    <row r="456" spans="9:9">
      <c r="I456" s="1926"/>
    </row>
    <row r="457" spans="9:9">
      <c r="I457" s="1926"/>
    </row>
    <row r="458" spans="9:9">
      <c r="I458" s="1926"/>
    </row>
    <row r="459" spans="9:9">
      <c r="I459" s="1926"/>
    </row>
    <row r="460" spans="9:9">
      <c r="I460" s="1926"/>
    </row>
    <row r="461" spans="9:9">
      <c r="I461" s="1926"/>
    </row>
    <row r="462" spans="9:9">
      <c r="I462" s="1926"/>
    </row>
    <row r="463" spans="9:9">
      <c r="I463" s="1926"/>
    </row>
    <row r="464" spans="9:9">
      <c r="I464" s="1926"/>
    </row>
    <row r="465" spans="9:9">
      <c r="I465" s="1926"/>
    </row>
    <row r="466" spans="9:9">
      <c r="I466" s="1926"/>
    </row>
    <row r="467" spans="9:9">
      <c r="I467" s="1926"/>
    </row>
    <row r="468" spans="9:9">
      <c r="I468" s="1926"/>
    </row>
    <row r="469" spans="9:9">
      <c r="I469" s="1926"/>
    </row>
    <row r="470" spans="9:9">
      <c r="I470" s="1926"/>
    </row>
    <row r="471" spans="9:9">
      <c r="I471" s="1926"/>
    </row>
    <row r="472" spans="9:9">
      <c r="I472" s="1926"/>
    </row>
    <row r="473" spans="9:9">
      <c r="I473" s="1926"/>
    </row>
    <row r="474" spans="9:9">
      <c r="I474" s="1926"/>
    </row>
    <row r="475" spans="9:9">
      <c r="I475" s="1926"/>
    </row>
    <row r="476" spans="9:9">
      <c r="I476" s="1926"/>
    </row>
    <row r="477" spans="9:9">
      <c r="I477" s="1926"/>
    </row>
    <row r="478" spans="9:9">
      <c r="I478" s="1926"/>
    </row>
    <row r="479" spans="9:9">
      <c r="I479" s="1926"/>
    </row>
    <row r="480" spans="9:9">
      <c r="I480" s="1926"/>
    </row>
    <row r="481" spans="9:9">
      <c r="I481" s="1926"/>
    </row>
    <row r="482" spans="9:9">
      <c r="I482" s="1926"/>
    </row>
    <row r="483" spans="9:9">
      <c r="I483" s="1926"/>
    </row>
    <row r="484" spans="9:9">
      <c r="I484" s="1926"/>
    </row>
    <row r="485" spans="9:9">
      <c r="I485" s="1926"/>
    </row>
    <row r="486" spans="9:9">
      <c r="I486" s="1926"/>
    </row>
    <row r="487" spans="9:9">
      <c r="I487" s="1926"/>
    </row>
    <row r="488" spans="9:9">
      <c r="I488" s="1926"/>
    </row>
    <row r="489" spans="9:9">
      <c r="I489" s="1926"/>
    </row>
    <row r="490" spans="9:9">
      <c r="I490" s="1926"/>
    </row>
    <row r="491" spans="9:9">
      <c r="I491" s="1926"/>
    </row>
    <row r="492" spans="9:9">
      <c r="I492" s="1926"/>
    </row>
    <row r="493" spans="9:9">
      <c r="I493" s="1926"/>
    </row>
    <row r="494" spans="9:9">
      <c r="I494" s="1926"/>
    </row>
    <row r="495" spans="9:9">
      <c r="I495" s="1926"/>
    </row>
    <row r="496" spans="9:9">
      <c r="I496" s="1926"/>
    </row>
    <row r="497" spans="9:9">
      <c r="I497" s="1926"/>
    </row>
    <row r="498" spans="9:9">
      <c r="I498" s="1926"/>
    </row>
    <row r="499" spans="9:9">
      <c r="I499" s="1926"/>
    </row>
    <row r="500" spans="9:9">
      <c r="I500" s="1926"/>
    </row>
    <row r="501" spans="9:9">
      <c r="I501" s="1926"/>
    </row>
    <row r="502" spans="9:9">
      <c r="I502" s="1926"/>
    </row>
    <row r="503" spans="9:9">
      <c r="I503" s="1926"/>
    </row>
    <row r="504" spans="9:9">
      <c r="I504" s="1926"/>
    </row>
    <row r="505" spans="9:9">
      <c r="I505" s="1926"/>
    </row>
    <row r="506" spans="9:9">
      <c r="I506" s="1926"/>
    </row>
    <row r="507" spans="9:9">
      <c r="I507" s="1926"/>
    </row>
    <row r="508" spans="9:9">
      <c r="I508" s="1926"/>
    </row>
    <row r="509" spans="9:9">
      <c r="I509" s="1926"/>
    </row>
    <row r="510" spans="9:9">
      <c r="I510" s="1926"/>
    </row>
    <row r="511" spans="9:9">
      <c r="I511" s="1926"/>
    </row>
    <row r="512" spans="9:9">
      <c r="I512" s="1926"/>
    </row>
    <row r="513" spans="9:9">
      <c r="I513" s="1926"/>
    </row>
    <row r="514" spans="9:9">
      <c r="I514" s="1926"/>
    </row>
    <row r="515" spans="9:9">
      <c r="I515" s="1926"/>
    </row>
    <row r="516" spans="9:9">
      <c r="I516" s="1926"/>
    </row>
    <row r="517" spans="9:9">
      <c r="I517" s="1926"/>
    </row>
    <row r="518" spans="9:9">
      <c r="I518" s="1926"/>
    </row>
    <row r="519" spans="9:9">
      <c r="I519" s="1926"/>
    </row>
    <row r="520" spans="9:9">
      <c r="I520" s="1926"/>
    </row>
    <row r="521" spans="9:9">
      <c r="I521" s="1926"/>
    </row>
    <row r="522" spans="9:9">
      <c r="I522" s="1926"/>
    </row>
    <row r="523" spans="9:9">
      <c r="I523" s="1926"/>
    </row>
    <row r="524" spans="9:9">
      <c r="I524" s="1926"/>
    </row>
    <row r="525" spans="9:9">
      <c r="I525" s="1926"/>
    </row>
    <row r="526" spans="9:9">
      <c r="I526" s="1926"/>
    </row>
    <row r="527" spans="9:9">
      <c r="I527" s="1926"/>
    </row>
    <row r="528" spans="9:9">
      <c r="I528" s="1926"/>
    </row>
    <row r="529" spans="9:9">
      <c r="I529" s="1926"/>
    </row>
    <row r="530" spans="9:9">
      <c r="I530" s="1926"/>
    </row>
    <row r="531" spans="9:9">
      <c r="I531" s="1926"/>
    </row>
    <row r="532" spans="9:9">
      <c r="I532" s="1926"/>
    </row>
    <row r="533" spans="9:9">
      <c r="I533" s="1926"/>
    </row>
    <row r="534" spans="9:9">
      <c r="I534" s="1926"/>
    </row>
    <row r="535" spans="9:9">
      <c r="I535" s="1926"/>
    </row>
    <row r="536" spans="9:9">
      <c r="I536" s="1926"/>
    </row>
    <row r="537" spans="9:9">
      <c r="I537" s="1926"/>
    </row>
    <row r="538" spans="9:9">
      <c r="I538" s="1926"/>
    </row>
    <row r="539" spans="9:9">
      <c r="I539" s="1926"/>
    </row>
    <row r="540" spans="9:9">
      <c r="I540" s="1926"/>
    </row>
    <row r="541" spans="9:9">
      <c r="I541" s="1926"/>
    </row>
    <row r="542" spans="9:9">
      <c r="I542" s="1926"/>
    </row>
    <row r="543" spans="9:9">
      <c r="I543" s="1926"/>
    </row>
    <row r="544" spans="9:9">
      <c r="I544" s="1926"/>
    </row>
    <row r="545" spans="9:9">
      <c r="I545" s="1926"/>
    </row>
    <row r="546" spans="9:9">
      <c r="I546" s="1926"/>
    </row>
    <row r="547" spans="9:9">
      <c r="I547" s="1926"/>
    </row>
    <row r="548" spans="9:9">
      <c r="I548" s="1926"/>
    </row>
    <row r="549" spans="9:9">
      <c r="I549" s="1926"/>
    </row>
    <row r="550" spans="9:9">
      <c r="I550" s="1926"/>
    </row>
    <row r="551" spans="9:9">
      <c r="I551" s="1926"/>
    </row>
    <row r="552" spans="9:9">
      <c r="I552" s="1926"/>
    </row>
    <row r="553" spans="9:9">
      <c r="I553" s="1926"/>
    </row>
    <row r="554" spans="9:9">
      <c r="I554" s="1926"/>
    </row>
    <row r="555" spans="9:9">
      <c r="I555" s="1926"/>
    </row>
    <row r="556" spans="9:9">
      <c r="I556" s="1926"/>
    </row>
    <row r="557" spans="9:9">
      <c r="I557" s="1926"/>
    </row>
    <row r="558" spans="9:9">
      <c r="I558" s="1926"/>
    </row>
    <row r="559" spans="9:9">
      <c r="I559" s="1926"/>
    </row>
    <row r="560" spans="9:9">
      <c r="I560" s="1926"/>
    </row>
    <row r="561" spans="9:9">
      <c r="I561" s="1926"/>
    </row>
    <row r="562" spans="9:9">
      <c r="I562" s="1926"/>
    </row>
    <row r="563" spans="9:9">
      <c r="I563" s="1926"/>
    </row>
    <row r="564" spans="9:9">
      <c r="I564" s="1926"/>
    </row>
    <row r="565" spans="9:9">
      <c r="I565" s="1926"/>
    </row>
    <row r="566" spans="9:9">
      <c r="I566" s="1926"/>
    </row>
    <row r="567" spans="9:9">
      <c r="I567" s="1926"/>
    </row>
    <row r="568" spans="9:9">
      <c r="I568" s="1926"/>
    </row>
    <row r="569" spans="9:9">
      <c r="I569" s="1926"/>
    </row>
    <row r="570" spans="9:9">
      <c r="I570" s="1926"/>
    </row>
    <row r="571" spans="9:9">
      <c r="I571" s="1926"/>
    </row>
    <row r="572" spans="9:9">
      <c r="I572" s="1926"/>
    </row>
    <row r="573" spans="9:9">
      <c r="I573" s="1926"/>
    </row>
    <row r="574" spans="9:9">
      <c r="I574" s="1926"/>
    </row>
    <row r="575" spans="9:9">
      <c r="I575" s="1926"/>
    </row>
    <row r="576" spans="9:9">
      <c r="I576" s="1926"/>
    </row>
    <row r="577" spans="9:9">
      <c r="I577" s="1926"/>
    </row>
    <row r="578" spans="9:9">
      <c r="I578" s="1926"/>
    </row>
    <row r="579" spans="9:9">
      <c r="I579" s="1926"/>
    </row>
    <row r="580" spans="9:9">
      <c r="I580" s="1926"/>
    </row>
    <row r="581" spans="9:9">
      <c r="I581" s="1926"/>
    </row>
    <row r="582" spans="9:9">
      <c r="I582" s="1926"/>
    </row>
    <row r="583" spans="9:9">
      <c r="I583" s="1926"/>
    </row>
    <row r="584" spans="9:9">
      <c r="I584" s="1926"/>
    </row>
    <row r="585" spans="9:9">
      <c r="I585" s="1926"/>
    </row>
    <row r="586" spans="9:9">
      <c r="I586" s="1926"/>
    </row>
    <row r="587" spans="9:9">
      <c r="I587" s="1926"/>
    </row>
    <row r="588" spans="9:9">
      <c r="I588" s="1926"/>
    </row>
    <row r="589" spans="9:9">
      <c r="I589" s="1926"/>
    </row>
    <row r="590" spans="9:9">
      <c r="I590" s="1926"/>
    </row>
    <row r="591" spans="9:9">
      <c r="I591" s="1926"/>
    </row>
    <row r="592" spans="9:9">
      <c r="I592" s="1926"/>
    </row>
    <row r="593" spans="9:9">
      <c r="I593" s="1926"/>
    </row>
  </sheetData>
  <mergeCells count="9">
    <mergeCell ref="E144:M144"/>
    <mergeCell ref="P14:Q14"/>
    <mergeCell ref="X349:Y363"/>
    <mergeCell ref="T241:W241"/>
    <mergeCell ref="Z267:AD267"/>
    <mergeCell ref="T177:T178"/>
    <mergeCell ref="T194:U195"/>
    <mergeCell ref="B237:I237"/>
    <mergeCell ref="T138:X138"/>
  </mergeCells>
  <hyperlinks>
    <hyperlink ref="U108" r:id="rId1" xr:uid="{F2A9A2C5-23BD-4DFE-A8D5-1C78921F307F}"/>
    <hyperlink ref="U3" r:id="rId2" xr:uid="{E0E2036C-730C-4742-807A-2D9E163D5A5C}"/>
    <hyperlink ref="B144" r:id="rId3" xr:uid="{B05438F6-082C-48D8-BE17-49D30AE2EC1D}"/>
  </hyperlinks>
  <pageMargins left="0.7" right="0.7" top="0.75" bottom="0.75" header="0.3" footer="0.3"/>
  <drawing r:id="rId4"/>
  <legacy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4533B-DD89-4BA0-9FA8-172999C435C3}">
  <dimension ref="A1:BD175"/>
  <sheetViews>
    <sheetView zoomScale="85" zoomScaleNormal="85" workbookViewId="0">
      <pane ySplit="3" topLeftCell="A4" activePane="bottomLeft" state="frozen"/>
      <selection pane="bottomLeft" activeCell="Q26" sqref="Q26"/>
    </sheetView>
  </sheetViews>
  <sheetFormatPr defaultColWidth="9.109375" defaultRowHeight="13.8"/>
  <cols>
    <col min="1" max="1" width="5.33203125" style="702" customWidth="1"/>
    <col min="2" max="2" width="39.5546875" style="706" customWidth="1"/>
    <col min="3" max="3" width="14.88671875" style="706" customWidth="1"/>
    <col min="4" max="5" width="11" style="706" customWidth="1"/>
    <col min="6" max="9" width="9.109375" style="706"/>
    <col min="10" max="13" width="12.44140625" style="706" customWidth="1"/>
    <col min="14" max="14" width="12.44140625" style="767" customWidth="1"/>
    <col min="15" max="15" width="11.44140625" style="766" customWidth="1"/>
    <col min="16" max="16" width="14.21875" style="766" customWidth="1"/>
    <col min="17" max="17" width="15.33203125" style="766" customWidth="1"/>
    <col min="18" max="18" width="16.109375" style="766" customWidth="1"/>
    <col min="19" max="19" width="11.44140625" style="766" customWidth="1"/>
    <col min="20" max="21" width="11.44140625" style="706" customWidth="1"/>
    <col min="22" max="25" width="11" style="706" customWidth="1"/>
    <col min="26" max="26" width="10.6640625" style="706" customWidth="1"/>
    <col min="27" max="27" width="1.109375" style="706" hidden="1" customWidth="1"/>
    <col min="28" max="28" width="0.33203125" style="706" customWidth="1"/>
    <col min="29" max="29" width="0.109375" style="706" customWidth="1"/>
    <col min="30" max="31" width="11" style="706" hidden="1" customWidth="1"/>
    <col min="32" max="32" width="9.33203125" style="706" hidden="1" customWidth="1"/>
    <col min="33" max="42" width="11" style="706" hidden="1" customWidth="1"/>
    <col min="43" max="43" width="4.109375" style="706" hidden="1" customWidth="1"/>
    <col min="44" max="54" width="9.109375" style="706" hidden="1" customWidth="1"/>
    <col min="55" max="16384" width="9.109375" style="706"/>
  </cols>
  <sheetData>
    <row r="1" spans="1:56" s="693" customFormat="1">
      <c r="A1" s="692"/>
      <c r="O1" s="776">
        <v>1</v>
      </c>
      <c r="P1" s="777">
        <v>2</v>
      </c>
      <c r="Q1" s="958">
        <v>3</v>
      </c>
      <c r="R1" s="958">
        <v>4</v>
      </c>
      <c r="S1" s="695">
        <v>5</v>
      </c>
      <c r="T1" s="695">
        <v>6</v>
      </c>
      <c r="U1" s="695">
        <v>7</v>
      </c>
      <c r="V1" s="695">
        <v>8</v>
      </c>
      <c r="W1" s="695">
        <v>9</v>
      </c>
      <c r="X1" s="695">
        <v>10</v>
      </c>
      <c r="Y1" s="695">
        <v>11</v>
      </c>
      <c r="Z1" s="695">
        <v>12</v>
      </c>
      <c r="AA1" s="695">
        <v>13</v>
      </c>
      <c r="AB1" s="695">
        <v>14</v>
      </c>
      <c r="AC1" s="695">
        <v>15</v>
      </c>
      <c r="AD1" s="695">
        <v>16</v>
      </c>
      <c r="AE1" s="695">
        <v>17</v>
      </c>
      <c r="AF1" s="695">
        <v>18</v>
      </c>
      <c r="AG1" s="695">
        <v>19</v>
      </c>
      <c r="AH1" s="695">
        <v>20</v>
      </c>
      <c r="AI1" s="695">
        <v>21</v>
      </c>
      <c r="AJ1" s="695">
        <v>22</v>
      </c>
      <c r="AK1" s="695">
        <v>23</v>
      </c>
      <c r="AL1" s="695">
        <v>24</v>
      </c>
      <c r="AM1" s="695">
        <v>25</v>
      </c>
      <c r="AN1" s="695">
        <v>26</v>
      </c>
      <c r="AO1" s="695">
        <v>27</v>
      </c>
      <c r="AP1" s="695">
        <v>28</v>
      </c>
      <c r="AQ1" s="695">
        <v>29</v>
      </c>
      <c r="AR1" s="695">
        <v>30</v>
      </c>
      <c r="AS1" s="695">
        <v>31</v>
      </c>
      <c r="AT1" s="695">
        <v>32</v>
      </c>
      <c r="AU1" s="695">
        <v>33</v>
      </c>
      <c r="AV1" s="695">
        <v>34</v>
      </c>
      <c r="AW1" s="695">
        <v>35</v>
      </c>
      <c r="AX1" s="695">
        <v>36</v>
      </c>
      <c r="AY1" s="695">
        <v>37</v>
      </c>
      <c r="AZ1" s="695">
        <v>38</v>
      </c>
      <c r="BA1" s="695">
        <v>39</v>
      </c>
      <c r="BB1" s="695">
        <v>40</v>
      </c>
    </row>
    <row r="2" spans="1:56" s="694" customFormat="1">
      <c r="C2" s="694" t="s">
        <v>742</v>
      </c>
      <c r="D2" s="694" t="s">
        <v>742</v>
      </c>
      <c r="G2" s="694" t="s">
        <v>742</v>
      </c>
      <c r="H2" s="694" t="s">
        <v>742</v>
      </c>
      <c r="I2" s="694" t="s">
        <v>742</v>
      </c>
      <c r="J2" s="694" t="s">
        <v>742</v>
      </c>
      <c r="K2" s="694" t="s">
        <v>742</v>
      </c>
      <c r="L2" s="694" t="s">
        <v>742</v>
      </c>
      <c r="M2" s="694" t="s">
        <v>742</v>
      </c>
      <c r="N2" s="694" t="s">
        <v>742</v>
      </c>
      <c r="O2" s="694" t="s">
        <v>742</v>
      </c>
      <c r="P2" s="778" t="s">
        <v>742</v>
      </c>
      <c r="Q2" s="696" t="s">
        <v>743</v>
      </c>
      <c r="R2" s="696" t="s">
        <v>743</v>
      </c>
      <c r="S2" s="696" t="s">
        <v>743</v>
      </c>
      <c r="T2" s="696" t="s">
        <v>743</v>
      </c>
      <c r="U2" s="696" t="s">
        <v>743</v>
      </c>
      <c r="V2" s="696" t="s">
        <v>743</v>
      </c>
      <c r="W2" s="696" t="s">
        <v>743</v>
      </c>
      <c r="X2" s="696" t="s">
        <v>743</v>
      </c>
      <c r="Y2" s="696" t="s">
        <v>743</v>
      </c>
      <c r="Z2" s="696" t="s">
        <v>743</v>
      </c>
      <c r="AA2" s="696" t="s">
        <v>743</v>
      </c>
      <c r="AB2" s="696" t="s">
        <v>743</v>
      </c>
      <c r="AC2" s="696" t="s">
        <v>743</v>
      </c>
      <c r="AD2" s="696" t="s">
        <v>743</v>
      </c>
      <c r="AE2" s="696" t="s">
        <v>743</v>
      </c>
      <c r="AF2" s="696" t="s">
        <v>743</v>
      </c>
      <c r="AG2" s="696" t="s">
        <v>743</v>
      </c>
      <c r="AH2" s="696" t="s">
        <v>743</v>
      </c>
      <c r="AI2" s="696" t="s">
        <v>743</v>
      </c>
      <c r="AJ2" s="696" t="s">
        <v>743</v>
      </c>
      <c r="AK2" s="696" t="s">
        <v>743</v>
      </c>
      <c r="AL2" s="696" t="s">
        <v>743</v>
      </c>
      <c r="AM2" s="696" t="s">
        <v>743</v>
      </c>
      <c r="AN2" s="696" t="s">
        <v>743</v>
      </c>
      <c r="AO2" s="696" t="s">
        <v>743</v>
      </c>
      <c r="AP2" s="696" t="s">
        <v>743</v>
      </c>
      <c r="AQ2" s="696" t="s">
        <v>743</v>
      </c>
      <c r="AR2" s="696" t="s">
        <v>743</v>
      </c>
      <c r="AS2" s="696" t="s">
        <v>743</v>
      </c>
      <c r="AT2" s="696" t="s">
        <v>743</v>
      </c>
      <c r="AU2" s="696" t="s">
        <v>743</v>
      </c>
      <c r="AV2" s="696" t="s">
        <v>743</v>
      </c>
      <c r="AW2" s="696" t="s">
        <v>743</v>
      </c>
      <c r="AX2" s="696" t="s">
        <v>743</v>
      </c>
      <c r="AY2" s="696" t="s">
        <v>743</v>
      </c>
      <c r="AZ2" s="696" t="s">
        <v>743</v>
      </c>
      <c r="BA2" s="696" t="s">
        <v>743</v>
      </c>
      <c r="BB2" s="696" t="s">
        <v>743</v>
      </c>
    </row>
    <row r="3" spans="1:56" s="694" customFormat="1" ht="14.4" thickBot="1">
      <c r="B3" s="779"/>
      <c r="C3" s="779"/>
      <c r="D3" s="780">
        <v>41274</v>
      </c>
      <c r="E3" s="781">
        <v>41639</v>
      </c>
      <c r="F3" s="781">
        <v>42004</v>
      </c>
      <c r="G3" s="781">
        <v>42369</v>
      </c>
      <c r="H3" s="781">
        <v>42735</v>
      </c>
      <c r="I3" s="781">
        <v>43100</v>
      </c>
      <c r="J3" s="781">
        <v>43465</v>
      </c>
      <c r="K3" s="781">
        <v>43830</v>
      </c>
      <c r="L3" s="781">
        <v>44196</v>
      </c>
      <c r="M3" s="781">
        <v>44561</v>
      </c>
      <c r="N3" s="781">
        <v>44926</v>
      </c>
      <c r="O3" s="781">
        <v>45291</v>
      </c>
      <c r="P3" s="782">
        <v>45657</v>
      </c>
      <c r="Q3" s="959">
        <v>46022</v>
      </c>
      <c r="R3" s="959">
        <v>46387</v>
      </c>
      <c r="S3" s="783">
        <v>46752</v>
      </c>
      <c r="T3" s="783">
        <v>47118</v>
      </c>
      <c r="U3" s="783">
        <v>47483</v>
      </c>
      <c r="V3" s="783">
        <v>47848</v>
      </c>
      <c r="W3" s="783">
        <v>48213</v>
      </c>
      <c r="X3" s="783">
        <v>48579</v>
      </c>
      <c r="Y3" s="783">
        <v>48944</v>
      </c>
      <c r="Z3" s="783">
        <v>49309</v>
      </c>
      <c r="AA3" s="783">
        <v>49674</v>
      </c>
      <c r="AB3" s="783">
        <v>50040</v>
      </c>
      <c r="AC3" s="783">
        <v>48944</v>
      </c>
      <c r="AD3" s="783">
        <v>49309</v>
      </c>
      <c r="AE3" s="783">
        <v>49674</v>
      </c>
      <c r="AF3" s="783">
        <v>50040</v>
      </c>
      <c r="AG3" s="783">
        <v>50405</v>
      </c>
      <c r="AH3" s="783">
        <v>50770</v>
      </c>
      <c r="AI3" s="783">
        <v>51135</v>
      </c>
      <c r="AJ3" s="783">
        <v>51501</v>
      </c>
      <c r="AK3" s="783">
        <v>51866</v>
      </c>
      <c r="AL3" s="783">
        <v>52231</v>
      </c>
      <c r="AM3" s="783">
        <v>52596</v>
      </c>
      <c r="AN3" s="783">
        <v>52962</v>
      </c>
      <c r="AO3" s="783">
        <v>53327</v>
      </c>
      <c r="AP3" s="783">
        <v>53692</v>
      </c>
      <c r="AQ3" s="783">
        <v>54057</v>
      </c>
      <c r="AR3" s="783">
        <v>54423</v>
      </c>
      <c r="AS3" s="783">
        <v>54788</v>
      </c>
      <c r="AT3" s="783">
        <v>55153</v>
      </c>
      <c r="AU3" s="783">
        <v>55518</v>
      </c>
      <c r="AV3" s="783">
        <v>55884</v>
      </c>
      <c r="AW3" s="783">
        <v>56249</v>
      </c>
      <c r="AX3" s="783">
        <v>56614</v>
      </c>
      <c r="AY3" s="783">
        <v>56979</v>
      </c>
      <c r="AZ3" s="783">
        <v>57345</v>
      </c>
      <c r="BA3" s="783">
        <v>57710</v>
      </c>
      <c r="BB3" s="783">
        <v>58075</v>
      </c>
    </row>
    <row r="4" spans="1:56" s="698" customFormat="1" ht="14.4" thickTop="1">
      <c r="C4" s="699"/>
      <c r="D4" s="700"/>
      <c r="E4" s="700"/>
      <c r="F4" s="700"/>
      <c r="G4" s="700"/>
      <c r="H4" s="700"/>
      <c r="I4" s="700"/>
      <c r="J4" s="700"/>
      <c r="K4" s="700"/>
      <c r="L4" s="700"/>
      <c r="M4" s="700"/>
      <c r="N4" s="700"/>
      <c r="O4" s="700"/>
      <c r="P4" s="701"/>
      <c r="Q4" s="700"/>
      <c r="R4" s="700"/>
      <c r="S4" s="700"/>
      <c r="T4" s="700"/>
      <c r="U4" s="700"/>
      <c r="V4" s="700"/>
      <c r="W4" s="700"/>
      <c r="X4" s="700"/>
      <c r="Y4" s="700"/>
      <c r="Z4" s="700"/>
      <c r="AA4" s="700"/>
      <c r="AB4" s="700"/>
      <c r="AC4" s="700"/>
      <c r="AD4" s="700"/>
      <c r="AE4" s="700"/>
      <c r="AF4" s="700"/>
      <c r="AG4" s="700"/>
      <c r="AH4" s="700"/>
      <c r="AI4" s="700"/>
      <c r="AJ4" s="700"/>
      <c r="AK4" s="700"/>
      <c r="AL4" s="700"/>
      <c r="AM4" s="700"/>
      <c r="AN4" s="700"/>
      <c r="AO4" s="700"/>
      <c r="AP4" s="700"/>
      <c r="AQ4" s="700"/>
      <c r="AR4" s="700"/>
      <c r="AS4" s="700"/>
      <c r="AT4" s="700"/>
      <c r="AU4" s="700"/>
      <c r="AV4" s="700"/>
      <c r="AW4" s="700"/>
      <c r="AX4" s="700"/>
      <c r="AY4" s="700"/>
      <c r="AZ4" s="700"/>
      <c r="BA4" s="700"/>
      <c r="BB4" s="700"/>
    </row>
    <row r="5" spans="1:56" s="698" customFormat="1">
      <c r="C5" s="699"/>
      <c r="D5" s="700"/>
      <c r="E5" s="700"/>
      <c r="F5" s="700"/>
      <c r="G5" s="700"/>
      <c r="H5" s="700"/>
      <c r="I5" s="700"/>
      <c r="J5" s="700"/>
      <c r="K5" s="700"/>
      <c r="L5" s="700"/>
      <c r="M5" s="700"/>
      <c r="N5" s="700"/>
      <c r="O5" s="700"/>
      <c r="P5" s="701"/>
      <c r="Q5" s="700"/>
      <c r="R5" s="700"/>
      <c r="S5" s="700"/>
      <c r="T5" s="700"/>
      <c r="U5" s="700"/>
      <c r="V5" s="700"/>
      <c r="W5" s="700"/>
      <c r="X5" s="700"/>
      <c r="Y5" s="700"/>
      <c r="Z5" s="700"/>
      <c r="AA5" s="700"/>
      <c r="AB5" s="700"/>
      <c r="AC5" s="700"/>
      <c r="AD5" s="700"/>
      <c r="AE5" s="700"/>
      <c r="AF5" s="700"/>
      <c r="AG5" s="700"/>
      <c r="AH5" s="700"/>
      <c r="AI5" s="700"/>
      <c r="AJ5" s="700"/>
      <c r="AK5" s="700"/>
      <c r="AL5" s="700"/>
      <c r="AM5" s="700"/>
      <c r="AN5" s="700"/>
      <c r="AO5" s="700"/>
      <c r="AP5" s="700"/>
      <c r="AQ5" s="700"/>
      <c r="AR5" s="700"/>
      <c r="AS5" s="700"/>
      <c r="AT5" s="700"/>
      <c r="AU5" s="700"/>
      <c r="AV5" s="700"/>
      <c r="AW5" s="700"/>
      <c r="AX5" s="700"/>
      <c r="AY5" s="700"/>
      <c r="AZ5" s="700"/>
      <c r="BA5" s="700"/>
      <c r="BB5" s="700"/>
    </row>
    <row r="6" spans="1:56">
      <c r="B6" s="703" t="s">
        <v>728</v>
      </c>
      <c r="C6" s="704"/>
      <c r="D6" s="704"/>
      <c r="E6" s="704"/>
      <c r="F6" s="704"/>
      <c r="G6" s="704"/>
      <c r="H6" s="704"/>
      <c r="I6" s="704"/>
      <c r="J6" s="704"/>
      <c r="K6" s="704"/>
      <c r="L6" s="704"/>
      <c r="M6" s="704"/>
      <c r="N6" s="704"/>
      <c r="O6" s="704"/>
      <c r="P6" s="705"/>
      <c r="Q6" s="704"/>
      <c r="R6" s="704"/>
      <c r="S6" s="704"/>
      <c r="T6" s="704"/>
      <c r="U6" s="704"/>
      <c r="V6" s="704"/>
      <c r="W6" s="704"/>
      <c r="X6" s="704"/>
      <c r="Y6" s="704"/>
      <c r="Z6" s="704"/>
      <c r="AA6" s="704"/>
      <c r="AB6" s="704"/>
      <c r="AC6" s="704"/>
      <c r="AD6" s="704"/>
      <c r="AE6" s="704"/>
      <c r="AF6" s="704"/>
      <c r="AG6" s="704"/>
      <c r="AH6" s="704"/>
      <c r="AI6" s="704"/>
      <c r="AJ6" s="704"/>
      <c r="AK6" s="704"/>
      <c r="AL6" s="704"/>
      <c r="AM6" s="704"/>
      <c r="AN6" s="704"/>
      <c r="AO6" s="704"/>
      <c r="AP6" s="704"/>
      <c r="AQ6" s="704"/>
      <c r="AR6" s="704"/>
      <c r="AS6" s="704"/>
      <c r="AT6" s="704"/>
      <c r="AU6" s="704"/>
      <c r="AV6" s="704"/>
      <c r="AW6" s="704"/>
      <c r="AX6" s="704"/>
      <c r="AY6" s="704"/>
      <c r="AZ6" s="704"/>
      <c r="BA6" s="704"/>
      <c r="BB6" s="704"/>
    </row>
    <row r="7" spans="1:56">
      <c r="N7" s="706"/>
      <c r="O7" s="706"/>
      <c r="P7" s="707"/>
      <c r="Q7" s="827"/>
      <c r="R7" s="827"/>
      <c r="S7" s="827"/>
      <c r="T7" s="827"/>
      <c r="U7" s="827"/>
      <c r="V7" s="827"/>
      <c r="W7" s="827"/>
      <c r="X7" s="827"/>
      <c r="Y7" s="827"/>
      <c r="Z7" s="827"/>
      <c r="AA7" s="827"/>
      <c r="AB7" s="827"/>
      <c r="AC7" s="784"/>
      <c r="AD7" s="784"/>
      <c r="AE7" s="784"/>
      <c r="AF7" s="784"/>
      <c r="AG7" s="784"/>
      <c r="AH7" s="784"/>
      <c r="AI7" s="784"/>
      <c r="AJ7" s="784"/>
    </row>
    <row r="8" spans="1:56">
      <c r="A8" s="702">
        <v>1</v>
      </c>
      <c r="B8" s="708" t="s">
        <v>738</v>
      </c>
      <c r="I8" s="785"/>
      <c r="J8" s="785"/>
      <c r="K8" s="785"/>
      <c r="L8" s="785"/>
      <c r="M8" s="785"/>
      <c r="N8" s="785"/>
      <c r="O8" s="785"/>
      <c r="P8" s="786"/>
      <c r="Q8" s="962"/>
      <c r="R8" s="962"/>
      <c r="S8" s="962"/>
      <c r="T8" s="827"/>
      <c r="U8" s="827"/>
      <c r="V8" s="827"/>
      <c r="W8" s="827"/>
      <c r="X8" s="827"/>
      <c r="Y8" s="827"/>
      <c r="Z8" s="827"/>
      <c r="AA8" s="827"/>
      <c r="AB8" s="827"/>
      <c r="AC8" s="784"/>
      <c r="AD8" s="784"/>
      <c r="AE8" s="784"/>
      <c r="AF8" s="784"/>
      <c r="AG8" s="784"/>
      <c r="AH8" s="784"/>
      <c r="AI8" s="784"/>
      <c r="AJ8" s="784"/>
    </row>
    <row r="9" spans="1:56" s="693" customFormat="1">
      <c r="A9" s="692"/>
      <c r="B9" s="709" t="s">
        <v>1250</v>
      </c>
      <c r="I9" s="787"/>
      <c r="J9" s="788"/>
      <c r="K9" s="788"/>
      <c r="L9" s="788"/>
      <c r="M9" s="788"/>
      <c r="N9" s="788"/>
      <c r="O9" s="788"/>
      <c r="P9" s="788">
        <f t="shared" ref="P9:Z9" si="0">P17*1000*P31*1000*1000/(10^9)</f>
        <v>1132.9955999999997</v>
      </c>
      <c r="Q9" s="960">
        <f t="shared" si="0"/>
        <v>1525.4884118396485</v>
      </c>
      <c r="R9" s="960">
        <f t="shared" si="0"/>
        <v>1725.445219847828</v>
      </c>
      <c r="S9" s="960">
        <f t="shared" si="0"/>
        <v>2143.002963051003</v>
      </c>
      <c r="T9" s="960">
        <f t="shared" si="0"/>
        <v>2996.1724519711779</v>
      </c>
      <c r="U9" s="960">
        <f t="shared" si="0"/>
        <v>3183.7328474645733</v>
      </c>
      <c r="V9" s="960">
        <f t="shared" si="0"/>
        <v>2986.2403400377229</v>
      </c>
      <c r="W9" s="960">
        <f t="shared" si="0"/>
        <v>3469.4820679749678</v>
      </c>
      <c r="X9" s="960">
        <f t="shared" si="0"/>
        <v>3864.4497250498025</v>
      </c>
      <c r="Y9" s="960">
        <f t="shared" si="0"/>
        <v>4237.1756135890555</v>
      </c>
      <c r="Z9" s="960">
        <f t="shared" si="0"/>
        <v>4933.0180259915614</v>
      </c>
      <c r="AA9" s="960"/>
      <c r="AB9" s="960"/>
      <c r="AC9" s="789"/>
      <c r="AD9" s="790"/>
      <c r="AE9" s="790"/>
      <c r="AF9" s="790"/>
      <c r="AG9" s="790"/>
      <c r="AH9" s="790"/>
      <c r="AI9" s="790"/>
      <c r="AJ9" s="790"/>
      <c r="AK9" s="790"/>
      <c r="AL9" s="790"/>
      <c r="AM9" s="790"/>
      <c r="AN9" s="790"/>
      <c r="AO9" s="790"/>
      <c r="AP9" s="790"/>
      <c r="AQ9" s="790"/>
      <c r="AR9" s="790"/>
      <c r="AS9" s="790"/>
      <c r="AT9" s="790"/>
      <c r="AU9" s="790"/>
      <c r="AV9" s="790"/>
      <c r="AW9" s="790"/>
      <c r="AX9" s="790"/>
      <c r="AY9" s="790"/>
      <c r="AZ9" s="790"/>
      <c r="BA9" s="790"/>
      <c r="BB9" s="790"/>
    </row>
    <row r="10" spans="1:56" s="715" customFormat="1">
      <c r="A10" s="697"/>
      <c r="B10" s="711" t="s">
        <v>734</v>
      </c>
      <c r="C10" s="711"/>
      <c r="D10" s="711"/>
      <c r="E10" s="711"/>
      <c r="F10" s="711"/>
      <c r="G10" s="713"/>
      <c r="H10" s="713"/>
      <c r="I10" s="713"/>
      <c r="J10" s="791"/>
      <c r="K10" s="791"/>
      <c r="L10" s="791"/>
      <c r="M10" s="791"/>
      <c r="N10" s="791"/>
      <c r="O10" s="791"/>
      <c r="P10" s="792">
        <f>P9</f>
        <v>1132.9955999999997</v>
      </c>
      <c r="Q10" s="955">
        <f>Q9</f>
        <v>1525.4884118396485</v>
      </c>
      <c r="R10" s="955">
        <f t="shared" ref="R10:Z10" si="1">R9</f>
        <v>1725.445219847828</v>
      </c>
      <c r="S10" s="955">
        <f t="shared" si="1"/>
        <v>2143.002963051003</v>
      </c>
      <c r="T10" s="955">
        <f t="shared" si="1"/>
        <v>2996.1724519711779</v>
      </c>
      <c r="U10" s="955">
        <f t="shared" si="1"/>
        <v>3183.7328474645733</v>
      </c>
      <c r="V10" s="955">
        <f t="shared" si="1"/>
        <v>2986.2403400377229</v>
      </c>
      <c r="W10" s="955">
        <f t="shared" si="1"/>
        <v>3469.4820679749678</v>
      </c>
      <c r="X10" s="955">
        <f t="shared" si="1"/>
        <v>3864.4497250498025</v>
      </c>
      <c r="Y10" s="955">
        <f t="shared" si="1"/>
        <v>4237.1756135890555</v>
      </c>
      <c r="Z10" s="955">
        <f t="shared" si="1"/>
        <v>4933.0180259915614</v>
      </c>
      <c r="AA10" s="821"/>
      <c r="AB10" s="821"/>
      <c r="AC10" s="714"/>
      <c r="AD10" s="714"/>
      <c r="AE10" s="714"/>
      <c r="AF10" s="714"/>
      <c r="AG10" s="714"/>
      <c r="AH10" s="714"/>
      <c r="AI10" s="714"/>
      <c r="AJ10" s="714"/>
      <c r="AK10" s="714"/>
      <c r="AL10" s="714"/>
      <c r="AM10" s="714"/>
      <c r="AN10" s="714"/>
      <c r="AO10" s="714"/>
      <c r="AP10" s="714"/>
      <c r="AQ10" s="714"/>
      <c r="AR10" s="714"/>
      <c r="AS10" s="714"/>
      <c r="AT10" s="714"/>
      <c r="AU10" s="714"/>
      <c r="AV10" s="714"/>
      <c r="AW10" s="714"/>
      <c r="AX10" s="714"/>
      <c r="AY10" s="714"/>
      <c r="AZ10" s="714"/>
      <c r="BA10" s="714"/>
      <c r="BB10" s="714"/>
    </row>
    <row r="11" spans="1:56" s="718" customFormat="1">
      <c r="A11" s="717"/>
      <c r="J11" s="719"/>
      <c r="K11" s="719"/>
      <c r="L11" s="719"/>
      <c r="M11" s="719"/>
      <c r="N11" s="719"/>
      <c r="O11" s="719"/>
      <c r="P11" s="723"/>
      <c r="Q11" s="961"/>
      <c r="R11" s="961"/>
      <c r="S11" s="961"/>
      <c r="T11" s="961"/>
      <c r="U11" s="961"/>
      <c r="V11" s="961"/>
      <c r="W11" s="961"/>
      <c r="X11" s="961"/>
      <c r="Y11" s="961"/>
      <c r="Z11" s="961"/>
      <c r="AA11" s="961"/>
      <c r="AB11" s="961"/>
      <c r="AC11" s="793"/>
      <c r="AD11" s="793"/>
      <c r="AE11" s="793"/>
      <c r="AF11" s="793"/>
      <c r="AG11" s="793"/>
      <c r="AH11" s="793"/>
      <c r="AI11" s="793"/>
      <c r="AJ11" s="793"/>
      <c r="AK11" s="719"/>
      <c r="AL11" s="719"/>
      <c r="AM11" s="719"/>
      <c r="AN11" s="719"/>
      <c r="AO11" s="719"/>
      <c r="AP11" s="719"/>
      <c r="AQ11" s="719"/>
      <c r="AR11" s="719"/>
      <c r="AS11" s="719"/>
      <c r="AT11" s="719"/>
      <c r="AU11" s="719"/>
      <c r="AV11" s="719"/>
      <c r="AW11" s="719"/>
      <c r="AX11" s="719"/>
      <c r="AY11" s="719"/>
      <c r="AZ11" s="719"/>
      <c r="BA11" s="719"/>
      <c r="BB11" s="719"/>
    </row>
    <row r="12" spans="1:56">
      <c r="A12" s="702">
        <v>2</v>
      </c>
      <c r="B12" s="708" t="s">
        <v>730</v>
      </c>
      <c r="I12" s="785"/>
      <c r="J12" s="785"/>
      <c r="K12" s="785"/>
      <c r="L12" s="785"/>
      <c r="M12" s="785"/>
      <c r="N12" s="785"/>
      <c r="O12" s="785"/>
      <c r="P12" s="786"/>
      <c r="Q12" s="962"/>
      <c r="R12" s="962"/>
      <c r="S12" s="962"/>
      <c r="T12" s="827"/>
      <c r="U12" s="827"/>
      <c r="V12" s="827"/>
      <c r="W12" s="827"/>
      <c r="X12" s="827"/>
      <c r="Y12" s="827"/>
      <c r="Z12" s="827"/>
      <c r="AA12" s="827"/>
      <c r="AB12" s="827"/>
      <c r="AC12" s="784"/>
      <c r="AD12" s="784"/>
      <c r="AE12" s="784"/>
      <c r="AF12" s="784"/>
      <c r="AG12" s="784"/>
      <c r="AH12" s="784"/>
      <c r="AI12" s="784"/>
      <c r="AJ12" s="784"/>
    </row>
    <row r="13" spans="1:56" s="693" customFormat="1">
      <c r="A13" s="692"/>
      <c r="B13" s="709" t="s">
        <v>1250</v>
      </c>
      <c r="I13" s="787"/>
      <c r="J13" s="787"/>
      <c r="K13" s="794"/>
      <c r="L13" s="794"/>
      <c r="M13" s="794"/>
      <c r="N13" s="794"/>
      <c r="O13" s="794"/>
      <c r="P13" s="795"/>
      <c r="Q13" s="964">
        <f>Q9/P9-1</f>
        <v>0.34642042020255759</v>
      </c>
      <c r="R13" s="964">
        <f t="shared" ref="R13:Z13" si="2">R9/Q9-1</f>
        <v>0.13107723825121909</v>
      </c>
      <c r="S13" s="964">
        <f t="shared" si="2"/>
        <v>0.24200000000000044</v>
      </c>
      <c r="T13" s="964">
        <f t="shared" si="2"/>
        <v>0.39811866975000054</v>
      </c>
      <c r="U13" s="964">
        <f t="shared" si="2"/>
        <v>6.2599999999999989E-2</v>
      </c>
      <c r="V13" s="964">
        <f t="shared" si="2"/>
        <v>-6.2031746031746104E-2</v>
      </c>
      <c r="W13" s="964">
        <f t="shared" si="2"/>
        <v>0.16182278481012702</v>
      </c>
      <c r="X13" s="964">
        <f t="shared" si="2"/>
        <v>0.1138405241291145</v>
      </c>
      <c r="Y13" s="964">
        <f t="shared" si="2"/>
        <v>9.6449925618957266E-2</v>
      </c>
      <c r="Z13" s="964">
        <f t="shared" si="2"/>
        <v>0.16422317030497102</v>
      </c>
      <c r="AA13" s="963"/>
      <c r="AB13" s="963"/>
      <c r="AC13" s="796"/>
      <c r="AD13" s="796"/>
      <c r="AE13" s="796"/>
      <c r="AF13" s="796"/>
      <c r="AG13" s="796"/>
      <c r="AH13" s="796"/>
      <c r="AI13" s="796"/>
      <c r="AJ13" s="796"/>
      <c r="AK13" s="796"/>
      <c r="AL13" s="796"/>
      <c r="AM13" s="796"/>
      <c r="AN13" s="796"/>
      <c r="AO13" s="796"/>
      <c r="AP13" s="796"/>
      <c r="AQ13" s="796"/>
      <c r="AR13" s="796"/>
      <c r="AS13" s="796"/>
      <c r="AT13" s="796"/>
      <c r="AU13" s="796"/>
      <c r="AV13" s="796"/>
      <c r="AW13" s="796"/>
      <c r="AX13" s="796"/>
      <c r="AY13" s="796"/>
      <c r="AZ13" s="796"/>
      <c r="BA13" s="796"/>
      <c r="BB13" s="796"/>
      <c r="BD13" s="797"/>
    </row>
    <row r="14" spans="1:56" s="715" customFormat="1">
      <c r="A14" s="697"/>
      <c r="B14" s="711" t="s">
        <v>382</v>
      </c>
      <c r="C14" s="711"/>
      <c r="D14" s="711"/>
      <c r="E14" s="711"/>
      <c r="F14" s="711"/>
      <c r="G14" s="713"/>
      <c r="H14" s="720"/>
      <c r="I14" s="720"/>
      <c r="J14" s="720"/>
      <c r="K14" s="720"/>
      <c r="L14" s="720"/>
      <c r="M14" s="720"/>
      <c r="N14" s="720"/>
      <c r="O14" s="720"/>
      <c r="P14" s="721"/>
      <c r="Q14" s="956"/>
      <c r="R14" s="956"/>
      <c r="S14" s="822"/>
      <c r="T14" s="822"/>
      <c r="U14" s="822"/>
      <c r="V14" s="822"/>
      <c r="W14" s="822"/>
      <c r="X14" s="822"/>
      <c r="Y14" s="822"/>
      <c r="Z14" s="822"/>
      <c r="AA14" s="822"/>
      <c r="AB14" s="822"/>
      <c r="AC14" s="720"/>
      <c r="AD14" s="720"/>
      <c r="AE14" s="720"/>
      <c r="AF14" s="720"/>
      <c r="AG14" s="720"/>
      <c r="AH14" s="720"/>
      <c r="AI14" s="720"/>
      <c r="AJ14" s="720"/>
      <c r="AK14" s="720"/>
      <c r="AL14" s="720"/>
      <c r="AM14" s="720"/>
      <c r="AN14" s="720"/>
      <c r="AO14" s="720"/>
      <c r="AP14" s="720"/>
      <c r="AQ14" s="720"/>
      <c r="AR14" s="720"/>
      <c r="AS14" s="720"/>
      <c r="AT14" s="720"/>
      <c r="AU14" s="720"/>
      <c r="AV14" s="720"/>
      <c r="AW14" s="720"/>
      <c r="AX14" s="720"/>
      <c r="AY14" s="720"/>
      <c r="AZ14" s="720"/>
      <c r="BA14" s="720"/>
      <c r="BB14" s="720"/>
    </row>
    <row r="15" spans="1:56" s="718" customFormat="1">
      <c r="A15" s="717"/>
      <c r="J15" s="719"/>
      <c r="K15" s="719"/>
      <c r="L15" s="719"/>
      <c r="M15" s="719"/>
      <c r="N15" s="719"/>
      <c r="O15" s="719"/>
      <c r="P15" s="723"/>
      <c r="Q15" s="961"/>
      <c r="R15" s="961"/>
      <c r="S15" s="961"/>
      <c r="T15" s="961"/>
      <c r="U15" s="961"/>
      <c r="V15" s="961"/>
      <c r="W15" s="961"/>
      <c r="X15" s="961"/>
      <c r="Y15" s="961"/>
      <c r="Z15" s="961"/>
      <c r="AA15" s="961"/>
      <c r="AB15" s="961"/>
      <c r="AC15" s="793"/>
      <c r="AD15" s="793"/>
      <c r="AE15" s="793"/>
      <c r="AF15" s="793"/>
      <c r="AG15" s="793"/>
      <c r="AH15" s="793"/>
      <c r="AI15" s="793"/>
      <c r="AJ15" s="793"/>
      <c r="AK15" s="719"/>
      <c r="AL15" s="719"/>
      <c r="AM15" s="719"/>
      <c r="AN15" s="719"/>
      <c r="AO15" s="719"/>
      <c r="AP15" s="719"/>
      <c r="AQ15" s="719"/>
      <c r="AR15" s="719"/>
      <c r="AS15" s="719"/>
      <c r="AT15" s="719"/>
      <c r="AU15" s="719"/>
      <c r="AV15" s="719"/>
      <c r="AW15" s="719"/>
      <c r="AX15" s="719"/>
      <c r="AY15" s="719"/>
      <c r="AZ15" s="719"/>
      <c r="BA15" s="719"/>
      <c r="BB15" s="719"/>
    </row>
    <row r="16" spans="1:56" ht="14.25" customHeight="1">
      <c r="A16" s="702">
        <v>3</v>
      </c>
      <c r="B16" s="708" t="s">
        <v>731</v>
      </c>
      <c r="C16" s="736"/>
      <c r="D16" s="736"/>
      <c r="E16" s="736"/>
      <c r="F16" s="736"/>
      <c r="G16" s="736"/>
      <c r="H16" s="736"/>
      <c r="I16" s="737"/>
      <c r="J16" s="737"/>
      <c r="K16" s="737"/>
      <c r="L16" s="737"/>
      <c r="M16" s="737"/>
      <c r="N16" s="798"/>
      <c r="O16" s="737"/>
      <c r="P16" s="738"/>
      <c r="Q16" s="965"/>
      <c r="R16" s="965"/>
      <c r="S16" s="965"/>
      <c r="T16" s="965"/>
      <c r="U16" s="965"/>
      <c r="V16" s="965"/>
      <c r="W16" s="965"/>
      <c r="X16" s="965"/>
      <c r="Y16" s="965"/>
      <c r="Z16" s="965"/>
      <c r="AA16" s="965"/>
      <c r="AB16" s="965"/>
      <c r="AC16" s="799"/>
      <c r="AD16" s="799"/>
      <c r="AE16" s="799"/>
      <c r="AF16" s="799"/>
      <c r="AG16" s="799"/>
      <c r="AH16" s="799"/>
      <c r="AI16" s="799"/>
      <c r="AJ16" s="799"/>
      <c r="AK16" s="737"/>
      <c r="AL16" s="737"/>
      <c r="AM16" s="737"/>
      <c r="AN16" s="737"/>
      <c r="AO16" s="737"/>
      <c r="AP16" s="737"/>
      <c r="AQ16" s="737"/>
      <c r="AR16" s="737"/>
      <c r="AS16" s="737"/>
      <c r="AT16" s="737"/>
      <c r="AU16" s="737"/>
      <c r="AV16" s="737"/>
      <c r="AW16" s="737"/>
      <c r="AX16" s="737"/>
      <c r="AY16" s="737"/>
      <c r="AZ16" s="737"/>
      <c r="BA16" s="737"/>
      <c r="BB16" s="737"/>
    </row>
    <row r="17" spans="1:54" s="715" customFormat="1" ht="14.25" customHeight="1">
      <c r="A17" s="697"/>
      <c r="B17" s="709" t="s">
        <v>1435</v>
      </c>
      <c r="I17" s="728"/>
      <c r="J17" s="728"/>
      <c r="K17" s="728"/>
      <c r="L17" s="728"/>
      <c r="M17" s="728"/>
      <c r="N17" s="728"/>
      <c r="O17" s="728"/>
      <c r="P17" s="2438">
        <f>(720000/50)/1000*0.85</f>
        <v>12.24</v>
      </c>
      <c r="Q17" s="975">
        <f>P17*(1+Q18)</f>
        <v>13.801410355684446</v>
      </c>
      <c r="R17" s="975">
        <f t="shared" ref="R17:Z17" si="3">Q17*(1+R18)</f>
        <v>14.353466769911824</v>
      </c>
      <c r="S17" s="975">
        <f t="shared" si="3"/>
        <v>15.50174411150477</v>
      </c>
      <c r="T17" s="975">
        <f t="shared" si="3"/>
        <v>19.222162698265915</v>
      </c>
      <c r="U17" s="975">
        <f t="shared" si="3"/>
        <v>17.684389682404642</v>
      </c>
      <c r="V17" s="975">
        <f t="shared" si="3"/>
        <v>16.269638507812271</v>
      </c>
      <c r="W17" s="975">
        <f t="shared" si="3"/>
        <v>16.595031277968516</v>
      </c>
      <c r="X17" s="975">
        <f t="shared" si="3"/>
        <v>16.760981590748202</v>
      </c>
      <c r="Y17" s="975">
        <f t="shared" si="3"/>
        <v>16.928591406655684</v>
      </c>
      <c r="Z17" s="975">
        <f t="shared" si="3"/>
        <v>17.775020976988468</v>
      </c>
      <c r="AA17" s="966"/>
      <c r="AB17" s="966"/>
      <c r="AC17" s="731"/>
      <c r="AD17" s="731"/>
      <c r="AE17" s="731"/>
      <c r="AF17" s="731"/>
      <c r="AG17" s="731"/>
      <c r="AH17" s="731"/>
      <c r="AI17" s="731"/>
      <c r="AJ17" s="731"/>
      <c r="AK17" s="731"/>
      <c r="AL17" s="731"/>
      <c r="AM17" s="731"/>
      <c r="AN17" s="731"/>
      <c r="AO17" s="731"/>
      <c r="AP17" s="731"/>
      <c r="AQ17" s="731"/>
      <c r="AR17" s="731"/>
      <c r="AS17" s="731"/>
      <c r="AT17" s="731"/>
      <c r="AU17" s="731"/>
      <c r="AV17" s="731"/>
      <c r="AW17" s="731"/>
      <c r="AX17" s="731"/>
      <c r="AY17" s="731"/>
      <c r="AZ17" s="731"/>
      <c r="BA17" s="731"/>
      <c r="BB17" s="731"/>
    </row>
    <row r="18" spans="1:54" s="693" customFormat="1" ht="14.25" customHeight="1">
      <c r="A18" s="692"/>
      <c r="B18" s="709" t="s">
        <v>382</v>
      </c>
      <c r="I18" s="710"/>
      <c r="J18" s="710"/>
      <c r="K18" s="710"/>
      <c r="L18" s="710"/>
      <c r="M18" s="710"/>
      <c r="N18" s="710"/>
      <c r="O18" s="710"/>
      <c r="P18" s="2439"/>
      <c r="Q18" s="973">
        <f>'Doanh thu DCM'!J252</f>
        <v>0.12756620552977505</v>
      </c>
      <c r="R18" s="2440">
        <f>'Doanh thu DCM'!K252</f>
        <v>0.04</v>
      </c>
      <c r="S18" s="2440">
        <f>'Doanh thu DCM'!L252</f>
        <v>0.08</v>
      </c>
      <c r="T18" s="2440">
        <f>'Doanh thu DCM'!M252</f>
        <v>0.24</v>
      </c>
      <c r="U18" s="2440">
        <f>'Doanh thu DCM'!N252</f>
        <v>-0.08</v>
      </c>
      <c r="V18" s="2440">
        <f>'Doanh thu DCM'!O252</f>
        <v>-0.08</v>
      </c>
      <c r="W18" s="2440">
        <f>'Doanh thu DCM'!P252</f>
        <v>0.02</v>
      </c>
      <c r="X18" s="2440">
        <f>'Doanh thu DCM'!Q252</f>
        <v>0.01</v>
      </c>
      <c r="Y18" s="2440">
        <f>'Doanh thu DCM'!R252</f>
        <v>0.01</v>
      </c>
      <c r="Z18" s="2440">
        <f>'Doanh thu DCM'!S252</f>
        <v>0.05</v>
      </c>
      <c r="AA18" s="967"/>
      <c r="AB18" s="967"/>
      <c r="AC18" s="800"/>
      <c r="AD18" s="800"/>
      <c r="AE18" s="800"/>
      <c r="AF18" s="800"/>
      <c r="AG18" s="800"/>
      <c r="AH18" s="800"/>
      <c r="AI18" s="800"/>
      <c r="AJ18" s="800"/>
      <c r="AK18" s="800"/>
      <c r="AL18" s="800"/>
      <c r="AM18" s="800"/>
      <c r="AN18" s="800"/>
      <c r="AO18" s="800"/>
      <c r="AP18" s="800"/>
      <c r="AQ18" s="800"/>
      <c r="AR18" s="800"/>
      <c r="AS18" s="800"/>
      <c r="AT18" s="800"/>
      <c r="AU18" s="800"/>
      <c r="AV18" s="800"/>
      <c r="AW18" s="800"/>
      <c r="AX18" s="800"/>
      <c r="AY18" s="800"/>
      <c r="AZ18" s="800"/>
      <c r="BA18" s="800"/>
      <c r="BB18" s="800"/>
    </row>
    <row r="19" spans="1:54" s="693" customFormat="1" ht="14.25" customHeight="1">
      <c r="A19" s="739"/>
      <c r="B19" s="712" t="s">
        <v>734</v>
      </c>
      <c r="C19" s="711"/>
      <c r="D19" s="711"/>
      <c r="E19" s="711"/>
      <c r="F19" s="711"/>
      <c r="G19" s="711"/>
      <c r="H19" s="711"/>
      <c r="I19" s="726"/>
      <c r="J19" s="726"/>
      <c r="K19" s="726"/>
      <c r="L19" s="726"/>
      <c r="M19" s="726"/>
      <c r="N19" s="726"/>
      <c r="O19" s="726"/>
      <c r="P19" s="775"/>
      <c r="Q19" s="966"/>
      <c r="R19" s="966"/>
      <c r="S19" s="966"/>
      <c r="T19" s="966"/>
      <c r="U19" s="966"/>
      <c r="V19" s="966"/>
      <c r="W19" s="966"/>
      <c r="X19" s="966"/>
      <c r="Y19" s="966"/>
      <c r="Z19" s="966"/>
      <c r="AA19" s="968"/>
      <c r="AB19" s="968"/>
      <c r="AC19" s="727"/>
      <c r="AD19" s="727"/>
      <c r="AE19" s="727"/>
      <c r="AF19" s="727"/>
      <c r="AG19" s="727"/>
      <c r="AH19" s="727"/>
      <c r="AI19" s="727"/>
      <c r="AJ19" s="727"/>
      <c r="AK19" s="727"/>
      <c r="AL19" s="727"/>
      <c r="AM19" s="727"/>
      <c r="AN19" s="727"/>
      <c r="AO19" s="727"/>
      <c r="AP19" s="727"/>
      <c r="AQ19" s="727"/>
      <c r="AR19" s="727"/>
      <c r="AS19" s="727"/>
      <c r="AT19" s="727"/>
      <c r="AU19" s="727"/>
      <c r="AV19" s="727"/>
      <c r="AW19" s="727"/>
      <c r="AX19" s="727"/>
      <c r="AY19" s="727"/>
      <c r="AZ19" s="727"/>
      <c r="BA19" s="727"/>
      <c r="BB19" s="727"/>
    </row>
    <row r="20" spans="1:54" ht="14.25" customHeight="1">
      <c r="B20" s="736"/>
      <c r="C20" s="736"/>
      <c r="D20" s="736"/>
      <c r="E20" s="736"/>
      <c r="F20" s="736"/>
      <c r="G20" s="736"/>
      <c r="H20" s="736"/>
      <c r="I20" s="737"/>
      <c r="J20" s="737"/>
      <c r="K20" s="737"/>
      <c r="L20" s="737"/>
      <c r="M20" s="737"/>
      <c r="N20" s="737"/>
      <c r="O20" s="737"/>
      <c r="P20" s="738"/>
      <c r="Q20" s="965"/>
      <c r="R20" s="965"/>
      <c r="S20" s="965"/>
      <c r="T20" s="965"/>
      <c r="U20" s="965"/>
      <c r="V20" s="965"/>
      <c r="W20" s="965"/>
      <c r="X20" s="965"/>
      <c r="Y20" s="965"/>
      <c r="Z20" s="965"/>
      <c r="AA20" s="965"/>
      <c r="AB20" s="965"/>
      <c r="AC20" s="799"/>
      <c r="AD20" s="799"/>
      <c r="AE20" s="799"/>
      <c r="AF20" s="799"/>
      <c r="AG20" s="799"/>
      <c r="AH20" s="799"/>
      <c r="AI20" s="799"/>
      <c r="AJ20" s="799"/>
      <c r="AK20" s="737"/>
      <c r="AL20" s="737"/>
      <c r="AM20" s="737"/>
      <c r="AN20" s="737"/>
      <c r="AO20" s="737"/>
      <c r="AP20" s="737"/>
      <c r="AQ20" s="737"/>
      <c r="AR20" s="737"/>
      <c r="AS20" s="737"/>
      <c r="AT20" s="737"/>
      <c r="AU20" s="737"/>
      <c r="AV20" s="737"/>
      <c r="AW20" s="737"/>
      <c r="AX20" s="737"/>
      <c r="AY20" s="737"/>
      <c r="AZ20" s="737"/>
      <c r="BA20" s="737"/>
      <c r="BB20" s="737"/>
    </row>
    <row r="21" spans="1:54" ht="14.25" customHeight="1">
      <c r="A21" s="702">
        <v>4</v>
      </c>
      <c r="B21" s="708" t="s">
        <v>739</v>
      </c>
      <c r="C21" s="736"/>
      <c r="D21" s="736"/>
      <c r="E21" s="736"/>
      <c r="F21" s="736"/>
      <c r="G21" s="736"/>
      <c r="H21" s="736"/>
      <c r="I21" s="737"/>
      <c r="J21" s="737"/>
      <c r="K21" s="737"/>
      <c r="L21" s="737"/>
      <c r="M21" s="737"/>
      <c r="N21" s="737"/>
      <c r="O21" s="737"/>
      <c r="P21" s="738"/>
      <c r="Q21" s="965"/>
      <c r="R21" s="965"/>
      <c r="S21" s="965"/>
      <c r="T21" s="965"/>
      <c r="U21" s="965"/>
      <c r="V21" s="965"/>
      <c r="W21" s="965"/>
      <c r="X21" s="965"/>
      <c r="Y21" s="965"/>
      <c r="Z21" s="965"/>
      <c r="AA21" s="965"/>
      <c r="AB21" s="965"/>
      <c r="AC21" s="799"/>
      <c r="AD21" s="799"/>
      <c r="AE21" s="799"/>
      <c r="AF21" s="799"/>
      <c r="AG21" s="799"/>
      <c r="AH21" s="799"/>
      <c r="AI21" s="799"/>
      <c r="AJ21" s="799"/>
      <c r="AK21" s="737"/>
      <c r="AL21" s="737"/>
      <c r="AM21" s="737"/>
      <c r="AN21" s="737"/>
      <c r="AO21" s="737"/>
      <c r="AP21" s="737"/>
      <c r="AQ21" s="737"/>
      <c r="AR21" s="737"/>
      <c r="AS21" s="737"/>
      <c r="AT21" s="737"/>
      <c r="AU21" s="737"/>
      <c r="AV21" s="737"/>
      <c r="AW21" s="737"/>
      <c r="AX21" s="737"/>
      <c r="AY21" s="737"/>
      <c r="AZ21" s="737"/>
      <c r="BA21" s="737"/>
      <c r="BB21" s="737"/>
    </row>
    <row r="22" spans="1:54" s="715" customFormat="1" ht="14.25" customHeight="1">
      <c r="A22" s="697"/>
      <c r="B22" s="709" t="s">
        <v>1250</v>
      </c>
      <c r="I22" s="728"/>
      <c r="J22" s="728"/>
      <c r="K22" s="728"/>
      <c r="L22" s="728"/>
      <c r="M22" s="728"/>
      <c r="N22" s="728"/>
      <c r="O22" s="740"/>
      <c r="P22" s="741"/>
      <c r="Q22" s="2444">
        <f>Q17/P17-1</f>
        <v>0.12756620552977505</v>
      </c>
      <c r="R22" s="2444">
        <f t="shared" ref="R22:Z22" si="4">R17/Q17-1</f>
        <v>4.0000000000000036E-2</v>
      </c>
      <c r="S22" s="2444">
        <f t="shared" si="4"/>
        <v>8.0000000000000071E-2</v>
      </c>
      <c r="T22" s="2444">
        <f t="shared" si="4"/>
        <v>0.24</v>
      </c>
      <c r="U22" s="2444">
        <f t="shared" si="4"/>
        <v>-7.999999999999996E-2</v>
      </c>
      <c r="V22" s="2444">
        <f t="shared" si="4"/>
        <v>-7.999999999999996E-2</v>
      </c>
      <c r="W22" s="2444">
        <f t="shared" si="4"/>
        <v>2.0000000000000018E-2</v>
      </c>
      <c r="X22" s="2444">
        <f t="shared" si="4"/>
        <v>1.0000000000000009E-2</v>
      </c>
      <c r="Y22" s="2444">
        <f t="shared" si="4"/>
        <v>1.0000000000000009E-2</v>
      </c>
      <c r="Z22" s="2444">
        <f t="shared" si="4"/>
        <v>5.0000000000000044E-2</v>
      </c>
      <c r="AA22" s="969"/>
      <c r="AB22" s="969"/>
      <c r="AC22" s="742"/>
      <c r="AD22" s="742"/>
      <c r="AE22" s="742"/>
      <c r="AF22" s="742"/>
      <c r="AG22" s="742"/>
      <c r="AH22" s="742"/>
      <c r="AI22" s="742"/>
      <c r="AJ22" s="742"/>
      <c r="AK22" s="742"/>
      <c r="AL22" s="742"/>
      <c r="AM22" s="742"/>
      <c r="AN22" s="742"/>
      <c r="AO22" s="742"/>
      <c r="AP22" s="742"/>
      <c r="AQ22" s="742"/>
      <c r="AR22" s="742"/>
      <c r="AS22" s="742"/>
      <c r="AT22" s="742"/>
      <c r="AU22" s="742"/>
      <c r="AV22" s="742"/>
      <c r="AW22" s="742"/>
      <c r="AX22" s="742"/>
      <c r="AY22" s="742"/>
      <c r="AZ22" s="742"/>
      <c r="BA22" s="742"/>
      <c r="BB22" s="742"/>
    </row>
    <row r="23" spans="1:54" s="693" customFormat="1" ht="14.25" customHeight="1">
      <c r="A23" s="739"/>
      <c r="B23" s="712" t="s">
        <v>734</v>
      </c>
      <c r="C23" s="711"/>
      <c r="D23" s="711"/>
      <c r="E23" s="711"/>
      <c r="F23" s="711"/>
      <c r="G23" s="711"/>
      <c r="H23" s="711"/>
      <c r="I23" s="726"/>
      <c r="J23" s="726"/>
      <c r="K23" s="726"/>
      <c r="L23" s="726"/>
      <c r="M23" s="726"/>
      <c r="N23" s="726"/>
      <c r="O23" s="726"/>
      <c r="P23" s="775"/>
      <c r="Q23" s="966"/>
      <c r="R23" s="966"/>
      <c r="S23" s="968"/>
      <c r="T23" s="968"/>
      <c r="U23" s="968"/>
      <c r="V23" s="968"/>
      <c r="W23" s="968"/>
      <c r="X23" s="968"/>
      <c r="Y23" s="968"/>
      <c r="Z23" s="968"/>
      <c r="AA23" s="968"/>
      <c r="AB23" s="968"/>
      <c r="AC23" s="727"/>
      <c r="AD23" s="727"/>
      <c r="AE23" s="727"/>
      <c r="AF23" s="727"/>
      <c r="AG23" s="727"/>
      <c r="AH23" s="727"/>
      <c r="AI23" s="727"/>
      <c r="AJ23" s="727"/>
      <c r="AK23" s="727"/>
      <c r="AL23" s="727"/>
      <c r="AM23" s="727"/>
      <c r="AN23" s="727"/>
      <c r="AO23" s="727"/>
      <c r="AP23" s="727"/>
      <c r="AQ23" s="727"/>
      <c r="AR23" s="727"/>
      <c r="AS23" s="727"/>
      <c r="AT23" s="727"/>
      <c r="AU23" s="727"/>
      <c r="AV23" s="727"/>
      <c r="AW23" s="727"/>
      <c r="AX23" s="727"/>
      <c r="AY23" s="727"/>
      <c r="AZ23" s="727"/>
      <c r="BA23" s="727"/>
      <c r="BB23" s="727"/>
    </row>
    <row r="24" spans="1:54" s="693" customFormat="1" ht="14.25" customHeight="1">
      <c r="A24" s="739"/>
      <c r="B24" s="716"/>
      <c r="C24" s="715"/>
      <c r="D24" s="715"/>
      <c r="E24" s="715"/>
      <c r="F24" s="715"/>
      <c r="G24" s="715"/>
      <c r="H24" s="715"/>
      <c r="I24" s="728"/>
      <c r="J24" s="728"/>
      <c r="K24" s="728"/>
      <c r="L24" s="728"/>
      <c r="M24" s="728"/>
      <c r="N24" s="728"/>
      <c r="O24" s="728"/>
      <c r="P24" s="734"/>
      <c r="Q24" s="966"/>
      <c r="R24" s="966"/>
      <c r="S24" s="966"/>
      <c r="T24" s="966"/>
      <c r="U24" s="966"/>
      <c r="V24" s="966"/>
      <c r="W24" s="966"/>
      <c r="X24" s="966"/>
      <c r="Y24" s="966"/>
      <c r="Z24" s="966"/>
      <c r="AA24" s="966"/>
      <c r="AB24" s="966"/>
      <c r="AC24" s="731"/>
      <c r="AD24" s="731"/>
      <c r="AE24" s="731"/>
      <c r="AF24" s="731"/>
      <c r="AG24" s="731"/>
      <c r="AH24" s="731"/>
      <c r="AI24" s="731"/>
      <c r="AJ24" s="731"/>
      <c r="AK24" s="731"/>
      <c r="AL24" s="731"/>
      <c r="AM24" s="731"/>
      <c r="AN24" s="731"/>
      <c r="AO24" s="731"/>
      <c r="AP24" s="731"/>
      <c r="AQ24" s="731"/>
      <c r="AR24" s="731"/>
      <c r="AS24" s="731"/>
      <c r="AT24" s="731"/>
      <c r="AU24" s="731"/>
      <c r="AV24" s="731"/>
      <c r="AW24" s="731"/>
      <c r="AX24" s="731"/>
      <c r="AY24" s="731"/>
      <c r="AZ24" s="731"/>
      <c r="BA24" s="731"/>
      <c r="BB24" s="731"/>
    </row>
    <row r="25" spans="1:54" ht="14.25" customHeight="1">
      <c r="A25" s="702">
        <v>5</v>
      </c>
      <c r="B25" s="708" t="s">
        <v>1433</v>
      </c>
      <c r="C25" s="736"/>
      <c r="D25" s="736"/>
      <c r="E25" s="736"/>
      <c r="F25" s="736"/>
      <c r="G25" s="736"/>
      <c r="H25" s="736"/>
      <c r="I25" s="737"/>
      <c r="J25" s="737"/>
      <c r="K25" s="737"/>
      <c r="L25" s="737"/>
      <c r="M25" s="737"/>
      <c r="N25" s="737"/>
      <c r="O25" s="737"/>
      <c r="P25" s="738"/>
      <c r="Q25" s="965"/>
      <c r="R25" s="965"/>
      <c r="S25" s="965"/>
      <c r="T25" s="965"/>
      <c r="U25" s="965"/>
      <c r="V25" s="965"/>
      <c r="W25" s="965"/>
      <c r="X25" s="965"/>
      <c r="Y25" s="965"/>
      <c r="Z25" s="965"/>
      <c r="AA25" s="965"/>
      <c r="AB25" s="965"/>
      <c r="AC25" s="799"/>
      <c r="AD25" s="799"/>
      <c r="AE25" s="799"/>
      <c r="AF25" s="799"/>
      <c r="AG25" s="799"/>
      <c r="AH25" s="799"/>
      <c r="AI25" s="799"/>
      <c r="AJ25" s="799"/>
      <c r="AK25" s="737"/>
      <c r="AL25" s="737"/>
      <c r="AM25" s="737"/>
      <c r="AN25" s="737"/>
      <c r="AO25" s="737"/>
      <c r="AP25" s="737"/>
      <c r="AQ25" s="737"/>
      <c r="AR25" s="737"/>
      <c r="AS25" s="737"/>
      <c r="AT25" s="737"/>
      <c r="AU25" s="737"/>
      <c r="AV25" s="737"/>
      <c r="AW25" s="737"/>
      <c r="AX25" s="737"/>
      <c r="AY25" s="737"/>
      <c r="AZ25" s="737"/>
      <c r="BA25" s="737"/>
      <c r="BB25" s="737"/>
    </row>
    <row r="26" spans="1:54" s="715" customFormat="1" ht="14.25" customHeight="1">
      <c r="A26" s="697"/>
      <c r="B26" s="709" t="s">
        <v>1434</v>
      </c>
      <c r="I26" s="728"/>
      <c r="J26" s="728"/>
      <c r="K26" s="728"/>
      <c r="L26" s="728"/>
      <c r="M26" s="728"/>
      <c r="N26" s="728"/>
      <c r="O26" s="740"/>
      <c r="P26" s="2442">
        <f>94142/1000</f>
        <v>94.141999999999996</v>
      </c>
      <c r="Q26" s="2443">
        <f>120</f>
        <v>120</v>
      </c>
      <c r="R26" s="2443">
        <f t="shared" ref="R26:Z26" si="5">Q26*(1+R27)</f>
        <v>132</v>
      </c>
      <c r="S26" s="2443">
        <f t="shared" si="5"/>
        <v>145.20000000000002</v>
      </c>
      <c r="T26" s="2443">
        <f t="shared" si="5"/>
        <v>159.72000000000003</v>
      </c>
      <c r="U26" s="2443">
        <f t="shared" si="5"/>
        <v>175.69200000000004</v>
      </c>
      <c r="V26" s="2443">
        <f t="shared" si="5"/>
        <v>193.26120000000006</v>
      </c>
      <c r="W26" s="2443">
        <f t="shared" si="5"/>
        <v>212.58732000000009</v>
      </c>
      <c r="X26" s="2443">
        <f t="shared" si="5"/>
        <v>233.84605200000013</v>
      </c>
      <c r="Y26" s="2443">
        <f t="shared" si="5"/>
        <v>257.23065720000017</v>
      </c>
      <c r="Z26" s="2443">
        <f t="shared" si="5"/>
        <v>282.95372292000019</v>
      </c>
      <c r="AA26" s="969"/>
      <c r="AB26" s="969"/>
      <c r="AC26" s="742"/>
      <c r="AD26" s="742"/>
      <c r="AE26" s="742"/>
      <c r="AF26" s="742"/>
      <c r="AG26" s="742"/>
      <c r="AH26" s="742"/>
      <c r="AI26" s="742"/>
      <c r="AJ26" s="742"/>
      <c r="AK26" s="742"/>
      <c r="AL26" s="742"/>
      <c r="AM26" s="742"/>
      <c r="AN26" s="742"/>
      <c r="AO26" s="742"/>
      <c r="AP26" s="742"/>
      <c r="AQ26" s="742"/>
      <c r="AR26" s="742"/>
      <c r="AS26" s="742"/>
      <c r="AT26" s="742"/>
      <c r="AU26" s="742"/>
      <c r="AV26" s="742"/>
      <c r="AW26" s="742"/>
      <c r="AX26" s="742"/>
      <c r="AY26" s="742"/>
      <c r="AZ26" s="742"/>
      <c r="BA26" s="742"/>
      <c r="BB26" s="742"/>
    </row>
    <row r="27" spans="1:54" s="693" customFormat="1" ht="14.25" customHeight="1">
      <c r="A27" s="692"/>
      <c r="B27" s="709" t="s">
        <v>382</v>
      </c>
      <c r="I27" s="710"/>
      <c r="J27" s="710"/>
      <c r="K27" s="710"/>
      <c r="L27" s="710"/>
      <c r="M27" s="710"/>
      <c r="N27" s="710"/>
      <c r="O27" s="743"/>
      <c r="P27" s="743"/>
      <c r="Q27" s="2441">
        <f>'Doanh thu DCM'!J246</f>
        <v>6.5000000000000002E-2</v>
      </c>
      <c r="R27" s="2441">
        <f>'Doanh thu DCM'!K246</f>
        <v>0.1</v>
      </c>
      <c r="S27" s="2441">
        <f>'Doanh thu DCM'!L246</f>
        <v>0.1</v>
      </c>
      <c r="T27" s="2441">
        <f>'Doanh thu DCM'!M246</f>
        <v>0.1</v>
      </c>
      <c r="U27" s="2441">
        <f>T27</f>
        <v>0.1</v>
      </c>
      <c r="V27" s="2441">
        <f t="shared" ref="V27:Z27" si="6">U27</f>
        <v>0.1</v>
      </c>
      <c r="W27" s="2441">
        <f t="shared" si="6"/>
        <v>0.1</v>
      </c>
      <c r="X27" s="2441">
        <f t="shared" si="6"/>
        <v>0.1</v>
      </c>
      <c r="Y27" s="2441">
        <f t="shared" si="6"/>
        <v>0.1</v>
      </c>
      <c r="Z27" s="2441">
        <f t="shared" si="6"/>
        <v>0.1</v>
      </c>
      <c r="AA27" s="970"/>
      <c r="AB27" s="970"/>
      <c r="AC27" s="745"/>
      <c r="AD27" s="745"/>
      <c r="AE27" s="745"/>
      <c r="AF27" s="745"/>
      <c r="AG27" s="745"/>
      <c r="AH27" s="745"/>
      <c r="AI27" s="745"/>
      <c r="AJ27" s="745"/>
      <c r="AK27" s="745"/>
      <c r="AL27" s="745"/>
      <c r="AM27" s="745"/>
      <c r="AN27" s="745"/>
      <c r="AO27" s="745"/>
      <c r="AP27" s="745"/>
      <c r="AQ27" s="745"/>
      <c r="AR27" s="745"/>
      <c r="AS27" s="745"/>
      <c r="AT27" s="745"/>
      <c r="AU27" s="745"/>
      <c r="AV27" s="745"/>
      <c r="AW27" s="745"/>
      <c r="AX27" s="745"/>
      <c r="AY27" s="745"/>
      <c r="AZ27" s="745"/>
      <c r="BA27" s="745"/>
      <c r="BB27" s="745"/>
    </row>
    <row r="28" spans="1:54" s="693" customFormat="1" ht="14.25" customHeight="1">
      <c r="A28" s="739"/>
      <c r="B28" s="712" t="s">
        <v>734</v>
      </c>
      <c r="C28" s="711"/>
      <c r="D28" s="711"/>
      <c r="E28" s="711"/>
      <c r="F28" s="711"/>
      <c r="G28" s="711"/>
      <c r="H28" s="711"/>
      <c r="I28" s="726"/>
      <c r="J28" s="726"/>
      <c r="K28" s="726"/>
      <c r="L28" s="726"/>
      <c r="M28" s="726"/>
      <c r="N28" s="726"/>
      <c r="O28" s="726"/>
      <c r="P28" s="775"/>
      <c r="Q28" s="966"/>
      <c r="R28" s="966"/>
      <c r="S28" s="966"/>
      <c r="T28" s="966"/>
      <c r="U28" s="966"/>
      <c r="V28" s="966"/>
      <c r="W28" s="966"/>
      <c r="X28" s="966"/>
      <c r="Y28" s="966"/>
      <c r="Z28" s="966"/>
      <c r="AA28" s="968"/>
      <c r="AB28" s="968"/>
      <c r="AC28" s="727"/>
      <c r="AD28" s="727"/>
      <c r="AE28" s="727"/>
      <c r="AF28" s="727"/>
      <c r="AG28" s="727"/>
      <c r="AH28" s="727"/>
      <c r="AI28" s="727"/>
      <c r="AJ28" s="727"/>
      <c r="AK28" s="727"/>
      <c r="AL28" s="727"/>
      <c r="AM28" s="727"/>
      <c r="AN28" s="727"/>
      <c r="AO28" s="727"/>
      <c r="AP28" s="727"/>
      <c r="AQ28" s="727"/>
      <c r="AR28" s="727"/>
      <c r="AS28" s="727"/>
      <c r="AT28" s="727"/>
      <c r="AU28" s="727"/>
      <c r="AV28" s="727"/>
      <c r="AW28" s="727"/>
      <c r="AX28" s="727"/>
      <c r="AY28" s="727"/>
      <c r="AZ28" s="727"/>
      <c r="BA28" s="727"/>
      <c r="BB28" s="727"/>
    </row>
    <row r="29" spans="1:54" s="693" customFormat="1" ht="14.25" customHeight="1">
      <c r="A29" s="739"/>
      <c r="B29" s="716"/>
      <c r="C29" s="715"/>
      <c r="D29" s="715"/>
      <c r="E29" s="715"/>
      <c r="F29" s="715"/>
      <c r="G29" s="715"/>
      <c r="H29" s="715"/>
      <c r="I29" s="728"/>
      <c r="J29" s="728"/>
      <c r="K29" s="728"/>
      <c r="L29" s="728"/>
      <c r="M29" s="728"/>
      <c r="N29" s="728"/>
      <c r="O29" s="728"/>
      <c r="P29" s="734"/>
      <c r="Q29" s="966"/>
      <c r="R29" s="966"/>
      <c r="S29" s="966"/>
      <c r="T29" s="966"/>
      <c r="U29" s="966"/>
      <c r="V29" s="966"/>
      <c r="W29" s="966"/>
      <c r="X29" s="966"/>
      <c r="Y29" s="966"/>
      <c r="Z29" s="966"/>
      <c r="AA29" s="966"/>
      <c r="AB29" s="966"/>
      <c r="AC29" s="731"/>
      <c r="AD29" s="731"/>
      <c r="AE29" s="731"/>
      <c r="AF29" s="731"/>
      <c r="AG29" s="731"/>
      <c r="AH29" s="731"/>
      <c r="AI29" s="731"/>
      <c r="AJ29" s="731"/>
      <c r="AK29" s="731"/>
      <c r="AL29" s="731"/>
      <c r="AM29" s="731"/>
      <c r="AN29" s="731"/>
      <c r="AO29" s="731"/>
      <c r="AP29" s="731"/>
      <c r="AQ29" s="731"/>
      <c r="AR29" s="731"/>
      <c r="AS29" s="731"/>
      <c r="AT29" s="731"/>
      <c r="AU29" s="731"/>
      <c r="AV29" s="731"/>
      <c r="AW29" s="731"/>
      <c r="AX29" s="731"/>
      <c r="AY29" s="731"/>
      <c r="AZ29" s="731"/>
      <c r="BA29" s="731"/>
      <c r="BB29" s="731"/>
    </row>
    <row r="30" spans="1:54" ht="14.25" customHeight="1">
      <c r="A30" s="702">
        <v>5</v>
      </c>
      <c r="B30" s="708" t="s">
        <v>1432</v>
      </c>
      <c r="C30" s="736"/>
      <c r="D30" s="736"/>
      <c r="E30" s="736"/>
      <c r="F30" s="736"/>
      <c r="G30" s="736"/>
      <c r="H30" s="736"/>
      <c r="I30" s="737"/>
      <c r="J30" s="737"/>
      <c r="K30" s="737"/>
      <c r="L30" s="737"/>
      <c r="M30" s="737"/>
      <c r="N30" s="737"/>
      <c r="O30" s="737"/>
      <c r="P30" s="738"/>
      <c r="Q30" s="965"/>
      <c r="R30" s="965"/>
      <c r="S30" s="965"/>
      <c r="T30" s="965"/>
      <c r="U30" s="965"/>
      <c r="V30" s="965"/>
      <c r="W30" s="965"/>
      <c r="X30" s="965"/>
      <c r="Y30" s="965"/>
      <c r="Z30" s="965"/>
      <c r="AA30" s="965"/>
      <c r="AB30" s="965"/>
      <c r="AC30" s="799"/>
      <c r="AD30" s="799"/>
      <c r="AE30" s="799"/>
      <c r="AF30" s="799"/>
      <c r="AG30" s="799"/>
      <c r="AH30" s="799"/>
      <c r="AI30" s="799"/>
      <c r="AJ30" s="799"/>
      <c r="AK30" s="737"/>
      <c r="AL30" s="737"/>
      <c r="AM30" s="737"/>
      <c r="AN30" s="737"/>
      <c r="AO30" s="737"/>
      <c r="AP30" s="737"/>
      <c r="AQ30" s="737"/>
      <c r="AR30" s="737"/>
      <c r="AS30" s="737"/>
      <c r="AT30" s="737"/>
      <c r="AU30" s="737"/>
      <c r="AV30" s="737"/>
      <c r="AW30" s="737"/>
      <c r="AX30" s="737"/>
      <c r="AY30" s="737"/>
      <c r="AZ30" s="737"/>
      <c r="BA30" s="737"/>
      <c r="BB30" s="737"/>
    </row>
    <row r="31" spans="1:54" s="715" customFormat="1" ht="14.25" customHeight="1">
      <c r="A31" s="697"/>
      <c r="B31" s="709" t="s">
        <v>1434</v>
      </c>
      <c r="I31" s="728"/>
      <c r="J31" s="728"/>
      <c r="K31" s="728"/>
      <c r="L31" s="728"/>
      <c r="M31" s="728"/>
      <c r="N31" s="728"/>
      <c r="O31" s="740"/>
      <c r="P31" s="2437">
        <f>92565/1000</f>
        <v>92.564999999999998</v>
      </c>
      <c r="Q31" s="2443">
        <f>Q26*Q32</f>
        <v>110.53134227049043</v>
      </c>
      <c r="R31" s="2443">
        <f t="shared" ref="R31:Z31" si="7">R26*R32</f>
        <v>120.21104361106399</v>
      </c>
      <c r="S31" s="2443">
        <f t="shared" si="7"/>
        <v>138.24270015272361</v>
      </c>
      <c r="T31" s="2443">
        <f t="shared" si="7"/>
        <v>155.87072583885009</v>
      </c>
      <c r="U31" s="2443">
        <f t="shared" si="7"/>
        <v>180.03068834387187</v>
      </c>
      <c r="V31" s="2443">
        <f t="shared" si="7"/>
        <v>183.54681565935257</v>
      </c>
      <c r="W31" s="2443">
        <f t="shared" si="7"/>
        <v>209.06752207096082</v>
      </c>
      <c r="X31" s="2443">
        <f t="shared" si="7"/>
        <v>230.56225580385569</v>
      </c>
      <c r="Y31" s="2443">
        <f t="shared" si="7"/>
        <v>250.29699824423415</v>
      </c>
      <c r="Z31" s="2443">
        <f t="shared" si="7"/>
        <v>277.52529982259063</v>
      </c>
      <c r="AA31" s="969"/>
      <c r="AB31" s="969"/>
      <c r="AC31" s="742"/>
      <c r="AD31" s="742"/>
      <c r="AE31" s="742"/>
      <c r="AF31" s="742"/>
      <c r="AG31" s="742"/>
      <c r="AH31" s="742"/>
      <c r="AI31" s="742"/>
      <c r="AJ31" s="742"/>
      <c r="AK31" s="742"/>
      <c r="AL31" s="742"/>
      <c r="AM31" s="742"/>
      <c r="AN31" s="742"/>
      <c r="AO31" s="742"/>
      <c r="AP31" s="742"/>
      <c r="AQ31" s="742"/>
      <c r="AR31" s="742"/>
      <c r="AS31" s="742"/>
      <c r="AT31" s="742"/>
      <c r="AU31" s="742"/>
      <c r="AV31" s="742"/>
      <c r="AW31" s="742"/>
      <c r="AX31" s="742"/>
      <c r="AY31" s="742"/>
      <c r="AZ31" s="742"/>
      <c r="BA31" s="742"/>
      <c r="BB31" s="742"/>
    </row>
    <row r="32" spans="1:54" s="715" customFormat="1" ht="14.25" customHeight="1">
      <c r="A32" s="697"/>
      <c r="B32" s="709" t="s">
        <v>1436</v>
      </c>
      <c r="I32" s="728"/>
      <c r="J32" s="728"/>
      <c r="K32" s="728"/>
      <c r="L32" s="728"/>
      <c r="M32" s="728"/>
      <c r="N32" s="728"/>
      <c r="O32" s="740"/>
      <c r="P32" s="2437"/>
      <c r="Q32" s="2441">
        <f>'Doanh thu DCM'!J249 + 5%</f>
        <v>0.92109451892075356</v>
      </c>
      <c r="R32" s="2441">
        <f>'Doanh thu DCM'!K249</f>
        <v>0.91068972432624229</v>
      </c>
      <c r="S32" s="2441">
        <f>'Doanh thu DCM'!L249</f>
        <v>0.95208471179561704</v>
      </c>
      <c r="T32" s="2441">
        <f>'Doanh thu DCM'!M249</f>
        <v>0.97589986125000039</v>
      </c>
      <c r="U32" s="2441">
        <f>'Doanh thu DCM'!N249</f>
        <v>1.0246948543125005</v>
      </c>
      <c r="V32" s="2441">
        <f>'Doanh thu DCM'!O249</f>
        <v>0.94973443018750026</v>
      </c>
      <c r="W32" s="2441">
        <f>'Doanh thu DCM'!P249</f>
        <v>0.98344304858333376</v>
      </c>
      <c r="X32" s="2441">
        <f>'Doanh thu DCM'!Q249</f>
        <v>0.98595744436111143</v>
      </c>
      <c r="Y32" s="2441">
        <f>'Doanh thu DCM'!R249</f>
        <v>0.9730449743773153</v>
      </c>
      <c r="Z32" s="2441">
        <f>'Doanh thu DCM'!S249</f>
        <v>0.9808151557739202</v>
      </c>
      <c r="AA32" s="969"/>
      <c r="AB32" s="969"/>
      <c r="AC32" s="742"/>
      <c r="AD32" s="742"/>
      <c r="AE32" s="742"/>
      <c r="AF32" s="742"/>
      <c r="AG32" s="742"/>
      <c r="AH32" s="742"/>
      <c r="AI32" s="742"/>
      <c r="AJ32" s="742"/>
      <c r="AK32" s="742"/>
      <c r="AL32" s="742"/>
      <c r="AM32" s="742"/>
      <c r="AN32" s="742"/>
      <c r="AO32" s="742"/>
      <c r="AP32" s="742"/>
      <c r="AQ32" s="742"/>
      <c r="AR32" s="742"/>
      <c r="AS32" s="742"/>
      <c r="AT32" s="742"/>
      <c r="AU32" s="742"/>
      <c r="AV32" s="742"/>
      <c r="AW32" s="742"/>
      <c r="AX32" s="742"/>
      <c r="AY32" s="742"/>
      <c r="AZ32" s="742"/>
      <c r="BA32" s="742"/>
      <c r="BB32" s="742"/>
    </row>
    <row r="33" spans="1:54" s="693" customFormat="1" ht="14.25" customHeight="1">
      <c r="A33" s="692"/>
      <c r="B33" s="693" t="s">
        <v>1437</v>
      </c>
      <c r="I33" s="710"/>
      <c r="J33" s="710"/>
      <c r="K33" s="710"/>
      <c r="L33" s="710"/>
      <c r="M33" s="710"/>
      <c r="N33" s="710"/>
      <c r="O33" s="743"/>
      <c r="P33" s="743"/>
      <c r="Q33" s="970">
        <f>Q31/P31-1</f>
        <v>0.19409433663361342</v>
      </c>
      <c r="R33" s="970">
        <f t="shared" ref="R33:Z33" si="8">R31/Q31-1</f>
        <v>8.7574267549249019E-2</v>
      </c>
      <c r="S33" s="970">
        <f t="shared" si="8"/>
        <v>0.15000000000000036</v>
      </c>
      <c r="T33" s="970">
        <f t="shared" si="8"/>
        <v>0.12751505625000026</v>
      </c>
      <c r="U33" s="970">
        <f t="shared" si="8"/>
        <v>0.15500000000000003</v>
      </c>
      <c r="V33" s="970">
        <f t="shared" si="8"/>
        <v>1.9530710835058418E-2</v>
      </c>
      <c r="W33" s="970">
        <f t="shared" si="8"/>
        <v>0.13904194589228136</v>
      </c>
      <c r="X33" s="970">
        <f t="shared" si="8"/>
        <v>0.10281240012783632</v>
      </c>
      <c r="Y33" s="970">
        <f t="shared" si="8"/>
        <v>8.5593985761343472E-2</v>
      </c>
      <c r="Z33" s="970">
        <f t="shared" si="8"/>
        <v>0.10878397171902043</v>
      </c>
      <c r="AA33" s="970"/>
      <c r="AB33" s="970"/>
      <c r="AC33" s="745"/>
      <c r="AD33" s="745"/>
      <c r="AE33" s="745"/>
      <c r="AF33" s="745"/>
      <c r="AG33" s="745"/>
      <c r="AH33" s="745"/>
      <c r="AI33" s="745"/>
      <c r="AJ33" s="745"/>
      <c r="AK33" s="745"/>
      <c r="AL33" s="745"/>
      <c r="AM33" s="745"/>
      <c r="AN33" s="745"/>
      <c r="AO33" s="745"/>
      <c r="AP33" s="745"/>
      <c r="AQ33" s="745"/>
      <c r="AR33" s="745"/>
      <c r="AS33" s="745"/>
      <c r="AT33" s="745"/>
      <c r="AU33" s="745"/>
      <c r="AV33" s="745"/>
      <c r="AW33" s="745"/>
      <c r="AX33" s="745"/>
      <c r="AY33" s="745"/>
      <c r="AZ33" s="745"/>
      <c r="BA33" s="745"/>
      <c r="BB33" s="745"/>
    </row>
    <row r="34" spans="1:54" s="693" customFormat="1" ht="14.25" customHeight="1">
      <c r="A34" s="739"/>
      <c r="B34" s="712" t="s">
        <v>734</v>
      </c>
      <c r="C34" s="711"/>
      <c r="D34" s="711"/>
      <c r="E34" s="711"/>
      <c r="F34" s="711"/>
      <c r="G34" s="711"/>
      <c r="H34" s="711"/>
      <c r="I34" s="726"/>
      <c r="J34" s="726"/>
      <c r="K34" s="726"/>
      <c r="L34" s="726"/>
      <c r="M34" s="726"/>
      <c r="N34" s="726"/>
      <c r="O34" s="726"/>
      <c r="P34" s="775"/>
      <c r="Q34" s="966"/>
      <c r="R34" s="966"/>
      <c r="S34" s="966"/>
      <c r="T34" s="966"/>
      <c r="U34" s="966"/>
      <c r="V34" s="966"/>
      <c r="W34" s="966"/>
      <c r="X34" s="966"/>
      <c r="Y34" s="966"/>
      <c r="Z34" s="966"/>
      <c r="AA34" s="968"/>
      <c r="AB34" s="968"/>
      <c r="AC34" s="727"/>
      <c r="AD34" s="727"/>
      <c r="AE34" s="727"/>
      <c r="AF34" s="727"/>
      <c r="AG34" s="727"/>
      <c r="AH34" s="727"/>
      <c r="AI34" s="727"/>
      <c r="AJ34" s="727"/>
      <c r="AK34" s="727"/>
      <c r="AL34" s="727"/>
      <c r="AM34" s="727"/>
      <c r="AN34" s="727"/>
      <c r="AO34" s="727"/>
      <c r="AP34" s="727"/>
      <c r="AQ34" s="727"/>
      <c r="AR34" s="727"/>
      <c r="AS34" s="727"/>
      <c r="AT34" s="727"/>
      <c r="AU34" s="727"/>
      <c r="AV34" s="727"/>
      <c r="AW34" s="727"/>
      <c r="AX34" s="727"/>
      <c r="AY34" s="727"/>
      <c r="AZ34" s="727"/>
      <c r="BA34" s="727"/>
      <c r="BB34" s="727"/>
    </row>
    <row r="35" spans="1:54" ht="14.25" customHeight="1">
      <c r="B35" s="736"/>
      <c r="C35" s="736"/>
      <c r="D35" s="736"/>
      <c r="E35" s="736"/>
      <c r="F35" s="736"/>
      <c r="G35" s="736"/>
      <c r="H35" s="736"/>
      <c r="I35" s="737"/>
      <c r="J35" s="737"/>
      <c r="K35" s="737"/>
      <c r="L35" s="737"/>
      <c r="M35" s="737"/>
      <c r="N35" s="737"/>
      <c r="O35" s="737"/>
      <c r="P35" s="738"/>
      <c r="Q35" s="965"/>
      <c r="R35" s="965"/>
      <c r="S35" s="965"/>
      <c r="T35" s="965"/>
      <c r="U35" s="965"/>
      <c r="V35" s="965"/>
      <c r="W35" s="965"/>
      <c r="X35" s="965"/>
      <c r="Y35" s="965"/>
      <c r="Z35" s="965"/>
      <c r="AA35" s="965"/>
      <c r="AB35" s="965"/>
      <c r="AC35" s="799"/>
      <c r="AD35" s="799"/>
      <c r="AE35" s="799"/>
      <c r="AF35" s="799"/>
      <c r="AG35" s="799"/>
      <c r="AH35" s="799"/>
      <c r="AI35" s="799"/>
      <c r="AJ35" s="799"/>
      <c r="AK35" s="737"/>
      <c r="AL35" s="737"/>
      <c r="AM35" s="737"/>
      <c r="AN35" s="737"/>
      <c r="AO35" s="737"/>
      <c r="AP35" s="737"/>
      <c r="AQ35" s="737"/>
      <c r="AR35" s="737"/>
      <c r="AS35" s="737"/>
      <c r="AT35" s="737"/>
      <c r="AU35" s="737"/>
      <c r="AV35" s="737"/>
      <c r="AW35" s="737"/>
      <c r="AX35" s="737"/>
      <c r="AY35" s="737"/>
      <c r="AZ35" s="737"/>
      <c r="BA35" s="737"/>
      <c r="BB35" s="737"/>
    </row>
    <row r="36" spans="1:54">
      <c r="B36" s="703" t="s">
        <v>732</v>
      </c>
      <c r="C36" s="704"/>
      <c r="D36" s="704"/>
      <c r="E36" s="704"/>
      <c r="F36" s="704"/>
      <c r="G36" s="704"/>
      <c r="H36" s="704"/>
      <c r="I36" s="704"/>
      <c r="J36" s="704"/>
      <c r="K36" s="704"/>
      <c r="L36" s="704"/>
      <c r="M36" s="704"/>
      <c r="N36" s="704"/>
      <c r="O36" s="704"/>
      <c r="P36" s="705"/>
      <c r="Q36" s="704"/>
      <c r="R36" s="704"/>
      <c r="S36" s="704"/>
      <c r="T36" s="704"/>
      <c r="U36" s="704"/>
      <c r="V36" s="704"/>
      <c r="W36" s="704"/>
      <c r="X36" s="704"/>
      <c r="Y36" s="704"/>
      <c r="Z36" s="704"/>
      <c r="AA36" s="704"/>
      <c r="AB36" s="704"/>
      <c r="AC36" s="704"/>
      <c r="AD36" s="704"/>
      <c r="AE36" s="704"/>
      <c r="AF36" s="704"/>
      <c r="AG36" s="704"/>
      <c r="AH36" s="704"/>
      <c r="AI36" s="704"/>
      <c r="AJ36" s="704"/>
      <c r="AK36" s="704"/>
      <c r="AL36" s="704"/>
      <c r="AM36" s="704"/>
      <c r="AN36" s="704"/>
      <c r="AO36" s="704"/>
      <c r="AP36" s="704"/>
      <c r="AQ36" s="704"/>
      <c r="AR36" s="704"/>
      <c r="AS36" s="704"/>
      <c r="AT36" s="704"/>
      <c r="AU36" s="704"/>
      <c r="AV36" s="704"/>
      <c r="AW36" s="704"/>
      <c r="AX36" s="704"/>
      <c r="AY36" s="704"/>
      <c r="AZ36" s="704"/>
      <c r="BA36" s="704"/>
      <c r="BB36" s="704"/>
    </row>
    <row r="37" spans="1:54">
      <c r="B37" s="746"/>
      <c r="M37" s="724"/>
      <c r="N37" s="724"/>
      <c r="O37" s="706"/>
      <c r="P37" s="707"/>
      <c r="Q37" s="706"/>
      <c r="R37" s="706"/>
      <c r="S37" s="706"/>
    </row>
    <row r="38" spans="1:54">
      <c r="A38" s="702">
        <v>1</v>
      </c>
      <c r="B38" s="708" t="s">
        <v>732</v>
      </c>
      <c r="N38" s="706"/>
      <c r="O38" s="706"/>
      <c r="P38" s="707"/>
      <c r="Q38" s="706"/>
      <c r="R38" s="706"/>
      <c r="S38" s="706"/>
    </row>
    <row r="39" spans="1:54" s="732" customFormat="1">
      <c r="A39" s="748"/>
      <c r="B39" s="709" t="s">
        <v>1250</v>
      </c>
      <c r="J39" s="801"/>
      <c r="K39" s="801"/>
      <c r="L39" s="801"/>
      <c r="M39" s="801"/>
      <c r="N39" s="801"/>
      <c r="O39" s="801"/>
      <c r="P39" s="802">
        <f>(P9-P54)</f>
        <v>1159.3455999999996</v>
      </c>
      <c r="Q39" s="974">
        <f t="shared" ref="Q39:Z39" si="9">Q9-Q54</f>
        <v>1363.0226809205294</v>
      </c>
      <c r="R39" s="974">
        <f t="shared" si="9"/>
        <v>1541.7329079527981</v>
      </c>
      <c r="S39" s="974">
        <f t="shared" si="9"/>
        <v>1863.2483479963794</v>
      </c>
      <c r="T39" s="974">
        <f t="shared" si="9"/>
        <v>2436.8761051343899</v>
      </c>
      <c r="U39" s="974">
        <f t="shared" si="9"/>
        <v>2567.1285180181012</v>
      </c>
      <c r="V39" s="974">
        <f t="shared" si="9"/>
        <v>2479.08976616681</v>
      </c>
      <c r="W39" s="974">
        <f t="shared" si="9"/>
        <v>2846.3010504674603</v>
      </c>
      <c r="X39" s="974">
        <f t="shared" si="9"/>
        <v>3116.9463060131725</v>
      </c>
      <c r="Y39" s="974">
        <f t="shared" si="9"/>
        <v>3253.8691355761043</v>
      </c>
      <c r="Z39" s="974">
        <f t="shared" si="9"/>
        <v>3681.7682024603819</v>
      </c>
      <c r="AA39" s="974"/>
      <c r="AB39" s="974"/>
      <c r="AC39" s="803"/>
      <c r="AD39" s="803"/>
      <c r="AE39" s="803"/>
      <c r="AF39" s="803"/>
      <c r="AG39" s="803"/>
      <c r="AH39" s="803"/>
      <c r="AI39" s="803"/>
      <c r="AJ39" s="803"/>
      <c r="AK39" s="803"/>
      <c r="AL39" s="803"/>
      <c r="AM39" s="803"/>
      <c r="AN39" s="803"/>
      <c r="AO39" s="803"/>
      <c r="AP39" s="803"/>
      <c r="AQ39" s="803"/>
      <c r="AR39" s="803"/>
      <c r="AS39" s="803"/>
      <c r="AT39" s="803"/>
      <c r="AU39" s="803"/>
      <c r="AV39" s="803"/>
      <c r="AW39" s="803"/>
      <c r="AX39" s="803"/>
      <c r="AY39" s="803"/>
      <c r="AZ39" s="803"/>
      <c r="BA39" s="803"/>
      <c r="BB39" s="803"/>
    </row>
    <row r="40" spans="1:54" s="729" customFormat="1">
      <c r="A40" s="747"/>
      <c r="B40" s="711" t="s">
        <v>734</v>
      </c>
      <c r="C40" s="749"/>
      <c r="D40" s="749"/>
      <c r="E40" s="749"/>
      <c r="F40" s="749"/>
      <c r="G40" s="749"/>
      <c r="H40" s="749"/>
      <c r="I40" s="749"/>
      <c r="J40" s="791"/>
      <c r="K40" s="791"/>
      <c r="L40" s="791"/>
      <c r="M40" s="791"/>
      <c r="N40" s="791"/>
      <c r="O40" s="791"/>
      <c r="P40" s="792">
        <f>P39</f>
        <v>1159.3455999999996</v>
      </c>
      <c r="Q40" s="955">
        <f>Q39</f>
        <v>1363.0226809205294</v>
      </c>
      <c r="R40" s="955">
        <f t="shared" ref="R40:Z40" si="10">R39</f>
        <v>1541.7329079527981</v>
      </c>
      <c r="S40" s="955">
        <f t="shared" si="10"/>
        <v>1863.2483479963794</v>
      </c>
      <c r="T40" s="955">
        <f t="shared" si="10"/>
        <v>2436.8761051343899</v>
      </c>
      <c r="U40" s="955">
        <f t="shared" si="10"/>
        <v>2567.1285180181012</v>
      </c>
      <c r="V40" s="955">
        <f t="shared" si="10"/>
        <v>2479.08976616681</v>
      </c>
      <c r="W40" s="955">
        <f t="shared" si="10"/>
        <v>2846.3010504674603</v>
      </c>
      <c r="X40" s="955">
        <f t="shared" si="10"/>
        <v>3116.9463060131725</v>
      </c>
      <c r="Y40" s="955">
        <f t="shared" si="10"/>
        <v>3253.8691355761043</v>
      </c>
      <c r="Z40" s="955">
        <f t="shared" si="10"/>
        <v>3681.7682024603819</v>
      </c>
      <c r="AA40" s="976"/>
      <c r="AB40" s="976"/>
      <c r="AC40" s="804"/>
      <c r="AD40" s="804"/>
      <c r="AE40" s="804"/>
      <c r="AF40" s="804"/>
      <c r="AG40" s="804"/>
      <c r="AH40" s="804"/>
      <c r="AI40" s="804"/>
      <c r="AJ40" s="804"/>
      <c r="AK40" s="804"/>
      <c r="AL40" s="804"/>
      <c r="AM40" s="804"/>
      <c r="AN40" s="804"/>
      <c r="AO40" s="804"/>
      <c r="AP40" s="804"/>
      <c r="AQ40" s="804"/>
      <c r="AR40" s="804"/>
      <c r="AS40" s="804"/>
      <c r="AT40" s="804"/>
      <c r="AU40" s="804"/>
      <c r="AV40" s="804"/>
      <c r="AW40" s="804"/>
      <c r="AX40" s="804"/>
      <c r="AY40" s="804"/>
      <c r="AZ40" s="804"/>
      <c r="BA40" s="804"/>
      <c r="BB40" s="804"/>
    </row>
    <row r="41" spans="1:54" s="732" customFormat="1">
      <c r="A41" s="748"/>
      <c r="B41" s="750" t="s">
        <v>733</v>
      </c>
      <c r="C41" s="751"/>
      <c r="D41" s="751"/>
      <c r="E41" s="751"/>
      <c r="F41" s="751"/>
      <c r="G41" s="751"/>
      <c r="H41" s="752"/>
      <c r="I41" s="752"/>
      <c r="J41" s="752"/>
      <c r="K41" s="752"/>
      <c r="L41" s="752"/>
      <c r="M41" s="752"/>
      <c r="N41" s="752"/>
      <c r="O41" s="752"/>
      <c r="P41" s="753">
        <f>P40/P10</f>
        <v>1.0232569305653083</v>
      </c>
      <c r="Q41" s="828">
        <f>Q40/Q10</f>
        <v>0.8934992034956234</v>
      </c>
      <c r="R41" s="828">
        <f t="shared" ref="R41:Z41" si="11">R40/R10</f>
        <v>0.89352758941183197</v>
      </c>
      <c r="S41" s="828">
        <f t="shared" si="11"/>
        <v>0.86945672970216725</v>
      </c>
      <c r="T41" s="828">
        <f t="shared" si="11"/>
        <v>0.81332972123522873</v>
      </c>
      <c r="U41" s="828">
        <f t="shared" si="11"/>
        <v>0.80632661124895677</v>
      </c>
      <c r="V41" s="828">
        <f t="shared" si="11"/>
        <v>0.83017087838800463</v>
      </c>
      <c r="W41" s="828">
        <f t="shared" si="11"/>
        <v>0.82038211891631441</v>
      </c>
      <c r="X41" s="828">
        <f t="shared" si="11"/>
        <v>0.80656924731321311</v>
      </c>
      <c r="Y41" s="828">
        <f t="shared" si="11"/>
        <v>0.76793350861847998</v>
      </c>
      <c r="Z41" s="828">
        <f t="shared" si="11"/>
        <v>0.74635206744867466</v>
      </c>
      <c r="AA41" s="823"/>
      <c r="AB41" s="823"/>
      <c r="AC41" s="754"/>
      <c r="AD41" s="754"/>
      <c r="AE41" s="754"/>
      <c r="AF41" s="754"/>
      <c r="AG41" s="754"/>
      <c r="AH41" s="754"/>
      <c r="AI41" s="754"/>
      <c r="AJ41" s="754"/>
      <c r="AK41" s="754"/>
      <c r="AL41" s="754"/>
      <c r="AM41" s="754"/>
      <c r="AN41" s="754"/>
      <c r="AO41" s="754"/>
      <c r="AP41" s="754"/>
      <c r="AQ41" s="754"/>
      <c r="AR41" s="754"/>
      <c r="AS41" s="754"/>
      <c r="AT41" s="754"/>
      <c r="AU41" s="754"/>
      <c r="AV41" s="754"/>
      <c r="AW41" s="754"/>
      <c r="AX41" s="754"/>
      <c r="AY41" s="754"/>
      <c r="AZ41" s="754"/>
      <c r="BA41" s="754"/>
      <c r="BB41" s="754"/>
    </row>
    <row r="42" spans="1:54" s="760" customFormat="1">
      <c r="A42" s="755"/>
      <c r="B42" s="756"/>
      <c r="C42" s="757"/>
      <c r="D42" s="757"/>
      <c r="E42" s="757"/>
      <c r="F42" s="757"/>
      <c r="G42" s="757"/>
      <c r="H42" s="758"/>
      <c r="I42" s="758"/>
      <c r="J42" s="758"/>
      <c r="K42" s="758"/>
      <c r="L42" s="758"/>
      <c r="M42" s="758"/>
      <c r="N42" s="758"/>
      <c r="O42" s="758"/>
      <c r="P42" s="761"/>
      <c r="Q42" s="758"/>
      <c r="R42" s="758"/>
      <c r="S42" s="759"/>
      <c r="T42" s="759"/>
      <c r="U42" s="759"/>
      <c r="V42" s="759"/>
      <c r="W42" s="759"/>
      <c r="X42" s="759"/>
      <c r="Y42" s="759"/>
      <c r="Z42" s="759"/>
      <c r="AA42" s="759"/>
      <c r="AB42" s="759"/>
      <c r="AC42" s="759"/>
      <c r="AD42" s="759"/>
      <c r="AE42" s="759"/>
      <c r="AF42" s="759"/>
      <c r="AG42" s="759"/>
      <c r="AH42" s="759"/>
      <c r="AI42" s="759"/>
      <c r="AJ42" s="759"/>
      <c r="AK42" s="759"/>
      <c r="AL42" s="759"/>
      <c r="AM42" s="759"/>
      <c r="AN42" s="759"/>
      <c r="AO42" s="759"/>
      <c r="AP42" s="759"/>
      <c r="AQ42" s="759"/>
      <c r="AR42" s="759"/>
      <c r="AS42" s="759"/>
      <c r="AT42" s="759"/>
      <c r="AU42" s="759"/>
      <c r="AV42" s="759"/>
      <c r="AW42" s="759"/>
      <c r="AX42" s="759"/>
      <c r="AY42" s="759"/>
      <c r="AZ42" s="759"/>
      <c r="BA42" s="759"/>
      <c r="BB42" s="759"/>
    </row>
    <row r="43" spans="1:54" s="760" customFormat="1">
      <c r="A43" s="702">
        <v>2</v>
      </c>
      <c r="B43" s="708" t="s">
        <v>740</v>
      </c>
      <c r="C43" s="757"/>
      <c r="D43" s="757"/>
      <c r="E43" s="757"/>
      <c r="F43" s="757"/>
      <c r="G43" s="757"/>
      <c r="H43" s="758"/>
      <c r="I43" s="758"/>
      <c r="J43" s="758"/>
      <c r="K43" s="758"/>
      <c r="L43" s="758"/>
      <c r="M43" s="758"/>
      <c r="N43" s="758"/>
      <c r="O43" s="758"/>
      <c r="P43" s="761"/>
      <c r="Q43" s="758"/>
      <c r="R43" s="758"/>
      <c r="S43" s="759"/>
      <c r="T43" s="759"/>
      <c r="U43" s="759"/>
      <c r="V43" s="759"/>
      <c r="W43" s="759"/>
      <c r="X43" s="759"/>
      <c r="Y43" s="759"/>
      <c r="Z43" s="759"/>
      <c r="AA43" s="759"/>
      <c r="AB43" s="759"/>
      <c r="AC43" s="759"/>
      <c r="AD43" s="759"/>
      <c r="AE43" s="759"/>
      <c r="AF43" s="759"/>
      <c r="AG43" s="759"/>
      <c r="AH43" s="759"/>
      <c r="AI43" s="759"/>
      <c r="AJ43" s="759"/>
      <c r="AK43" s="759"/>
      <c r="AL43" s="759"/>
      <c r="AM43" s="759"/>
      <c r="AN43" s="759"/>
      <c r="AO43" s="759"/>
      <c r="AP43" s="759"/>
      <c r="AQ43" s="759"/>
      <c r="AR43" s="759"/>
      <c r="AS43" s="759"/>
      <c r="AT43" s="759"/>
      <c r="AU43" s="759"/>
      <c r="AV43" s="759"/>
      <c r="AW43" s="759"/>
      <c r="AX43" s="759"/>
      <c r="AY43" s="759"/>
      <c r="AZ43" s="759"/>
      <c r="BA43" s="759"/>
      <c r="BB43" s="759"/>
    </row>
    <row r="44" spans="1:54" s="732" customFormat="1">
      <c r="A44" s="748"/>
      <c r="B44" s="709" t="s">
        <v>1250</v>
      </c>
      <c r="C44" s="751"/>
      <c r="D44" s="751"/>
      <c r="E44" s="751"/>
      <c r="F44" s="751"/>
      <c r="G44" s="751"/>
      <c r="H44" s="752"/>
      <c r="I44" s="752"/>
      <c r="J44" s="724"/>
      <c r="K44" s="724"/>
      <c r="L44" s="724"/>
      <c r="M44" s="724"/>
      <c r="N44" s="724"/>
      <c r="O44" s="724"/>
      <c r="P44" s="801">
        <f>P39/P31</f>
        <v>12.524664830119372</v>
      </c>
      <c r="Q44" s="801">
        <f t="shared" ref="Q44:Z44" si="12">Q39/Q31</f>
        <v>12.3315491599203</v>
      </c>
      <c r="R44" s="801">
        <f t="shared" si="12"/>
        <v>12.825218562622146</v>
      </c>
      <c r="S44" s="801">
        <f t="shared" si="12"/>
        <v>13.478095739868767</v>
      </c>
      <c r="T44" s="801">
        <f t="shared" si="12"/>
        <v>15.633956228918832</v>
      </c>
      <c r="U44" s="801">
        <f t="shared" si="12"/>
        <v>14.259394004619349</v>
      </c>
      <c r="V44" s="801">
        <f t="shared" si="12"/>
        <v>13.506580091085818</v>
      </c>
      <c r="W44" s="801">
        <f t="shared" si="12"/>
        <v>13.614266923302322</v>
      </c>
      <c r="X44" s="801">
        <f t="shared" si="12"/>
        <v>13.518892305880396</v>
      </c>
      <c r="Y44" s="801">
        <f t="shared" si="12"/>
        <v>13.000032594881752</v>
      </c>
      <c r="Z44" s="801">
        <f t="shared" si="12"/>
        <v>13.266423655118903</v>
      </c>
      <c r="AA44" s="725"/>
      <c r="AB44" s="725"/>
      <c r="AC44" s="725"/>
      <c r="AD44" s="725"/>
      <c r="AE44" s="725"/>
      <c r="AF44" s="725"/>
      <c r="AG44" s="725"/>
      <c r="AH44" s="725"/>
      <c r="AI44" s="725"/>
      <c r="AJ44" s="725"/>
      <c r="AK44" s="725"/>
      <c r="AL44" s="725"/>
      <c r="AM44" s="725"/>
      <c r="AN44" s="725"/>
      <c r="AO44" s="725"/>
      <c r="AP44" s="725"/>
      <c r="AQ44" s="725"/>
      <c r="AR44" s="725"/>
      <c r="AS44" s="725"/>
      <c r="AT44" s="725"/>
      <c r="AU44" s="725"/>
      <c r="AV44" s="725"/>
      <c r="AW44" s="725"/>
      <c r="AX44" s="725"/>
      <c r="AY44" s="725"/>
      <c r="AZ44" s="725"/>
      <c r="BA44" s="725"/>
      <c r="BB44" s="725"/>
    </row>
    <row r="45" spans="1:54" s="732" customFormat="1">
      <c r="A45" s="748"/>
      <c r="B45" s="711" t="s">
        <v>734</v>
      </c>
      <c r="C45" s="806"/>
      <c r="D45" s="806"/>
      <c r="E45" s="806"/>
      <c r="F45" s="806"/>
      <c r="G45" s="806"/>
      <c r="H45" s="807"/>
      <c r="I45" s="807"/>
      <c r="J45" s="808"/>
      <c r="K45" s="808"/>
      <c r="L45" s="808"/>
      <c r="M45" s="808"/>
      <c r="N45" s="808"/>
      <c r="O45" s="807"/>
      <c r="P45" s="809"/>
      <c r="Q45" s="752"/>
      <c r="R45" s="805"/>
      <c r="S45" s="810"/>
      <c r="T45" s="810"/>
      <c r="U45" s="810"/>
      <c r="V45" s="810"/>
      <c r="W45" s="810"/>
      <c r="X45" s="810"/>
      <c r="Y45" s="810"/>
      <c r="Z45" s="810"/>
      <c r="AA45" s="810"/>
      <c r="AB45" s="810"/>
      <c r="AC45" s="810"/>
      <c r="AD45" s="810"/>
      <c r="AE45" s="810"/>
      <c r="AF45" s="810"/>
      <c r="AG45" s="810"/>
      <c r="AH45" s="810"/>
      <c r="AI45" s="810"/>
      <c r="AJ45" s="810"/>
      <c r="AK45" s="810"/>
      <c r="AL45" s="810"/>
      <c r="AM45" s="810"/>
      <c r="AN45" s="810"/>
      <c r="AO45" s="810"/>
      <c r="AP45" s="810"/>
      <c r="AQ45" s="810"/>
      <c r="AR45" s="810"/>
      <c r="AS45" s="810"/>
      <c r="AT45" s="810"/>
      <c r="AU45" s="810"/>
      <c r="AV45" s="810"/>
      <c r="AW45" s="810"/>
      <c r="AX45" s="810"/>
      <c r="AY45" s="810"/>
      <c r="AZ45" s="810"/>
      <c r="BA45" s="810"/>
      <c r="BB45" s="810"/>
    </row>
    <row r="46" spans="1:54" s="760" customFormat="1">
      <c r="A46" s="755"/>
      <c r="B46" s="756"/>
      <c r="C46" s="757"/>
      <c r="D46" s="757"/>
      <c r="E46" s="757"/>
      <c r="F46" s="757"/>
      <c r="G46" s="757"/>
      <c r="H46" s="758"/>
      <c r="I46" s="758"/>
      <c r="J46" s="758"/>
      <c r="K46" s="758"/>
      <c r="L46" s="758"/>
      <c r="M46" s="758"/>
      <c r="N46" s="758"/>
      <c r="O46" s="758"/>
      <c r="P46" s="761"/>
      <c r="Q46" s="758"/>
      <c r="R46" s="758"/>
      <c r="S46" s="759"/>
      <c r="T46" s="759"/>
      <c r="U46" s="759"/>
      <c r="V46" s="759"/>
      <c r="W46" s="759"/>
      <c r="X46" s="759"/>
      <c r="Y46" s="759"/>
      <c r="Z46" s="759"/>
      <c r="AA46" s="759"/>
      <c r="AB46" s="759"/>
      <c r="AC46" s="759"/>
      <c r="AD46" s="759"/>
      <c r="AE46" s="759"/>
      <c r="AF46" s="759"/>
      <c r="AG46" s="759"/>
      <c r="AH46" s="759"/>
      <c r="AI46" s="759"/>
      <c r="AJ46" s="759"/>
      <c r="AK46" s="759"/>
      <c r="AL46" s="759"/>
      <c r="AM46" s="759"/>
      <c r="AN46" s="759"/>
      <c r="AO46" s="759"/>
      <c r="AP46" s="759"/>
      <c r="AQ46" s="759"/>
      <c r="AR46" s="759"/>
      <c r="AS46" s="759"/>
      <c r="AT46" s="759"/>
      <c r="AU46" s="759"/>
      <c r="AV46" s="759"/>
      <c r="AW46" s="759"/>
      <c r="AX46" s="759"/>
      <c r="AY46" s="759"/>
      <c r="AZ46" s="759"/>
      <c r="BA46" s="759"/>
      <c r="BB46" s="759"/>
    </row>
    <row r="47" spans="1:54" s="760" customFormat="1">
      <c r="A47" s="811">
        <v>3</v>
      </c>
      <c r="B47" s="708" t="s">
        <v>741</v>
      </c>
      <c r="C47" s="757"/>
      <c r="D47" s="757"/>
      <c r="E47" s="757"/>
      <c r="F47" s="757"/>
      <c r="G47" s="757"/>
      <c r="H47" s="758"/>
      <c r="I47" s="758"/>
      <c r="J47" s="758"/>
      <c r="K47" s="758"/>
      <c r="L47" s="758"/>
      <c r="M47" s="758"/>
      <c r="N47" s="758"/>
      <c r="O47" s="758"/>
      <c r="P47" s="761"/>
      <c r="Q47" s="758"/>
      <c r="R47" s="758"/>
      <c r="S47" s="759"/>
      <c r="T47" s="759"/>
      <c r="U47" s="759"/>
      <c r="V47" s="759"/>
      <c r="W47" s="759"/>
      <c r="X47" s="759"/>
      <c r="Y47" s="759"/>
      <c r="Z47" s="759"/>
      <c r="AA47" s="759"/>
      <c r="AB47" s="759"/>
      <c r="AC47" s="759"/>
      <c r="AD47" s="759"/>
      <c r="AE47" s="759"/>
      <c r="AF47" s="759"/>
      <c r="AG47" s="759"/>
      <c r="AH47" s="759"/>
      <c r="AI47" s="759"/>
      <c r="AJ47" s="759"/>
      <c r="AK47" s="759"/>
      <c r="AL47" s="759"/>
      <c r="AM47" s="759"/>
      <c r="AN47" s="759"/>
      <c r="AO47" s="759"/>
      <c r="AP47" s="759"/>
      <c r="AQ47" s="759"/>
      <c r="AR47" s="759"/>
      <c r="AS47" s="759"/>
      <c r="AT47" s="759"/>
      <c r="AU47" s="759"/>
      <c r="AV47" s="759"/>
      <c r="AW47" s="759"/>
      <c r="AX47" s="759"/>
      <c r="AY47" s="759"/>
      <c r="AZ47" s="759"/>
      <c r="BA47" s="759"/>
      <c r="BB47" s="759"/>
    </row>
    <row r="48" spans="1:54" s="693" customFormat="1" ht="16.5" customHeight="1">
      <c r="A48" s="692"/>
      <c r="B48" s="709" t="s">
        <v>1250</v>
      </c>
      <c r="I48" s="710"/>
      <c r="J48" s="710"/>
      <c r="K48" s="710"/>
      <c r="L48" s="710"/>
      <c r="M48" s="710"/>
      <c r="N48" s="710"/>
      <c r="O48" s="743"/>
      <c r="P48" s="744"/>
      <c r="Q48" s="730">
        <f>Q39/P39-1</f>
        <v>0.17568279977991885</v>
      </c>
      <c r="R48" s="730">
        <f t="shared" ref="R48:Z48" si="13">R39/Q39-1</f>
        <v>0.13111317187442184</v>
      </c>
      <c r="S48" s="730">
        <f t="shared" si="13"/>
        <v>0.208541595230336</v>
      </c>
      <c r="T48" s="730">
        <f t="shared" si="13"/>
        <v>0.30786435836900328</v>
      </c>
      <c r="U48" s="730">
        <f t="shared" si="13"/>
        <v>5.3450568376978813E-2</v>
      </c>
      <c r="V48" s="730">
        <f t="shared" si="13"/>
        <v>-3.4294641360324118E-2</v>
      </c>
      <c r="W48" s="730">
        <f t="shared" si="13"/>
        <v>0.14812343195964028</v>
      </c>
      <c r="X48" s="730">
        <f t="shared" si="13"/>
        <v>9.5086658349531561E-2</v>
      </c>
      <c r="Y48" s="730">
        <f t="shared" si="13"/>
        <v>4.3928517247403986E-2</v>
      </c>
      <c r="Z48" s="730">
        <f t="shared" si="13"/>
        <v>0.13150469458216762</v>
      </c>
      <c r="AA48" s="745"/>
      <c r="AB48" s="745"/>
      <c r="AC48" s="745"/>
      <c r="AD48" s="745"/>
      <c r="AE48" s="745"/>
      <c r="AF48" s="745"/>
      <c r="AG48" s="745"/>
      <c r="AH48" s="745"/>
      <c r="AI48" s="745"/>
      <c r="AJ48" s="745"/>
      <c r="AK48" s="745"/>
      <c r="AL48" s="745"/>
      <c r="AM48" s="745"/>
      <c r="AN48" s="745"/>
      <c r="AO48" s="745"/>
      <c r="AP48" s="745"/>
      <c r="AQ48" s="745"/>
      <c r="AR48" s="745"/>
      <c r="AS48" s="745"/>
      <c r="AT48" s="745"/>
      <c r="AU48" s="745"/>
      <c r="AV48" s="745"/>
      <c r="AW48" s="745"/>
      <c r="AX48" s="745"/>
      <c r="AY48" s="745"/>
      <c r="AZ48" s="745"/>
      <c r="BA48" s="745"/>
      <c r="BB48" s="745"/>
    </row>
    <row r="49" spans="1:54" s="732" customFormat="1">
      <c r="A49" s="748"/>
      <c r="B49" s="711" t="s">
        <v>734</v>
      </c>
      <c r="C49" s="806"/>
      <c r="D49" s="806"/>
      <c r="E49" s="806"/>
      <c r="F49" s="806"/>
      <c r="G49" s="806"/>
      <c r="H49" s="807"/>
      <c r="I49" s="807"/>
      <c r="J49" s="807"/>
      <c r="K49" s="807"/>
      <c r="L49" s="807"/>
      <c r="M49" s="807"/>
      <c r="N49" s="807"/>
      <c r="O49" s="807"/>
      <c r="P49" s="809"/>
      <c r="Q49" s="752"/>
      <c r="R49" s="805"/>
      <c r="S49" s="810"/>
      <c r="T49" s="810"/>
      <c r="U49" s="810"/>
      <c r="V49" s="810"/>
      <c r="W49" s="810"/>
      <c r="X49" s="810"/>
      <c r="Y49" s="810"/>
      <c r="Z49" s="810"/>
      <c r="AA49" s="810"/>
      <c r="AB49" s="810"/>
      <c r="AC49" s="810"/>
      <c r="AD49" s="810"/>
      <c r="AE49" s="810"/>
      <c r="AF49" s="810"/>
      <c r="AG49" s="810"/>
      <c r="AH49" s="810"/>
      <c r="AI49" s="810"/>
      <c r="AJ49" s="810"/>
      <c r="AK49" s="810"/>
      <c r="AL49" s="810"/>
      <c r="AM49" s="810"/>
      <c r="AN49" s="810"/>
      <c r="AO49" s="810"/>
      <c r="AP49" s="810"/>
      <c r="AQ49" s="810"/>
      <c r="AR49" s="810"/>
      <c r="AS49" s="810"/>
      <c r="AT49" s="810"/>
      <c r="AU49" s="810"/>
      <c r="AV49" s="810"/>
      <c r="AW49" s="810"/>
      <c r="AX49" s="810"/>
      <c r="AY49" s="810"/>
      <c r="AZ49" s="810"/>
      <c r="BA49" s="810"/>
      <c r="BB49" s="810"/>
    </row>
    <row r="50" spans="1:54" s="760" customFormat="1">
      <c r="A50" s="755"/>
      <c r="B50" s="756"/>
      <c r="C50" s="757"/>
      <c r="D50" s="757"/>
      <c r="E50" s="757"/>
      <c r="F50" s="757"/>
      <c r="G50" s="757"/>
      <c r="H50" s="758"/>
      <c r="I50" s="758"/>
      <c r="J50" s="758"/>
      <c r="K50" s="758"/>
      <c r="L50" s="758"/>
      <c r="M50" s="758"/>
      <c r="N50" s="758"/>
      <c r="O50" s="758"/>
      <c r="P50" s="761"/>
      <c r="Q50" s="758"/>
      <c r="R50" s="758"/>
      <c r="S50" s="759"/>
      <c r="T50" s="759"/>
      <c r="U50" s="759"/>
      <c r="V50" s="759"/>
      <c r="W50" s="759"/>
      <c r="X50" s="759"/>
      <c r="Y50" s="759"/>
      <c r="Z50" s="759"/>
      <c r="AA50" s="759"/>
      <c r="AB50" s="759"/>
      <c r="AC50" s="759"/>
      <c r="AD50" s="759"/>
      <c r="AE50" s="759"/>
      <c r="AF50" s="759"/>
      <c r="AG50" s="759"/>
      <c r="AH50" s="759"/>
      <c r="AI50" s="759"/>
      <c r="AJ50" s="759"/>
      <c r="AK50" s="759"/>
      <c r="AL50" s="759"/>
      <c r="AM50" s="759"/>
      <c r="AN50" s="759"/>
      <c r="AO50" s="759"/>
      <c r="AP50" s="759"/>
      <c r="AQ50" s="759"/>
      <c r="AR50" s="759"/>
      <c r="AS50" s="759"/>
      <c r="AT50" s="759"/>
      <c r="AU50" s="759"/>
      <c r="AV50" s="759"/>
      <c r="AW50" s="759"/>
      <c r="AX50" s="759"/>
      <c r="AY50" s="759"/>
      <c r="AZ50" s="759"/>
      <c r="BA50" s="759"/>
      <c r="BB50" s="759"/>
    </row>
    <row r="51" spans="1:54">
      <c r="B51" s="703" t="s">
        <v>735</v>
      </c>
      <c r="C51" s="704"/>
      <c r="D51" s="704"/>
      <c r="E51" s="704"/>
      <c r="F51" s="704"/>
      <c r="G51" s="704"/>
      <c r="H51" s="704"/>
      <c r="I51" s="704"/>
      <c r="J51" s="704"/>
      <c r="K51" s="704"/>
      <c r="L51" s="704"/>
      <c r="M51" s="704"/>
      <c r="N51" s="704"/>
      <c r="O51" s="704"/>
      <c r="P51" s="705"/>
      <c r="Q51" s="704"/>
      <c r="R51" s="704"/>
      <c r="S51" s="704"/>
      <c r="T51" s="704"/>
      <c r="U51" s="704"/>
      <c r="V51" s="704"/>
      <c r="W51" s="704"/>
      <c r="X51" s="704"/>
      <c r="Y51" s="704"/>
      <c r="Z51" s="704"/>
      <c r="AA51" s="704"/>
      <c r="AB51" s="704"/>
      <c r="AC51" s="704"/>
      <c r="AD51" s="704"/>
      <c r="AE51" s="704"/>
      <c r="AF51" s="704"/>
      <c r="AG51" s="704"/>
      <c r="AH51" s="704"/>
      <c r="AI51" s="704"/>
      <c r="AJ51" s="704"/>
      <c r="AK51" s="704"/>
      <c r="AL51" s="704"/>
      <c r="AM51" s="704"/>
      <c r="AN51" s="704"/>
      <c r="AO51" s="704"/>
      <c r="AP51" s="704"/>
      <c r="AQ51" s="704"/>
      <c r="AR51" s="704"/>
      <c r="AS51" s="704"/>
      <c r="AT51" s="704"/>
      <c r="AU51" s="704"/>
      <c r="AV51" s="704"/>
      <c r="AW51" s="704"/>
      <c r="AX51" s="704"/>
      <c r="AY51" s="704"/>
      <c r="AZ51" s="704"/>
      <c r="BA51" s="704"/>
      <c r="BB51" s="704"/>
    </row>
    <row r="52" spans="1:54">
      <c r="B52" s="763"/>
      <c r="N52" s="706"/>
      <c r="O52" s="706"/>
      <c r="P52" s="707"/>
      <c r="Q52" s="706"/>
      <c r="R52" s="706"/>
      <c r="S52" s="706"/>
    </row>
    <row r="53" spans="1:54">
      <c r="A53" s="702">
        <v>1</v>
      </c>
      <c r="B53" s="708" t="s">
        <v>736</v>
      </c>
      <c r="N53" s="706"/>
      <c r="O53" s="706"/>
      <c r="P53" s="707"/>
      <c r="Q53" s="706"/>
      <c r="R53" s="706"/>
      <c r="S53" s="706"/>
    </row>
    <row r="54" spans="1:54" s="732" customFormat="1">
      <c r="A54" s="748"/>
      <c r="B54" s="709" t="s">
        <v>1250</v>
      </c>
      <c r="J54" s="801"/>
      <c r="K54" s="801"/>
      <c r="L54" s="801"/>
      <c r="M54" s="801"/>
      <c r="N54" s="801"/>
      <c r="O54" s="801"/>
      <c r="P54" s="802">
        <f>-26.35</f>
        <v>-26.35</v>
      </c>
      <c r="Q54" s="823">
        <f t="shared" ref="Q54:Z54" si="14">Q9*Q59</f>
        <v>162.46573091911918</v>
      </c>
      <c r="R54" s="823">
        <f t="shared" si="14"/>
        <v>183.71231189502993</v>
      </c>
      <c r="S54" s="823">
        <f t="shared" si="14"/>
        <v>279.75461505462368</v>
      </c>
      <c r="T54" s="823">
        <f t="shared" si="14"/>
        <v>559.29634683678808</v>
      </c>
      <c r="U54" s="823">
        <f t="shared" si="14"/>
        <v>616.60432944647187</v>
      </c>
      <c r="V54" s="823">
        <f t="shared" si="14"/>
        <v>507.15057387091292</v>
      </c>
      <c r="W54" s="823">
        <f t="shared" si="14"/>
        <v>623.18101750750748</v>
      </c>
      <c r="X54" s="823">
        <f t="shared" si="14"/>
        <v>747.50341903662991</v>
      </c>
      <c r="Y54" s="823">
        <f t="shared" si="14"/>
        <v>983.30647801295117</v>
      </c>
      <c r="Z54" s="823">
        <f t="shared" si="14"/>
        <v>1251.2498235311793</v>
      </c>
      <c r="AA54" s="823"/>
      <c r="AB54" s="823"/>
      <c r="AC54" s="764"/>
      <c r="AD54" s="764"/>
      <c r="AE54" s="764"/>
      <c r="AF54" s="764"/>
      <c r="AG54" s="764"/>
      <c r="AH54" s="764"/>
      <c r="AI54" s="764"/>
      <c r="AJ54" s="764"/>
      <c r="AK54" s="764"/>
      <c r="AL54" s="764"/>
      <c r="AM54" s="764"/>
      <c r="AN54" s="764"/>
      <c r="AO54" s="764"/>
      <c r="AP54" s="764"/>
      <c r="AQ54" s="764"/>
      <c r="AR54" s="764"/>
      <c r="AS54" s="764"/>
      <c r="AT54" s="764"/>
      <c r="AU54" s="764"/>
      <c r="AV54" s="764"/>
      <c r="AW54" s="764"/>
      <c r="AX54" s="764"/>
      <c r="AY54" s="764"/>
      <c r="AZ54" s="764"/>
      <c r="BA54" s="764"/>
      <c r="BB54" s="764"/>
    </row>
    <row r="55" spans="1:54" s="729" customFormat="1">
      <c r="A55" s="747"/>
      <c r="B55" s="711" t="s">
        <v>734</v>
      </c>
      <c r="C55" s="749"/>
      <c r="D55" s="749"/>
      <c r="E55" s="749"/>
      <c r="F55" s="749"/>
      <c r="G55" s="749"/>
      <c r="H55" s="749"/>
      <c r="I55" s="749"/>
      <c r="J55" s="812"/>
      <c r="K55" s="812"/>
      <c r="L55" s="812"/>
      <c r="M55" s="812"/>
      <c r="N55" s="812"/>
      <c r="O55" s="812"/>
      <c r="P55" s="813">
        <f>P54</f>
        <v>-26.35</v>
      </c>
      <c r="Q55" s="971">
        <f>Q54</f>
        <v>162.46573091911918</v>
      </c>
      <c r="R55" s="971">
        <f t="shared" ref="R55:Z55" si="15">R54</f>
        <v>183.71231189502993</v>
      </c>
      <c r="S55" s="971">
        <f t="shared" si="15"/>
        <v>279.75461505462368</v>
      </c>
      <c r="T55" s="971">
        <f t="shared" si="15"/>
        <v>559.29634683678808</v>
      </c>
      <c r="U55" s="971">
        <f t="shared" si="15"/>
        <v>616.60432944647187</v>
      </c>
      <c r="V55" s="971">
        <f t="shared" si="15"/>
        <v>507.15057387091292</v>
      </c>
      <c r="W55" s="971">
        <f t="shared" si="15"/>
        <v>623.18101750750748</v>
      </c>
      <c r="X55" s="971">
        <f t="shared" si="15"/>
        <v>747.50341903662991</v>
      </c>
      <c r="Y55" s="971">
        <f t="shared" si="15"/>
        <v>983.30647801295117</v>
      </c>
      <c r="Z55" s="971">
        <f t="shared" si="15"/>
        <v>1251.2498235311793</v>
      </c>
      <c r="AA55" s="824"/>
      <c r="AB55" s="824"/>
      <c r="AC55" s="814"/>
      <c r="AD55" s="814"/>
      <c r="AE55" s="814"/>
      <c r="AF55" s="814"/>
      <c r="AG55" s="814"/>
      <c r="AH55" s="814"/>
      <c r="AI55" s="814"/>
      <c r="AJ55" s="814"/>
      <c r="AK55" s="814"/>
      <c r="AL55" s="814"/>
      <c r="AM55" s="814"/>
      <c r="AN55" s="814"/>
      <c r="AO55" s="814"/>
      <c r="AP55" s="814"/>
      <c r="AQ55" s="814"/>
      <c r="AR55" s="814"/>
      <c r="AS55" s="814"/>
      <c r="AT55" s="814"/>
      <c r="AU55" s="814"/>
      <c r="AV55" s="814"/>
      <c r="AW55" s="814"/>
      <c r="AX55" s="814"/>
      <c r="AY55" s="814"/>
      <c r="AZ55" s="814"/>
      <c r="BA55" s="814"/>
      <c r="BB55" s="814"/>
    </row>
    <row r="56" spans="1:54" s="693" customFormat="1">
      <c r="A56" s="692"/>
      <c r="B56" s="693" t="s">
        <v>382</v>
      </c>
      <c r="P56" s="815"/>
      <c r="Q56" s="825"/>
      <c r="R56" s="825"/>
      <c r="S56" s="825"/>
      <c r="T56" s="825"/>
      <c r="U56" s="825"/>
      <c r="V56" s="825"/>
      <c r="W56" s="825"/>
      <c r="X56" s="825"/>
      <c r="Y56" s="825"/>
      <c r="Z56" s="825"/>
      <c r="AA56" s="825"/>
      <c r="AB56" s="825"/>
      <c r="AC56" s="825"/>
    </row>
    <row r="57" spans="1:54">
      <c r="N57" s="765"/>
      <c r="P57" s="767"/>
      <c r="Q57" s="826"/>
      <c r="R57" s="826"/>
      <c r="S57" s="826"/>
      <c r="T57" s="826"/>
      <c r="U57" s="826"/>
      <c r="V57" s="826"/>
      <c r="W57" s="826"/>
      <c r="X57" s="826"/>
      <c r="Y57" s="826"/>
      <c r="Z57" s="826"/>
      <c r="AA57" s="826"/>
      <c r="AB57" s="826"/>
      <c r="AC57" s="826"/>
      <c r="AD57" s="766"/>
      <c r="AE57" s="766"/>
      <c r="AF57" s="766"/>
      <c r="AG57" s="766"/>
      <c r="AH57" s="766"/>
      <c r="AI57" s="766"/>
      <c r="AJ57" s="766"/>
      <c r="AK57" s="766"/>
      <c r="AL57" s="766"/>
      <c r="AM57" s="766"/>
      <c r="AN57" s="766"/>
      <c r="AO57" s="766"/>
      <c r="AP57" s="766"/>
      <c r="AQ57" s="766"/>
      <c r="AR57" s="766"/>
      <c r="AS57" s="766"/>
      <c r="AT57" s="766"/>
      <c r="AU57" s="766"/>
      <c r="AV57" s="766"/>
      <c r="AW57" s="766"/>
      <c r="AX57" s="766"/>
      <c r="AY57" s="766"/>
      <c r="AZ57" s="766"/>
      <c r="BA57" s="766"/>
      <c r="BB57" s="766"/>
    </row>
    <row r="58" spans="1:54">
      <c r="A58" s="702">
        <v>2</v>
      </c>
      <c r="B58" s="708" t="s">
        <v>737</v>
      </c>
      <c r="N58" s="706"/>
      <c r="O58" s="706"/>
      <c r="P58" s="707"/>
      <c r="Q58" s="827"/>
      <c r="R58" s="827"/>
      <c r="S58" s="827"/>
      <c r="T58" s="827"/>
      <c r="U58" s="827"/>
      <c r="V58" s="827"/>
      <c r="W58" s="827"/>
      <c r="X58" s="827"/>
      <c r="Y58" s="827"/>
      <c r="Z58" s="827"/>
      <c r="AA58" s="827"/>
      <c r="AB58" s="827"/>
      <c r="AC58" s="827"/>
    </row>
    <row r="59" spans="1:54" s="732" customFormat="1">
      <c r="A59" s="748"/>
      <c r="B59" s="709" t="s">
        <v>1250</v>
      </c>
      <c r="J59" s="816"/>
      <c r="K59" s="816"/>
      <c r="L59" s="816"/>
      <c r="M59" s="816"/>
      <c r="N59" s="816"/>
      <c r="O59" s="816"/>
      <c r="P59" s="817">
        <f>P54/P9</f>
        <v>-2.3256930565308469E-2</v>
      </c>
      <c r="Q59" s="972">
        <f>'Doanh thu DCM'!J263/1.8</f>
        <v>0.10650079650437669</v>
      </c>
      <c r="R59" s="972">
        <f>'Doanh thu DCM'!K263/1.5</f>
        <v>0.1064724105881681</v>
      </c>
      <c r="S59" s="972">
        <f>'Doanh thu DCM'!L263/1.7</f>
        <v>0.1305432702978328</v>
      </c>
      <c r="T59" s="972">
        <f>'Doanh thu DCM'!M263/1.7</f>
        <v>0.1866702787647713</v>
      </c>
      <c r="U59" s="972">
        <f>'Doanh thu DCM'!N263/1.5</f>
        <v>0.19367338875104315</v>
      </c>
      <c r="V59" s="972">
        <f>'Doanh thu DCM'!O263/1.5</f>
        <v>0.1698291216119954</v>
      </c>
      <c r="W59" s="972">
        <f>'Doanh thu DCM'!P263/1.3</f>
        <v>0.17961788108368562</v>
      </c>
      <c r="X59" s="972">
        <f>'Doanh thu DCM'!Q263/1.3</f>
        <v>0.19343075268678689</v>
      </c>
      <c r="Y59" s="972">
        <f>'Doanh thu DCM'!R263/1.1</f>
        <v>0.23206649138151997</v>
      </c>
      <c r="Z59" s="972">
        <f>'Doanh thu DCM'!S263/1</f>
        <v>0.25364793255132528</v>
      </c>
      <c r="AA59" s="972"/>
      <c r="AB59" s="972"/>
      <c r="AC59" s="805"/>
      <c r="AD59" s="805"/>
      <c r="AE59" s="805"/>
      <c r="AF59" s="805"/>
      <c r="AG59" s="805"/>
      <c r="AH59" s="805"/>
      <c r="AI59" s="805"/>
      <c r="AJ59" s="805"/>
      <c r="AK59" s="805"/>
      <c r="AL59" s="805"/>
      <c r="AM59" s="805"/>
      <c r="AN59" s="805"/>
      <c r="AO59" s="805"/>
      <c r="AP59" s="805"/>
      <c r="AQ59" s="805"/>
      <c r="AR59" s="805"/>
      <c r="AS59" s="805"/>
      <c r="AT59" s="805"/>
      <c r="AU59" s="805"/>
      <c r="AV59" s="805"/>
      <c r="AW59" s="805"/>
      <c r="AX59" s="805"/>
      <c r="AY59" s="805"/>
      <c r="AZ59" s="805"/>
      <c r="BA59" s="805"/>
      <c r="BB59" s="805"/>
    </row>
    <row r="60" spans="1:54" s="729" customFormat="1">
      <c r="A60" s="747"/>
      <c r="B60" s="768" t="s">
        <v>583</v>
      </c>
      <c r="C60" s="749"/>
      <c r="D60" s="749"/>
      <c r="E60" s="749"/>
      <c r="F60" s="749"/>
      <c r="G60" s="749"/>
      <c r="H60" s="749"/>
      <c r="I60" s="749"/>
      <c r="J60" s="722"/>
      <c r="K60" s="722"/>
      <c r="L60" s="722"/>
      <c r="M60" s="722"/>
      <c r="N60" s="722"/>
      <c r="O60" s="722"/>
      <c r="P60" s="733"/>
      <c r="Q60" s="957">
        <f>Q55/Q10</f>
        <v>0.10650079650437669</v>
      </c>
      <c r="R60" s="957">
        <f t="shared" ref="R60:Z60" si="16">R55/R10</f>
        <v>0.10647241058816811</v>
      </c>
      <c r="S60" s="957">
        <f t="shared" si="16"/>
        <v>0.1305432702978328</v>
      </c>
      <c r="T60" s="957">
        <f t="shared" si="16"/>
        <v>0.18667027876477127</v>
      </c>
      <c r="U60" s="957">
        <f t="shared" si="16"/>
        <v>0.19367338875104315</v>
      </c>
      <c r="V60" s="957">
        <f t="shared" si="16"/>
        <v>0.1698291216119954</v>
      </c>
      <c r="W60" s="957">
        <f t="shared" si="16"/>
        <v>0.17961788108368562</v>
      </c>
      <c r="X60" s="957">
        <f t="shared" si="16"/>
        <v>0.19343075268678689</v>
      </c>
      <c r="Y60" s="957">
        <f t="shared" si="16"/>
        <v>0.23206649138151997</v>
      </c>
      <c r="Z60" s="957">
        <f t="shared" si="16"/>
        <v>0.25364793255132528</v>
      </c>
      <c r="AA60" s="829"/>
      <c r="AB60" s="829"/>
      <c r="AC60" s="762"/>
      <c r="AD60" s="762"/>
      <c r="AE60" s="762"/>
      <c r="AF60" s="762"/>
      <c r="AG60" s="762"/>
      <c r="AH60" s="762"/>
      <c r="AI60" s="762"/>
      <c r="AJ60" s="762"/>
      <c r="AK60" s="762"/>
      <c r="AL60" s="762"/>
      <c r="AM60" s="762"/>
      <c r="AN60" s="762"/>
      <c r="AO60" s="762"/>
      <c r="AP60" s="762"/>
      <c r="AQ60" s="762"/>
      <c r="AR60" s="762"/>
      <c r="AS60" s="762"/>
      <c r="AT60" s="762"/>
      <c r="AU60" s="762"/>
      <c r="AV60" s="762"/>
      <c r="AW60" s="762"/>
      <c r="AX60" s="762"/>
      <c r="AY60" s="762"/>
      <c r="AZ60" s="762"/>
      <c r="BA60" s="762"/>
      <c r="BB60" s="762"/>
    </row>
    <row r="61" spans="1:54" s="719" customFormat="1">
      <c r="A61" s="769"/>
      <c r="B61" s="770"/>
      <c r="C61" s="771"/>
      <c r="D61" s="771"/>
      <c r="E61" s="771"/>
      <c r="F61" s="771"/>
      <c r="G61" s="771"/>
      <c r="H61" s="772"/>
      <c r="I61" s="772"/>
      <c r="J61" s="772"/>
      <c r="K61" s="772"/>
      <c r="L61" s="772"/>
      <c r="M61" s="772"/>
      <c r="N61" s="772"/>
      <c r="O61" s="772"/>
      <c r="P61" s="818"/>
      <c r="Q61" s="772"/>
      <c r="R61" s="772"/>
      <c r="S61" s="819"/>
      <c r="T61" s="819"/>
      <c r="U61" s="819"/>
    </row>
    <row r="62" spans="1:54" s="760" customFormat="1">
      <c r="A62" s="755"/>
      <c r="B62" s="756"/>
      <c r="C62" s="757"/>
      <c r="D62" s="757"/>
      <c r="E62" s="757"/>
      <c r="F62" s="757"/>
      <c r="G62" s="757"/>
      <c r="H62" s="758"/>
      <c r="I62" s="758"/>
      <c r="J62" s="758"/>
      <c r="K62" s="758"/>
      <c r="L62" s="758"/>
      <c r="M62" s="758"/>
      <c r="N62" s="758"/>
      <c r="O62" s="758"/>
      <c r="P62" s="761"/>
      <c r="Q62" s="758"/>
      <c r="R62" s="758"/>
      <c r="S62" s="759"/>
      <c r="T62" s="759"/>
      <c r="U62" s="759"/>
    </row>
    <row r="63" spans="1:54">
      <c r="B63" s="746"/>
      <c r="N63" s="820"/>
      <c r="O63" s="706"/>
      <c r="P63" s="707"/>
      <c r="Q63" s="706"/>
      <c r="R63" s="706"/>
      <c r="S63" s="706"/>
    </row>
    <row r="64" spans="1:54" s="760" customFormat="1">
      <c r="A64" s="755"/>
      <c r="B64" s="756"/>
      <c r="C64" s="757"/>
      <c r="D64" s="757"/>
      <c r="E64" s="757"/>
      <c r="F64" s="757"/>
      <c r="G64" s="757"/>
      <c r="H64" s="758"/>
      <c r="I64" s="758"/>
      <c r="J64" s="758"/>
      <c r="K64" s="758"/>
      <c r="L64" s="758"/>
      <c r="M64" s="758"/>
      <c r="N64" s="758"/>
      <c r="O64" s="758"/>
      <c r="P64" s="761"/>
      <c r="Q64" s="758"/>
      <c r="R64" s="758"/>
      <c r="S64" s="759"/>
      <c r="T64" s="759"/>
      <c r="U64" s="759"/>
    </row>
    <row r="65" spans="1:21" s="760" customFormat="1">
      <c r="A65" s="755"/>
      <c r="B65" s="773"/>
      <c r="C65" s="757"/>
      <c r="D65" s="757"/>
      <c r="E65" s="757"/>
      <c r="F65" s="757"/>
      <c r="G65" s="757"/>
      <c r="H65" s="758"/>
      <c r="I65" s="758"/>
      <c r="J65" s="758"/>
      <c r="K65" s="758"/>
      <c r="L65" s="758"/>
      <c r="M65" s="758"/>
      <c r="N65" s="758"/>
      <c r="O65" s="758"/>
      <c r="P65" s="761"/>
      <c r="Q65" s="758"/>
      <c r="R65" s="758"/>
      <c r="S65" s="759"/>
      <c r="T65" s="759"/>
      <c r="U65" s="759"/>
    </row>
    <row r="66" spans="1:21" s="760" customFormat="1">
      <c r="A66" s="755"/>
      <c r="B66" s="756"/>
      <c r="C66" s="757"/>
      <c r="D66" s="757"/>
      <c r="E66" s="757"/>
      <c r="F66" s="757"/>
      <c r="G66" s="757"/>
      <c r="H66" s="758"/>
      <c r="I66" s="758"/>
      <c r="J66" s="758"/>
      <c r="K66" s="758"/>
      <c r="L66" s="758"/>
      <c r="M66" s="758"/>
      <c r="N66" s="758"/>
      <c r="O66" s="758"/>
      <c r="P66" s="761"/>
      <c r="Q66" s="758"/>
      <c r="R66" s="758"/>
      <c r="S66" s="759"/>
      <c r="T66" s="759"/>
      <c r="U66" s="759"/>
    </row>
    <row r="67" spans="1:21" s="760" customFormat="1">
      <c r="A67" s="755"/>
      <c r="B67" s="756"/>
      <c r="C67" s="757"/>
      <c r="D67" s="757"/>
      <c r="E67" s="757"/>
      <c r="F67" s="757"/>
      <c r="G67" s="757"/>
      <c r="H67" s="758"/>
      <c r="I67" s="758"/>
      <c r="J67" s="758"/>
      <c r="K67" s="758"/>
      <c r="L67" s="758"/>
      <c r="M67" s="758"/>
      <c r="N67" s="758"/>
      <c r="O67" s="758"/>
      <c r="P67" s="761"/>
      <c r="Q67" s="758"/>
      <c r="R67" s="758"/>
      <c r="S67" s="759"/>
      <c r="T67" s="759"/>
      <c r="U67" s="759"/>
    </row>
    <row r="68" spans="1:21" s="760" customFormat="1">
      <c r="A68" s="755"/>
      <c r="B68" s="756"/>
      <c r="C68" s="757"/>
      <c r="D68" s="757"/>
      <c r="E68" s="757"/>
      <c r="F68" s="757"/>
      <c r="G68" s="757"/>
      <c r="H68" s="758"/>
      <c r="I68" s="758"/>
      <c r="J68" s="758"/>
      <c r="K68" s="758"/>
      <c r="L68" s="758"/>
      <c r="M68" s="758"/>
      <c r="N68" s="758"/>
      <c r="O68" s="758"/>
      <c r="P68" s="761"/>
      <c r="Q68" s="758"/>
      <c r="R68" s="758"/>
      <c r="S68" s="759"/>
      <c r="T68" s="759"/>
      <c r="U68" s="759"/>
    </row>
    <row r="69" spans="1:21" s="760" customFormat="1">
      <c r="A69" s="755"/>
      <c r="B69" s="756"/>
      <c r="C69" s="757"/>
      <c r="D69" s="757"/>
      <c r="E69" s="757"/>
      <c r="F69" s="757"/>
      <c r="G69" s="757"/>
      <c r="H69" s="758"/>
      <c r="I69" s="758"/>
      <c r="J69" s="758"/>
      <c r="K69" s="758"/>
      <c r="L69" s="758"/>
      <c r="M69" s="758"/>
      <c r="N69" s="758"/>
      <c r="O69" s="758"/>
      <c r="P69" s="761"/>
      <c r="Q69" s="758"/>
      <c r="R69" s="758"/>
      <c r="S69" s="759"/>
      <c r="T69" s="759"/>
      <c r="U69" s="759"/>
    </row>
    <row r="70" spans="1:21" s="760" customFormat="1">
      <c r="A70" s="755"/>
      <c r="B70" s="756"/>
      <c r="C70" s="757"/>
      <c r="D70" s="757"/>
      <c r="E70" s="757"/>
      <c r="F70" s="757"/>
      <c r="G70" s="757"/>
      <c r="H70" s="758"/>
      <c r="I70" s="758"/>
      <c r="J70" s="758"/>
      <c r="K70" s="758"/>
      <c r="L70" s="758"/>
      <c r="M70" s="758"/>
      <c r="N70" s="758"/>
      <c r="O70" s="758"/>
      <c r="P70" s="761"/>
      <c r="Q70" s="758"/>
      <c r="R70" s="758"/>
      <c r="S70" s="759"/>
      <c r="T70" s="759"/>
      <c r="U70" s="759"/>
    </row>
    <row r="71" spans="1:21" s="760" customFormat="1">
      <c r="A71" s="755"/>
      <c r="B71" s="756"/>
      <c r="C71" s="757"/>
      <c r="D71" s="757"/>
      <c r="E71" s="757"/>
      <c r="F71" s="757"/>
      <c r="G71" s="757"/>
      <c r="H71" s="758"/>
      <c r="I71" s="758"/>
      <c r="J71" s="758"/>
      <c r="K71" s="758"/>
      <c r="L71" s="758"/>
      <c r="M71" s="758"/>
      <c r="N71" s="758"/>
      <c r="O71" s="758"/>
      <c r="P71" s="761"/>
      <c r="Q71" s="758"/>
      <c r="R71" s="758"/>
      <c r="S71" s="759"/>
      <c r="T71" s="759"/>
      <c r="U71" s="759"/>
    </row>
    <row r="72" spans="1:21" s="760" customFormat="1">
      <c r="A72" s="755"/>
      <c r="B72" s="756"/>
      <c r="C72" s="757"/>
      <c r="D72" s="757"/>
      <c r="E72" s="757"/>
      <c r="F72" s="757"/>
      <c r="G72" s="757"/>
      <c r="H72" s="758"/>
      <c r="I72" s="758"/>
      <c r="J72" s="758"/>
      <c r="K72" s="758"/>
      <c r="L72" s="758"/>
      <c r="M72" s="758"/>
      <c r="N72" s="758"/>
      <c r="O72" s="758"/>
      <c r="P72" s="761"/>
      <c r="Q72" s="758"/>
      <c r="R72" s="758"/>
      <c r="S72" s="759"/>
      <c r="T72" s="759"/>
      <c r="U72" s="759"/>
    </row>
    <row r="73" spans="1:21" s="760" customFormat="1">
      <c r="A73" s="755"/>
      <c r="B73" s="756"/>
      <c r="C73" s="757"/>
      <c r="D73" s="757"/>
      <c r="E73" s="757"/>
      <c r="F73" s="757"/>
      <c r="G73" s="757"/>
      <c r="H73" s="758"/>
      <c r="I73" s="758"/>
      <c r="J73" s="758"/>
      <c r="K73" s="758"/>
      <c r="L73" s="758"/>
      <c r="M73" s="758"/>
      <c r="N73" s="758"/>
      <c r="O73" s="758"/>
      <c r="P73" s="761"/>
      <c r="Q73" s="758"/>
      <c r="R73" s="758"/>
      <c r="S73" s="759"/>
      <c r="T73" s="759"/>
      <c r="U73" s="759"/>
    </row>
    <row r="74" spans="1:21">
      <c r="A74" s="706"/>
      <c r="B74" s="774"/>
      <c r="N74" s="766"/>
      <c r="P74" s="767"/>
      <c r="T74" s="766"/>
      <c r="U74" s="766"/>
    </row>
    <row r="75" spans="1:21">
      <c r="A75" s="706"/>
      <c r="N75" s="766"/>
      <c r="P75" s="767"/>
    </row>
    <row r="76" spans="1:21">
      <c r="A76" s="706"/>
      <c r="N76" s="766"/>
      <c r="P76" s="767"/>
    </row>
    <row r="77" spans="1:21">
      <c r="A77" s="706"/>
      <c r="N77" s="766"/>
      <c r="P77" s="767"/>
    </row>
    <row r="78" spans="1:21">
      <c r="A78" s="706"/>
      <c r="N78" s="766"/>
      <c r="P78" s="767"/>
    </row>
    <row r="79" spans="1:21">
      <c r="A79" s="706"/>
      <c r="N79" s="766"/>
      <c r="P79" s="767"/>
    </row>
    <row r="80" spans="1:21">
      <c r="A80" s="706"/>
      <c r="N80" s="766"/>
      <c r="P80" s="767"/>
    </row>
    <row r="81" spans="1:19">
      <c r="A81" s="706"/>
      <c r="N81" s="766"/>
      <c r="P81" s="767"/>
    </row>
    <row r="82" spans="1:19">
      <c r="A82" s="706"/>
      <c r="N82" s="766"/>
      <c r="P82" s="767"/>
    </row>
    <row r="83" spans="1:19">
      <c r="A83" s="706"/>
      <c r="N83" s="766"/>
      <c r="P83" s="767"/>
    </row>
    <row r="84" spans="1:19">
      <c r="A84" s="706"/>
      <c r="N84" s="766"/>
      <c r="P84" s="767"/>
    </row>
    <row r="85" spans="1:19">
      <c r="A85" s="706"/>
      <c r="N85" s="766"/>
      <c r="P85" s="767"/>
    </row>
    <row r="86" spans="1:19">
      <c r="A86" s="706"/>
      <c r="N86" s="766"/>
      <c r="P86" s="767"/>
    </row>
    <row r="87" spans="1:19">
      <c r="A87" s="706"/>
      <c r="N87" s="766"/>
      <c r="P87" s="767"/>
    </row>
    <row r="88" spans="1:19">
      <c r="A88" s="706"/>
      <c r="N88" s="766"/>
      <c r="P88" s="767"/>
    </row>
    <row r="89" spans="1:19">
      <c r="A89" s="706"/>
      <c r="N89" s="766"/>
      <c r="P89" s="767"/>
    </row>
    <row r="90" spans="1:19">
      <c r="A90" s="706"/>
      <c r="N90" s="706"/>
      <c r="O90" s="706"/>
      <c r="P90" s="707"/>
      <c r="Q90" s="706"/>
      <c r="R90" s="706"/>
      <c r="S90" s="706"/>
    </row>
    <row r="91" spans="1:19">
      <c r="A91" s="706"/>
      <c r="N91" s="706"/>
      <c r="O91" s="706"/>
      <c r="P91" s="707"/>
      <c r="Q91" s="706"/>
      <c r="R91" s="706"/>
      <c r="S91" s="706"/>
    </row>
    <row r="92" spans="1:19">
      <c r="A92" s="706"/>
      <c r="N92" s="706"/>
      <c r="O92" s="706"/>
      <c r="P92" s="707"/>
      <c r="Q92" s="706"/>
      <c r="R92" s="706"/>
      <c r="S92" s="706"/>
    </row>
    <row r="93" spans="1:19">
      <c r="A93" s="706"/>
      <c r="N93" s="706"/>
      <c r="O93" s="706"/>
      <c r="P93" s="707"/>
      <c r="Q93" s="706"/>
      <c r="R93" s="706"/>
      <c r="S93" s="706"/>
    </row>
    <row r="94" spans="1:19">
      <c r="A94" s="706"/>
      <c r="N94" s="706"/>
      <c r="O94" s="706"/>
      <c r="P94" s="707"/>
      <c r="Q94" s="706"/>
      <c r="R94" s="706"/>
      <c r="S94" s="706"/>
    </row>
    <row r="95" spans="1:19">
      <c r="A95" s="706"/>
      <c r="N95" s="706"/>
      <c r="O95" s="706"/>
      <c r="P95" s="707"/>
      <c r="Q95" s="706"/>
      <c r="R95" s="706"/>
      <c r="S95" s="706"/>
    </row>
    <row r="96" spans="1:19">
      <c r="A96" s="706"/>
      <c r="N96" s="706"/>
      <c r="O96" s="706"/>
      <c r="P96" s="707"/>
      <c r="Q96" s="706"/>
      <c r="R96" s="706"/>
      <c r="S96" s="706"/>
    </row>
    <row r="97" spans="16:16" s="706" customFormat="1">
      <c r="P97" s="707"/>
    </row>
    <row r="98" spans="16:16" s="706" customFormat="1">
      <c r="P98" s="707"/>
    </row>
    <row r="99" spans="16:16" s="706" customFormat="1">
      <c r="P99" s="707"/>
    </row>
    <row r="100" spans="16:16" s="706" customFormat="1">
      <c r="P100" s="707"/>
    </row>
    <row r="101" spans="16:16" s="706" customFormat="1">
      <c r="P101" s="707"/>
    </row>
    <row r="102" spans="16:16" s="706" customFormat="1">
      <c r="P102" s="707"/>
    </row>
    <row r="103" spans="16:16" s="706" customFormat="1">
      <c r="P103" s="707"/>
    </row>
    <row r="104" spans="16:16" s="706" customFormat="1">
      <c r="P104" s="707"/>
    </row>
    <row r="105" spans="16:16" s="706" customFormat="1">
      <c r="P105" s="707"/>
    </row>
    <row r="106" spans="16:16" s="706" customFormat="1">
      <c r="P106" s="707"/>
    </row>
    <row r="107" spans="16:16" s="706" customFormat="1">
      <c r="P107" s="707"/>
    </row>
    <row r="108" spans="16:16" s="706" customFormat="1">
      <c r="P108" s="707"/>
    </row>
    <row r="109" spans="16:16" s="706" customFormat="1">
      <c r="P109" s="707"/>
    </row>
    <row r="110" spans="16:16" s="706" customFormat="1">
      <c r="P110" s="707"/>
    </row>
    <row r="111" spans="16:16" s="706" customFormat="1">
      <c r="P111" s="707"/>
    </row>
    <row r="112" spans="16:16" s="706" customFormat="1">
      <c r="P112" s="707"/>
    </row>
    <row r="113" spans="16:16" s="706" customFormat="1">
      <c r="P113" s="707"/>
    </row>
    <row r="114" spans="16:16" s="706" customFormat="1">
      <c r="P114" s="707"/>
    </row>
    <row r="115" spans="16:16" s="706" customFormat="1">
      <c r="P115" s="707"/>
    </row>
    <row r="116" spans="16:16" s="706" customFormat="1">
      <c r="P116" s="707"/>
    </row>
    <row r="117" spans="16:16" s="706" customFormat="1">
      <c r="P117" s="707"/>
    </row>
    <row r="118" spans="16:16" s="706" customFormat="1">
      <c r="P118" s="707"/>
    </row>
    <row r="119" spans="16:16" s="706" customFormat="1">
      <c r="P119" s="707"/>
    </row>
    <row r="120" spans="16:16" s="706" customFormat="1">
      <c r="P120" s="707"/>
    </row>
    <row r="121" spans="16:16" s="706" customFormat="1">
      <c r="P121" s="707"/>
    </row>
    <row r="122" spans="16:16" s="706" customFormat="1">
      <c r="P122" s="707"/>
    </row>
    <row r="123" spans="16:16" s="706" customFormat="1">
      <c r="P123" s="707"/>
    </row>
    <row r="124" spans="16:16" s="706" customFormat="1">
      <c r="P124" s="707"/>
    </row>
    <row r="125" spans="16:16" s="706" customFormat="1">
      <c r="P125" s="707"/>
    </row>
    <row r="126" spans="16:16" s="706" customFormat="1">
      <c r="P126" s="707"/>
    </row>
    <row r="127" spans="16:16" s="706" customFormat="1">
      <c r="P127" s="707"/>
    </row>
    <row r="128" spans="16:16" s="706" customFormat="1">
      <c r="P128" s="707"/>
    </row>
    <row r="129" spans="1:19">
      <c r="A129" s="706"/>
      <c r="N129" s="706"/>
      <c r="O129" s="706"/>
      <c r="P129" s="707"/>
      <c r="Q129" s="706"/>
      <c r="R129" s="706"/>
      <c r="S129" s="706"/>
    </row>
    <row r="130" spans="1:19">
      <c r="A130" s="706"/>
      <c r="N130" s="706"/>
      <c r="O130" s="706"/>
      <c r="P130" s="707"/>
      <c r="Q130" s="706"/>
      <c r="R130" s="706"/>
      <c r="S130" s="706"/>
    </row>
    <row r="131" spans="1:19">
      <c r="A131" s="706"/>
      <c r="N131" s="706"/>
      <c r="O131" s="706"/>
      <c r="P131" s="707"/>
      <c r="Q131" s="706"/>
      <c r="R131" s="706"/>
      <c r="S131" s="706"/>
    </row>
    <row r="132" spans="1:19">
      <c r="A132" s="706"/>
      <c r="N132" s="706"/>
      <c r="O132" s="706"/>
      <c r="P132" s="707"/>
      <c r="Q132" s="706"/>
      <c r="R132" s="706"/>
      <c r="S132" s="706"/>
    </row>
    <row r="133" spans="1:19">
      <c r="A133" s="706"/>
      <c r="N133" s="706"/>
      <c r="O133" s="706"/>
      <c r="P133" s="707"/>
      <c r="Q133" s="706"/>
      <c r="R133" s="706"/>
      <c r="S133" s="706"/>
    </row>
    <row r="134" spans="1:19">
      <c r="A134" s="706"/>
      <c r="N134" s="706"/>
      <c r="O134" s="706"/>
      <c r="P134" s="707"/>
      <c r="Q134" s="706"/>
      <c r="R134" s="706"/>
      <c r="S134" s="706"/>
    </row>
    <row r="135" spans="1:19">
      <c r="P135" s="767"/>
    </row>
    <row r="136" spans="1:19">
      <c r="P136" s="767"/>
    </row>
    <row r="137" spans="1:19">
      <c r="P137" s="767"/>
    </row>
    <row r="138" spans="1:19">
      <c r="P138" s="767"/>
    </row>
    <row r="139" spans="1:19">
      <c r="P139" s="767"/>
    </row>
    <row r="140" spans="1:19">
      <c r="P140" s="767"/>
    </row>
    <row r="141" spans="1:19">
      <c r="P141" s="767"/>
    </row>
    <row r="142" spans="1:19">
      <c r="P142" s="767"/>
    </row>
    <row r="143" spans="1:19">
      <c r="P143" s="767"/>
    </row>
    <row r="144" spans="1:19">
      <c r="P144" s="767"/>
    </row>
    <row r="145" spans="16:16">
      <c r="P145" s="767"/>
    </row>
    <row r="146" spans="16:16">
      <c r="P146" s="767"/>
    </row>
    <row r="147" spans="16:16">
      <c r="P147" s="767"/>
    </row>
    <row r="148" spans="16:16">
      <c r="P148" s="767"/>
    </row>
    <row r="149" spans="16:16">
      <c r="P149" s="767"/>
    </row>
    <row r="150" spans="16:16">
      <c r="P150" s="767"/>
    </row>
    <row r="151" spans="16:16">
      <c r="P151" s="767"/>
    </row>
    <row r="152" spans="16:16">
      <c r="P152" s="767"/>
    </row>
    <row r="153" spans="16:16">
      <c r="P153" s="767"/>
    </row>
    <row r="154" spans="16:16">
      <c r="P154" s="767"/>
    </row>
    <row r="155" spans="16:16">
      <c r="P155" s="767"/>
    </row>
    <row r="156" spans="16:16">
      <c r="P156" s="767"/>
    </row>
    <row r="157" spans="16:16">
      <c r="P157" s="767"/>
    </row>
    <row r="158" spans="16:16">
      <c r="P158" s="767"/>
    </row>
    <row r="159" spans="16:16">
      <c r="P159" s="767"/>
    </row>
    <row r="160" spans="16:16">
      <c r="P160" s="767"/>
    </row>
    <row r="161" spans="16:16">
      <c r="P161" s="767"/>
    </row>
    <row r="162" spans="16:16">
      <c r="P162" s="767"/>
    </row>
    <row r="163" spans="16:16">
      <c r="P163" s="767"/>
    </row>
    <row r="164" spans="16:16">
      <c r="P164" s="767"/>
    </row>
    <row r="165" spans="16:16">
      <c r="P165" s="767"/>
    </row>
    <row r="166" spans="16:16">
      <c r="P166" s="767"/>
    </row>
    <row r="167" spans="16:16">
      <c r="P167" s="767"/>
    </row>
    <row r="168" spans="16:16">
      <c r="P168" s="767"/>
    </row>
    <row r="169" spans="16:16">
      <c r="P169" s="767"/>
    </row>
    <row r="170" spans="16:16">
      <c r="P170" s="767"/>
    </row>
    <row r="171" spans="16:16">
      <c r="P171" s="767"/>
    </row>
    <row r="172" spans="16:16">
      <c r="P172" s="767"/>
    </row>
    <row r="173" spans="16:16">
      <c r="P173" s="767"/>
    </row>
    <row r="174" spans="16:16">
      <c r="P174" s="767"/>
    </row>
    <row r="175" spans="16:16">
      <c r="P175" s="76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75C7B-55C6-4BCD-8D72-B20B447416E3}">
  <dimension ref="A1:Z79"/>
  <sheetViews>
    <sheetView showGridLines="0" topLeftCell="A16" zoomScale="79" zoomScaleNormal="79" workbookViewId="0">
      <selection activeCell="A7" sqref="A7:XFD7"/>
    </sheetView>
  </sheetViews>
  <sheetFormatPr defaultColWidth="9.109375" defaultRowHeight="13.2"/>
  <cols>
    <col min="1" max="1" width="5.44140625" style="2" customWidth="1"/>
    <col min="2" max="2" width="36.5546875" style="7" bestFit="1" customWidth="1"/>
    <col min="3" max="3" width="9.109375" style="4"/>
    <col min="4" max="4" width="14.109375" style="7" customWidth="1"/>
    <col min="5" max="5" width="11.44140625" style="7" customWidth="1"/>
    <col min="6" max="6" width="10.6640625" style="7" customWidth="1"/>
    <col min="7" max="7" width="10" style="7" customWidth="1"/>
    <col min="8" max="8" width="9.109375" style="7" customWidth="1"/>
    <col min="9" max="9" width="11.88671875" style="7" customWidth="1"/>
    <col min="10" max="10" width="12.6640625" style="7" customWidth="1"/>
    <col min="11" max="11" width="14.44140625" style="7" bestFit="1" customWidth="1"/>
    <col min="12" max="12" width="17.44140625" style="7" customWidth="1"/>
    <col min="13" max="13" width="14.5546875" style="4" customWidth="1"/>
    <col min="14" max="14" width="14.109375" style="7" customWidth="1"/>
    <col min="15" max="15" width="14.21875" style="7" customWidth="1"/>
    <col min="16" max="16" width="14.44140625" style="7" bestFit="1" customWidth="1"/>
    <col min="17" max="16384" width="9.109375" style="7"/>
  </cols>
  <sheetData>
    <row r="1" spans="1:26">
      <c r="B1" s="3">
        <f>1</f>
        <v>1</v>
      </c>
      <c r="D1" s="5"/>
      <c r="E1" s="5"/>
      <c r="F1" s="5"/>
      <c r="G1" s="5"/>
      <c r="H1" s="5"/>
      <c r="I1" s="5"/>
      <c r="J1" s="5"/>
      <c r="K1" s="2707" t="s">
        <v>287</v>
      </c>
      <c r="L1" s="2707"/>
      <c r="M1" s="2707"/>
      <c r="N1" s="2707"/>
      <c r="O1" s="2707"/>
      <c r="P1" s="2708"/>
      <c r="Q1" s="6">
        <v>1</v>
      </c>
      <c r="R1" s="6">
        <v>2</v>
      </c>
      <c r="S1" s="6">
        <v>3</v>
      </c>
      <c r="T1" s="6">
        <v>4</v>
      </c>
      <c r="U1" s="6">
        <v>5</v>
      </c>
      <c r="V1" s="6">
        <v>6</v>
      </c>
      <c r="W1" s="6">
        <v>7</v>
      </c>
      <c r="X1" s="6">
        <v>8</v>
      </c>
      <c r="Y1" s="6">
        <v>9</v>
      </c>
      <c r="Z1" s="6">
        <v>10</v>
      </c>
    </row>
    <row r="2" spans="1:26">
      <c r="D2" s="5"/>
      <c r="E2" s="5"/>
      <c r="F2" s="5"/>
      <c r="G2" s="5"/>
      <c r="H2" s="5"/>
      <c r="I2" s="5"/>
      <c r="J2" s="5"/>
      <c r="K2" s="5"/>
      <c r="L2" s="5"/>
      <c r="M2" s="5"/>
      <c r="N2" s="5" t="str">
        <f t="shared" ref="N2:Z2" ca="1" si="0">IF(TODAY()&lt;N3,"Proj","")</f>
        <v/>
      </c>
      <c r="O2" s="5" t="str">
        <f t="shared" ca="1" si="0"/>
        <v/>
      </c>
      <c r="P2" s="8" t="str">
        <f t="shared" ca="1" si="0"/>
        <v/>
      </c>
      <c r="Q2" s="9" t="str">
        <f t="shared" ca="1" si="0"/>
        <v>Proj</v>
      </c>
      <c r="R2" s="9" t="str">
        <f t="shared" ca="1" si="0"/>
        <v>Proj</v>
      </c>
      <c r="S2" s="9" t="str">
        <f t="shared" ca="1" si="0"/>
        <v>Proj</v>
      </c>
      <c r="T2" s="9" t="str">
        <f t="shared" ca="1" si="0"/>
        <v>Proj</v>
      </c>
      <c r="U2" s="9" t="str">
        <f t="shared" ca="1" si="0"/>
        <v>Proj</v>
      </c>
      <c r="V2" s="9" t="str">
        <f t="shared" ca="1" si="0"/>
        <v>Proj</v>
      </c>
      <c r="W2" s="9" t="str">
        <f t="shared" ca="1" si="0"/>
        <v>Proj</v>
      </c>
      <c r="X2" s="9" t="str">
        <f t="shared" ca="1" si="0"/>
        <v>Proj</v>
      </c>
      <c r="Y2" s="9" t="str">
        <f t="shared" ca="1" si="0"/>
        <v>Proj</v>
      </c>
      <c r="Z2" s="9" t="str">
        <f t="shared" ca="1" si="0"/>
        <v>Proj</v>
      </c>
    </row>
    <row r="3" spans="1:26" ht="15.75" customHeight="1" thickBot="1">
      <c r="A3" s="10"/>
      <c r="B3" s="11" t="s">
        <v>288</v>
      </c>
      <c r="C3" s="12"/>
      <c r="D3" s="13">
        <v>41274</v>
      </c>
      <c r="E3" s="14">
        <f t="shared" ref="E3:Z3" si="1">DATE(YEAR(D3),MONTH(D3)+13,0)</f>
        <v>41639</v>
      </c>
      <c r="F3" s="14">
        <f t="shared" si="1"/>
        <v>42004</v>
      </c>
      <c r="G3" s="14">
        <f t="shared" si="1"/>
        <v>42369</v>
      </c>
      <c r="H3" s="14">
        <f t="shared" si="1"/>
        <v>42735</v>
      </c>
      <c r="I3" s="14">
        <f t="shared" si="1"/>
        <v>43100</v>
      </c>
      <c r="J3" s="14">
        <f t="shared" si="1"/>
        <v>43465</v>
      </c>
      <c r="K3" s="14">
        <f t="shared" si="1"/>
        <v>43830</v>
      </c>
      <c r="L3" s="14">
        <f t="shared" si="1"/>
        <v>44196</v>
      </c>
      <c r="M3" s="14">
        <f t="shared" si="1"/>
        <v>44561</v>
      </c>
      <c r="N3" s="14">
        <f t="shared" si="1"/>
        <v>44926</v>
      </c>
      <c r="O3" s="14">
        <f t="shared" si="1"/>
        <v>45291</v>
      </c>
      <c r="P3" s="15">
        <f t="shared" si="1"/>
        <v>45657</v>
      </c>
      <c r="Q3" s="16">
        <f t="shared" si="1"/>
        <v>46022</v>
      </c>
      <c r="R3" s="16">
        <f t="shared" si="1"/>
        <v>46387</v>
      </c>
      <c r="S3" s="16">
        <f t="shared" si="1"/>
        <v>46752</v>
      </c>
      <c r="T3" s="16">
        <f t="shared" si="1"/>
        <v>47118</v>
      </c>
      <c r="U3" s="16">
        <f t="shared" si="1"/>
        <v>47483</v>
      </c>
      <c r="V3" s="16">
        <f t="shared" si="1"/>
        <v>47848</v>
      </c>
      <c r="W3" s="16">
        <f t="shared" si="1"/>
        <v>48213</v>
      </c>
      <c r="X3" s="16">
        <f t="shared" si="1"/>
        <v>48579</v>
      </c>
      <c r="Y3" s="16">
        <f t="shared" si="1"/>
        <v>48944</v>
      </c>
      <c r="Z3" s="16">
        <f t="shared" si="1"/>
        <v>49309</v>
      </c>
    </row>
    <row r="4" spans="1:26" s="18" customFormat="1" ht="13.8" thickTop="1">
      <c r="A4" s="17">
        <v>1</v>
      </c>
      <c r="B4" s="18" t="s">
        <v>289</v>
      </c>
      <c r="C4" s="19"/>
      <c r="D4" s="20"/>
      <c r="E4" s="20"/>
      <c r="F4" s="20"/>
      <c r="G4" s="20"/>
      <c r="H4" s="20"/>
      <c r="I4" s="21"/>
      <c r="J4" s="21"/>
      <c r="K4" s="21">
        <f>Input!K94</f>
        <v>427.7237290920001</v>
      </c>
      <c r="L4" s="21">
        <f>Input!L94</f>
        <v>662.44633427100007</v>
      </c>
      <c r="M4" s="21">
        <f>Input!M94</f>
        <v>1826.1242869360003</v>
      </c>
      <c r="N4" s="21">
        <f>Input!N94</f>
        <v>4321.0807345350004</v>
      </c>
      <c r="O4" s="21">
        <f>Input!O94</f>
        <v>1110.1427168920006</v>
      </c>
      <c r="P4" s="21">
        <f>Input!P94</f>
        <v>1428.0065814420007</v>
      </c>
      <c r="Q4" s="22"/>
      <c r="R4" s="22"/>
      <c r="S4" s="22"/>
      <c r="T4" s="22"/>
      <c r="U4" s="22"/>
      <c r="V4" s="22"/>
      <c r="W4" s="22"/>
      <c r="X4" s="22"/>
      <c r="Y4" s="22"/>
      <c r="Z4" s="22"/>
    </row>
    <row r="5" spans="1:26" s="18" customFormat="1">
      <c r="A5" s="17">
        <v>2</v>
      </c>
      <c r="B5" s="18" t="s">
        <v>290</v>
      </c>
      <c r="C5" s="19"/>
      <c r="D5" s="20"/>
      <c r="E5" s="20"/>
      <c r="F5" s="20"/>
      <c r="G5" s="20"/>
      <c r="H5" s="20"/>
      <c r="I5" s="21"/>
      <c r="J5" s="21"/>
      <c r="K5" s="21">
        <f>K6+K8</f>
        <v>143.36789832736002</v>
      </c>
      <c r="L5" s="21">
        <f t="shared" ref="L5:P5" si="2">L6+L8</f>
        <v>151.68463342710001</v>
      </c>
      <c r="M5" s="21">
        <f t="shared" si="2"/>
        <v>646.82728608080004</v>
      </c>
      <c r="N5" s="21">
        <f t="shared" si="2"/>
        <v>1418.8542203605</v>
      </c>
      <c r="O5" s="21">
        <f t="shared" si="2"/>
        <v>455.40281506760022</v>
      </c>
      <c r="P5" s="21">
        <f t="shared" si="2"/>
        <v>550.15197443260013</v>
      </c>
      <c r="Q5" s="22"/>
      <c r="R5" s="22"/>
      <c r="S5" s="22"/>
      <c r="T5" s="22"/>
      <c r="U5" s="22"/>
      <c r="V5" s="22"/>
      <c r="W5" s="22"/>
      <c r="X5" s="22"/>
      <c r="Y5" s="22"/>
      <c r="Z5" s="22"/>
    </row>
    <row r="6" spans="1:26" s="5" customFormat="1">
      <c r="A6" s="23" t="s">
        <v>291</v>
      </c>
      <c r="B6" s="24" t="s">
        <v>292</v>
      </c>
      <c r="C6" s="25"/>
      <c r="D6" s="26"/>
      <c r="E6" s="26"/>
      <c r="F6" s="26"/>
      <c r="G6" s="26"/>
      <c r="H6" s="26"/>
      <c r="I6" s="27"/>
      <c r="J6" s="27"/>
      <c r="K6" s="27">
        <f>K7</f>
        <v>34.217898327360011</v>
      </c>
      <c r="L6" s="27">
        <f t="shared" ref="L6:P6" si="3">L7</f>
        <v>66.244633427100013</v>
      </c>
      <c r="M6" s="27">
        <f t="shared" si="3"/>
        <v>547.83728608080003</v>
      </c>
      <c r="N6" s="27">
        <f t="shared" si="3"/>
        <v>1296.3242203605</v>
      </c>
      <c r="O6" s="27">
        <f t="shared" si="3"/>
        <v>333.0428150676002</v>
      </c>
      <c r="P6" s="27">
        <f t="shared" si="3"/>
        <v>428.40197443260018</v>
      </c>
      <c r="Q6" s="28"/>
      <c r="R6" s="28"/>
      <c r="S6" s="28"/>
      <c r="T6" s="28"/>
      <c r="U6" s="28"/>
      <c r="V6" s="28"/>
      <c r="W6" s="28"/>
      <c r="X6" s="29"/>
      <c r="Y6" s="29"/>
      <c r="Z6" s="29"/>
    </row>
    <row r="7" spans="1:26" s="37" customFormat="1">
      <c r="A7" s="30"/>
      <c r="B7" s="31" t="s">
        <v>293</v>
      </c>
      <c r="C7" s="32"/>
      <c r="D7" s="33"/>
      <c r="E7" s="33"/>
      <c r="F7" s="33"/>
      <c r="G7" s="33"/>
      <c r="H7" s="33"/>
      <c r="I7" s="2572"/>
      <c r="J7" s="2572"/>
      <c r="K7" s="34">
        <f>0.08*K4</f>
        <v>34.217898327360011</v>
      </c>
      <c r="L7" s="34">
        <f>0.1*L4</f>
        <v>66.244633427100013</v>
      </c>
      <c r="M7" s="34">
        <f>0.3*M4</f>
        <v>547.83728608080003</v>
      </c>
      <c r="N7" s="34">
        <f>0.3*N4</f>
        <v>1296.3242203605</v>
      </c>
      <c r="O7" s="34">
        <f>0.3*O4</f>
        <v>333.0428150676002</v>
      </c>
      <c r="P7" s="35">
        <f>0.3*P4</f>
        <v>428.40197443260018</v>
      </c>
      <c r="Q7" s="36"/>
      <c r="R7" s="36"/>
      <c r="S7" s="36"/>
      <c r="T7" s="36"/>
      <c r="U7" s="36"/>
      <c r="V7" s="36"/>
      <c r="W7" s="36"/>
      <c r="X7" s="36"/>
      <c r="Y7" s="36"/>
      <c r="Z7" s="36"/>
    </row>
    <row r="8" spans="1:26" s="5" customFormat="1">
      <c r="A8" s="23" t="s">
        <v>294</v>
      </c>
      <c r="B8" s="38" t="s">
        <v>295</v>
      </c>
      <c r="C8" s="25"/>
      <c r="D8" s="26"/>
      <c r="E8" s="26"/>
      <c r="F8" s="26"/>
      <c r="G8" s="26"/>
      <c r="H8" s="26"/>
      <c r="I8" s="2573"/>
      <c r="J8" s="2573"/>
      <c r="K8" s="27">
        <f>K9</f>
        <v>109.15</v>
      </c>
      <c r="L8" s="27">
        <f t="shared" ref="L8:P8" si="4">L9</f>
        <v>85.44</v>
      </c>
      <c r="M8" s="27">
        <f t="shared" si="4"/>
        <v>98.990000000000009</v>
      </c>
      <c r="N8" s="27">
        <f t="shared" si="4"/>
        <v>122.53</v>
      </c>
      <c r="O8" s="27">
        <f t="shared" si="4"/>
        <v>122.36</v>
      </c>
      <c r="P8" s="27">
        <f t="shared" si="4"/>
        <v>121.75</v>
      </c>
      <c r="Q8" s="28"/>
      <c r="R8" s="28"/>
      <c r="S8" s="28"/>
      <c r="T8" s="28"/>
      <c r="U8" s="28"/>
      <c r="V8" s="28"/>
      <c r="W8" s="28"/>
      <c r="X8" s="29"/>
      <c r="Y8" s="29"/>
      <c r="Z8" s="29"/>
    </row>
    <row r="9" spans="1:26" s="37" customFormat="1">
      <c r="A9" s="30"/>
      <c r="B9" s="31" t="s">
        <v>1498</v>
      </c>
      <c r="C9" s="32"/>
      <c r="D9" s="33"/>
      <c r="E9" s="33"/>
      <c r="F9" s="33"/>
      <c r="G9" s="33"/>
      <c r="H9" s="33"/>
      <c r="I9" s="2572"/>
      <c r="J9" s="2572"/>
      <c r="K9" s="34">
        <f>SUM(K10:K11)</f>
        <v>109.15</v>
      </c>
      <c r="L9" s="34">
        <f t="shared" ref="L9:P9" si="5">SUM(L10:L11)</f>
        <v>85.44</v>
      </c>
      <c r="M9" s="34">
        <f t="shared" si="5"/>
        <v>98.990000000000009</v>
      </c>
      <c r="N9" s="34">
        <f t="shared" si="5"/>
        <v>122.53</v>
      </c>
      <c r="O9" s="34">
        <f t="shared" si="5"/>
        <v>122.36</v>
      </c>
      <c r="P9" s="34">
        <f t="shared" si="5"/>
        <v>121.75</v>
      </c>
      <c r="Q9" s="36"/>
      <c r="R9" s="36"/>
      <c r="S9" s="36"/>
      <c r="T9" s="36"/>
      <c r="U9" s="36"/>
      <c r="V9" s="36"/>
      <c r="W9" s="36"/>
      <c r="X9" s="36"/>
      <c r="Y9" s="36"/>
      <c r="Z9" s="36"/>
    </row>
    <row r="10" spans="1:26" s="37" customFormat="1">
      <c r="A10" s="30"/>
      <c r="B10" s="31" t="s">
        <v>296</v>
      </c>
      <c r="C10" s="32"/>
      <c r="D10" s="33"/>
      <c r="E10" s="33"/>
      <c r="F10" s="33"/>
      <c r="G10" s="33"/>
      <c r="H10" s="33"/>
      <c r="I10" s="2572"/>
      <c r="J10" s="2572"/>
      <c r="K10" s="34">
        <v>1.56</v>
      </c>
      <c r="L10" s="34">
        <v>2.08</v>
      </c>
      <c r="M10" s="34">
        <f>2.31</f>
        <v>2.31</v>
      </c>
      <c r="N10" s="34">
        <f>3.12</f>
        <v>3.12</v>
      </c>
      <c r="O10" s="34">
        <f>2.61</f>
        <v>2.61</v>
      </c>
      <c r="P10" s="35">
        <f>2.61</f>
        <v>2.61</v>
      </c>
      <c r="Q10" s="36"/>
      <c r="R10" s="36"/>
      <c r="S10" s="36"/>
      <c r="T10" s="36"/>
      <c r="U10" s="36"/>
      <c r="V10" s="36"/>
      <c r="W10" s="36"/>
      <c r="X10" s="36"/>
      <c r="Y10" s="36"/>
      <c r="Z10" s="36"/>
    </row>
    <row r="11" spans="1:26" s="37" customFormat="1">
      <c r="A11" s="30"/>
      <c r="B11" s="31" t="s">
        <v>1499</v>
      </c>
      <c r="C11" s="32"/>
      <c r="D11" s="33"/>
      <c r="E11" s="33"/>
      <c r="F11" s="33"/>
      <c r="G11" s="33"/>
      <c r="H11" s="33"/>
      <c r="I11" s="2572"/>
      <c r="J11" s="2572"/>
      <c r="K11" s="34">
        <v>107.59</v>
      </c>
      <c r="L11" s="34">
        <v>83.36</v>
      </c>
      <c r="M11" s="34">
        <f>96.68</f>
        <v>96.68</v>
      </c>
      <c r="N11" s="34">
        <f>119.41</f>
        <v>119.41</v>
      </c>
      <c r="O11" s="34">
        <f>119.75</f>
        <v>119.75</v>
      </c>
      <c r="P11" s="35">
        <f>119.14</f>
        <v>119.14</v>
      </c>
      <c r="Q11" s="36"/>
      <c r="R11" s="36"/>
      <c r="S11" s="36"/>
      <c r="T11" s="36"/>
      <c r="U11" s="36"/>
      <c r="V11" s="36"/>
      <c r="W11" s="36"/>
      <c r="X11" s="36"/>
      <c r="Y11" s="36"/>
      <c r="Z11" s="36"/>
    </row>
    <row r="12" spans="1:26" s="18" customFormat="1">
      <c r="A12" s="17">
        <v>3</v>
      </c>
      <c r="B12" s="18" t="s">
        <v>297</v>
      </c>
      <c r="C12" s="19"/>
      <c r="D12" s="20"/>
      <c r="E12" s="20"/>
      <c r="F12" s="20"/>
      <c r="G12" s="20"/>
      <c r="H12" s="20"/>
      <c r="I12" s="2574"/>
      <c r="J12" s="2574"/>
      <c r="K12" s="21">
        <f>K13+K15</f>
        <v>317.64</v>
      </c>
      <c r="L12" s="21">
        <f t="shared" ref="L12:P12" si="6">L13+L15</f>
        <v>423.52</v>
      </c>
      <c r="M12" s="21">
        <f t="shared" si="6"/>
        <v>952.92</v>
      </c>
      <c r="N12" s="21">
        <f t="shared" si="6"/>
        <v>1588.2</v>
      </c>
      <c r="O12" s="21">
        <f t="shared" si="6"/>
        <v>1058.8</v>
      </c>
      <c r="P12" s="21">
        <f t="shared" si="6"/>
        <v>1058.8</v>
      </c>
      <c r="Q12" s="22"/>
      <c r="R12" s="22"/>
      <c r="S12" s="22"/>
      <c r="T12" s="22"/>
      <c r="U12" s="22"/>
      <c r="V12" s="22"/>
      <c r="W12" s="22"/>
      <c r="X12" s="22"/>
      <c r="Y12" s="22"/>
      <c r="Z12" s="22"/>
    </row>
    <row r="13" spans="1:26" s="5" customFormat="1">
      <c r="A13" s="39"/>
      <c r="B13" s="40" t="s">
        <v>298</v>
      </c>
      <c r="C13" s="8"/>
      <c r="D13" s="41"/>
      <c r="E13" s="41"/>
      <c r="F13" s="41"/>
      <c r="G13" s="41"/>
      <c r="H13" s="41"/>
      <c r="I13" s="1886"/>
      <c r="J13" s="1886"/>
      <c r="K13" s="2581">
        <f>317.64</f>
        <v>317.64</v>
      </c>
      <c r="L13" s="2581">
        <f>423.52</f>
        <v>423.52</v>
      </c>
      <c r="M13" s="2581">
        <f>952.92</f>
        <v>952.92</v>
      </c>
      <c r="N13" s="2582">
        <f>1588.2</f>
        <v>1588.2</v>
      </c>
      <c r="O13" s="2582">
        <f>1058.8</f>
        <v>1058.8</v>
      </c>
      <c r="P13" s="2582">
        <f>1058.8</f>
        <v>1058.8</v>
      </c>
      <c r="Q13" s="29"/>
      <c r="R13" s="29"/>
      <c r="S13" s="29"/>
      <c r="T13" s="29"/>
      <c r="U13" s="29"/>
      <c r="V13" s="29"/>
      <c r="W13" s="29"/>
      <c r="X13" s="29"/>
      <c r="Y13" s="29"/>
      <c r="Z13" s="29"/>
    </row>
    <row r="14" spans="1:26" s="51" customFormat="1">
      <c r="A14" s="44"/>
      <c r="B14" s="45" t="s">
        <v>299</v>
      </c>
      <c r="C14" s="46"/>
      <c r="D14" s="47"/>
      <c r="E14" s="47"/>
      <c r="F14" s="47"/>
      <c r="G14" s="47"/>
      <c r="H14" s="47"/>
      <c r="I14" s="2575"/>
      <c r="J14" s="2575"/>
      <c r="K14" s="2580">
        <f>600/10000</f>
        <v>0.06</v>
      </c>
      <c r="L14" s="2580">
        <f>800/10000</f>
        <v>0.08</v>
      </c>
      <c r="M14" s="2580">
        <f>1800/10000</f>
        <v>0.18</v>
      </c>
      <c r="N14" s="2580">
        <f>30%</f>
        <v>0.3</v>
      </c>
      <c r="O14" s="2580">
        <f>20%</f>
        <v>0.2</v>
      </c>
      <c r="P14" s="2580">
        <f>20%</f>
        <v>0.2</v>
      </c>
      <c r="Q14" s="49"/>
      <c r="R14" s="49"/>
      <c r="S14" s="49"/>
      <c r="T14" s="49"/>
      <c r="U14" s="49"/>
      <c r="V14" s="49"/>
      <c r="W14" s="49"/>
      <c r="X14" s="50"/>
      <c r="Y14" s="50"/>
      <c r="Z14" s="50"/>
    </row>
    <row r="15" spans="1:26" s="51" customFormat="1">
      <c r="A15" s="44"/>
      <c r="B15" s="40" t="s">
        <v>300</v>
      </c>
      <c r="C15" s="46"/>
      <c r="I15" s="2576"/>
      <c r="J15" s="2576"/>
      <c r="K15" s="43">
        <v>0</v>
      </c>
      <c r="L15" s="43">
        <v>0</v>
      </c>
      <c r="M15" s="43">
        <v>0</v>
      </c>
      <c r="N15" s="43">
        <v>0</v>
      </c>
      <c r="O15" s="43">
        <v>0</v>
      </c>
      <c r="P15" s="43">
        <v>0</v>
      </c>
      <c r="Q15" s="50"/>
      <c r="R15" s="50"/>
      <c r="S15" s="50"/>
      <c r="T15" s="50"/>
      <c r="U15" s="50"/>
      <c r="V15" s="50"/>
      <c r="W15" s="50"/>
      <c r="X15" s="50"/>
      <c r="Y15" s="50"/>
      <c r="Z15" s="50"/>
    </row>
    <row r="16" spans="1:26">
      <c r="B16" s="45" t="s">
        <v>299</v>
      </c>
      <c r="I16" s="2575"/>
      <c r="J16" s="2575"/>
      <c r="K16" s="48"/>
      <c r="L16" s="48"/>
      <c r="M16" s="48"/>
      <c r="N16" s="34"/>
      <c r="O16" s="34"/>
      <c r="P16" s="53"/>
      <c r="Q16" s="54"/>
      <c r="R16" s="54"/>
      <c r="S16" s="54"/>
      <c r="T16" s="54"/>
      <c r="U16" s="54"/>
      <c r="V16" s="54"/>
      <c r="W16" s="54"/>
      <c r="X16" s="54"/>
      <c r="Y16" s="54"/>
      <c r="Z16" s="54"/>
    </row>
    <row r="17" spans="1:26" s="56" customFormat="1">
      <c r="A17" s="55"/>
      <c r="B17" s="56" t="s">
        <v>301</v>
      </c>
      <c r="C17" s="57"/>
      <c r="I17" s="2577"/>
      <c r="J17" s="2577"/>
      <c r="K17" s="58">
        <f>K4-K5-K12</f>
        <v>-33.284169235359911</v>
      </c>
      <c r="L17" s="58">
        <f t="shared" ref="L17:P17" si="7">L4-L5-L12</f>
        <v>87.241700843900048</v>
      </c>
      <c r="M17" s="58">
        <f t="shared" si="7"/>
        <v>226.37700085520021</v>
      </c>
      <c r="N17" s="58">
        <f t="shared" si="7"/>
        <v>1314.0265141745001</v>
      </c>
      <c r="O17" s="58">
        <f t="shared" si="7"/>
        <v>-404.06009817559948</v>
      </c>
      <c r="P17" s="58">
        <f t="shared" si="7"/>
        <v>-180.94539299059943</v>
      </c>
      <c r="Q17" s="58"/>
      <c r="R17" s="58"/>
      <c r="S17" s="58"/>
      <c r="T17" s="58"/>
      <c r="U17" s="58"/>
      <c r="V17" s="58"/>
      <c r="W17" s="58"/>
      <c r="X17" s="58"/>
      <c r="Y17" s="58"/>
      <c r="Z17" s="58"/>
    </row>
    <row r="18" spans="1:26">
      <c r="I18" s="2578"/>
      <c r="J18" s="2578"/>
      <c r="K18" s="54"/>
      <c r="L18" s="54"/>
      <c r="M18" s="54"/>
      <c r="N18" s="54"/>
      <c r="O18" s="54"/>
      <c r="P18" s="59"/>
      <c r="Q18" s="54"/>
      <c r="R18" s="54"/>
      <c r="S18" s="54"/>
      <c r="T18" s="54"/>
      <c r="U18" s="54"/>
      <c r="V18" s="54"/>
      <c r="W18" s="54"/>
      <c r="X18" s="54"/>
      <c r="Y18" s="54"/>
      <c r="Z18" s="54"/>
    </row>
    <row r="19" spans="1:26" ht="15" customHeight="1">
      <c r="A19" s="10"/>
      <c r="B19" s="60" t="s">
        <v>302</v>
      </c>
      <c r="C19" s="61"/>
      <c r="I19" s="2578"/>
      <c r="J19" s="2578"/>
      <c r="K19" s="54"/>
      <c r="L19" s="54"/>
      <c r="M19" s="54"/>
      <c r="N19" s="54"/>
      <c r="O19" s="54"/>
      <c r="P19" s="59"/>
      <c r="Q19" s="54"/>
      <c r="R19" s="54"/>
      <c r="S19" s="54"/>
      <c r="T19" s="54"/>
      <c r="U19" s="54"/>
      <c r="V19" s="54"/>
      <c r="W19" s="54"/>
      <c r="X19" s="54"/>
      <c r="Y19" s="54"/>
      <c r="Z19" s="54"/>
    </row>
    <row r="20" spans="1:26" s="5" customFormat="1">
      <c r="A20" s="39">
        <v>1</v>
      </c>
      <c r="B20" s="5" t="s">
        <v>303</v>
      </c>
      <c r="C20" s="8"/>
      <c r="I20" s="1886"/>
      <c r="J20" s="1886"/>
      <c r="K20" s="29"/>
      <c r="L20" s="29"/>
      <c r="M20" s="29"/>
      <c r="N20" s="29"/>
      <c r="O20" s="29"/>
      <c r="P20" s="62"/>
      <c r="Q20" s="29"/>
      <c r="R20" s="29"/>
      <c r="S20" s="29"/>
      <c r="T20" s="29"/>
      <c r="U20" s="29"/>
      <c r="V20" s="29"/>
      <c r="W20" s="29"/>
      <c r="X20" s="29"/>
      <c r="Y20" s="29"/>
      <c r="Z20" s="29"/>
    </row>
    <row r="21" spans="1:26" s="5" customFormat="1">
      <c r="A21" s="39">
        <v>2</v>
      </c>
      <c r="B21" s="5" t="s">
        <v>304</v>
      </c>
      <c r="C21" s="8"/>
      <c r="I21" s="1886"/>
      <c r="J21" s="1886"/>
      <c r="K21" s="42"/>
      <c r="L21" s="42"/>
      <c r="M21" s="42"/>
      <c r="N21" s="34"/>
      <c r="O21" s="34"/>
      <c r="P21" s="35"/>
      <c r="Q21" s="1886"/>
      <c r="R21" s="1886"/>
      <c r="S21" s="1886"/>
      <c r="T21" s="1886"/>
      <c r="U21" s="1886"/>
      <c r="V21" s="1886"/>
      <c r="W21" s="1886"/>
      <c r="X21" s="29"/>
      <c r="Y21" s="29"/>
      <c r="Z21" s="29"/>
    </row>
    <row r="22" spans="1:26" s="5" customFormat="1">
      <c r="A22" s="39">
        <v>3</v>
      </c>
      <c r="B22" s="5" t="s">
        <v>305</v>
      </c>
      <c r="C22" s="8"/>
      <c r="I22" s="1886"/>
      <c r="J22" s="1886"/>
      <c r="K22" s="42"/>
      <c r="L22" s="42"/>
      <c r="M22" s="42"/>
      <c r="N22" s="34"/>
      <c r="O22" s="34"/>
      <c r="P22" s="35"/>
      <c r="Q22" s="1886"/>
      <c r="R22" s="1886"/>
      <c r="S22" s="1886"/>
      <c r="T22" s="1886"/>
      <c r="U22" s="1886"/>
      <c r="V22" s="1886"/>
      <c r="W22" s="1886"/>
      <c r="X22" s="29"/>
      <c r="Y22" s="29"/>
      <c r="Z22" s="29"/>
    </row>
    <row r="23" spans="1:26" s="5" customFormat="1">
      <c r="A23" s="39">
        <v>4</v>
      </c>
      <c r="B23" s="5" t="s">
        <v>306</v>
      </c>
      <c r="C23" s="8"/>
      <c r="I23" s="1886"/>
      <c r="J23" s="1886"/>
      <c r="K23" s="29"/>
      <c r="L23" s="29"/>
      <c r="M23" s="52"/>
      <c r="N23" s="29"/>
      <c r="O23" s="29"/>
      <c r="P23" s="62"/>
      <c r="Q23" s="1886"/>
      <c r="R23" s="1886"/>
      <c r="S23" s="1886"/>
      <c r="T23" s="1886"/>
      <c r="U23" s="1886"/>
      <c r="V23" s="1886"/>
      <c r="W23" s="1886"/>
      <c r="X23" s="29"/>
      <c r="Y23" s="29"/>
      <c r="Z23" s="29"/>
    </row>
    <row r="24" spans="1:26" s="51" customFormat="1">
      <c r="A24" s="44"/>
      <c r="B24" s="63" t="s">
        <v>307</v>
      </c>
      <c r="C24" s="46"/>
      <c r="I24" s="1887"/>
      <c r="J24" s="1887"/>
      <c r="K24" s="64"/>
      <c r="L24" s="64"/>
      <c r="M24" s="65"/>
      <c r="N24" s="34"/>
      <c r="O24" s="34"/>
      <c r="P24" s="35"/>
      <c r="Q24" s="1887"/>
      <c r="R24" s="1887"/>
      <c r="S24" s="1887"/>
      <c r="T24" s="1887"/>
      <c r="U24" s="1887"/>
      <c r="V24" s="1887"/>
      <c r="W24" s="1887"/>
      <c r="X24" s="50"/>
      <c r="Y24" s="50"/>
      <c r="Z24" s="50"/>
    </row>
    <row r="25" spans="1:26" s="51" customFormat="1">
      <c r="A25" s="44"/>
      <c r="B25" s="63" t="s">
        <v>308</v>
      </c>
      <c r="C25" s="46"/>
      <c r="I25" s="1887"/>
      <c r="J25" s="1887"/>
      <c r="K25" s="64"/>
      <c r="L25" s="64"/>
      <c r="M25" s="65"/>
      <c r="N25" s="34"/>
      <c r="O25" s="34"/>
      <c r="P25" s="35"/>
      <c r="Q25" s="1887"/>
      <c r="R25" s="1887"/>
      <c r="S25" s="1887"/>
      <c r="T25" s="1887"/>
      <c r="U25" s="1887"/>
      <c r="V25" s="1887"/>
      <c r="W25" s="1887"/>
      <c r="X25" s="50"/>
      <c r="Y25" s="50"/>
      <c r="Z25" s="50"/>
    </row>
    <row r="26" spans="1:26" s="5" customFormat="1">
      <c r="A26" s="39">
        <v>5</v>
      </c>
      <c r="B26" s="5" t="s">
        <v>309</v>
      </c>
      <c r="C26" s="8"/>
      <c r="I26" s="1886"/>
      <c r="J26" s="2576"/>
      <c r="K26" s="42"/>
      <c r="L26" s="42"/>
      <c r="M26" s="42"/>
      <c r="N26" s="34"/>
      <c r="O26" s="34"/>
      <c r="P26" s="35"/>
      <c r="Q26" s="1886"/>
      <c r="R26" s="1886"/>
      <c r="S26" s="1886"/>
      <c r="T26" s="1886"/>
      <c r="U26" s="1886"/>
      <c r="V26" s="1886"/>
      <c r="W26" s="1886"/>
      <c r="X26" s="29"/>
      <c r="Y26" s="29"/>
      <c r="Z26" s="29"/>
    </row>
    <row r="27" spans="1:26" s="67" customFormat="1">
      <c r="A27" s="66">
        <v>6</v>
      </c>
      <c r="B27" s="67" t="s">
        <v>310</v>
      </c>
      <c r="C27" s="68"/>
      <c r="I27" s="2579"/>
      <c r="J27" s="2579"/>
      <c r="K27" s="70">
        <v>529400000</v>
      </c>
      <c r="L27" s="70">
        <v>529400000</v>
      </c>
      <c r="M27" s="70">
        <v>529400000</v>
      </c>
      <c r="N27" s="70">
        <v>529400000</v>
      </c>
      <c r="O27" s="70">
        <v>529400000</v>
      </c>
      <c r="P27" s="70">
        <v>529400000</v>
      </c>
      <c r="Q27" s="1888"/>
      <c r="R27" s="1888"/>
      <c r="S27" s="1888"/>
      <c r="T27" s="1888"/>
      <c r="U27" s="1888"/>
      <c r="V27" s="1888"/>
      <c r="W27" s="1888"/>
      <c r="X27" s="69"/>
      <c r="Y27" s="69"/>
      <c r="Z27" s="69"/>
    </row>
    <row r="28" spans="1:26" s="5" customFormat="1">
      <c r="A28" s="39">
        <v>7</v>
      </c>
      <c r="B28" s="5" t="s">
        <v>311</v>
      </c>
      <c r="C28" s="8"/>
      <c r="I28" s="1733"/>
      <c r="J28" s="1733"/>
      <c r="K28" s="71">
        <f>'BS Raw'!F120</f>
        <v>0</v>
      </c>
      <c r="L28" s="71">
        <f>'BS Raw'!G120</f>
        <v>0</v>
      </c>
      <c r="M28" s="71">
        <f>'BS Raw'!H120</f>
        <v>0</v>
      </c>
      <c r="N28" s="71">
        <f>'BS Raw'!I120</f>
        <v>0</v>
      </c>
      <c r="O28" s="71">
        <f>'BS Raw'!J120</f>
        <v>0</v>
      </c>
      <c r="P28" s="71">
        <f>'BS Raw'!K120</f>
        <v>0</v>
      </c>
      <c r="Q28" s="1886"/>
      <c r="R28" s="1886"/>
      <c r="S28" s="1886"/>
      <c r="T28" s="1886"/>
      <c r="U28" s="1886"/>
      <c r="V28" s="1886"/>
      <c r="W28" s="1886"/>
      <c r="X28" s="29"/>
      <c r="Y28" s="29"/>
      <c r="Z28" s="29"/>
    </row>
    <row r="29" spans="1:26" s="67" customFormat="1" ht="14.4">
      <c r="A29" s="66">
        <v>8</v>
      </c>
      <c r="B29" s="67" t="s">
        <v>312</v>
      </c>
      <c r="C29" s="68"/>
      <c r="I29" s="73"/>
      <c r="J29" s="73"/>
      <c r="K29" s="73">
        <f>K27-K28</f>
        <v>529400000</v>
      </c>
      <c r="L29" s="73">
        <f t="shared" ref="L29:P29" si="8">L27-L28</f>
        <v>529400000</v>
      </c>
      <c r="M29" s="73">
        <f t="shared" si="8"/>
        <v>529400000</v>
      </c>
      <c r="N29" s="73">
        <f t="shared" si="8"/>
        <v>529400000</v>
      </c>
      <c r="O29" s="73">
        <f t="shared" si="8"/>
        <v>529400000</v>
      </c>
      <c r="P29" s="73">
        <f t="shared" si="8"/>
        <v>529400000</v>
      </c>
      <c r="Q29" s="2554" t="s">
        <v>1487</v>
      </c>
      <c r="R29" s="72"/>
      <c r="S29" s="72"/>
      <c r="T29" s="72"/>
      <c r="U29" s="72"/>
      <c r="V29" s="72"/>
      <c r="W29" s="72"/>
      <c r="X29" s="72"/>
      <c r="Y29" s="72"/>
    </row>
    <row r="30" spans="1:26">
      <c r="M30" s="7"/>
      <c r="P30" s="4"/>
    </row>
    <row r="31" spans="1:26">
      <c r="M31" s="7"/>
      <c r="P31" s="4"/>
    </row>
    <row r="32" spans="1:26">
      <c r="M32" s="7"/>
      <c r="P32" s="4"/>
    </row>
    <row r="33" spans="13:16">
      <c r="M33" s="7"/>
      <c r="P33" s="4"/>
    </row>
    <row r="34" spans="13:16">
      <c r="M34" s="7"/>
      <c r="P34" s="4"/>
    </row>
    <row r="35" spans="13:16">
      <c r="M35" s="7"/>
      <c r="P35" s="4"/>
    </row>
    <row r="36" spans="13:16">
      <c r="M36" s="7"/>
      <c r="P36" s="4"/>
    </row>
    <row r="37" spans="13:16">
      <c r="M37" s="7"/>
      <c r="P37" s="4"/>
    </row>
    <row r="38" spans="13:16">
      <c r="M38" s="7"/>
    </row>
    <row r="39" spans="13:16">
      <c r="M39" s="7"/>
    </row>
    <row r="40" spans="13:16">
      <c r="M40" s="7"/>
    </row>
    <row r="41" spans="13:16">
      <c r="M41" s="7"/>
    </row>
    <row r="42" spans="13:16">
      <c r="M42" s="7"/>
    </row>
    <row r="43" spans="13:16">
      <c r="M43" s="7"/>
    </row>
    <row r="44" spans="13:16">
      <c r="M44" s="7"/>
    </row>
    <row r="45" spans="13:16">
      <c r="M45" s="7"/>
    </row>
    <row r="46" spans="13:16">
      <c r="M46" s="7"/>
    </row>
    <row r="47" spans="13:16">
      <c r="M47" s="7"/>
    </row>
    <row r="48" spans="13:16">
      <c r="M48" s="7"/>
    </row>
    <row r="49" spans="13:13">
      <c r="M49" s="7"/>
    </row>
    <row r="50" spans="13:13">
      <c r="M50" s="7"/>
    </row>
    <row r="51" spans="13:13">
      <c r="M51" s="7"/>
    </row>
    <row r="52" spans="13:13">
      <c r="M52" s="7"/>
    </row>
    <row r="53" spans="13:13">
      <c r="M53" s="7"/>
    </row>
    <row r="54" spans="13:13">
      <c r="M54" s="7"/>
    </row>
    <row r="55" spans="13:13">
      <c r="M55" s="7"/>
    </row>
    <row r="56" spans="13:13">
      <c r="M56" s="7"/>
    </row>
    <row r="57" spans="13:13">
      <c r="M57" s="7"/>
    </row>
    <row r="58" spans="13:13">
      <c r="M58" s="7"/>
    </row>
    <row r="59" spans="13:13">
      <c r="M59" s="7"/>
    </row>
    <row r="60" spans="13:13">
      <c r="M60" s="7"/>
    </row>
    <row r="61" spans="13:13">
      <c r="M61" s="7"/>
    </row>
    <row r="62" spans="13:13">
      <c r="M62" s="7"/>
    </row>
    <row r="63" spans="13:13">
      <c r="M63" s="7"/>
    </row>
    <row r="64" spans="13:13">
      <c r="M64" s="7"/>
    </row>
    <row r="65" spans="13:13">
      <c r="M65" s="7"/>
    </row>
    <row r="66" spans="13:13">
      <c r="M66" s="7"/>
    </row>
    <row r="67" spans="13:13">
      <c r="M67" s="7"/>
    </row>
    <row r="68" spans="13:13">
      <c r="M68" s="7"/>
    </row>
    <row r="69" spans="13:13">
      <c r="M69" s="7"/>
    </row>
    <row r="70" spans="13:13">
      <c r="M70" s="7"/>
    </row>
    <row r="71" spans="13:13">
      <c r="M71" s="7"/>
    </row>
    <row r="72" spans="13:13">
      <c r="M72" s="7"/>
    </row>
    <row r="73" spans="13:13">
      <c r="M73" s="7"/>
    </row>
    <row r="74" spans="13:13">
      <c r="M74" s="7"/>
    </row>
    <row r="75" spans="13:13">
      <c r="M75" s="7"/>
    </row>
    <row r="76" spans="13:13">
      <c r="M76" s="7"/>
    </row>
    <row r="77" spans="13:13">
      <c r="M77" s="7"/>
    </row>
    <row r="78" spans="13:13">
      <c r="M78" s="7"/>
    </row>
    <row r="79" spans="13:13">
      <c r="M79" s="7"/>
    </row>
  </sheetData>
  <mergeCells count="1">
    <mergeCell ref="K1:P1"/>
  </mergeCells>
  <hyperlinks>
    <hyperlink ref="Q29" r:id="rId1" xr:uid="{B5C93923-4319-412F-9563-B83170C8C5E4}"/>
  </hyperlinks>
  <pageMargins left="0.7" right="0.7" top="0.75" bottom="0.75" header="0.3" footer="0.3"/>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403BA-D62D-46C4-857F-C217F34F406B}">
  <dimension ref="A1:BU168"/>
  <sheetViews>
    <sheetView zoomScale="70" zoomScaleNormal="70" workbookViewId="0">
      <pane xSplit="1" ySplit="4" topLeftCell="B5" activePane="bottomRight" state="frozen"/>
      <selection pane="topRight" activeCell="B1" sqref="B1"/>
      <selection pane="bottomLeft" activeCell="A5" sqref="A5"/>
      <selection pane="bottomRight" activeCell="P29" sqref="P29"/>
    </sheetView>
  </sheetViews>
  <sheetFormatPr defaultColWidth="9.109375" defaultRowHeight="13.2"/>
  <cols>
    <col min="1" max="1" width="3.33203125" style="539" customWidth="1"/>
    <col min="2" max="2" width="41.109375" style="539" customWidth="1"/>
    <col min="3" max="3" width="21.6640625" style="539" customWidth="1"/>
    <col min="4" max="6" width="11.44140625" style="539" customWidth="1"/>
    <col min="7" max="7" width="12.88671875" style="539" customWidth="1"/>
    <col min="8" max="8" width="13.33203125" style="539" customWidth="1"/>
    <col min="9" max="12" width="11.44140625" style="539" customWidth="1"/>
    <col min="13" max="14" width="11.44140625" style="675" customWidth="1"/>
    <col min="15" max="15" width="13.33203125" style="675" customWidth="1"/>
    <col min="16" max="16" width="14.6640625" style="675" customWidth="1"/>
    <col min="17" max="17" width="11.44140625" style="675" customWidth="1"/>
    <col min="18" max="18" width="14.5546875" style="675" customWidth="1"/>
    <col min="19" max="20" width="16.6640625" style="539" customWidth="1"/>
    <col min="21" max="21" width="19" style="539" customWidth="1"/>
    <col min="22" max="22" width="17.44140625" style="539" customWidth="1"/>
    <col min="23" max="23" width="17.33203125" style="539" customWidth="1"/>
    <col min="24" max="24" width="18.5546875" style="539" customWidth="1"/>
    <col min="25" max="25" width="13.44140625" style="539" customWidth="1"/>
    <col min="26" max="26" width="17.6640625" style="539" customWidth="1"/>
    <col min="27" max="27" width="0.5546875" style="539" customWidth="1"/>
    <col min="28" max="28" width="0.6640625" style="539" customWidth="1"/>
    <col min="29" max="29" width="15.109375" style="539" hidden="1" customWidth="1"/>
    <col min="30" max="30" width="15.44140625" style="539" hidden="1" customWidth="1"/>
    <col min="31" max="31" width="0.109375" style="539" hidden="1" customWidth="1"/>
    <col min="32" max="32" width="13.109375" style="539" hidden="1" customWidth="1"/>
    <col min="33" max="36" width="0.109375" style="539" hidden="1" customWidth="1"/>
    <col min="37" max="37" width="0.33203125" style="539" hidden="1" customWidth="1"/>
    <col min="38" max="38" width="12.6640625" style="539" hidden="1" customWidth="1"/>
    <col min="39" max="39" width="0.33203125" style="539" hidden="1" customWidth="1"/>
    <col min="40" max="40" width="0.44140625" style="539" hidden="1" customWidth="1"/>
    <col min="41" max="41" width="0.21875" style="539" hidden="1" customWidth="1"/>
    <col min="42" max="42" width="10.5546875" style="539" hidden="1" customWidth="1"/>
    <col min="43" max="43" width="7.109375" style="539" hidden="1" customWidth="1"/>
    <col min="44" max="45" width="0.109375" style="539" hidden="1" customWidth="1"/>
    <col min="46" max="46" width="0.33203125" style="539" hidden="1" customWidth="1"/>
    <col min="47" max="47" width="13.33203125" style="539" hidden="1" customWidth="1"/>
    <col min="48" max="48" width="0.44140625" style="539" hidden="1" customWidth="1"/>
    <col min="49" max="49" width="8.88671875" style="539" hidden="1" customWidth="1"/>
    <col min="50" max="50" width="0.109375" style="539" hidden="1" customWidth="1"/>
    <col min="51" max="51" width="13.109375" style="539" hidden="1" customWidth="1"/>
    <col min="52" max="52" width="0.5546875" style="539" hidden="1" customWidth="1"/>
    <col min="53" max="53" width="0.109375" style="539" hidden="1" customWidth="1"/>
    <col min="54" max="54" width="5.6640625" style="539" customWidth="1"/>
    <col min="55" max="55" width="72.33203125" style="539" customWidth="1"/>
    <col min="56" max="56" width="11.6640625" style="539" customWidth="1"/>
    <col min="57" max="16384" width="9.109375" style="539"/>
  </cols>
  <sheetData>
    <row r="1" spans="2:73" s="831" customFormat="1">
      <c r="B1" s="830">
        <v>1</v>
      </c>
      <c r="M1" s="832"/>
      <c r="N1" s="833">
        <v>1</v>
      </c>
      <c r="O1" s="833">
        <v>2</v>
      </c>
      <c r="P1" s="834">
        <v>3</v>
      </c>
      <c r="Q1" s="835">
        <v>4</v>
      </c>
      <c r="R1" s="835">
        <v>5</v>
      </c>
      <c r="S1" s="835">
        <v>6</v>
      </c>
      <c r="T1" s="835">
        <v>7</v>
      </c>
      <c r="U1" s="835">
        <v>8</v>
      </c>
      <c r="V1" s="835">
        <v>9</v>
      </c>
      <c r="W1" s="835">
        <v>10</v>
      </c>
      <c r="X1" s="835">
        <v>11</v>
      </c>
      <c r="Y1" s="835">
        <v>12</v>
      </c>
      <c r="Z1" s="835">
        <v>13</v>
      </c>
      <c r="AA1" s="835">
        <v>14</v>
      </c>
      <c r="AB1" s="835">
        <v>15</v>
      </c>
      <c r="AC1" s="835">
        <v>16</v>
      </c>
      <c r="AD1" s="835">
        <v>17</v>
      </c>
      <c r="AE1" s="835">
        <v>18</v>
      </c>
      <c r="AF1" s="835">
        <v>19</v>
      </c>
      <c r="AG1" s="835">
        <v>20</v>
      </c>
      <c r="AH1" s="835">
        <v>21</v>
      </c>
      <c r="AI1" s="835">
        <v>22</v>
      </c>
      <c r="AJ1" s="835">
        <v>23</v>
      </c>
      <c r="AK1" s="835">
        <v>24</v>
      </c>
      <c r="AL1" s="835">
        <v>25</v>
      </c>
      <c r="AM1" s="835">
        <v>26</v>
      </c>
      <c r="AN1" s="835">
        <v>27</v>
      </c>
      <c r="AO1" s="835">
        <v>28</v>
      </c>
      <c r="AP1" s="835">
        <v>29</v>
      </c>
      <c r="AQ1" s="835">
        <v>30</v>
      </c>
      <c r="AR1" s="835">
        <v>31</v>
      </c>
      <c r="AS1" s="835">
        <v>32</v>
      </c>
      <c r="AT1" s="835">
        <v>33</v>
      </c>
      <c r="AU1" s="835">
        <v>34</v>
      </c>
      <c r="AV1" s="835">
        <v>35</v>
      </c>
      <c r="AW1" s="835">
        <v>36</v>
      </c>
      <c r="AX1" s="835">
        <v>37</v>
      </c>
      <c r="AY1" s="835">
        <v>38</v>
      </c>
      <c r="AZ1" s="835">
        <v>39</v>
      </c>
      <c r="BA1" s="835">
        <v>40</v>
      </c>
    </row>
    <row r="2" spans="2:73" s="540" customFormat="1">
      <c r="C2" s="540" t="str">
        <f t="shared" ref="C2:BA2" ca="1" si="0">IF(TODAY()&lt;C3,"Proj","")</f>
        <v/>
      </c>
      <c r="D2" s="836" t="str">
        <f t="shared" ca="1" si="0"/>
        <v/>
      </c>
      <c r="F2" s="540" t="str">
        <f t="shared" ca="1" si="0"/>
        <v/>
      </c>
      <c r="G2" s="540" t="str">
        <f t="shared" ca="1" si="0"/>
        <v/>
      </c>
      <c r="H2" s="540" t="str">
        <f t="shared" ca="1" si="0"/>
        <v/>
      </c>
      <c r="I2" s="540" t="str">
        <f t="shared" ca="1" si="0"/>
        <v/>
      </c>
      <c r="J2" s="540" t="str">
        <f t="shared" ca="1" si="0"/>
        <v/>
      </c>
      <c r="K2" s="540" t="str">
        <f t="shared" ca="1" si="0"/>
        <v/>
      </c>
      <c r="L2" s="540" t="str">
        <f t="shared" ca="1" si="0"/>
        <v/>
      </c>
      <c r="M2" s="540" t="str">
        <f t="shared" ca="1" si="0"/>
        <v/>
      </c>
      <c r="N2" s="837" t="str">
        <f t="shared" ca="1" si="0"/>
        <v/>
      </c>
      <c r="O2" s="837" t="str">
        <f t="shared" ca="1" si="0"/>
        <v/>
      </c>
      <c r="P2" s="838" t="str">
        <f t="shared" ca="1" si="0"/>
        <v/>
      </c>
      <c r="Q2" s="839" t="str">
        <f t="shared" ca="1" si="0"/>
        <v>Proj</v>
      </c>
      <c r="R2" s="839" t="str">
        <f t="shared" ca="1" si="0"/>
        <v>Proj</v>
      </c>
      <c r="S2" s="839" t="str">
        <f t="shared" ca="1" si="0"/>
        <v>Proj</v>
      </c>
      <c r="T2" s="839" t="str">
        <f t="shared" ca="1" si="0"/>
        <v>Proj</v>
      </c>
      <c r="U2" s="839" t="str">
        <f t="shared" ca="1" si="0"/>
        <v>Proj</v>
      </c>
      <c r="V2" s="839" t="str">
        <f t="shared" ca="1" si="0"/>
        <v>Proj</v>
      </c>
      <c r="W2" s="839" t="str">
        <f t="shared" ca="1" si="0"/>
        <v>Proj</v>
      </c>
      <c r="X2" s="839" t="str">
        <f t="shared" ca="1" si="0"/>
        <v>Proj</v>
      </c>
      <c r="Y2" s="839" t="str">
        <f t="shared" ca="1" si="0"/>
        <v>Proj</v>
      </c>
      <c r="Z2" s="839" t="str">
        <f t="shared" ca="1" si="0"/>
        <v>Proj</v>
      </c>
      <c r="AA2" s="839" t="str">
        <f t="shared" ca="1" si="0"/>
        <v>Proj</v>
      </c>
      <c r="AB2" s="839" t="str">
        <f t="shared" ca="1" si="0"/>
        <v>Proj</v>
      </c>
      <c r="AC2" s="839" t="str">
        <f t="shared" ca="1" si="0"/>
        <v>Proj</v>
      </c>
      <c r="AD2" s="839" t="str">
        <f t="shared" ca="1" si="0"/>
        <v>Proj</v>
      </c>
      <c r="AE2" s="839" t="str">
        <f t="shared" ca="1" si="0"/>
        <v>Proj</v>
      </c>
      <c r="AF2" s="839" t="str">
        <f t="shared" ca="1" si="0"/>
        <v>Proj</v>
      </c>
      <c r="AG2" s="839" t="str">
        <f t="shared" ca="1" si="0"/>
        <v>Proj</v>
      </c>
      <c r="AH2" s="839" t="str">
        <f t="shared" ca="1" si="0"/>
        <v>Proj</v>
      </c>
      <c r="AI2" s="839" t="str">
        <f t="shared" ca="1" si="0"/>
        <v>Proj</v>
      </c>
      <c r="AJ2" s="839" t="str">
        <f t="shared" ca="1" si="0"/>
        <v>Proj</v>
      </c>
      <c r="AK2" s="839" t="str">
        <f t="shared" ca="1" si="0"/>
        <v>Proj</v>
      </c>
      <c r="AL2" s="839" t="str">
        <f t="shared" ca="1" si="0"/>
        <v>Proj</v>
      </c>
      <c r="AM2" s="839" t="str">
        <f t="shared" ca="1" si="0"/>
        <v>Proj</v>
      </c>
      <c r="AN2" s="839" t="str">
        <f t="shared" ca="1" si="0"/>
        <v>Proj</v>
      </c>
      <c r="AO2" s="839" t="str">
        <f t="shared" ca="1" si="0"/>
        <v>Proj</v>
      </c>
      <c r="AP2" s="839" t="str">
        <f t="shared" ca="1" si="0"/>
        <v>Proj</v>
      </c>
      <c r="AQ2" s="839" t="str">
        <f t="shared" ca="1" si="0"/>
        <v>Proj</v>
      </c>
      <c r="AR2" s="839" t="str">
        <f t="shared" ca="1" si="0"/>
        <v>Proj</v>
      </c>
      <c r="AS2" s="839" t="str">
        <f t="shared" ca="1" si="0"/>
        <v>Proj</v>
      </c>
      <c r="AT2" s="839" t="str">
        <f t="shared" ca="1" si="0"/>
        <v>Proj</v>
      </c>
      <c r="AU2" s="839" t="str">
        <f t="shared" ca="1" si="0"/>
        <v>Proj</v>
      </c>
      <c r="AV2" s="839" t="str">
        <f t="shared" ca="1" si="0"/>
        <v>Proj</v>
      </c>
      <c r="AW2" s="839" t="str">
        <f t="shared" ca="1" si="0"/>
        <v>Proj</v>
      </c>
      <c r="AX2" s="839" t="str">
        <f t="shared" ca="1" si="0"/>
        <v>Proj</v>
      </c>
      <c r="AY2" s="839" t="str">
        <f t="shared" ca="1" si="0"/>
        <v>Proj</v>
      </c>
      <c r="AZ2" s="839" t="str">
        <f t="shared" ca="1" si="0"/>
        <v>Proj</v>
      </c>
      <c r="BA2" s="839" t="str">
        <f t="shared" ca="1" si="0"/>
        <v>Proj</v>
      </c>
    </row>
    <row r="3" spans="2:73" s="540" customFormat="1" ht="13.8" thickBot="1">
      <c r="B3" s="840"/>
      <c r="C3" s="840"/>
      <c r="D3" s="841">
        <v>41274</v>
      </c>
      <c r="E3" s="842">
        <f t="shared" ref="E3:Q3" si="1">DATE(YEAR(D3),MONTH(D3)+13,0)</f>
        <v>41639</v>
      </c>
      <c r="F3" s="842">
        <f t="shared" si="1"/>
        <v>42004</v>
      </c>
      <c r="G3" s="842">
        <f t="shared" si="1"/>
        <v>42369</v>
      </c>
      <c r="H3" s="842">
        <f t="shared" si="1"/>
        <v>42735</v>
      </c>
      <c r="I3" s="842">
        <f t="shared" si="1"/>
        <v>43100</v>
      </c>
      <c r="J3" s="842">
        <f t="shared" si="1"/>
        <v>43465</v>
      </c>
      <c r="K3" s="842">
        <f t="shared" si="1"/>
        <v>43830</v>
      </c>
      <c r="L3" s="842">
        <f t="shared" si="1"/>
        <v>44196</v>
      </c>
      <c r="M3" s="842">
        <f t="shared" si="1"/>
        <v>44561</v>
      </c>
      <c r="N3" s="842">
        <f t="shared" si="1"/>
        <v>44926</v>
      </c>
      <c r="O3" s="842">
        <f t="shared" si="1"/>
        <v>45291</v>
      </c>
      <c r="P3" s="843">
        <f t="shared" si="1"/>
        <v>45657</v>
      </c>
      <c r="Q3" s="844">
        <f t="shared" si="1"/>
        <v>46022</v>
      </c>
      <c r="R3" s="844">
        <f>DATE(YEAR(Q3),MONTH(Q3)+13,0)</f>
        <v>46387</v>
      </c>
      <c r="S3" s="844">
        <f t="shared" ref="S3:BA3" si="2">DATE(YEAR(R3),MONTH(R3)+13,0)</f>
        <v>46752</v>
      </c>
      <c r="T3" s="844">
        <f t="shared" si="2"/>
        <v>47118</v>
      </c>
      <c r="U3" s="844">
        <f t="shared" si="2"/>
        <v>47483</v>
      </c>
      <c r="V3" s="844">
        <f t="shared" si="2"/>
        <v>47848</v>
      </c>
      <c r="W3" s="844">
        <f t="shared" si="2"/>
        <v>48213</v>
      </c>
      <c r="X3" s="844">
        <f t="shared" si="2"/>
        <v>48579</v>
      </c>
      <c r="Y3" s="844">
        <f t="shared" si="2"/>
        <v>48944</v>
      </c>
      <c r="Z3" s="844">
        <f t="shared" si="2"/>
        <v>49309</v>
      </c>
      <c r="AA3" s="844">
        <f t="shared" si="2"/>
        <v>49674</v>
      </c>
      <c r="AB3" s="844">
        <f t="shared" si="2"/>
        <v>50040</v>
      </c>
      <c r="AC3" s="844">
        <f t="shared" si="2"/>
        <v>50405</v>
      </c>
      <c r="AD3" s="844">
        <f t="shared" si="2"/>
        <v>50770</v>
      </c>
      <c r="AE3" s="844">
        <f t="shared" si="2"/>
        <v>51135</v>
      </c>
      <c r="AF3" s="844">
        <f t="shared" si="2"/>
        <v>51501</v>
      </c>
      <c r="AG3" s="844">
        <f t="shared" si="2"/>
        <v>51866</v>
      </c>
      <c r="AH3" s="844">
        <f t="shared" si="2"/>
        <v>52231</v>
      </c>
      <c r="AI3" s="844">
        <f t="shared" si="2"/>
        <v>52596</v>
      </c>
      <c r="AJ3" s="844">
        <f t="shared" si="2"/>
        <v>52962</v>
      </c>
      <c r="AK3" s="844">
        <f t="shared" si="2"/>
        <v>53327</v>
      </c>
      <c r="AL3" s="844">
        <f t="shared" si="2"/>
        <v>53692</v>
      </c>
      <c r="AM3" s="844">
        <f t="shared" si="2"/>
        <v>54057</v>
      </c>
      <c r="AN3" s="844">
        <f t="shared" si="2"/>
        <v>54423</v>
      </c>
      <c r="AO3" s="844">
        <f t="shared" si="2"/>
        <v>54788</v>
      </c>
      <c r="AP3" s="844">
        <f t="shared" si="2"/>
        <v>55153</v>
      </c>
      <c r="AQ3" s="844">
        <f t="shared" si="2"/>
        <v>55518</v>
      </c>
      <c r="AR3" s="844">
        <f t="shared" si="2"/>
        <v>55884</v>
      </c>
      <c r="AS3" s="844">
        <f t="shared" si="2"/>
        <v>56249</v>
      </c>
      <c r="AT3" s="844">
        <f t="shared" si="2"/>
        <v>56614</v>
      </c>
      <c r="AU3" s="844">
        <f t="shared" si="2"/>
        <v>56979</v>
      </c>
      <c r="AV3" s="844">
        <f t="shared" si="2"/>
        <v>57345</v>
      </c>
      <c r="AW3" s="844">
        <f t="shared" si="2"/>
        <v>57710</v>
      </c>
      <c r="AX3" s="844">
        <f t="shared" si="2"/>
        <v>58075</v>
      </c>
      <c r="AY3" s="844">
        <f t="shared" si="2"/>
        <v>58440</v>
      </c>
      <c r="AZ3" s="844">
        <f t="shared" si="2"/>
        <v>58806</v>
      </c>
      <c r="BA3" s="844">
        <f t="shared" si="2"/>
        <v>59171</v>
      </c>
      <c r="BC3" s="17" t="s">
        <v>744</v>
      </c>
    </row>
    <row r="4" spans="2:73" s="266" customFormat="1" ht="13.8" thickTop="1">
      <c r="C4" s="845"/>
      <c r="D4" s="846"/>
      <c r="E4" s="846"/>
      <c r="F4" s="846"/>
      <c r="G4" s="846"/>
      <c r="H4" s="2712" t="s">
        <v>783</v>
      </c>
      <c r="I4" s="2712"/>
      <c r="J4" s="988"/>
      <c r="K4" s="988"/>
      <c r="L4" s="988">
        <f>L8/K8-1</f>
        <v>7.3592304982240009E-2</v>
      </c>
      <c r="M4" s="988">
        <f t="shared" ref="M4:P4" si="3">M8/L8-1</f>
        <v>0.30530403583535581</v>
      </c>
      <c r="N4" s="988">
        <f t="shared" si="3"/>
        <v>0.61346599997020768</v>
      </c>
      <c r="O4" s="988">
        <f t="shared" si="3"/>
        <v>-0.21061754682099965</v>
      </c>
      <c r="P4" s="988">
        <f t="shared" si="3"/>
        <v>0.16053712285367405</v>
      </c>
      <c r="Q4" s="988">
        <f>Q8/P8-1</f>
        <v>0.21581151028155654</v>
      </c>
      <c r="R4" s="988">
        <f t="shared" ref="R4:Z4" si="4">R8/Q8-1</f>
        <v>4.8080581095734543E-2</v>
      </c>
      <c r="S4" s="988">
        <f t="shared" si="4"/>
        <v>2.8293767027980588E-2</v>
      </c>
      <c r="T4" s="988">
        <f t="shared" si="4"/>
        <v>0.17853788685403615</v>
      </c>
      <c r="U4" s="988">
        <f t="shared" si="4"/>
        <v>-3.0890592581832466E-2</v>
      </c>
      <c r="V4" s="988">
        <f t="shared" si="4"/>
        <v>-6.4212469634901237E-2</v>
      </c>
      <c r="W4" s="988">
        <f t="shared" si="4"/>
        <v>2.5780405052106881E-2</v>
      </c>
      <c r="X4" s="988">
        <f t="shared" si="4"/>
        <v>2.1888374128678167E-2</v>
      </c>
      <c r="Y4" s="988">
        <f t="shared" si="4"/>
        <v>5.185198752811182E-2</v>
      </c>
      <c r="Z4" s="988">
        <f t="shared" si="4"/>
        <v>1.3457614331405798E-2</v>
      </c>
      <c r="AA4" s="846"/>
      <c r="AB4" s="846"/>
      <c r="AC4" s="846"/>
      <c r="AD4" s="846"/>
      <c r="AE4" s="846"/>
      <c r="AF4" s="846"/>
      <c r="AG4" s="846"/>
      <c r="AH4" s="846"/>
      <c r="AI4" s="846"/>
      <c r="AJ4" s="846"/>
      <c r="AK4" s="846"/>
      <c r="AL4" s="846"/>
      <c r="AM4" s="846"/>
      <c r="AN4" s="846"/>
      <c r="AO4" s="846"/>
      <c r="AP4" s="846"/>
      <c r="AQ4" s="846"/>
      <c r="AR4" s="846"/>
      <c r="AS4" s="846"/>
      <c r="AT4" s="846"/>
      <c r="AU4" s="846"/>
      <c r="AV4" s="846"/>
      <c r="AW4" s="846"/>
      <c r="AX4" s="846"/>
      <c r="AY4" s="846"/>
      <c r="AZ4" s="846"/>
      <c r="BA4" s="846"/>
    </row>
    <row r="5" spans="2:73" s="266" customFormat="1">
      <c r="C5" s="845"/>
      <c r="D5" s="846"/>
      <c r="E5" s="846"/>
      <c r="F5" s="846"/>
      <c r="G5" s="846"/>
      <c r="H5" s="846"/>
      <c r="I5" s="846"/>
      <c r="J5" s="846"/>
      <c r="K5" s="846"/>
      <c r="L5" s="846"/>
      <c r="M5" s="846"/>
      <c r="N5" s="846"/>
      <c r="O5" s="846"/>
      <c r="P5" s="847"/>
      <c r="Q5" s="846"/>
      <c r="R5" s="846"/>
      <c r="S5" s="846"/>
      <c r="T5" s="846"/>
      <c r="U5" s="846"/>
      <c r="V5" s="846"/>
      <c r="W5" s="846"/>
      <c r="X5" s="846"/>
      <c r="Y5" s="846"/>
      <c r="Z5" s="846"/>
      <c r="AA5" s="846"/>
      <c r="AB5" s="846"/>
      <c r="AC5" s="846"/>
      <c r="AD5" s="846"/>
      <c r="AE5" s="846"/>
      <c r="AF5" s="846"/>
      <c r="AG5" s="846"/>
      <c r="AH5" s="846"/>
      <c r="AI5" s="846"/>
      <c r="AJ5" s="846"/>
      <c r="AK5" s="846"/>
      <c r="AL5" s="846"/>
      <c r="AM5" s="846"/>
      <c r="AN5" s="846"/>
      <c r="AO5" s="846"/>
      <c r="AP5" s="846"/>
      <c r="AQ5" s="846"/>
      <c r="AR5" s="846"/>
      <c r="AS5" s="846"/>
      <c r="AT5" s="846"/>
      <c r="AU5" s="846"/>
      <c r="AV5" s="846"/>
      <c r="AW5" s="846"/>
      <c r="AX5" s="846"/>
      <c r="AY5" s="846"/>
      <c r="AZ5" s="846"/>
      <c r="BA5" s="846"/>
    </row>
    <row r="6" spans="2:73" s="851" customFormat="1" ht="17.25" customHeight="1">
      <c r="B6" s="848" t="s">
        <v>728</v>
      </c>
      <c r="C6" s="849"/>
      <c r="D6" s="849"/>
      <c r="E6" s="849"/>
      <c r="F6" s="849"/>
      <c r="G6" s="849"/>
      <c r="H6" s="849"/>
      <c r="I6" s="849"/>
      <c r="J6" s="849"/>
      <c r="K6" s="849"/>
      <c r="L6" s="849"/>
      <c r="M6" s="849"/>
      <c r="N6" s="849"/>
      <c r="O6" s="849"/>
      <c r="P6" s="850"/>
      <c r="Q6" s="849"/>
      <c r="R6" s="849"/>
      <c r="S6" s="849"/>
      <c r="T6" s="849"/>
      <c r="U6" s="849"/>
      <c r="V6" s="849"/>
      <c r="W6" s="849"/>
      <c r="X6" s="849"/>
      <c r="Y6" s="849"/>
      <c r="Z6" s="849"/>
      <c r="AA6" s="849"/>
      <c r="AB6" s="849"/>
      <c r="AC6" s="849"/>
      <c r="AD6" s="849"/>
      <c r="AE6" s="849"/>
      <c r="AF6" s="849"/>
      <c r="AG6" s="849"/>
      <c r="AH6" s="849"/>
      <c r="AI6" s="849"/>
      <c r="AJ6" s="849"/>
      <c r="AK6" s="849"/>
      <c r="AL6" s="849"/>
      <c r="AM6" s="849"/>
      <c r="AN6" s="849"/>
      <c r="AO6" s="849"/>
      <c r="AP6" s="849"/>
      <c r="AQ6" s="849"/>
      <c r="AR6" s="849"/>
      <c r="AS6" s="849"/>
      <c r="AT6" s="849"/>
      <c r="AU6" s="849"/>
      <c r="AV6" s="849"/>
      <c r="AW6" s="849"/>
      <c r="AX6" s="849"/>
      <c r="AY6" s="849"/>
      <c r="AZ6" s="849"/>
      <c r="BA6" s="849"/>
    </row>
    <row r="7" spans="2:73">
      <c r="M7" s="539"/>
      <c r="N7" s="539"/>
      <c r="O7" s="539"/>
      <c r="P7" s="634"/>
      <c r="Q7" s="539"/>
      <c r="R7" s="539"/>
    </row>
    <row r="8" spans="2:73" s="18" customFormat="1">
      <c r="B8" s="18" t="s">
        <v>745</v>
      </c>
      <c r="D8" s="20"/>
      <c r="E8" s="20"/>
      <c r="F8" s="20"/>
      <c r="G8" s="20"/>
      <c r="H8" s="20"/>
      <c r="I8" s="20"/>
      <c r="J8" s="852"/>
      <c r="K8" s="852">
        <f>'Doanh thu DCM'!D9+'Doanh thu KVF'!K9</f>
        <v>7042.9669301169997</v>
      </c>
      <c r="L8" s="852">
        <f>'Doanh thu DCM'!E9+'Doanh thu KVF'!L9</f>
        <v>7561.275100418</v>
      </c>
      <c r="M8" s="852">
        <f>'Doanh thu DCM'!F9+'Doanh thu KVF'!M9</f>
        <v>9869.7629046370002</v>
      </c>
      <c r="N8" s="852">
        <f>'Doanh thu DCM'!G9+'Doanh thu KVF'!N9</f>
        <v>15924.526874399</v>
      </c>
      <c r="O8" s="852">
        <f>'Doanh thu DCM'!H9+'Doanh thu KVF'!O9</f>
        <v>12570.542089828001</v>
      </c>
      <c r="P8" s="2488">
        <f>'Doanh thu DCM'!I9+'Doanh thu KVF'!P9</f>
        <v>14588.580749639999</v>
      </c>
      <c r="Q8" s="2457">
        <f>'Doanh thu DCM'!J9+'Doanh thu KVF'!Q9</f>
        <v>17736.964394084251</v>
      </c>
      <c r="R8" s="2457">
        <f>'Doanh thu DCM'!K9+'Doanh thu KVF'!R9</f>
        <v>18589.767949026176</v>
      </c>
      <c r="S8" s="2457">
        <f>'Doanh thu DCM'!L9+'Doanh thu KVF'!S9</f>
        <v>19115.742512480145</v>
      </c>
      <c r="T8" s="2457">
        <f>'Doanh thu DCM'!M9+'Doanh thu KVF'!T9</f>
        <v>22528.626786304212</v>
      </c>
      <c r="U8" s="2457">
        <f>'Doanh thu DCM'!N9+'Doanh thu KVF'!U9</f>
        <v>21832.704154820331</v>
      </c>
      <c r="V8" s="2457">
        <f>'Doanh thu DCM'!O9+'Doanh thu KVF'!V9</f>
        <v>20430.772302231147</v>
      </c>
      <c r="W8" s="2457">
        <f>'Doanh thu DCM'!P9+'Doanh thu KVF'!W9</f>
        <v>20957.485887710034</v>
      </c>
      <c r="X8" s="2457">
        <f>'Doanh thu DCM'!Q9+'Doanh thu KVF'!X9</f>
        <v>21416.211179616723</v>
      </c>
      <c r="Y8" s="2457">
        <f>'Doanh thu DCM'!R9+'Doanh thu KVF'!Y9</f>
        <v>22526.684294601619</v>
      </c>
      <c r="Z8" s="2457">
        <f>'Doanh thu DCM'!S9+'Doanh thu KVF'!Z9</f>
        <v>22829.839724003701</v>
      </c>
      <c r="AA8" s="510"/>
      <c r="AB8" s="852"/>
      <c r="AC8" s="511"/>
      <c r="AD8" s="511"/>
      <c r="AE8" s="511"/>
      <c r="AF8" s="511"/>
      <c r="AG8" s="511"/>
      <c r="AH8" s="511"/>
      <c r="AI8" s="511"/>
      <c r="AJ8" s="511"/>
      <c r="AK8" s="511"/>
      <c r="AL8" s="511"/>
      <c r="AM8" s="511"/>
      <c r="AN8" s="511"/>
      <c r="AO8" s="511"/>
      <c r="AP8" s="511"/>
      <c r="AQ8" s="511"/>
      <c r="AR8" s="511"/>
      <c r="AS8" s="511"/>
      <c r="AT8" s="511"/>
      <c r="AU8" s="511"/>
      <c r="AV8" s="511"/>
      <c r="AW8" s="511"/>
      <c r="AX8" s="511"/>
      <c r="AY8" s="511"/>
      <c r="AZ8" s="511"/>
      <c r="BA8" s="511"/>
    </row>
    <row r="9" spans="2:73" s="18" customFormat="1" ht="12.75" customHeight="1">
      <c r="B9" s="118" t="s">
        <v>1438</v>
      </c>
      <c r="H9" s="95"/>
      <c r="I9" s="95"/>
      <c r="J9" s="174"/>
      <c r="K9" s="174">
        <f>'Doanh thu DCM'!D112</f>
        <v>5467.6612801136343</v>
      </c>
      <c r="L9" s="174">
        <f>'Doanh thu DCM'!E112</f>
        <v>5950.9513904599489</v>
      </c>
      <c r="M9" s="174">
        <f>'Doanh thu DCM'!F112</f>
        <v>7122.7847862112549</v>
      </c>
      <c r="N9" s="174">
        <f>'Doanh thu DCM'!G112</f>
        <v>12056.911494007356</v>
      </c>
      <c r="O9" s="174">
        <f>'Doanh thu DCM'!H112</f>
        <v>8067.7900295130185</v>
      </c>
      <c r="P9" s="853">
        <f>'Doanh thu DCM'!I112</f>
        <v>7432.0334717727274</v>
      </c>
      <c r="Q9" s="2445">
        <f>'Doanh thu DCM'!J112</f>
        <v>9638.5364281753828</v>
      </c>
      <c r="R9" s="2445">
        <f>'Doanh thu DCM'!K112</f>
        <v>10016.532038214453</v>
      </c>
      <c r="S9" s="2445">
        <f>'Doanh thu DCM'!L112</f>
        <v>9904.0436829638165</v>
      </c>
      <c r="T9" s="2445">
        <f>'Doanh thu DCM'!M112</f>
        <v>11336.373373831129</v>
      </c>
      <c r="U9" s="2445">
        <f>'Doanh thu DCM'!N112</f>
        <v>11271.928677394073</v>
      </c>
      <c r="V9" s="2445">
        <f>'Doanh thu DCM'!O112</f>
        <v>10834.063562263598</v>
      </c>
      <c r="W9" s="2445">
        <f>'Doanh thu DCM'!P112</f>
        <v>10962.923492801403</v>
      </c>
      <c r="X9" s="2445">
        <f>'Doanh thu DCM'!Q112</f>
        <v>11014.546700470522</v>
      </c>
      <c r="Y9" s="2445">
        <f>'Doanh thu DCM'!R112</f>
        <v>11670.9708124356</v>
      </c>
      <c r="Z9" s="2445">
        <f>'Doanh thu DCM'!S112</f>
        <v>11083.614745399813</v>
      </c>
      <c r="AA9" s="510"/>
      <c r="AB9" s="174"/>
      <c r="AC9" s="855"/>
      <c r="AD9" s="855"/>
      <c r="AE9" s="855"/>
      <c r="AF9" s="855"/>
      <c r="AG9" s="855"/>
      <c r="AH9" s="855"/>
      <c r="AI9" s="855"/>
      <c r="AJ9" s="855"/>
      <c r="AK9" s="855"/>
      <c r="AL9" s="855"/>
      <c r="AM9" s="855"/>
      <c r="AN9" s="855"/>
      <c r="AO9" s="855"/>
      <c r="AP9" s="855"/>
      <c r="AQ9" s="855"/>
      <c r="AR9" s="855"/>
      <c r="AS9" s="855"/>
      <c r="AT9" s="855"/>
      <c r="AU9" s="855"/>
      <c r="AV9" s="855"/>
      <c r="AW9" s="855"/>
      <c r="AX9" s="855"/>
      <c r="AY9" s="855"/>
      <c r="AZ9" s="855"/>
      <c r="BA9" s="855"/>
      <c r="BC9" s="856"/>
      <c r="BD9" s="856"/>
      <c r="BE9" s="856"/>
      <c r="BF9" s="856"/>
      <c r="BG9" s="856"/>
      <c r="BH9" s="856"/>
      <c r="BI9" s="856"/>
      <c r="BJ9" s="856"/>
      <c r="BK9" s="856"/>
      <c r="BL9" s="856"/>
      <c r="BM9" s="856"/>
      <c r="BN9" s="856"/>
      <c r="BO9" s="856"/>
      <c r="BP9" s="856"/>
      <c r="BQ9" s="856"/>
      <c r="BR9" s="856"/>
      <c r="BS9" s="856"/>
      <c r="BT9" s="856"/>
      <c r="BU9" s="856"/>
    </row>
    <row r="10" spans="2:73" s="18" customFormat="1" ht="12.75" customHeight="1">
      <c r="B10" s="118" t="s">
        <v>1439</v>
      </c>
      <c r="H10" s="95"/>
      <c r="I10" s="95"/>
      <c r="J10" s="174"/>
      <c r="K10" s="174">
        <f>'Doanh thu DCM'!D241+'Doanh thu KVF'!K9</f>
        <v>0</v>
      </c>
      <c r="L10" s="174">
        <f>'Doanh thu DCM'!E241+'Doanh thu KVF'!L9</f>
        <v>0</v>
      </c>
      <c r="M10" s="174">
        <f>'Doanh thu DCM'!F241+'Doanh thu KVF'!M9</f>
        <v>391.24902500000002</v>
      </c>
      <c r="N10" s="174">
        <f>'Doanh thu DCM'!G241+'Doanh thu KVF'!N9</f>
        <v>1253.3219630000001</v>
      </c>
      <c r="O10" s="174">
        <f>'Doanh thu DCM'!H241+'Doanh thu KVF'!O9</f>
        <v>1675.644936958</v>
      </c>
      <c r="P10" s="853">
        <f>'Doanh thu DCM'!I241+'Doanh thu KVF'!P9+'Doanh thu DCM'!V248</f>
        <v>3928.8546027199991</v>
      </c>
      <c r="Q10" s="2445">
        <f>'Doanh thu DCM'!J241+'Doanh thu KVF'!Q9</f>
        <v>4011.5977868396485</v>
      </c>
      <c r="R10" s="2445">
        <f>'Doanh thu DCM'!K241+'Doanh thu KVF'!R9</f>
        <v>4569.5543448478275</v>
      </c>
      <c r="S10" s="2445">
        <f>'Doanh thu DCM'!L241+'Doanh thu KVF'!S9</f>
        <v>5521.8046035510033</v>
      </c>
      <c r="T10" s="2445">
        <f>'Doanh thu DCM'!M241+'Doanh thu KVF'!T9</f>
        <v>7696.7644519711776</v>
      </c>
      <c r="U10" s="2445">
        <f>'Doanh thu DCM'!N241+'Doanh thu KVF'!U9</f>
        <v>7508.2774874645747</v>
      </c>
      <c r="V10" s="2445">
        <f>'Doanh thu DCM'!O241+'Doanh thu KVF'!V9</f>
        <v>6964.8214088377235</v>
      </c>
      <c r="W10" s="2445">
        <f>'Doanh thu DCM'!P241+'Doanh thu KVF'!W9</f>
        <v>7527.6347581509672</v>
      </c>
      <c r="X10" s="2445">
        <f>'Doanh thu DCM'!Q241+'Doanh thu KVF'!X9</f>
        <v>7963.1839421275636</v>
      </c>
      <c r="Y10" s="2445">
        <f>'Doanh thu DCM'!R241+'Doanh thu KVF'!Y9</f>
        <v>8376.8971728375927</v>
      </c>
      <c r="Z10" s="2445">
        <f>'Doanh thu DCM'!S241+'Doanh thu KVF'!Z9</f>
        <v>9279.7256632025274</v>
      </c>
      <c r="AA10" s="510"/>
      <c r="AB10" s="174"/>
      <c r="AC10" s="174">
        <f>'Doanh thu KVF'!AC10</f>
        <v>0</v>
      </c>
      <c r="AD10" s="174">
        <f>'Doanh thu KVF'!AD10</f>
        <v>0</v>
      </c>
      <c r="AE10" s="174">
        <f>'Doanh thu KVF'!AE10</f>
        <v>0</v>
      </c>
      <c r="AF10" s="174">
        <f>'Doanh thu KVF'!AF10</f>
        <v>0</v>
      </c>
      <c r="AG10" s="174">
        <f>'Doanh thu KVF'!AG10</f>
        <v>0</v>
      </c>
      <c r="AH10" s="174">
        <f>'Doanh thu KVF'!AH10</f>
        <v>0</v>
      </c>
      <c r="AI10" s="174">
        <f>'Doanh thu KVF'!AI10</f>
        <v>0</v>
      </c>
      <c r="AJ10" s="174">
        <f>'Doanh thu KVF'!AJ10</f>
        <v>0</v>
      </c>
      <c r="AK10" s="174">
        <f>'Doanh thu KVF'!AK10</f>
        <v>0</v>
      </c>
      <c r="AL10" s="174">
        <f>'Doanh thu KVF'!AL10</f>
        <v>0</v>
      </c>
      <c r="AM10" s="174">
        <f>'Doanh thu KVF'!AM10</f>
        <v>0</v>
      </c>
      <c r="AN10" s="174">
        <f>'Doanh thu KVF'!AN10</f>
        <v>0</v>
      </c>
      <c r="AO10" s="174">
        <f>'Doanh thu KVF'!AO10</f>
        <v>0</v>
      </c>
      <c r="AP10" s="174">
        <f>'Doanh thu KVF'!AP10</f>
        <v>0</v>
      </c>
      <c r="AQ10" s="174">
        <f>'Doanh thu KVF'!AQ10</f>
        <v>0</v>
      </c>
      <c r="AR10" s="174">
        <f>'Doanh thu KVF'!AR10</f>
        <v>0</v>
      </c>
      <c r="AS10" s="174">
        <f>'Doanh thu KVF'!AS10</f>
        <v>0</v>
      </c>
      <c r="AT10" s="174">
        <f>'Doanh thu KVF'!AT10</f>
        <v>0</v>
      </c>
      <c r="AU10" s="174">
        <f>'Doanh thu KVF'!AU10</f>
        <v>0</v>
      </c>
      <c r="AV10" s="174">
        <f>'Doanh thu KVF'!AV10</f>
        <v>0</v>
      </c>
      <c r="AW10" s="174">
        <f>'Doanh thu KVF'!AW10</f>
        <v>0</v>
      </c>
      <c r="AX10" s="174">
        <f>'Doanh thu KVF'!AX10</f>
        <v>0</v>
      </c>
      <c r="AY10" s="174"/>
      <c r="AZ10" s="174"/>
      <c r="BA10" s="174"/>
    </row>
    <row r="11" spans="2:73" s="18" customFormat="1" ht="12.75" customHeight="1">
      <c r="B11" s="118" t="s">
        <v>1440</v>
      </c>
      <c r="H11" s="95"/>
      <c r="I11" s="95"/>
      <c r="J11" s="174"/>
      <c r="K11" s="174">
        <f>'Doanh thu DCM'!D170</f>
        <v>38.074579385</v>
      </c>
      <c r="L11" s="174">
        <f>'Doanh thu DCM'!E170</f>
        <v>0</v>
      </c>
      <c r="M11" s="174">
        <f>'Doanh thu DCM'!F170</f>
        <v>24.014972941</v>
      </c>
      <c r="N11" s="174">
        <f>'Doanh thu DCM'!G170</f>
        <v>98.512861313706182</v>
      </c>
      <c r="O11" s="174">
        <f>'Doanh thu DCM'!H170</f>
        <v>39.608263827160215</v>
      </c>
      <c r="P11" s="853">
        <f>'Doanh thu DCM'!I170</f>
        <v>47.733035894269996</v>
      </c>
      <c r="Q11" s="2445">
        <f>'Doanh thu DCM'!J170</f>
        <v>45.701842877492552</v>
      </c>
      <c r="R11" s="2445">
        <f>'Doanh thu DCM'!K170</f>
        <v>44.787806019942707</v>
      </c>
      <c r="S11" s="2445">
        <f>'Doanh thu DCM'!L170</f>
        <v>43.892049899543849</v>
      </c>
      <c r="T11" s="2445">
        <f>'Doanh thu DCM'!M170</f>
        <v>43.014208901552969</v>
      </c>
      <c r="U11" s="2445">
        <f>'Doanh thu DCM'!N170</f>
        <v>42.153924723521911</v>
      </c>
      <c r="V11" s="2445">
        <f>'Doanh thu DCM'!O170</f>
        <v>41.310846229051471</v>
      </c>
      <c r="W11" s="2445">
        <f>'Doanh thu DCM'!P170</f>
        <v>40.897737766760955</v>
      </c>
      <c r="X11" s="2445">
        <f>'Doanh thu DCM'!Q170</f>
        <v>40.488760389093343</v>
      </c>
      <c r="Y11" s="2445">
        <f>'Doanh thu DCM'!R170</f>
        <v>40.083872785202416</v>
      </c>
      <c r="Z11" s="2445">
        <f>'Doanh thu DCM'!S170</f>
        <v>39.68303405735039</v>
      </c>
      <c r="AA11" s="510"/>
      <c r="AB11" s="174"/>
      <c r="AC11" s="174"/>
      <c r="AD11" s="174"/>
      <c r="AE11" s="174"/>
      <c r="AF11" s="174"/>
      <c r="AG11" s="174"/>
      <c r="AH11" s="174"/>
      <c r="AI11" s="174"/>
      <c r="AJ11" s="174"/>
      <c r="AK11" s="174"/>
      <c r="AL11" s="174"/>
      <c r="AM11" s="174"/>
      <c r="AN11" s="174"/>
      <c r="AO11" s="174"/>
      <c r="AP11" s="174"/>
      <c r="AQ11" s="174"/>
      <c r="AR11" s="174"/>
      <c r="AS11" s="174"/>
      <c r="AT11" s="174"/>
      <c r="AU11" s="174"/>
      <c r="AV11" s="174"/>
      <c r="AW11" s="174"/>
      <c r="AX11" s="174"/>
      <c r="AY11" s="174"/>
      <c r="AZ11" s="174"/>
      <c r="BA11" s="174"/>
    </row>
    <row r="12" spans="2:73" s="18" customFormat="1" ht="12.75" customHeight="1">
      <c r="B12" s="118" t="s">
        <v>1441</v>
      </c>
      <c r="H12" s="95"/>
      <c r="I12" s="95"/>
      <c r="J12" s="174"/>
      <c r="K12" s="174">
        <f>'Doanh thu DCM'!D159</f>
        <v>1311.8822950900001</v>
      </c>
      <c r="L12" s="174">
        <f>'Doanh thu DCM'!E159</f>
        <v>1331.3239103799999</v>
      </c>
      <c r="M12" s="174">
        <f>'Doanh thu DCM'!F159</f>
        <v>1638.1589315149999</v>
      </c>
      <c r="N12" s="174">
        <f>'Doanh thu DCM'!G159</f>
        <v>1972.7754031710001</v>
      </c>
      <c r="O12" s="174">
        <f>'Doanh thu DCM'!H159</f>
        <v>2167.4293551539999</v>
      </c>
      <c r="P12" s="853">
        <f>'Doanh thu DCM'!I159</f>
        <v>2439.9786817250001</v>
      </c>
      <c r="Q12" s="2445">
        <f>'Doanh thu DCM'!J159</f>
        <v>3159.7158572379631</v>
      </c>
      <c r="R12" s="2445">
        <f>'Doanh thu DCM'!K159</f>
        <v>2965.1725279663046</v>
      </c>
      <c r="S12" s="2445">
        <f>'Doanh thu DCM'!L159</f>
        <v>2588.9714294842306</v>
      </c>
      <c r="T12" s="2445">
        <f>'Doanh thu DCM'!M159</f>
        <v>2361.7725379443286</v>
      </c>
      <c r="U12" s="2445">
        <f>'Doanh thu DCM'!N159</f>
        <v>1902.2698196928409</v>
      </c>
      <c r="V12" s="2445">
        <f>'Doanh thu DCM'!O159</f>
        <v>1473.6778779081594</v>
      </c>
      <c r="W12" s="2445">
        <f>'Doanh thu DCM'!P159</f>
        <v>1264.6581123006997</v>
      </c>
      <c r="X12" s="2445">
        <f>'Doanh thu DCM'!Q159</f>
        <v>1144.1319237141502</v>
      </c>
      <c r="Y12" s="2445">
        <f>'Doanh thu DCM'!R159</f>
        <v>1035.0922878914721</v>
      </c>
      <c r="Z12" s="2445">
        <f>'Doanh thu DCM'!S159</f>
        <v>855.50377594230167</v>
      </c>
      <c r="AA12" s="510"/>
      <c r="AB12" s="174"/>
      <c r="AC12" s="174"/>
      <c r="AD12" s="174"/>
      <c r="AE12" s="174"/>
      <c r="AF12" s="174"/>
      <c r="AG12" s="174"/>
      <c r="AH12" s="174"/>
      <c r="AI12" s="174"/>
      <c r="AJ12" s="174"/>
      <c r="AK12" s="174"/>
      <c r="AL12" s="174"/>
      <c r="AM12" s="174"/>
      <c r="AN12" s="174"/>
      <c r="AO12" s="174"/>
      <c r="AP12" s="174"/>
      <c r="AQ12" s="174"/>
      <c r="AR12" s="174"/>
      <c r="AS12" s="174"/>
      <c r="AT12" s="174"/>
      <c r="AU12" s="174"/>
      <c r="AV12" s="174"/>
      <c r="AW12" s="174"/>
      <c r="AX12" s="174"/>
      <c r="AY12" s="174"/>
      <c r="AZ12" s="174"/>
      <c r="BA12" s="174"/>
    </row>
    <row r="13" spans="2:73" s="18" customFormat="1" ht="12.75" customHeight="1">
      <c r="B13" s="118" t="s">
        <v>1442</v>
      </c>
      <c r="H13" s="857"/>
      <c r="I13" s="857"/>
      <c r="J13" s="858"/>
      <c r="K13" s="858">
        <f>'Doanh thu DCM'!D194</f>
        <v>225.34877552836531</v>
      </c>
      <c r="L13" s="858">
        <f>'Doanh thu DCM'!E194</f>
        <v>278.99979957805112</v>
      </c>
      <c r="M13" s="858">
        <f>'Doanh thu DCM'!F194</f>
        <v>693.55518896974536</v>
      </c>
      <c r="N13" s="858">
        <f>'Doanh thu DCM'!G194</f>
        <v>543.00515290693761</v>
      </c>
      <c r="O13" s="858">
        <f>'Doanh thu DCM'!H194</f>
        <v>620.06950437582236</v>
      </c>
      <c r="P13" s="2489">
        <f>'Doanh thu DCM'!I194</f>
        <v>739.98095752800191</v>
      </c>
      <c r="Q13" s="2446">
        <f>'Doanh thu DCM'!J194</f>
        <v>881.41247895376534</v>
      </c>
      <c r="R13" s="2446">
        <f>'Doanh thu DCM'!K194</f>
        <v>993.72123197764984</v>
      </c>
      <c r="S13" s="2446">
        <f>'Doanh thu DCM'!L194</f>
        <v>1057.0307465815508</v>
      </c>
      <c r="T13" s="2446">
        <f>'Doanh thu DCM'!M194</f>
        <v>1090.7022136560222</v>
      </c>
      <c r="U13" s="2446">
        <f>'Doanh thu DCM'!N194</f>
        <v>1108.0742455453228</v>
      </c>
      <c r="V13" s="2446">
        <f>'Doanh thu DCM'!O194</f>
        <v>1116.8986069926157</v>
      </c>
      <c r="W13" s="2446">
        <f>'Doanh thu DCM'!P194</f>
        <v>1161.3717866902005</v>
      </c>
      <c r="X13" s="2446">
        <f>'Doanh thu DCM'!Q194</f>
        <v>1253.8598529153915</v>
      </c>
      <c r="Y13" s="2446">
        <f>'Doanh thu DCM'!R194</f>
        <v>1403.6401486517493</v>
      </c>
      <c r="Z13" s="2446">
        <f>'Doanh thu DCM'!S194</f>
        <v>1571.3125054017114</v>
      </c>
      <c r="AA13" s="510"/>
      <c r="AB13" s="858"/>
      <c r="AC13" s="859"/>
      <c r="AD13" s="859"/>
      <c r="AE13" s="859"/>
      <c r="AF13" s="859"/>
      <c r="AG13" s="859"/>
      <c r="AH13" s="859"/>
      <c r="AI13" s="859"/>
      <c r="AJ13" s="859"/>
      <c r="AK13" s="859"/>
      <c r="AL13" s="859"/>
      <c r="AM13" s="859"/>
      <c r="AN13" s="859"/>
      <c r="AO13" s="859"/>
      <c r="AP13" s="859"/>
      <c r="AQ13" s="859"/>
      <c r="AR13" s="859"/>
      <c r="AS13" s="859"/>
      <c r="AT13" s="859"/>
      <c r="AU13" s="859"/>
      <c r="AV13" s="859"/>
      <c r="AW13" s="859"/>
      <c r="AX13" s="859"/>
      <c r="AY13" s="859"/>
      <c r="AZ13" s="859"/>
      <c r="BA13" s="859"/>
    </row>
    <row r="14" spans="2:73" s="196" customFormat="1">
      <c r="B14" s="860" t="s">
        <v>746</v>
      </c>
      <c r="C14" s="860"/>
      <c r="D14" s="861"/>
      <c r="E14" s="861"/>
      <c r="F14" s="861"/>
      <c r="G14" s="861"/>
      <c r="H14" s="861"/>
      <c r="I14" s="861"/>
      <c r="J14" s="862"/>
      <c r="K14" s="862">
        <f>SUM(K9:K13)</f>
        <v>7042.9669301169997</v>
      </c>
      <c r="L14" s="862">
        <f t="shared" ref="L14:O14" si="5">SUM(L9:L13)</f>
        <v>7561.275100418</v>
      </c>
      <c r="M14" s="862">
        <f t="shared" si="5"/>
        <v>9869.7629046370002</v>
      </c>
      <c r="N14" s="862">
        <f t="shared" si="5"/>
        <v>15924.526874399</v>
      </c>
      <c r="O14" s="862">
        <f t="shared" si="5"/>
        <v>12570.542089828001</v>
      </c>
      <c r="P14" s="2490">
        <f>SUM(P9:P13)</f>
        <v>14588.580749639999</v>
      </c>
      <c r="Q14" s="977">
        <f>SUM(Q9:Q13)</f>
        <v>17736.964394084247</v>
      </c>
      <c r="R14" s="977">
        <f t="shared" ref="R14:Z14" si="6">SUM(R9:R13)</f>
        <v>18589.767949026176</v>
      </c>
      <c r="S14" s="977">
        <f t="shared" si="6"/>
        <v>19115.742512480145</v>
      </c>
      <c r="T14" s="977">
        <f t="shared" si="6"/>
        <v>22528.626786304212</v>
      </c>
      <c r="U14" s="977">
        <f t="shared" si="6"/>
        <v>21832.704154820331</v>
      </c>
      <c r="V14" s="977">
        <f t="shared" si="6"/>
        <v>20430.772302231144</v>
      </c>
      <c r="W14" s="977">
        <f t="shared" si="6"/>
        <v>20957.485887710031</v>
      </c>
      <c r="X14" s="977">
        <f t="shared" si="6"/>
        <v>21416.211179616723</v>
      </c>
      <c r="Y14" s="977">
        <f t="shared" si="6"/>
        <v>22526.684294601619</v>
      </c>
      <c r="Z14" s="977">
        <f t="shared" si="6"/>
        <v>22829.839724003705</v>
      </c>
      <c r="AA14" s="977"/>
      <c r="AB14" s="863"/>
      <c r="AC14" s="863"/>
      <c r="AD14" s="863"/>
      <c r="AE14" s="863"/>
      <c r="AF14" s="863"/>
      <c r="AG14" s="863"/>
      <c r="AH14" s="863"/>
      <c r="AI14" s="863"/>
      <c r="AJ14" s="863"/>
      <c r="AK14" s="863"/>
      <c r="AL14" s="863"/>
      <c r="AM14" s="863"/>
      <c r="AN14" s="863"/>
      <c r="AO14" s="863"/>
      <c r="AP14" s="863"/>
      <c r="AQ14" s="863"/>
      <c r="AR14" s="863"/>
      <c r="AS14" s="863"/>
      <c r="AT14" s="863"/>
      <c r="AU14" s="863"/>
      <c r="AV14" s="863"/>
      <c r="AW14" s="863"/>
      <c r="AX14" s="863"/>
      <c r="AY14" s="863"/>
      <c r="AZ14" s="863"/>
      <c r="BA14" s="863"/>
    </row>
    <row r="15" spans="2:73" s="196" customFormat="1">
      <c r="B15" s="2464" t="s">
        <v>1443</v>
      </c>
      <c r="C15" s="2463"/>
      <c r="D15" s="2459"/>
      <c r="E15" s="2459"/>
      <c r="F15" s="2459"/>
      <c r="G15" s="2459"/>
      <c r="H15" s="2459"/>
      <c r="I15" s="2459"/>
      <c r="J15" s="2460"/>
      <c r="K15" s="2465">
        <f>K8-K14</f>
        <v>0</v>
      </c>
      <c r="L15" s="2465">
        <f t="shared" ref="L15:Z15" si="7">L8-L14</f>
        <v>0</v>
      </c>
      <c r="M15" s="2465">
        <f t="shared" si="7"/>
        <v>0</v>
      </c>
      <c r="N15" s="2465">
        <f t="shared" si="7"/>
        <v>0</v>
      </c>
      <c r="O15" s="2465">
        <f t="shared" si="7"/>
        <v>0</v>
      </c>
      <c r="P15" s="2491">
        <f t="shared" si="7"/>
        <v>0</v>
      </c>
      <c r="Q15" s="2466">
        <f t="shared" si="7"/>
        <v>0</v>
      </c>
      <c r="R15" s="2466">
        <f t="shared" si="7"/>
        <v>0</v>
      </c>
      <c r="S15" s="2466">
        <f t="shared" si="7"/>
        <v>0</v>
      </c>
      <c r="T15" s="2466">
        <f t="shared" si="7"/>
        <v>0</v>
      </c>
      <c r="U15" s="2466">
        <f t="shared" si="7"/>
        <v>0</v>
      </c>
      <c r="V15" s="2466">
        <f t="shared" si="7"/>
        <v>0</v>
      </c>
      <c r="W15" s="2466">
        <f t="shared" si="7"/>
        <v>0</v>
      </c>
      <c r="X15" s="2466">
        <f t="shared" si="7"/>
        <v>0</v>
      </c>
      <c r="Y15" s="2466">
        <f t="shared" si="7"/>
        <v>0</v>
      </c>
      <c r="Z15" s="2466">
        <f t="shared" si="7"/>
        <v>0</v>
      </c>
      <c r="AA15" s="2461"/>
      <c r="AB15" s="2462"/>
      <c r="AC15" s="2462"/>
      <c r="AD15" s="2462"/>
      <c r="AE15" s="2462"/>
      <c r="AF15" s="2462"/>
      <c r="AG15" s="2462"/>
      <c r="AH15" s="2462"/>
      <c r="AI15" s="2462"/>
      <c r="AJ15" s="2462"/>
      <c r="AK15" s="2462"/>
      <c r="AL15" s="2462"/>
      <c r="AM15" s="2462"/>
      <c r="AN15" s="2462"/>
      <c r="AO15" s="2462"/>
      <c r="AP15" s="2462"/>
      <c r="AQ15" s="2462"/>
      <c r="AR15" s="2462"/>
      <c r="AS15" s="2462"/>
      <c r="AT15" s="2462"/>
      <c r="AU15" s="2462"/>
      <c r="AV15" s="2462"/>
      <c r="AW15" s="2462"/>
      <c r="AX15" s="2462"/>
      <c r="AY15" s="2462"/>
      <c r="AZ15" s="2462"/>
      <c r="BA15" s="2462"/>
    </row>
    <row r="16" spans="2:73">
      <c r="H16" s="864"/>
      <c r="I16" s="864"/>
      <c r="J16" s="864"/>
      <c r="K16" s="2447"/>
      <c r="L16" s="2447"/>
      <c r="M16" s="2447"/>
      <c r="N16" s="2447"/>
      <c r="O16" s="2447"/>
      <c r="P16" s="2492"/>
      <c r="Q16" s="2448"/>
      <c r="R16" s="2448"/>
      <c r="S16" s="2448"/>
      <c r="T16" s="2448"/>
      <c r="U16" s="2448"/>
      <c r="V16" s="2448"/>
      <c r="W16" s="2448"/>
      <c r="X16" s="2448"/>
      <c r="Y16" s="2448"/>
      <c r="Z16" s="2448"/>
      <c r="AA16" s="865"/>
      <c r="AB16" s="865"/>
      <c r="AC16" s="865"/>
      <c r="AD16" s="865"/>
      <c r="AE16" s="865"/>
      <c r="AF16" s="865"/>
      <c r="AG16" s="865"/>
      <c r="AH16" s="865"/>
      <c r="AI16" s="865"/>
      <c r="AJ16" s="865"/>
      <c r="AK16" s="865"/>
      <c r="AL16" s="865"/>
      <c r="AM16" s="865"/>
      <c r="AN16" s="865"/>
      <c r="AO16" s="865"/>
      <c r="AP16" s="865"/>
      <c r="AQ16" s="865"/>
      <c r="AR16" s="865"/>
      <c r="AS16" s="865"/>
      <c r="AT16" s="865"/>
      <c r="AU16" s="865"/>
      <c r="AV16" s="865"/>
      <c r="AW16" s="865"/>
      <c r="AX16" s="865"/>
      <c r="AY16" s="865"/>
      <c r="AZ16" s="865"/>
      <c r="BA16" s="865"/>
    </row>
    <row r="17" spans="2:53" s="5" customFormat="1">
      <c r="B17" s="18" t="s">
        <v>747</v>
      </c>
      <c r="C17" s="18"/>
      <c r="D17" s="856" t="str">
        <f t="shared" ref="D17:I19" si="8">IFERROR(D8/C8-1," ")</f>
        <v xml:space="preserve"> </v>
      </c>
      <c r="E17" s="856" t="str">
        <f t="shared" si="8"/>
        <v xml:space="preserve"> </v>
      </c>
      <c r="F17" s="856" t="str">
        <f t="shared" si="8"/>
        <v xml:space="preserve"> </v>
      </c>
      <c r="G17" s="856" t="str">
        <f t="shared" si="8"/>
        <v xml:space="preserve"> </v>
      </c>
      <c r="H17" s="856" t="str">
        <f t="shared" si="8"/>
        <v xml:space="preserve"> </v>
      </c>
      <c r="I17" s="856" t="str">
        <f t="shared" si="8"/>
        <v xml:space="preserve"> </v>
      </c>
      <c r="J17" s="856"/>
      <c r="K17" s="856"/>
      <c r="L17" s="856"/>
      <c r="M17" s="856"/>
      <c r="N17" s="856"/>
      <c r="O17" s="856"/>
      <c r="P17" s="2492"/>
      <c r="Q17" s="978"/>
      <c r="R17" s="978"/>
      <c r="S17" s="978"/>
      <c r="T17" s="978"/>
      <c r="U17" s="978"/>
      <c r="V17" s="978"/>
      <c r="W17" s="978"/>
      <c r="X17" s="978"/>
      <c r="Y17" s="978"/>
      <c r="Z17" s="978"/>
      <c r="AA17" s="978"/>
      <c r="AB17" s="866"/>
      <c r="AC17" s="866"/>
      <c r="AD17" s="866"/>
      <c r="AE17" s="866"/>
      <c r="AF17" s="866"/>
      <c r="AG17" s="866"/>
      <c r="AH17" s="866"/>
      <c r="AI17" s="866"/>
      <c r="AJ17" s="866"/>
      <c r="AK17" s="866"/>
      <c r="AL17" s="866"/>
      <c r="AM17" s="866"/>
      <c r="AN17" s="866"/>
      <c r="AO17" s="866"/>
      <c r="AP17" s="866"/>
      <c r="AQ17" s="866"/>
      <c r="AR17" s="866"/>
      <c r="AS17" s="866"/>
      <c r="AT17" s="866"/>
      <c r="AU17" s="866"/>
      <c r="AV17" s="866"/>
      <c r="AW17" s="866"/>
      <c r="AX17" s="866"/>
      <c r="AY17" s="866"/>
      <c r="AZ17" s="866"/>
      <c r="BA17" s="866"/>
    </row>
    <row r="18" spans="2:53" s="5" customFormat="1">
      <c r="B18" s="118" t="s">
        <v>1438</v>
      </c>
      <c r="C18" s="18"/>
      <c r="D18" s="166" t="str">
        <f t="shared" si="8"/>
        <v xml:space="preserve"> </v>
      </c>
      <c r="E18" s="166" t="str">
        <f t="shared" si="8"/>
        <v xml:space="preserve"> </v>
      </c>
      <c r="F18" s="166" t="str">
        <f t="shared" si="8"/>
        <v xml:space="preserve"> </v>
      </c>
      <c r="G18" s="166" t="str">
        <f t="shared" si="8"/>
        <v xml:space="preserve"> </v>
      </c>
      <c r="H18" s="166" t="str">
        <f t="shared" si="8"/>
        <v xml:space="preserve"> </v>
      </c>
      <c r="I18" s="166" t="str">
        <f t="shared" si="8"/>
        <v xml:space="preserve"> </v>
      </c>
      <c r="J18" s="166"/>
      <c r="K18" s="856"/>
      <c r="L18" s="911">
        <f t="shared" ref="L18:L23" si="9">IFERROR(L9/K9-1, 0)</f>
        <v>8.8390645577128835E-2</v>
      </c>
      <c r="M18" s="911">
        <f t="shared" ref="M18:Z18" si="10">IFERROR(M9/L9-1, 0)</f>
        <v>0.19691530292616544</v>
      </c>
      <c r="N18" s="911">
        <f t="shared" si="10"/>
        <v>0.69272438461820451</v>
      </c>
      <c r="O18" s="911">
        <f t="shared" si="10"/>
        <v>-0.33085765508663223</v>
      </c>
      <c r="P18" s="912">
        <f t="shared" si="10"/>
        <v>-7.8801822483556383E-2</v>
      </c>
      <c r="Q18" s="2449">
        <f t="shared" si="10"/>
        <v>0.29689087983565665</v>
      </c>
      <c r="R18" s="2449">
        <f t="shared" si="10"/>
        <v>3.9217116919754824E-2</v>
      </c>
      <c r="S18" s="2449">
        <f t="shared" si="10"/>
        <v>-1.1230269600444265E-2</v>
      </c>
      <c r="T18" s="2449">
        <f t="shared" si="10"/>
        <v>0.14462069602248406</v>
      </c>
      <c r="U18" s="2449">
        <f t="shared" si="10"/>
        <v>-5.684771867678684E-3</v>
      </c>
      <c r="V18" s="2449">
        <f t="shared" si="10"/>
        <v>-3.8845625062250089E-2</v>
      </c>
      <c r="W18" s="2449">
        <f t="shared" si="10"/>
        <v>1.189396109753682E-2</v>
      </c>
      <c r="X18" s="2449">
        <f t="shared" si="10"/>
        <v>4.7088906260284169E-3</v>
      </c>
      <c r="Y18" s="2449">
        <f t="shared" si="10"/>
        <v>5.959610774876789E-2</v>
      </c>
      <c r="Z18" s="2449">
        <f t="shared" si="10"/>
        <v>-5.0326239048593124E-2</v>
      </c>
      <c r="AA18" s="978"/>
      <c r="AB18" s="176"/>
      <c r="AC18" s="176"/>
      <c r="AD18" s="176"/>
      <c r="AE18" s="176"/>
      <c r="AF18" s="176"/>
      <c r="AG18" s="176"/>
      <c r="AH18" s="176"/>
      <c r="AI18" s="176"/>
      <c r="AJ18" s="176"/>
      <c r="AK18" s="176"/>
      <c r="AL18" s="176"/>
      <c r="AM18" s="176"/>
      <c r="AN18" s="176"/>
      <c r="AO18" s="176"/>
      <c r="AP18" s="176"/>
      <c r="AQ18" s="176"/>
      <c r="AR18" s="176"/>
      <c r="AS18" s="176"/>
      <c r="AT18" s="176"/>
      <c r="AU18" s="176"/>
      <c r="AV18" s="176"/>
      <c r="AW18" s="176"/>
      <c r="AX18" s="176"/>
      <c r="AY18" s="176"/>
      <c r="AZ18" s="176"/>
      <c r="BA18" s="176"/>
    </row>
    <row r="19" spans="2:53" s="5" customFormat="1">
      <c r="B19" s="118" t="s">
        <v>1439</v>
      </c>
      <c r="C19" s="18"/>
      <c r="D19" s="166" t="str">
        <f t="shared" si="8"/>
        <v xml:space="preserve"> </v>
      </c>
      <c r="E19" s="166" t="str">
        <f t="shared" si="8"/>
        <v xml:space="preserve"> </v>
      </c>
      <c r="F19" s="166" t="str">
        <f t="shared" si="8"/>
        <v xml:space="preserve"> </v>
      </c>
      <c r="G19" s="166" t="str">
        <f t="shared" si="8"/>
        <v xml:space="preserve"> </v>
      </c>
      <c r="H19" s="166" t="str">
        <f t="shared" si="8"/>
        <v xml:space="preserve"> </v>
      </c>
      <c r="I19" s="166" t="str">
        <f t="shared" si="8"/>
        <v xml:space="preserve"> </v>
      </c>
      <c r="J19" s="166"/>
      <c r="K19" s="856"/>
      <c r="L19" s="911">
        <f t="shared" si="9"/>
        <v>0</v>
      </c>
      <c r="M19" s="911">
        <f t="shared" ref="M19:Z19" si="11">IFERROR(M10/L10-1, 0)</f>
        <v>0</v>
      </c>
      <c r="N19" s="911">
        <f t="shared" si="11"/>
        <v>2.2033868020501779</v>
      </c>
      <c r="O19" s="911">
        <f t="shared" si="11"/>
        <v>0.33696287659964974</v>
      </c>
      <c r="P19" s="912">
        <f t="shared" si="11"/>
        <v>1.3446820481268076</v>
      </c>
      <c r="Q19" s="2449">
        <f t="shared" si="11"/>
        <v>2.106038336526006E-2</v>
      </c>
      <c r="R19" s="2449">
        <f t="shared" si="11"/>
        <v>0.1390858674412967</v>
      </c>
      <c r="S19" s="2449">
        <f t="shared" si="11"/>
        <v>0.20839018137005816</v>
      </c>
      <c r="T19" s="2449">
        <f t="shared" si="11"/>
        <v>0.39388569581427868</v>
      </c>
      <c r="U19" s="2449">
        <f t="shared" si="11"/>
        <v>-2.4489116911760256E-2</v>
      </c>
      <c r="V19" s="2449">
        <f t="shared" si="11"/>
        <v>-7.238092618901959E-2</v>
      </c>
      <c r="W19" s="2449">
        <f t="shared" si="11"/>
        <v>8.0808008745074877E-2</v>
      </c>
      <c r="X19" s="2449">
        <f t="shared" si="11"/>
        <v>5.7860031466720807E-2</v>
      </c>
      <c r="Y19" s="2449">
        <f t="shared" si="11"/>
        <v>5.1953243039051911E-2</v>
      </c>
      <c r="Z19" s="2449">
        <f t="shared" si="11"/>
        <v>0.10777600246692653</v>
      </c>
      <c r="AA19" s="978"/>
      <c r="AB19" s="176"/>
      <c r="AC19" s="176"/>
      <c r="AD19" s="176"/>
      <c r="AE19" s="176"/>
      <c r="AF19" s="176"/>
      <c r="AG19" s="176"/>
      <c r="AH19" s="176"/>
      <c r="AI19" s="176"/>
      <c r="AJ19" s="176"/>
      <c r="AK19" s="176"/>
      <c r="AL19" s="176"/>
      <c r="AM19" s="176"/>
      <c r="AN19" s="176"/>
      <c r="AO19" s="176"/>
      <c r="AP19" s="176"/>
      <c r="AQ19" s="176"/>
      <c r="AR19" s="176"/>
      <c r="AS19" s="176"/>
      <c r="AT19" s="176"/>
      <c r="AU19" s="176"/>
      <c r="AV19" s="176"/>
      <c r="AW19" s="176"/>
      <c r="AX19" s="176"/>
      <c r="AY19" s="176"/>
      <c r="AZ19" s="176"/>
      <c r="BA19" s="176"/>
    </row>
    <row r="20" spans="2:53" s="5" customFormat="1">
      <c r="B20" s="118" t="s">
        <v>1440</v>
      </c>
      <c r="C20" s="18"/>
      <c r="D20" s="166"/>
      <c r="E20" s="166"/>
      <c r="F20" s="166"/>
      <c r="G20" s="166"/>
      <c r="H20" s="166"/>
      <c r="I20" s="166"/>
      <c r="J20" s="166"/>
      <c r="K20" s="856"/>
      <c r="L20" s="856">
        <f t="shared" si="9"/>
        <v>-1</v>
      </c>
      <c r="M20" s="856">
        <f t="shared" ref="M20:Z20" si="12">IFERROR(M11/L11-1, 0)</f>
        <v>0</v>
      </c>
      <c r="N20" s="856">
        <f t="shared" si="12"/>
        <v>3.1021433401458598</v>
      </c>
      <c r="O20" s="856">
        <f t="shared" si="12"/>
        <v>-0.597938144329897</v>
      </c>
      <c r="P20" s="2493">
        <f t="shared" si="12"/>
        <v>0.20512820512820507</v>
      </c>
      <c r="Q20" s="978">
        <f t="shared" si="12"/>
        <v>-4.2553191489361653E-2</v>
      </c>
      <c r="R20" s="978">
        <f t="shared" si="12"/>
        <v>-1.9999999999999907E-2</v>
      </c>
      <c r="S20" s="978">
        <f t="shared" si="12"/>
        <v>-2.0000000000000129E-2</v>
      </c>
      <c r="T20" s="978">
        <f t="shared" si="12"/>
        <v>-2.0000000000000018E-2</v>
      </c>
      <c r="U20" s="978">
        <f t="shared" si="12"/>
        <v>-2.0000000000000018E-2</v>
      </c>
      <c r="V20" s="978">
        <f t="shared" si="12"/>
        <v>-2.0000000000000018E-2</v>
      </c>
      <c r="W20" s="978">
        <f t="shared" si="12"/>
        <v>-1.0000000000000009E-2</v>
      </c>
      <c r="X20" s="978">
        <f t="shared" si="12"/>
        <v>-1.0000000000000009E-2</v>
      </c>
      <c r="Y20" s="978">
        <f t="shared" si="12"/>
        <v>-9.9999999999997868E-3</v>
      </c>
      <c r="Z20" s="978">
        <f t="shared" si="12"/>
        <v>-1.0000000000000009E-2</v>
      </c>
      <c r="AA20" s="978"/>
      <c r="AB20" s="176"/>
      <c r="AC20" s="176"/>
      <c r="AD20" s="176"/>
      <c r="AE20" s="176"/>
      <c r="AF20" s="176"/>
      <c r="AG20" s="176"/>
      <c r="AH20" s="176"/>
      <c r="AI20" s="176"/>
      <c r="AJ20" s="176"/>
      <c r="AK20" s="176"/>
      <c r="AL20" s="176"/>
      <c r="AM20" s="176"/>
      <c r="AN20" s="176"/>
      <c r="AO20" s="176"/>
      <c r="AP20" s="176"/>
      <c r="AQ20" s="176"/>
      <c r="AR20" s="176"/>
      <c r="AS20" s="176"/>
      <c r="AT20" s="176"/>
      <c r="AU20" s="176"/>
      <c r="AV20" s="176"/>
      <c r="AW20" s="176"/>
      <c r="AX20" s="176"/>
      <c r="AY20" s="176"/>
      <c r="AZ20" s="176"/>
      <c r="BA20" s="176"/>
    </row>
    <row r="21" spans="2:53" s="5" customFormat="1">
      <c r="B21" s="118" t="s">
        <v>1441</v>
      </c>
      <c r="C21" s="18"/>
      <c r="D21" s="166"/>
      <c r="E21" s="166"/>
      <c r="F21" s="166"/>
      <c r="G21" s="166"/>
      <c r="H21" s="166"/>
      <c r="I21" s="166"/>
      <c r="J21" s="166"/>
      <c r="K21" s="856"/>
      <c r="L21" s="856">
        <f t="shared" si="9"/>
        <v>1.4819633867126925E-2</v>
      </c>
      <c r="M21" s="856">
        <f t="shared" ref="M21:Z21" si="13">IFERROR(M12/L12-1, 0)</f>
        <v>0.23047360506536685</v>
      </c>
      <c r="N21" s="856">
        <f t="shared" si="13"/>
        <v>0.20426374097081079</v>
      </c>
      <c r="O21" s="856">
        <f t="shared" si="13"/>
        <v>9.86701028764434E-2</v>
      </c>
      <c r="P21" s="2493">
        <f t="shared" si="13"/>
        <v>0.12574773241069948</v>
      </c>
      <c r="Q21" s="978">
        <f t="shared" si="13"/>
        <v>0.29497682947136572</v>
      </c>
      <c r="R21" s="978">
        <f t="shared" si="13"/>
        <v>-6.1569880983449177E-2</v>
      </c>
      <c r="S21" s="978">
        <f t="shared" si="13"/>
        <v>-0.12687325777299563</v>
      </c>
      <c r="T21" s="978">
        <f t="shared" si="13"/>
        <v>-8.7756430585703371E-2</v>
      </c>
      <c r="U21" s="978">
        <f t="shared" si="13"/>
        <v>-0.19455841359364601</v>
      </c>
      <c r="V21" s="978">
        <f t="shared" si="13"/>
        <v>-0.22530554674619507</v>
      </c>
      <c r="W21" s="978">
        <f t="shared" si="13"/>
        <v>-0.14183545043381995</v>
      </c>
      <c r="X21" s="978">
        <f t="shared" si="13"/>
        <v>-9.5303376789546035E-2</v>
      </c>
      <c r="Y21" s="978">
        <f t="shared" si="13"/>
        <v>-9.5303376789546257E-2</v>
      </c>
      <c r="Z21" s="978">
        <f t="shared" si="13"/>
        <v>-0.17349999999999999</v>
      </c>
      <c r="AA21" s="978"/>
      <c r="AB21" s="176"/>
      <c r="AC21" s="176"/>
      <c r="AD21" s="176"/>
      <c r="AE21" s="176"/>
      <c r="AF21" s="176"/>
      <c r="AG21" s="176"/>
      <c r="AH21" s="176"/>
      <c r="AI21" s="176"/>
      <c r="AJ21" s="176"/>
      <c r="AK21" s="176"/>
      <c r="AL21" s="176"/>
      <c r="AM21" s="176"/>
      <c r="AN21" s="176"/>
      <c r="AO21" s="176"/>
      <c r="AP21" s="176"/>
      <c r="AQ21" s="176"/>
      <c r="AR21" s="176"/>
      <c r="AS21" s="176"/>
      <c r="AT21" s="176"/>
      <c r="AU21" s="176"/>
      <c r="AV21" s="176"/>
      <c r="AW21" s="176"/>
      <c r="AX21" s="176"/>
      <c r="AY21" s="176"/>
      <c r="AZ21" s="176"/>
      <c r="BA21" s="176"/>
    </row>
    <row r="22" spans="2:53" s="5" customFormat="1">
      <c r="B22" s="118" t="s">
        <v>1442</v>
      </c>
      <c r="C22" s="18"/>
      <c r="D22" s="868"/>
      <c r="E22" s="868"/>
      <c r="F22" s="868"/>
      <c r="G22" s="868"/>
      <c r="H22" s="868"/>
      <c r="I22" s="868"/>
      <c r="J22" s="166"/>
      <c r="K22" s="856"/>
      <c r="L22" s="856">
        <f t="shared" si="9"/>
        <v>0.23807994484945683</v>
      </c>
      <c r="M22" s="856">
        <f t="shared" ref="M22:Z22" si="14">IFERROR(M13/L13-1, 0)</f>
        <v>1.4858626781046165</v>
      </c>
      <c r="N22" s="856">
        <f t="shared" si="14"/>
        <v>-0.21707001613879517</v>
      </c>
      <c r="O22" s="856">
        <f t="shared" si="14"/>
        <v>0.14192195240934002</v>
      </c>
      <c r="P22" s="2493">
        <f t="shared" si="14"/>
        <v>0.19338389052512017</v>
      </c>
      <c r="Q22" s="978">
        <f t="shared" si="14"/>
        <v>0.19112859592797227</v>
      </c>
      <c r="R22" s="978">
        <f t="shared" si="14"/>
        <v>0.12741906395198166</v>
      </c>
      <c r="S22" s="978">
        <f t="shared" si="14"/>
        <v>6.370953197599083E-2</v>
      </c>
      <c r="T22" s="978">
        <f t="shared" si="14"/>
        <v>3.1854765987995304E-2</v>
      </c>
      <c r="U22" s="978">
        <f t="shared" si="14"/>
        <v>1.5927382993997652E-2</v>
      </c>
      <c r="V22" s="978">
        <f t="shared" si="14"/>
        <v>7.963691496998937E-3</v>
      </c>
      <c r="W22" s="978">
        <f t="shared" si="14"/>
        <v>3.9818457484994241E-2</v>
      </c>
      <c r="X22" s="978">
        <f t="shared" si="14"/>
        <v>7.9636914969988482E-2</v>
      </c>
      <c r="Y22" s="978">
        <f t="shared" si="14"/>
        <v>0.11945537245498272</v>
      </c>
      <c r="Z22" s="978">
        <f t="shared" si="14"/>
        <v>0.11945537245498272</v>
      </c>
      <c r="AA22" s="978"/>
      <c r="AB22" s="176"/>
      <c r="AC22" s="176"/>
      <c r="AD22" s="176"/>
      <c r="AE22" s="176"/>
      <c r="AF22" s="176"/>
      <c r="AG22" s="176"/>
      <c r="AH22" s="176"/>
      <c r="AI22" s="176"/>
      <c r="AJ22" s="176"/>
      <c r="AK22" s="176"/>
      <c r="AL22" s="176"/>
      <c r="AM22" s="176"/>
      <c r="AN22" s="176"/>
      <c r="AO22" s="176"/>
      <c r="AP22" s="176"/>
      <c r="AQ22" s="176"/>
      <c r="AR22" s="176"/>
      <c r="AS22" s="176"/>
      <c r="AT22" s="176"/>
      <c r="AU22" s="176"/>
      <c r="AV22" s="176"/>
      <c r="AW22" s="176"/>
      <c r="AX22" s="176"/>
      <c r="AY22" s="176"/>
      <c r="AZ22" s="176"/>
      <c r="BA22" s="176"/>
    </row>
    <row r="23" spans="2:53" s="674" customFormat="1">
      <c r="B23" s="860" t="s">
        <v>748</v>
      </c>
      <c r="C23" s="860"/>
      <c r="D23" s="869" t="str">
        <f t="shared" ref="D23:I23" si="15">IFERROR(D14/C14-1," ")</f>
        <v xml:space="preserve"> </v>
      </c>
      <c r="E23" s="869" t="str">
        <f t="shared" si="15"/>
        <v xml:space="preserve"> </v>
      </c>
      <c r="F23" s="869" t="str">
        <f t="shared" si="15"/>
        <v xml:space="preserve"> </v>
      </c>
      <c r="G23" s="869" t="str">
        <f t="shared" si="15"/>
        <v xml:space="preserve"> </v>
      </c>
      <c r="H23" s="869" t="str">
        <f t="shared" si="15"/>
        <v xml:space="preserve"> </v>
      </c>
      <c r="I23" s="869" t="str">
        <f t="shared" si="15"/>
        <v xml:space="preserve"> </v>
      </c>
      <c r="J23" s="869"/>
      <c r="K23" s="869"/>
      <c r="L23" s="869">
        <f t="shared" si="9"/>
        <v>7.3592304982240009E-2</v>
      </c>
      <c r="M23" s="869">
        <f t="shared" ref="M23:Z23" si="16">IFERROR(M14/L14-1, 0)</f>
        <v>0.30530403583535581</v>
      </c>
      <c r="N23" s="869">
        <f t="shared" si="16"/>
        <v>0.61346599997020768</v>
      </c>
      <c r="O23" s="869">
        <f t="shared" si="16"/>
        <v>-0.21061754682099965</v>
      </c>
      <c r="P23" s="2494">
        <f t="shared" si="16"/>
        <v>0.16053712285367405</v>
      </c>
      <c r="Q23" s="979">
        <f t="shared" si="16"/>
        <v>0.21581151028155632</v>
      </c>
      <c r="R23" s="979">
        <f t="shared" si="16"/>
        <v>4.8080581095734765E-2</v>
      </c>
      <c r="S23" s="979">
        <f t="shared" si="16"/>
        <v>2.8293767027980588E-2</v>
      </c>
      <c r="T23" s="979">
        <f t="shared" si="16"/>
        <v>0.17853788685403615</v>
      </c>
      <c r="U23" s="979">
        <f t="shared" si="16"/>
        <v>-3.0890592581832466E-2</v>
      </c>
      <c r="V23" s="979">
        <f t="shared" si="16"/>
        <v>-6.4212469634901459E-2</v>
      </c>
      <c r="W23" s="979">
        <f t="shared" si="16"/>
        <v>2.5780405052106881E-2</v>
      </c>
      <c r="X23" s="979">
        <f t="shared" si="16"/>
        <v>2.1888374128678167E-2</v>
      </c>
      <c r="Y23" s="979">
        <f t="shared" si="16"/>
        <v>5.185198752811182E-2</v>
      </c>
      <c r="Z23" s="979">
        <f t="shared" si="16"/>
        <v>1.3457614331405798E-2</v>
      </c>
      <c r="AA23" s="979"/>
      <c r="AB23" s="871"/>
      <c r="AC23" s="871"/>
      <c r="AD23" s="871"/>
      <c r="AE23" s="871"/>
      <c r="AF23" s="871"/>
      <c r="AG23" s="871"/>
      <c r="AH23" s="871"/>
      <c r="AI23" s="871"/>
      <c r="AJ23" s="871"/>
      <c r="AK23" s="871"/>
      <c r="AL23" s="871"/>
      <c r="AM23" s="871"/>
      <c r="AN23" s="871"/>
      <c r="AO23" s="871"/>
      <c r="AP23" s="871"/>
      <c r="AQ23" s="871"/>
      <c r="AR23" s="871"/>
      <c r="AS23" s="871"/>
      <c r="AT23" s="871"/>
      <c r="AU23" s="871"/>
      <c r="AV23" s="871"/>
      <c r="AW23" s="871"/>
      <c r="AX23" s="871"/>
      <c r="AY23" s="871"/>
      <c r="AZ23" s="871"/>
      <c r="BA23" s="871"/>
    </row>
    <row r="24" spans="2:53">
      <c r="G24" s="872"/>
      <c r="H24" s="872"/>
      <c r="I24" s="872"/>
      <c r="M24" s="539"/>
      <c r="N24" s="539"/>
      <c r="O24" s="539"/>
      <c r="P24" s="634"/>
      <c r="Q24" s="539"/>
      <c r="R24" s="539"/>
    </row>
    <row r="25" spans="2:53">
      <c r="G25" s="872"/>
      <c r="H25" s="872"/>
      <c r="I25" s="872"/>
      <c r="M25" s="539"/>
      <c r="N25" s="539"/>
      <c r="O25" s="539"/>
      <c r="P25" s="634"/>
      <c r="Q25" s="539"/>
      <c r="R25" s="539"/>
    </row>
    <row r="26" spans="2:53" s="851" customFormat="1" ht="15" customHeight="1">
      <c r="B26" s="848" t="s">
        <v>320</v>
      </c>
      <c r="C26" s="849"/>
      <c r="D26" s="849"/>
      <c r="E26" s="849"/>
      <c r="F26" s="849"/>
      <c r="G26" s="849"/>
      <c r="H26" s="849"/>
      <c r="I26" s="849"/>
      <c r="J26" s="849"/>
      <c r="K26" s="849"/>
      <c r="L26" s="849"/>
      <c r="M26" s="849"/>
      <c r="N26" s="849"/>
      <c r="O26" s="849"/>
      <c r="P26" s="850"/>
      <c r="Q26" s="849"/>
      <c r="R26" s="849"/>
      <c r="S26" s="849"/>
      <c r="T26" s="849"/>
      <c r="U26" s="849"/>
      <c r="V26" s="849"/>
      <c r="W26" s="849"/>
      <c r="X26" s="849"/>
      <c r="Y26" s="849"/>
      <c r="Z26" s="849"/>
      <c r="AA26" s="849"/>
      <c r="AB26" s="849"/>
      <c r="AC26" s="849"/>
      <c r="AD26" s="849"/>
      <c r="AE26" s="849"/>
      <c r="AF26" s="849"/>
      <c r="AG26" s="849"/>
      <c r="AH26" s="849"/>
      <c r="AI26" s="849"/>
      <c r="AJ26" s="849"/>
      <c r="AK26" s="849"/>
      <c r="AL26" s="849"/>
      <c r="AM26" s="849"/>
      <c r="AN26" s="849"/>
      <c r="AO26" s="849"/>
      <c r="AP26" s="849"/>
      <c r="AQ26" s="849"/>
      <c r="AR26" s="849"/>
      <c r="AS26" s="849"/>
      <c r="AT26" s="849"/>
      <c r="AU26" s="849"/>
      <c r="AV26" s="849"/>
      <c r="AW26" s="849"/>
      <c r="AX26" s="849"/>
      <c r="AY26" s="849"/>
      <c r="AZ26" s="849"/>
      <c r="BA26" s="849"/>
    </row>
    <row r="27" spans="2:53">
      <c r="B27" s="774"/>
      <c r="M27" s="539"/>
      <c r="N27" s="539"/>
      <c r="O27" s="539"/>
      <c r="P27" s="634"/>
      <c r="Q27" s="539"/>
      <c r="R27" s="539"/>
    </row>
    <row r="28" spans="2:53" s="5" customFormat="1" ht="17.25" customHeight="1">
      <c r="B28" s="873" t="s">
        <v>749</v>
      </c>
      <c r="D28" s="88"/>
      <c r="E28" s="88"/>
      <c r="F28" s="88"/>
      <c r="G28" s="88"/>
      <c r="H28" s="88"/>
      <c r="I28" s="88"/>
      <c r="J28" s="874"/>
      <c r="K28" s="874"/>
      <c r="L28" s="874"/>
      <c r="M28" s="874"/>
      <c r="N28" s="874"/>
      <c r="O28" s="874"/>
      <c r="P28" s="875"/>
      <c r="Q28" s="982"/>
      <c r="R28" s="982"/>
      <c r="S28" s="982"/>
      <c r="T28" s="982"/>
      <c r="U28" s="982"/>
      <c r="V28" s="982"/>
      <c r="W28" s="982"/>
      <c r="X28" s="982"/>
      <c r="Y28" s="982"/>
      <c r="Z28" s="982"/>
      <c r="AA28" s="982"/>
      <c r="AB28" s="982"/>
      <c r="AC28" s="877"/>
      <c r="AD28" s="877"/>
      <c r="AE28" s="877"/>
      <c r="AF28" s="877"/>
      <c r="AG28" s="877"/>
      <c r="AH28" s="877"/>
      <c r="AI28" s="877"/>
      <c r="AJ28" s="877"/>
      <c r="AK28" s="877"/>
      <c r="AL28" s="877"/>
      <c r="AM28" s="877"/>
      <c r="AN28" s="877"/>
      <c r="AO28" s="877"/>
      <c r="AP28" s="877"/>
      <c r="AQ28" s="877"/>
      <c r="AR28" s="877"/>
      <c r="AS28" s="877"/>
      <c r="AT28" s="877"/>
      <c r="AU28" s="877"/>
      <c r="AV28" s="877"/>
      <c r="AW28" s="877"/>
      <c r="AX28" s="877"/>
      <c r="AY28" s="877"/>
      <c r="AZ28" s="877"/>
      <c r="BA28" s="877"/>
    </row>
    <row r="29" spans="2:53" s="240" customFormat="1">
      <c r="B29" s="878" t="s">
        <v>733</v>
      </c>
      <c r="C29" s="255"/>
      <c r="D29" s="879"/>
      <c r="E29" s="879"/>
      <c r="F29" s="879"/>
      <c r="G29" s="879"/>
      <c r="H29" s="879"/>
      <c r="I29" s="879"/>
      <c r="J29" s="879"/>
      <c r="K29" s="852">
        <f>'Doanh thu DCM'!D11+'Doanh thu KVF'!K39</f>
        <v>6083.7747332669996</v>
      </c>
      <c r="L29" s="852">
        <f>'Doanh thu DCM'!E11+'Doanh thu KVF'!L39</f>
        <v>6244.4273005289997</v>
      </c>
      <c r="M29" s="852">
        <f>'Doanh thu DCM'!F11+'Doanh thu KVF'!M39</f>
        <v>7088.8259803250003</v>
      </c>
      <c r="N29" s="852">
        <f>'Doanh thu DCM'!G11+'Doanh thu KVF'!N39</f>
        <v>10221.097432230999</v>
      </c>
      <c r="O29" s="852">
        <f>'Doanh thu DCM'!H11+'Doanh thu KVF'!O39</f>
        <v>10538.742407968</v>
      </c>
      <c r="P29" s="2488">
        <f>'Doanh thu DCM'!I11+'Doanh thu KVF'!P39</f>
        <v>12101.446494030999</v>
      </c>
      <c r="Q29" s="2457">
        <f>'Doanh thu DCM'!J11+'Doanh thu KVF'!Q39</f>
        <v>13918.243617704722</v>
      </c>
      <c r="R29" s="2457">
        <f>'Doanh thu DCM'!K11+'Doanh thu KVF'!R39</f>
        <v>14383.611091165716</v>
      </c>
      <c r="S29" s="2457">
        <f>'Doanh thu DCM'!L11+'Doanh thu KVF'!S39</f>
        <v>14457.705791708804</v>
      </c>
      <c r="T29" s="2457">
        <f>'Doanh thu DCM'!M11+'Doanh thu KVF'!T39</f>
        <v>15696.22576356595</v>
      </c>
      <c r="U29" s="2457">
        <f>'Doanh thu DCM'!N11+'Doanh thu KVF'!U39</f>
        <v>15887.412317123406</v>
      </c>
      <c r="V29" s="2457">
        <f>'Doanh thu DCM'!O11+'Doanh thu KVF'!V39</f>
        <v>15334.882212559627</v>
      </c>
      <c r="W29" s="2457">
        <f>'Doanh thu DCM'!P11+'Doanh thu KVF'!W39</f>
        <v>15944.619188827763</v>
      </c>
      <c r="X29" s="2457">
        <f>'Doanh thu DCM'!Q11+'Doanh thu KVF'!X39</f>
        <v>16006.513359806648</v>
      </c>
      <c r="Y29" s="2457">
        <f>'Doanh thu DCM'!R11+'Doanh thu KVF'!Y39</f>
        <v>16419.679663426457</v>
      </c>
      <c r="Z29" s="2457">
        <f>'Doanh thu DCM'!S11+'Doanh thu KVF'!Z39</f>
        <v>16800.954631290275</v>
      </c>
      <c r="AA29" s="983"/>
      <c r="AB29" s="983"/>
      <c r="AC29" s="879" t="e">
        <f t="shared" ref="AC29" si="17">AC28/AC8</f>
        <v>#DIV/0!</v>
      </c>
      <c r="AD29" s="879" t="e">
        <f t="shared" ref="AD29" si="18">AD28/AD8</f>
        <v>#DIV/0!</v>
      </c>
      <c r="AE29" s="879" t="e">
        <f t="shared" ref="AE29" si="19">AE28/AE8</f>
        <v>#DIV/0!</v>
      </c>
      <c r="AF29" s="879" t="e">
        <f t="shared" ref="AF29" si="20">AF28/AF8</f>
        <v>#DIV/0!</v>
      </c>
      <c r="AG29" s="879" t="e">
        <f t="shared" ref="AG29" si="21">AG28/AG8</f>
        <v>#DIV/0!</v>
      </c>
      <c r="AH29" s="879" t="e">
        <f t="shared" ref="AH29" si="22">AH28/AH8</f>
        <v>#DIV/0!</v>
      </c>
      <c r="AI29" s="879" t="e">
        <f t="shared" ref="AI29" si="23">AI28/AI8</f>
        <v>#DIV/0!</v>
      </c>
      <c r="AJ29" s="879" t="e">
        <f t="shared" ref="AJ29" si="24">AJ28/AJ8</f>
        <v>#DIV/0!</v>
      </c>
      <c r="AK29" s="879" t="e">
        <f t="shared" ref="AK29" si="25">AK28/AK8</f>
        <v>#DIV/0!</v>
      </c>
      <c r="AL29" s="879" t="e">
        <f t="shared" ref="AL29" si="26">AL28/AL8</f>
        <v>#DIV/0!</v>
      </c>
      <c r="AM29" s="879" t="e">
        <f t="shared" ref="AM29" si="27">AM28/AM8</f>
        <v>#DIV/0!</v>
      </c>
      <c r="AN29" s="879" t="e">
        <f t="shared" ref="AN29" si="28">AN28/AN8</f>
        <v>#DIV/0!</v>
      </c>
      <c r="AO29" s="879" t="e">
        <f t="shared" ref="AO29" si="29">AO28/AO8</f>
        <v>#DIV/0!</v>
      </c>
      <c r="AP29" s="879" t="e">
        <f t="shared" ref="AP29" si="30">AP28/AP8</f>
        <v>#DIV/0!</v>
      </c>
      <c r="AQ29" s="879" t="e">
        <f t="shared" ref="AQ29" si="31">AQ28/AQ8</f>
        <v>#DIV/0!</v>
      </c>
      <c r="AR29" s="879" t="e">
        <f t="shared" ref="AR29" si="32">AR28/AR8</f>
        <v>#DIV/0!</v>
      </c>
      <c r="AS29" s="879" t="e">
        <f t="shared" ref="AS29" si="33">AS28/AS8</f>
        <v>#DIV/0!</v>
      </c>
      <c r="AT29" s="879" t="e">
        <f t="shared" ref="AT29" si="34">AT28/AT8</f>
        <v>#DIV/0!</v>
      </c>
      <c r="AU29" s="879" t="e">
        <f t="shared" ref="AU29" si="35">AU28/AU8</f>
        <v>#DIV/0!</v>
      </c>
      <c r="AV29" s="879" t="e">
        <f t="shared" ref="AV29" si="36">AV28/AV8</f>
        <v>#DIV/0!</v>
      </c>
      <c r="AW29" s="879" t="e">
        <f t="shared" ref="AW29" si="37">AW28/AW8</f>
        <v>#DIV/0!</v>
      </c>
      <c r="AX29" s="879" t="e">
        <f t="shared" ref="AX29" si="38">AX28/AX8</f>
        <v>#DIV/0!</v>
      </c>
      <c r="AY29" s="879"/>
      <c r="AZ29" s="879"/>
      <c r="BA29" s="879"/>
    </row>
    <row r="30" spans="2:53" s="150" customFormat="1">
      <c r="B30" s="118" t="s">
        <v>1438</v>
      </c>
      <c r="D30" s="882"/>
      <c r="E30" s="882"/>
      <c r="F30" s="882"/>
      <c r="G30" s="89"/>
      <c r="H30" s="89"/>
      <c r="I30" s="90"/>
      <c r="J30" s="90"/>
      <c r="K30" s="90">
        <f>'Doanh thu DCM'!D115</f>
        <v>4728.6085702170003</v>
      </c>
      <c r="L30" s="90">
        <f>'Doanh thu DCM'!E115</f>
        <v>4868.6260332510001</v>
      </c>
      <c r="M30" s="90">
        <f>'Doanh thu DCM'!F115</f>
        <v>4786.0640549660002</v>
      </c>
      <c r="N30" s="90">
        <f>'Doanh thu DCM'!G115</f>
        <v>6654.1614222819999</v>
      </c>
      <c r="O30" s="90">
        <f>'Doanh thu DCM'!H115</f>
        <v>6433.0559111889997</v>
      </c>
      <c r="P30" s="568">
        <f>'Doanh thu DCM'!I115</f>
        <v>5498.2702270489999</v>
      </c>
      <c r="Q30" s="984">
        <f>'Doanh thu DCM'!J115</f>
        <v>6918.3945317521348</v>
      </c>
      <c r="R30" s="984">
        <f>'Doanh thu DCM'!K115</f>
        <v>6909.4822414834425</v>
      </c>
      <c r="S30" s="984">
        <f>'Doanh thu DCM'!L115</f>
        <v>6724.0947510577316</v>
      </c>
      <c r="T30" s="984">
        <f>'Doanh thu DCM'!M115</f>
        <v>6985.7694719518349</v>
      </c>
      <c r="U30" s="984">
        <f>'Doanh thu DCM'!N115</f>
        <v>7610.1723364793943</v>
      </c>
      <c r="V30" s="984">
        <f>'Doanh thu DCM'!O115</f>
        <v>7643.8765289386256</v>
      </c>
      <c r="W30" s="984">
        <f>'Doanh thu DCM'!P115</f>
        <v>7932.979647262343</v>
      </c>
      <c r="X30" s="984">
        <f>'Doanh thu DCM'!Q115</f>
        <v>7845.9209141766678</v>
      </c>
      <c r="Y30" s="984">
        <f>'Doanh thu DCM'!R115</f>
        <v>8147.0038376363809</v>
      </c>
      <c r="Z30" s="984">
        <f>'Doanh thu DCM'!S115</f>
        <v>7995.8431482396672</v>
      </c>
      <c r="AA30" s="984"/>
      <c r="AB30" s="984"/>
      <c r="AC30" s="90" t="e">
        <f>#REF!</f>
        <v>#REF!</v>
      </c>
      <c r="AD30" s="90" t="e">
        <f>#REF!</f>
        <v>#REF!</v>
      </c>
      <c r="AE30" s="90" t="e">
        <f>#REF!</f>
        <v>#REF!</v>
      </c>
      <c r="AF30" s="90" t="e">
        <f>#REF!</f>
        <v>#REF!</v>
      </c>
      <c r="AG30" s="90" t="e">
        <f>#REF!</f>
        <v>#REF!</v>
      </c>
      <c r="AH30" s="90" t="e">
        <f>#REF!</f>
        <v>#REF!</v>
      </c>
      <c r="AI30" s="90" t="e">
        <f>#REF!</f>
        <v>#REF!</v>
      </c>
      <c r="AJ30" s="90" t="e">
        <f>#REF!</f>
        <v>#REF!</v>
      </c>
      <c r="AK30" s="90" t="e">
        <f>#REF!</f>
        <v>#REF!</v>
      </c>
      <c r="AL30" s="90" t="e">
        <f>#REF!</f>
        <v>#REF!</v>
      </c>
      <c r="AM30" s="90" t="e">
        <f>#REF!</f>
        <v>#REF!</v>
      </c>
      <c r="AN30" s="90" t="e">
        <f>#REF!</f>
        <v>#REF!</v>
      </c>
      <c r="AO30" s="90" t="e">
        <f>#REF!</f>
        <v>#REF!</v>
      </c>
      <c r="AP30" s="90" t="e">
        <f>#REF!</f>
        <v>#REF!</v>
      </c>
      <c r="AQ30" s="90" t="e">
        <f>#REF!</f>
        <v>#REF!</v>
      </c>
      <c r="AR30" s="90" t="e">
        <f>#REF!</f>
        <v>#REF!</v>
      </c>
      <c r="AS30" s="90" t="e">
        <f>#REF!</f>
        <v>#REF!</v>
      </c>
      <c r="AT30" s="90" t="e">
        <f>#REF!</f>
        <v>#REF!</v>
      </c>
      <c r="AU30" s="90" t="e">
        <f>#REF!</f>
        <v>#REF!</v>
      </c>
      <c r="AV30" s="90" t="e">
        <f>#REF!</f>
        <v>#REF!</v>
      </c>
      <c r="AW30" s="90" t="e">
        <f>#REF!</f>
        <v>#REF!</v>
      </c>
      <c r="AX30" s="90" t="e">
        <f>#REF!</f>
        <v>#REF!</v>
      </c>
      <c r="AY30" s="90"/>
      <c r="AZ30" s="90"/>
      <c r="BA30" s="90"/>
    </row>
    <row r="31" spans="2:53" s="150" customFormat="1">
      <c r="B31" s="118" t="s">
        <v>1439</v>
      </c>
      <c r="D31" s="883"/>
      <c r="E31" s="883"/>
      <c r="F31" s="883"/>
      <c r="G31" s="89"/>
      <c r="H31" s="89"/>
      <c r="I31" s="89"/>
      <c r="J31" s="90"/>
      <c r="K31" s="90">
        <f>'Doanh thu DCM'!D255+'Doanh thu KVF'!K39</f>
        <v>0</v>
      </c>
      <c r="L31" s="90">
        <f>'Doanh thu DCM'!E255+'Doanh thu KVF'!L39</f>
        <v>0</v>
      </c>
      <c r="M31" s="90">
        <f>'Doanh thu DCM'!F255+'Doanh thu KVF'!M39</f>
        <v>392.883682341</v>
      </c>
      <c r="N31" s="90">
        <f>'Doanh thu DCM'!G255+'Doanh thu KVF'!N39</f>
        <v>1192.000380535</v>
      </c>
      <c r="O31" s="90">
        <f>'Doanh thu DCM'!H255+'Doanh thu KVF'!O39</f>
        <v>1458.8393739380001</v>
      </c>
      <c r="P31" s="568">
        <f>'Doanh thu DCM'!I255+'Doanh thu KVF'!P39+'Doanh thu DCM'!V251</f>
        <v>3731.8756287809065</v>
      </c>
      <c r="Q31" s="984">
        <f>'Doanh thu DCM'!J255+'Doanh thu KVF'!Q39</f>
        <v>3372.5413243784328</v>
      </c>
      <c r="R31" s="984">
        <f>'Doanh thu DCM'!K255+'Doanh thu KVF'!R39</f>
        <v>3931.6133011809648</v>
      </c>
      <c r="S31" s="984">
        <f>'Doanh thu DCM'!L255+'Doanh thu KVF'!S39</f>
        <v>4492.2143015708407</v>
      </c>
      <c r="T31" s="984">
        <f>'Doanh thu DCM'!M255+'Doanh thu KVF'!T39</f>
        <v>5645.7847128353187</v>
      </c>
      <c r="U31" s="984">
        <f>'Doanh thu DCM'!N255+'Doanh thu KVF'!U39</f>
        <v>5635.3493351671623</v>
      </c>
      <c r="V31" s="984">
        <f>'Doanh thu DCM'!O255+'Doanh thu KVF'!V39</f>
        <v>5444.1524427021832</v>
      </c>
      <c r="W31" s="984">
        <f>'Doanh thu DCM'!P255+'Doanh thu KVF'!W39</f>
        <v>5956.8619171229475</v>
      </c>
      <c r="X31" s="984">
        <f>'Doanh thu DCM'!Q255+'Doanh thu KVF'!X39</f>
        <v>6185.0129050167616</v>
      </c>
      <c r="Y31" s="984">
        <f>'Doanh thu DCM'!R255+'Doanh thu KVF'!Y39</f>
        <v>6336.8309715182741</v>
      </c>
      <c r="Z31" s="984">
        <f>'Doanh thu DCM'!S255+'Doanh thu KVF'!Z39</f>
        <v>6925.9424340877295</v>
      </c>
      <c r="AA31" s="984"/>
      <c r="AB31" s="984"/>
      <c r="AC31" s="143"/>
      <c r="AD31" s="143"/>
      <c r="AE31" s="143"/>
      <c r="AF31" s="143"/>
      <c r="AG31" s="143"/>
      <c r="AH31" s="143"/>
      <c r="AI31" s="143"/>
      <c r="AJ31" s="143"/>
      <c r="AK31" s="143"/>
      <c r="AL31" s="143"/>
      <c r="AM31" s="143"/>
      <c r="AN31" s="143"/>
      <c r="AO31" s="143"/>
      <c r="AP31" s="143"/>
      <c r="AQ31" s="143"/>
      <c r="AR31" s="143"/>
      <c r="AS31" s="143"/>
      <c r="AT31" s="143"/>
      <c r="AU31" s="143"/>
      <c r="AV31" s="143"/>
      <c r="AW31" s="143"/>
      <c r="AX31" s="143"/>
      <c r="AY31" s="143"/>
      <c r="AZ31" s="143"/>
      <c r="BA31" s="143"/>
    </row>
    <row r="32" spans="2:53" s="150" customFormat="1">
      <c r="B32" s="118" t="s">
        <v>1440</v>
      </c>
      <c r="D32" s="883"/>
      <c r="E32" s="883"/>
      <c r="F32" s="883"/>
      <c r="G32" s="89"/>
      <c r="H32" s="89"/>
      <c r="I32" s="89"/>
      <c r="J32" s="90"/>
      <c r="K32" s="90">
        <f>'Doanh thu DCM'!D175</f>
        <v>48.754893520000003</v>
      </c>
      <c r="L32" s="90">
        <f>'Doanh thu DCM'!E175</f>
        <v>0</v>
      </c>
      <c r="M32" s="90">
        <f>'Doanh thu DCM'!F175</f>
        <v>13.466273667999999</v>
      </c>
      <c r="N32" s="90">
        <f>'Doanh thu DCM'!G175</f>
        <v>59.107716788223705</v>
      </c>
      <c r="O32" s="90">
        <f>'Doanh thu DCM'!H175</f>
        <v>23.764958296296129</v>
      </c>
      <c r="P32" s="568">
        <f>'Doanh thu DCM'!I175</f>
        <v>28.639821536561996</v>
      </c>
      <c r="Q32" s="984">
        <f>'Doanh thu DCM'!J175</f>
        <v>27.421105726495529</v>
      </c>
      <c r="R32" s="984">
        <f>'Doanh thu DCM'!K175</f>
        <v>26.872683611965623</v>
      </c>
      <c r="S32" s="984">
        <f>'Doanh thu DCM'!L175</f>
        <v>26.335229939726307</v>
      </c>
      <c r="T32" s="984">
        <f>'Doanh thu DCM'!M175</f>
        <v>25.80852534093178</v>
      </c>
      <c r="U32" s="984">
        <f>'Doanh thu DCM'!N175</f>
        <v>25.292354834113144</v>
      </c>
      <c r="V32" s="984">
        <f>'Doanh thu DCM'!O175</f>
        <v>24.786507737430881</v>
      </c>
      <c r="W32" s="984">
        <f>'Doanh thu DCM'!P175</f>
        <v>24.538642660056571</v>
      </c>
      <c r="X32" s="984">
        <f>'Doanh thu DCM'!Q175</f>
        <v>24.293256233456006</v>
      </c>
      <c r="Y32" s="984">
        <f>'Doanh thu DCM'!R175</f>
        <v>24.050323671121451</v>
      </c>
      <c r="Z32" s="984">
        <f>'Doanh thu DCM'!S175</f>
        <v>23.809820434410234</v>
      </c>
      <c r="AA32" s="984"/>
      <c r="AB32" s="984"/>
      <c r="AC32" s="143"/>
      <c r="AD32" s="143"/>
      <c r="AE32" s="143"/>
      <c r="AF32" s="143"/>
      <c r="AG32" s="143"/>
      <c r="AH32" s="143"/>
      <c r="AI32" s="143"/>
      <c r="AJ32" s="143"/>
      <c r="AK32" s="143"/>
      <c r="AL32" s="143"/>
      <c r="AM32" s="143"/>
      <c r="AN32" s="143"/>
      <c r="AO32" s="143"/>
      <c r="AP32" s="143"/>
      <c r="AQ32" s="143"/>
      <c r="AR32" s="143"/>
      <c r="AS32" s="143"/>
      <c r="AT32" s="143"/>
      <c r="AU32" s="143"/>
      <c r="AV32" s="143"/>
      <c r="AW32" s="143"/>
      <c r="AX32" s="143"/>
      <c r="AY32" s="143"/>
      <c r="AZ32" s="143"/>
      <c r="BA32" s="143"/>
    </row>
    <row r="33" spans="2:53" s="150" customFormat="1">
      <c r="B33" s="118" t="s">
        <v>1441</v>
      </c>
      <c r="D33" s="883"/>
      <c r="E33" s="883"/>
      <c r="F33" s="883"/>
      <c r="G33" s="89"/>
      <c r="H33" s="89"/>
      <c r="I33" s="89"/>
      <c r="J33" s="90"/>
      <c r="K33" s="90">
        <f>'Doanh thu DCM'!D165</f>
        <v>1185.3325932580001</v>
      </c>
      <c r="L33" s="90">
        <f>'Doanh thu DCM'!E165</f>
        <v>1232.74438235</v>
      </c>
      <c r="M33" s="90">
        <f>'Doanh thu DCM'!F165</f>
        <v>1483.98040238</v>
      </c>
      <c r="N33" s="90">
        <f>'Doanh thu DCM'!G165</f>
        <v>1876.0863822169999</v>
      </c>
      <c r="O33" s="90">
        <f>'Doanh thu DCM'!H165</f>
        <v>2023.8156797900001</v>
      </c>
      <c r="P33" s="568">
        <f>'Doanh thu DCM'!I165</f>
        <v>2289.6186424699999</v>
      </c>
      <c r="Q33" s="984">
        <f>'Doanh thu DCM'!J165</f>
        <v>2938.827296632337</v>
      </c>
      <c r="R33" s="984">
        <f>'Doanh thu DCM'!K165</f>
        <v>2770.3519409061055</v>
      </c>
      <c r="S33" s="984">
        <f>'Doanh thu DCM'!L165</f>
        <v>2422.2884492043413</v>
      </c>
      <c r="T33" s="984">
        <f>'Doanh thu DCM'!M165</f>
        <v>2220.8363931958479</v>
      </c>
      <c r="U33" s="984">
        <f>'Doanh thu DCM'!N165</f>
        <v>1785.5426064837452</v>
      </c>
      <c r="V33" s="984">
        <f>'Doanh thu DCM'!O165</f>
        <v>1384.3927779369244</v>
      </c>
      <c r="W33" s="984">
        <f>'Doanh thu DCM'!P165</f>
        <v>1188.2444364320202</v>
      </c>
      <c r="X33" s="984">
        <f>'Doanh thu DCM'!Q165</f>
        <v>1076.7190369712773</v>
      </c>
      <c r="Y33" s="984">
        <f>'Doanh thu DCM'!R165</f>
        <v>975.21564141280078</v>
      </c>
      <c r="Z33" s="984">
        <f>'Doanh thu DCM'!S165</f>
        <v>806.90095929917845</v>
      </c>
      <c r="AA33" s="984"/>
      <c r="AB33" s="984"/>
      <c r="AC33" s="143"/>
      <c r="AD33" s="143"/>
      <c r="AE33" s="143"/>
      <c r="AF33" s="143"/>
      <c r="AG33" s="143"/>
      <c r="AH33" s="143"/>
      <c r="AI33" s="143"/>
      <c r="AJ33" s="143"/>
      <c r="AK33" s="143"/>
      <c r="AL33" s="143"/>
      <c r="AM33" s="143"/>
      <c r="AN33" s="143"/>
      <c r="AO33" s="143"/>
      <c r="AP33" s="143"/>
      <c r="AQ33" s="143"/>
      <c r="AR33" s="143"/>
      <c r="AS33" s="143"/>
      <c r="AT33" s="143"/>
      <c r="AU33" s="143"/>
      <c r="AV33" s="143"/>
      <c r="AW33" s="143"/>
      <c r="AX33" s="143"/>
      <c r="AY33" s="143"/>
      <c r="AZ33" s="143"/>
      <c r="BA33" s="143"/>
    </row>
    <row r="34" spans="2:53" s="150" customFormat="1">
      <c r="B34" s="118" t="s">
        <v>1442</v>
      </c>
      <c r="D34" s="883"/>
      <c r="E34" s="883"/>
      <c r="F34" s="883"/>
      <c r="G34" s="883"/>
      <c r="H34" s="883"/>
      <c r="I34" s="883"/>
      <c r="J34" s="884"/>
      <c r="K34" s="884">
        <f>'Doanh thu DCM'!D197</f>
        <v>121.07867627199926</v>
      </c>
      <c r="L34" s="884">
        <f>'Doanh thu DCM'!E197</f>
        <v>143.05688492799959</v>
      </c>
      <c r="M34" s="884">
        <f>'Doanh thu DCM'!F197</f>
        <v>412.43156697000012</v>
      </c>
      <c r="N34" s="884">
        <f>'Doanh thu DCM'!G197</f>
        <v>439.74153040877582</v>
      </c>
      <c r="O34" s="884">
        <f>'Doanh thu DCM'!H197</f>
        <v>599.26648475470415</v>
      </c>
      <c r="P34" s="885">
        <f>'Doanh thu DCM'!I197</f>
        <v>553.04217419453175</v>
      </c>
      <c r="Q34" s="985">
        <f>'Doanh thu DCM'!J197</f>
        <v>661.05935921532398</v>
      </c>
      <c r="R34" s="985">
        <f>'Doanh thu DCM'!K197</f>
        <v>745.29092398323735</v>
      </c>
      <c r="S34" s="985">
        <f>'Doanh thu DCM'!L197</f>
        <v>792.77305993616312</v>
      </c>
      <c r="T34" s="985">
        <f>'Doanh thu DCM'!M197</f>
        <v>818.02666024201665</v>
      </c>
      <c r="U34" s="985">
        <f>'Doanh thu DCM'!N197</f>
        <v>831.05568415899211</v>
      </c>
      <c r="V34" s="985">
        <f>'Doanh thu DCM'!O197</f>
        <v>837.67395524446169</v>
      </c>
      <c r="W34" s="985">
        <f>'Doanh thu DCM'!P197</f>
        <v>841.99454535039536</v>
      </c>
      <c r="X34" s="985">
        <f>'Doanh thu DCM'!Q197</f>
        <v>874.56724740848551</v>
      </c>
      <c r="Y34" s="985">
        <f>'Doanh thu DCM'!R197</f>
        <v>936.57888918787955</v>
      </c>
      <c r="Z34" s="985">
        <f>'Doanh thu DCM'!S197</f>
        <v>1048.4582692292918</v>
      </c>
      <c r="AA34" s="985"/>
      <c r="AB34" s="985"/>
      <c r="AC34" s="887"/>
      <c r="AD34" s="887"/>
      <c r="AE34" s="887"/>
      <c r="AF34" s="887"/>
      <c r="AG34" s="887"/>
      <c r="AH34" s="887"/>
      <c r="AI34" s="887"/>
      <c r="AJ34" s="887"/>
      <c r="AK34" s="887"/>
      <c r="AL34" s="887"/>
      <c r="AM34" s="887"/>
      <c r="AN34" s="887"/>
      <c r="AO34" s="887"/>
      <c r="AP34" s="887"/>
      <c r="AQ34" s="887"/>
      <c r="AR34" s="887"/>
      <c r="AS34" s="887"/>
      <c r="AT34" s="887"/>
      <c r="AU34" s="887"/>
      <c r="AV34" s="887"/>
      <c r="AW34" s="887"/>
      <c r="AX34" s="887"/>
      <c r="AY34" s="887"/>
      <c r="AZ34" s="887"/>
      <c r="BA34" s="887"/>
    </row>
    <row r="35" spans="2:53" s="865" customFormat="1">
      <c r="B35" s="888" t="s">
        <v>750</v>
      </c>
      <c r="C35" s="889"/>
      <c r="D35" s="890"/>
      <c r="E35" s="890"/>
      <c r="F35" s="890"/>
      <c r="G35" s="890"/>
      <c r="H35" s="890"/>
      <c r="I35" s="890"/>
      <c r="J35" s="891"/>
      <c r="K35" s="891">
        <f>SUM(K30:K34)</f>
        <v>6083.7747332669996</v>
      </c>
      <c r="L35" s="891">
        <f t="shared" ref="L35:Z35" si="39">SUM(L30:L34)</f>
        <v>6244.4273005289997</v>
      </c>
      <c r="M35" s="891">
        <f t="shared" si="39"/>
        <v>7088.8259803250003</v>
      </c>
      <c r="N35" s="891">
        <f t="shared" si="39"/>
        <v>10221.097432230999</v>
      </c>
      <c r="O35" s="891">
        <f t="shared" si="39"/>
        <v>10538.742407968</v>
      </c>
      <c r="P35" s="892">
        <f t="shared" si="39"/>
        <v>12101.446494030999</v>
      </c>
      <c r="Q35" s="986">
        <f t="shared" si="39"/>
        <v>13918.243617704722</v>
      </c>
      <c r="R35" s="986">
        <f t="shared" si="39"/>
        <v>14383.611091165716</v>
      </c>
      <c r="S35" s="986">
        <f t="shared" si="39"/>
        <v>14457.705791708804</v>
      </c>
      <c r="T35" s="986">
        <f t="shared" si="39"/>
        <v>15696.22576356595</v>
      </c>
      <c r="U35" s="986">
        <f t="shared" si="39"/>
        <v>15887.412317123406</v>
      </c>
      <c r="V35" s="986">
        <f t="shared" si="39"/>
        <v>15334.882212559625</v>
      </c>
      <c r="W35" s="986">
        <f t="shared" si="39"/>
        <v>15944.619188827761</v>
      </c>
      <c r="X35" s="986">
        <f t="shared" si="39"/>
        <v>16006.513359806648</v>
      </c>
      <c r="Y35" s="986">
        <f t="shared" si="39"/>
        <v>16419.679663426454</v>
      </c>
      <c r="Z35" s="986">
        <f t="shared" si="39"/>
        <v>16800.954631290278</v>
      </c>
      <c r="AA35" s="986"/>
      <c r="AB35" s="986"/>
      <c r="AC35" s="894"/>
      <c r="AD35" s="894"/>
      <c r="AE35" s="894"/>
      <c r="AF35" s="894"/>
      <c r="AG35" s="894"/>
      <c r="AH35" s="894"/>
      <c r="AI35" s="894"/>
      <c r="AJ35" s="894"/>
      <c r="AK35" s="894"/>
      <c r="AL35" s="894"/>
      <c r="AM35" s="894"/>
      <c r="AN35" s="894"/>
      <c r="AO35" s="894"/>
      <c r="AP35" s="894"/>
      <c r="AQ35" s="894"/>
      <c r="AR35" s="894"/>
      <c r="AS35" s="894"/>
      <c r="AT35" s="894"/>
      <c r="AU35" s="894"/>
      <c r="AV35" s="894"/>
      <c r="AW35" s="894"/>
      <c r="AX35" s="894"/>
      <c r="AY35" s="894"/>
      <c r="AZ35" s="894"/>
      <c r="BA35" s="894"/>
    </row>
    <row r="36" spans="2:53" s="865" customFormat="1">
      <c r="B36" s="2450"/>
      <c r="C36" s="2451"/>
      <c r="D36" s="2452"/>
      <c r="E36" s="2452"/>
      <c r="F36" s="2452"/>
      <c r="G36" s="2452"/>
      <c r="H36" s="2452"/>
      <c r="I36" s="2452"/>
      <c r="J36" s="907"/>
      <c r="K36" s="2479">
        <f>K29-K35</f>
        <v>0</v>
      </c>
      <c r="L36" s="2479">
        <f t="shared" ref="L36:P36" si="40">L29-L35</f>
        <v>0</v>
      </c>
      <c r="M36" s="2479">
        <f t="shared" si="40"/>
        <v>0</v>
      </c>
      <c r="N36" s="2479">
        <f t="shared" si="40"/>
        <v>0</v>
      </c>
      <c r="O36" s="2479">
        <f t="shared" si="40"/>
        <v>0</v>
      </c>
      <c r="P36" s="2495">
        <f t="shared" si="40"/>
        <v>0</v>
      </c>
      <c r="Q36" s="2480">
        <f>Q29-Q35</f>
        <v>0</v>
      </c>
      <c r="R36" s="2480">
        <f t="shared" ref="R36:Z36" si="41">R29-R35</f>
        <v>0</v>
      </c>
      <c r="S36" s="2480">
        <f t="shared" si="41"/>
        <v>0</v>
      </c>
      <c r="T36" s="2480">
        <f t="shared" si="41"/>
        <v>0</v>
      </c>
      <c r="U36" s="2480">
        <f t="shared" si="41"/>
        <v>0</v>
      </c>
      <c r="V36" s="2480">
        <f t="shared" si="41"/>
        <v>0</v>
      </c>
      <c r="W36" s="2480">
        <f t="shared" si="41"/>
        <v>0</v>
      </c>
      <c r="X36" s="2480">
        <f t="shared" si="41"/>
        <v>0</v>
      </c>
      <c r="Y36" s="2480">
        <f t="shared" si="41"/>
        <v>0</v>
      </c>
      <c r="Z36" s="2480">
        <f t="shared" si="41"/>
        <v>0</v>
      </c>
      <c r="AA36" s="2453"/>
      <c r="AB36" s="2453"/>
      <c r="AC36" s="2454"/>
      <c r="AD36" s="2454"/>
      <c r="AE36" s="2454"/>
      <c r="AF36" s="2454"/>
      <c r="AG36" s="2454"/>
      <c r="AH36" s="2454"/>
      <c r="AI36" s="2454"/>
      <c r="AJ36" s="2454"/>
      <c r="AK36" s="2454"/>
      <c r="AL36" s="2454"/>
      <c r="AM36" s="2454"/>
      <c r="AN36" s="2454"/>
      <c r="AO36" s="2454"/>
      <c r="AP36" s="2454"/>
      <c r="AQ36" s="2454"/>
      <c r="AR36" s="2454"/>
      <c r="AS36" s="2454"/>
      <c r="AT36" s="2454"/>
      <c r="AU36" s="2454"/>
      <c r="AV36" s="2454"/>
      <c r="AW36" s="2454"/>
      <c r="AX36" s="2454"/>
      <c r="AY36" s="2454"/>
      <c r="AZ36" s="2454"/>
      <c r="BA36" s="2454"/>
    </row>
    <row r="37" spans="2:53" s="900" customFormat="1">
      <c r="B37" s="895" t="s">
        <v>733</v>
      </c>
      <c r="C37" s="896"/>
      <c r="D37" s="897" t="str">
        <f>IFERROR(D35/D14," ")</f>
        <v xml:space="preserve"> </v>
      </c>
      <c r="E37" s="897" t="str">
        <f>IFERROR(E35/E14," ")</f>
        <v xml:space="preserve"> </v>
      </c>
      <c r="F37" s="989"/>
      <c r="G37" s="989"/>
      <c r="H37" s="989"/>
      <c r="I37" s="989"/>
      <c r="J37" s="897"/>
      <c r="K37" s="897">
        <f>K35/K14</f>
        <v>0.86380850480096383</v>
      </c>
      <c r="L37" s="897">
        <f t="shared" ref="L37:Z37" si="42">L35/L14</f>
        <v>0.82584315708653389</v>
      </c>
      <c r="M37" s="897">
        <f t="shared" si="42"/>
        <v>0.71823670424692132</v>
      </c>
      <c r="N37" s="897">
        <f t="shared" si="42"/>
        <v>0.64184622330368291</v>
      </c>
      <c r="O37" s="897">
        <f t="shared" si="42"/>
        <v>0.83836817319882173</v>
      </c>
      <c r="P37" s="898">
        <f t="shared" si="42"/>
        <v>0.82951499544118612</v>
      </c>
      <c r="Q37" s="987">
        <f t="shared" si="42"/>
        <v>0.78470268691224465</v>
      </c>
      <c r="R37" s="987">
        <f t="shared" si="42"/>
        <v>0.77373806551034441</v>
      </c>
      <c r="S37" s="987">
        <f t="shared" si="42"/>
        <v>0.75632457291521704</v>
      </c>
      <c r="T37" s="987">
        <f t="shared" si="42"/>
        <v>0.69672359138676521</v>
      </c>
      <c r="U37" s="987">
        <f t="shared" si="42"/>
        <v>0.72768870976597311</v>
      </c>
      <c r="V37" s="987">
        <f t="shared" si="42"/>
        <v>0.75057770630065601</v>
      </c>
      <c r="W37" s="987">
        <f t="shared" si="42"/>
        <v>0.76080782180929751</v>
      </c>
      <c r="X37" s="987">
        <f t="shared" si="42"/>
        <v>0.74740173346073202</v>
      </c>
      <c r="Y37" s="987">
        <f t="shared" si="42"/>
        <v>0.72889908912876844</v>
      </c>
      <c r="Z37" s="987">
        <f t="shared" si="42"/>
        <v>0.7359208314382274</v>
      </c>
      <c r="AA37" s="987"/>
      <c r="AB37" s="987"/>
      <c r="AC37" s="897" t="e">
        <f t="shared" ref="AC37:AX37" si="43">AC35/AC14</f>
        <v>#DIV/0!</v>
      </c>
      <c r="AD37" s="897" t="e">
        <f t="shared" si="43"/>
        <v>#DIV/0!</v>
      </c>
      <c r="AE37" s="897" t="e">
        <f t="shared" si="43"/>
        <v>#DIV/0!</v>
      </c>
      <c r="AF37" s="897" t="e">
        <f t="shared" si="43"/>
        <v>#DIV/0!</v>
      </c>
      <c r="AG37" s="897" t="e">
        <f t="shared" si="43"/>
        <v>#DIV/0!</v>
      </c>
      <c r="AH37" s="897" t="e">
        <f t="shared" si="43"/>
        <v>#DIV/0!</v>
      </c>
      <c r="AI37" s="897" t="e">
        <f t="shared" si="43"/>
        <v>#DIV/0!</v>
      </c>
      <c r="AJ37" s="897" t="e">
        <f t="shared" si="43"/>
        <v>#DIV/0!</v>
      </c>
      <c r="AK37" s="897" t="e">
        <f t="shared" si="43"/>
        <v>#DIV/0!</v>
      </c>
      <c r="AL37" s="897" t="e">
        <f t="shared" si="43"/>
        <v>#DIV/0!</v>
      </c>
      <c r="AM37" s="897" t="e">
        <f t="shared" si="43"/>
        <v>#DIV/0!</v>
      </c>
      <c r="AN37" s="897" t="e">
        <f t="shared" si="43"/>
        <v>#DIV/0!</v>
      </c>
      <c r="AO37" s="897" t="e">
        <f t="shared" si="43"/>
        <v>#DIV/0!</v>
      </c>
      <c r="AP37" s="897" t="e">
        <f t="shared" si="43"/>
        <v>#DIV/0!</v>
      </c>
      <c r="AQ37" s="897" t="e">
        <f t="shared" si="43"/>
        <v>#DIV/0!</v>
      </c>
      <c r="AR37" s="897" t="e">
        <f t="shared" si="43"/>
        <v>#DIV/0!</v>
      </c>
      <c r="AS37" s="897" t="e">
        <f t="shared" si="43"/>
        <v>#DIV/0!</v>
      </c>
      <c r="AT37" s="897" t="e">
        <f t="shared" si="43"/>
        <v>#DIV/0!</v>
      </c>
      <c r="AU37" s="897" t="e">
        <f t="shared" si="43"/>
        <v>#DIV/0!</v>
      </c>
      <c r="AV37" s="897" t="e">
        <f t="shared" si="43"/>
        <v>#DIV/0!</v>
      </c>
      <c r="AW37" s="897" t="e">
        <f t="shared" si="43"/>
        <v>#DIV/0!</v>
      </c>
      <c r="AX37" s="897" t="e">
        <f t="shared" si="43"/>
        <v>#DIV/0!</v>
      </c>
      <c r="AY37" s="897"/>
      <c r="AZ37" s="897"/>
      <c r="BA37" s="897"/>
    </row>
    <row r="38" spans="2:53">
      <c r="F38" s="990"/>
      <c r="G38" s="2709"/>
      <c r="H38" s="2709"/>
      <c r="I38" s="2709"/>
      <c r="J38" s="980"/>
      <c r="K38" s="980"/>
      <c r="L38" s="980"/>
      <c r="M38" s="980"/>
      <c r="N38" s="980"/>
      <c r="O38" s="980"/>
      <c r="P38" s="901"/>
      <c r="Q38" s="980"/>
      <c r="R38" s="980"/>
      <c r="S38" s="980"/>
      <c r="T38" s="980"/>
      <c r="U38" s="980"/>
      <c r="V38" s="980"/>
      <c r="W38" s="980"/>
      <c r="X38" s="980"/>
      <c r="Y38" s="980"/>
      <c r="Z38" s="980"/>
      <c r="AA38" s="675"/>
      <c r="AB38" s="675"/>
      <c r="AC38" s="675"/>
      <c r="AD38" s="675"/>
      <c r="AE38" s="675"/>
      <c r="AF38" s="675"/>
      <c r="AG38" s="675"/>
      <c r="AH38" s="675"/>
      <c r="AI38" s="675"/>
      <c r="AJ38" s="675"/>
      <c r="AK38" s="675"/>
      <c r="AL38" s="675"/>
      <c r="AM38" s="675"/>
      <c r="AN38" s="675"/>
      <c r="AO38" s="675"/>
      <c r="AP38" s="675"/>
      <c r="AQ38" s="675"/>
      <c r="AR38" s="675"/>
      <c r="AS38" s="675"/>
      <c r="AT38" s="675"/>
      <c r="AU38" s="675"/>
      <c r="AV38" s="675"/>
      <c r="AW38" s="675"/>
      <c r="AX38" s="675"/>
      <c r="AY38" s="675"/>
      <c r="AZ38" s="675"/>
      <c r="BA38" s="675"/>
    </row>
    <row r="39" spans="2:53">
      <c r="F39" s="990"/>
      <c r="G39" s="2471"/>
      <c r="H39" s="2471"/>
      <c r="I39" s="2471"/>
      <c r="J39" s="980"/>
      <c r="K39" s="980"/>
      <c r="L39" s="980"/>
      <c r="M39" s="980"/>
      <c r="N39" s="980"/>
      <c r="O39" s="980"/>
      <c r="P39" s="901"/>
      <c r="Q39" s="980"/>
      <c r="R39" s="980"/>
      <c r="S39" s="980"/>
      <c r="T39" s="980"/>
      <c r="U39" s="980"/>
      <c r="V39" s="980"/>
      <c r="W39" s="980"/>
      <c r="X39" s="980"/>
      <c r="Y39" s="980"/>
      <c r="Z39" s="980"/>
      <c r="AA39" s="675"/>
      <c r="AB39" s="675"/>
      <c r="AC39" s="675"/>
      <c r="AD39" s="675"/>
      <c r="AE39" s="675"/>
      <c r="AF39" s="675"/>
      <c r="AG39" s="675"/>
      <c r="AH39" s="675"/>
      <c r="AI39" s="675"/>
      <c r="AJ39" s="675"/>
      <c r="AK39" s="675"/>
      <c r="AL39" s="675"/>
      <c r="AM39" s="675"/>
      <c r="AN39" s="675"/>
      <c r="AO39" s="675"/>
      <c r="AP39" s="675"/>
      <c r="AQ39" s="675"/>
      <c r="AR39" s="675"/>
      <c r="AS39" s="675"/>
      <c r="AT39" s="675"/>
      <c r="AU39" s="675"/>
      <c r="AV39" s="675"/>
      <c r="AW39" s="675"/>
      <c r="AX39" s="675"/>
      <c r="AY39" s="675"/>
      <c r="AZ39" s="675"/>
      <c r="BA39" s="675"/>
    </row>
    <row r="40" spans="2:53">
      <c r="B40" s="507" t="s">
        <v>1464</v>
      </c>
      <c r="F40" s="990"/>
      <c r="G40" s="2471"/>
      <c r="H40" s="2471"/>
      <c r="I40" s="2471"/>
      <c r="J40" s="980"/>
      <c r="K40" s="2485">
        <f>K41/K29</f>
        <v>0.13510337618280241</v>
      </c>
      <c r="L40" s="2485">
        <f t="shared" ref="L40:Z40" si="44">L41/L29</f>
        <v>0.22294377088785425</v>
      </c>
      <c r="M40" s="2485">
        <f t="shared" si="44"/>
        <v>2.280949651307373E-3</v>
      </c>
      <c r="N40" s="2485">
        <f t="shared" si="44"/>
        <v>7.4917532021692032E-2</v>
      </c>
      <c r="O40" s="2485">
        <f t="shared" si="44"/>
        <v>0.1457398713443025</v>
      </c>
      <c r="P40" s="2496">
        <f t="shared" si="44"/>
        <v>0.17374203813230621</v>
      </c>
      <c r="Q40" s="2486">
        <f t="shared" si="44"/>
        <v>0.22319631625190844</v>
      </c>
      <c r="R40" s="2486">
        <f t="shared" si="44"/>
        <v>0.20813912955145467</v>
      </c>
      <c r="S40" s="2486">
        <f t="shared" si="44"/>
        <v>0.20905529292787559</v>
      </c>
      <c r="T40" s="2486">
        <f t="shared" si="44"/>
        <v>0.1446117900552292</v>
      </c>
      <c r="U40" s="2486">
        <f t="shared" si="44"/>
        <v>0.16443748902791211</v>
      </c>
      <c r="V40" s="2486">
        <f t="shared" si="44"/>
        <v>0.19715092969970469</v>
      </c>
      <c r="W40" s="2486">
        <f t="shared" si="44"/>
        <v>0.22203434744650519</v>
      </c>
      <c r="X40" s="2486">
        <f t="shared" si="44"/>
        <v>0.20268887627844789</v>
      </c>
      <c r="Y40" s="2486">
        <f t="shared" si="44"/>
        <v>0.17841680571901369</v>
      </c>
      <c r="Z40" s="2486">
        <f t="shared" si="44"/>
        <v>0.18423995376503549</v>
      </c>
      <c r="AA40" s="675"/>
      <c r="AB40" s="675"/>
      <c r="AC40" s="675"/>
      <c r="AD40" s="675"/>
      <c r="AE40" s="675"/>
      <c r="AF40" s="675"/>
      <c r="AG40" s="675"/>
      <c r="AH40" s="675"/>
      <c r="AI40" s="675"/>
      <c r="AJ40" s="675"/>
      <c r="AK40" s="675"/>
      <c r="AL40" s="675"/>
      <c r="AM40" s="675"/>
      <c r="AN40" s="675"/>
      <c r="AO40" s="675"/>
      <c r="AP40" s="675"/>
      <c r="AQ40" s="675"/>
      <c r="AR40" s="675"/>
      <c r="AS40" s="675"/>
      <c r="AT40" s="675"/>
      <c r="AU40" s="675"/>
      <c r="AV40" s="675"/>
      <c r="AW40" s="675"/>
      <c r="AX40" s="675"/>
      <c r="AY40" s="675"/>
      <c r="AZ40" s="675"/>
      <c r="BA40" s="675"/>
    </row>
    <row r="41" spans="2:53">
      <c r="B41" s="507" t="s">
        <v>1463</v>
      </c>
      <c r="F41" s="990"/>
      <c r="G41" s="990"/>
      <c r="H41" s="991"/>
      <c r="I41" s="990"/>
      <c r="J41" s="980"/>
      <c r="K41" s="980">
        <f>K29-K42</f>
        <v>821.93850639999982</v>
      </c>
      <c r="L41" s="980">
        <f t="shared" ref="L41:Z41" si="45">L29-L42</f>
        <v>1392.1561694149996</v>
      </c>
      <c r="M41" s="980">
        <f t="shared" si="45"/>
        <v>16.169255148000957</v>
      </c>
      <c r="N41" s="980">
        <f t="shared" si="45"/>
        <v>765.73939417600013</v>
      </c>
      <c r="O41" s="980">
        <f t="shared" si="45"/>
        <v>1535.914962668001</v>
      </c>
      <c r="P41" s="901">
        <f t="shared" si="45"/>
        <v>2102.5299782219972</v>
      </c>
      <c r="Q41" s="2487">
        <f t="shared" si="45"/>
        <v>3106.5007041683293</v>
      </c>
      <c r="R41" s="2487">
        <f t="shared" si="45"/>
        <v>2993.7922923218812</v>
      </c>
      <c r="S41" s="2487">
        <f t="shared" si="45"/>
        <v>3022.4599193507274</v>
      </c>
      <c r="T41" s="2487">
        <f t="shared" si="45"/>
        <v>2269.8593047802788</v>
      </c>
      <c r="U41" s="2487">
        <f t="shared" si="45"/>
        <v>2612.486188578896</v>
      </c>
      <c r="V41" s="2487">
        <f t="shared" si="45"/>
        <v>3023.286285041595</v>
      </c>
      <c r="W41" s="2487">
        <f t="shared" si="45"/>
        <v>3540.2531168743972</v>
      </c>
      <c r="X41" s="2487">
        <f t="shared" si="45"/>
        <v>3244.3422060351731</v>
      </c>
      <c r="Y41" s="2487">
        <f t="shared" si="45"/>
        <v>2929.5467964779982</v>
      </c>
      <c r="Z41" s="2487">
        <f t="shared" si="45"/>
        <v>3095.4071044773791</v>
      </c>
      <c r="AA41" s="675"/>
      <c r="AB41" s="675"/>
      <c r="AC41" s="675"/>
      <c r="AD41" s="675"/>
      <c r="AE41" s="675"/>
      <c r="AF41" s="675"/>
      <c r="AG41" s="675"/>
      <c r="AH41" s="675"/>
      <c r="AI41" s="675"/>
      <c r="AJ41" s="675"/>
      <c r="AK41" s="675"/>
      <c r="AL41" s="675"/>
      <c r="AM41" s="675"/>
      <c r="AN41" s="675"/>
      <c r="AO41" s="675"/>
      <c r="AP41" s="675"/>
      <c r="AQ41" s="675"/>
      <c r="AR41" s="675"/>
      <c r="AS41" s="675"/>
      <c r="AT41" s="675"/>
      <c r="AU41" s="675"/>
      <c r="AV41" s="675"/>
      <c r="AW41" s="675"/>
      <c r="AX41" s="675"/>
      <c r="AY41" s="675"/>
      <c r="AZ41" s="675"/>
      <c r="BA41" s="675"/>
    </row>
    <row r="42" spans="2:53" s="5" customFormat="1" ht="15.75" customHeight="1">
      <c r="B42" s="873" t="s">
        <v>751</v>
      </c>
      <c r="D42" s="88"/>
      <c r="E42" s="88"/>
      <c r="F42" s="992"/>
      <c r="G42" s="992"/>
      <c r="H42" s="991"/>
      <c r="I42" s="992"/>
      <c r="J42" s="874"/>
      <c r="K42" s="874">
        <f>SUM(K44:K48)</f>
        <v>5261.8362268669998</v>
      </c>
      <c r="L42" s="874">
        <f t="shared" ref="L42:Z42" si="46">SUM(L44:L48)</f>
        <v>4852.2711311140001</v>
      </c>
      <c r="M42" s="874">
        <f t="shared" si="46"/>
        <v>7072.6567251769993</v>
      </c>
      <c r="N42" s="874">
        <f t="shared" si="46"/>
        <v>9455.3580380549993</v>
      </c>
      <c r="O42" s="874">
        <f t="shared" si="46"/>
        <v>9002.8274452999995</v>
      </c>
      <c r="P42" s="875">
        <f t="shared" si="46"/>
        <v>9998.9165158090018</v>
      </c>
      <c r="Q42" s="876">
        <f t="shared" si="46"/>
        <v>10811.742913536393</v>
      </c>
      <c r="R42" s="876">
        <f t="shared" si="46"/>
        <v>11389.818798843835</v>
      </c>
      <c r="S42" s="876">
        <f t="shared" si="46"/>
        <v>11435.245872358077</v>
      </c>
      <c r="T42" s="876">
        <f t="shared" si="46"/>
        <v>13426.366458785671</v>
      </c>
      <c r="U42" s="876">
        <f t="shared" si="46"/>
        <v>13274.92612854451</v>
      </c>
      <c r="V42" s="876">
        <f t="shared" si="46"/>
        <v>12311.595927518032</v>
      </c>
      <c r="W42" s="876">
        <f t="shared" si="46"/>
        <v>12404.366071953365</v>
      </c>
      <c r="X42" s="876">
        <f t="shared" si="46"/>
        <v>12762.171153771475</v>
      </c>
      <c r="Y42" s="876">
        <f t="shared" si="46"/>
        <v>13490.132866948459</v>
      </c>
      <c r="Z42" s="876">
        <f t="shared" si="46"/>
        <v>13705.547526812896</v>
      </c>
      <c r="AA42" s="876"/>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row>
    <row r="43" spans="2:53" s="240" customFormat="1">
      <c r="B43" s="878" t="s">
        <v>733</v>
      </c>
      <c r="C43" s="255"/>
      <c r="D43" s="879"/>
      <c r="E43" s="879"/>
      <c r="F43" s="993"/>
      <c r="G43" s="993"/>
      <c r="H43" s="993"/>
      <c r="I43" s="993"/>
      <c r="J43" s="999"/>
      <c r="K43" s="999">
        <f>K42/K14</f>
        <v>0.74710505942693506</v>
      </c>
      <c r="L43" s="999">
        <f t="shared" ref="L43:Z43" si="47">L42/L14</f>
        <v>0.64172656948373141</v>
      </c>
      <c r="M43" s="999">
        <f t="shared" si="47"/>
        <v>0.71659844248681315</v>
      </c>
      <c r="N43" s="999">
        <f t="shared" si="47"/>
        <v>0.59376068831632711</v>
      </c>
      <c r="O43" s="999">
        <f t="shared" si="47"/>
        <v>0.7161845034976676</v>
      </c>
      <c r="P43" s="1004">
        <f t="shared" si="47"/>
        <v>0.68539336947192375</v>
      </c>
      <c r="Q43" s="1000">
        <f t="shared" si="47"/>
        <v>0.60955993784045703</v>
      </c>
      <c r="R43" s="1000">
        <f t="shared" si="47"/>
        <v>0.61269289805419491</v>
      </c>
      <c r="S43" s="1000">
        <f t="shared" si="47"/>
        <v>0.59821091777587598</v>
      </c>
      <c r="T43" s="1000">
        <f t="shared" si="47"/>
        <v>0.59596914566261705</v>
      </c>
      <c r="U43" s="1000">
        <f t="shared" si="47"/>
        <v>0.60802940553809537</v>
      </c>
      <c r="V43" s="1000">
        <f t="shared" si="47"/>
        <v>0.60260061369160989</v>
      </c>
      <c r="W43" s="1000">
        <f t="shared" si="47"/>
        <v>0.59188235356167318</v>
      </c>
      <c r="X43" s="1000">
        <f t="shared" si="47"/>
        <v>0.5959117159770122</v>
      </c>
      <c r="Y43" s="1000">
        <f t="shared" si="47"/>
        <v>0.59885124195491501</v>
      </c>
      <c r="Z43" s="1000">
        <f t="shared" si="47"/>
        <v>0.60033481147932177</v>
      </c>
      <c r="AA43" s="1000"/>
      <c r="AB43" s="999"/>
      <c r="AC43" s="881"/>
      <c r="AD43" s="881"/>
      <c r="AE43" s="881"/>
      <c r="AF43" s="881"/>
      <c r="AG43" s="881"/>
      <c r="AH43" s="881"/>
      <c r="AI43" s="881"/>
      <c r="AJ43" s="881"/>
      <c r="AK43" s="881"/>
      <c r="AL43" s="881"/>
      <c r="AM43" s="881"/>
      <c r="AN43" s="881"/>
      <c r="AO43" s="881"/>
      <c r="AP43" s="881"/>
      <c r="AQ43" s="881"/>
      <c r="AR43" s="881"/>
      <c r="AS43" s="881"/>
      <c r="AT43" s="881"/>
      <c r="AU43" s="881"/>
      <c r="AV43" s="881"/>
      <c r="AW43" s="881"/>
      <c r="AX43" s="881"/>
      <c r="AY43" s="881"/>
      <c r="AZ43" s="881"/>
      <c r="BA43" s="881"/>
    </row>
    <row r="44" spans="2:53" s="150" customFormat="1">
      <c r="B44" s="118" t="s">
        <v>282</v>
      </c>
      <c r="D44" s="882"/>
      <c r="E44" s="882"/>
      <c r="F44" s="994"/>
      <c r="G44" s="995"/>
      <c r="H44" s="996"/>
      <c r="I44" s="996"/>
      <c r="J44" s="90"/>
      <c r="K44" s="90">
        <f>K144</f>
        <v>3218.769225255</v>
      </c>
      <c r="L44" s="90">
        <f t="shared" ref="L44:Z44" si="48">L144</f>
        <v>2729.9095732280002</v>
      </c>
      <c r="M44" s="90">
        <f t="shared" si="48"/>
        <v>4548.9810560799997</v>
      </c>
      <c r="N44" s="90">
        <f t="shared" si="48"/>
        <v>6495.9936945239997</v>
      </c>
      <c r="O44" s="90">
        <f t="shared" si="48"/>
        <v>6599.1370385379996</v>
      </c>
      <c r="P44" s="568">
        <f t="shared" si="48"/>
        <v>7793.3567759240004</v>
      </c>
      <c r="Q44" s="142">
        <f t="shared" si="48"/>
        <v>8117.7932702691214</v>
      </c>
      <c r="R44" s="142">
        <f t="shared" si="48"/>
        <v>8510.1390865469511</v>
      </c>
      <c r="S44" s="142">
        <f t="shared" si="48"/>
        <v>9059.157753546624</v>
      </c>
      <c r="T44" s="142">
        <f t="shared" si="48"/>
        <v>10725.410603998687</v>
      </c>
      <c r="U44" s="142">
        <f t="shared" si="48"/>
        <v>10642.099052528456</v>
      </c>
      <c r="V44" s="142">
        <f t="shared" si="48"/>
        <v>9830.9493035195537</v>
      </c>
      <c r="W44" s="142">
        <f t="shared" si="48"/>
        <v>9899.1800710382558</v>
      </c>
      <c r="X44" s="142">
        <f t="shared" si="48"/>
        <v>10168.216804349548</v>
      </c>
      <c r="Y44" s="142">
        <f t="shared" si="48"/>
        <v>10759.301392801681</v>
      </c>
      <c r="Z44" s="142">
        <f t="shared" si="48"/>
        <v>10918.227122587823</v>
      </c>
      <c r="AA44" s="142"/>
      <c r="AB44" s="143"/>
      <c r="AC44" s="143"/>
      <c r="AD44" s="143"/>
      <c r="AE44" s="143"/>
      <c r="AF44" s="143"/>
      <c r="AG44" s="143"/>
      <c r="AH44" s="143"/>
      <c r="AI44" s="143"/>
      <c r="AJ44" s="143"/>
      <c r="AK44" s="143"/>
      <c r="AL44" s="143"/>
      <c r="AM44" s="143"/>
      <c r="AN44" s="143"/>
      <c r="AO44" s="143"/>
      <c r="AP44" s="143"/>
      <c r="AQ44" s="143"/>
      <c r="AR44" s="143"/>
      <c r="AS44" s="143"/>
      <c r="AT44" s="143"/>
      <c r="AU44" s="143"/>
      <c r="AV44" s="143"/>
      <c r="AW44" s="143"/>
      <c r="AX44" s="143"/>
      <c r="AY44" s="143"/>
      <c r="AZ44" s="143"/>
      <c r="BA44" s="143"/>
    </row>
    <row r="45" spans="2:53" s="150" customFormat="1">
      <c r="B45" s="118" t="s">
        <v>283</v>
      </c>
      <c r="D45" s="883"/>
      <c r="E45" s="883"/>
      <c r="F45" s="997"/>
      <c r="G45" s="996"/>
      <c r="H45" s="998"/>
      <c r="I45" s="996"/>
      <c r="J45" s="90"/>
      <c r="K45" s="90">
        <f>K146-K127-K103</f>
        <v>313.910594887</v>
      </c>
      <c r="L45" s="90">
        <f t="shared" ref="L45:Z45" si="49">L146-L127-L103</f>
        <v>293.36236861100002</v>
      </c>
      <c r="M45" s="90">
        <f t="shared" si="49"/>
        <v>384.54388495499995</v>
      </c>
      <c r="N45" s="90">
        <f t="shared" si="49"/>
        <v>404.54535162800005</v>
      </c>
      <c r="O45" s="90">
        <f t="shared" si="49"/>
        <v>436.769779723</v>
      </c>
      <c r="P45" s="568">
        <f t="shared" si="49"/>
        <v>416.96253752400003</v>
      </c>
      <c r="Q45" s="142">
        <f t="shared" si="49"/>
        <v>623.93159226205785</v>
      </c>
      <c r="R45" s="142">
        <f t="shared" si="49"/>
        <v>624.8255784359277</v>
      </c>
      <c r="S45" s="142">
        <f t="shared" si="49"/>
        <v>625.97951880837081</v>
      </c>
      <c r="T45" s="142">
        <f t="shared" si="49"/>
        <v>714.40464109281731</v>
      </c>
      <c r="U45" s="142">
        <f t="shared" si="49"/>
        <v>715.28626909181071</v>
      </c>
      <c r="V45" s="142">
        <f t="shared" si="49"/>
        <v>662.60239737809457</v>
      </c>
      <c r="W45" s="142">
        <f t="shared" si="49"/>
        <v>693.132819748408</v>
      </c>
      <c r="X45" s="142">
        <f t="shared" si="49"/>
        <v>700.79574465501253</v>
      </c>
      <c r="Y45" s="142">
        <f t="shared" si="49"/>
        <v>733.79724486434054</v>
      </c>
      <c r="Z45" s="142">
        <f t="shared" si="49"/>
        <v>743.01708253713332</v>
      </c>
      <c r="AA45" s="142"/>
      <c r="AB45" s="143"/>
      <c r="AC45" s="143"/>
      <c r="AD45" s="143"/>
      <c r="AE45" s="143"/>
      <c r="AF45" s="143"/>
      <c r="AG45" s="143"/>
      <c r="AH45" s="143"/>
      <c r="AI45" s="143"/>
      <c r="AJ45" s="143"/>
      <c r="AK45" s="143"/>
      <c r="AL45" s="143"/>
      <c r="AM45" s="143"/>
      <c r="AN45" s="143"/>
      <c r="AO45" s="143"/>
      <c r="AP45" s="143"/>
      <c r="AQ45" s="143"/>
      <c r="AR45" s="143"/>
      <c r="AS45" s="143"/>
      <c r="AT45" s="143"/>
      <c r="AU45" s="143"/>
      <c r="AV45" s="143"/>
      <c r="AW45" s="143"/>
      <c r="AX45" s="143"/>
      <c r="AY45" s="143"/>
      <c r="AZ45" s="143"/>
      <c r="BA45" s="143"/>
    </row>
    <row r="46" spans="2:53" s="150" customFormat="1">
      <c r="B46" s="118" t="s">
        <v>284</v>
      </c>
      <c r="D46" s="883"/>
      <c r="E46" s="883"/>
      <c r="F46" s="883"/>
      <c r="G46" s="2710"/>
      <c r="H46" s="2710"/>
      <c r="I46" s="2710"/>
      <c r="J46" s="884"/>
      <c r="K46" s="884">
        <f>K148-K129-K113</f>
        <v>1299.2003390169998</v>
      </c>
      <c r="L46" s="884">
        <f t="shared" ref="L46:Z46" si="50">L148-L129-L113</f>
        <v>1298.0550814779999</v>
      </c>
      <c r="M46" s="884">
        <f t="shared" si="50"/>
        <v>1361.645847214</v>
      </c>
      <c r="N46" s="884">
        <f t="shared" si="50"/>
        <v>1381.735148382</v>
      </c>
      <c r="O46" s="884">
        <f t="shared" si="50"/>
        <v>1062.414658419</v>
      </c>
      <c r="P46" s="885">
        <f t="shared" si="50"/>
        <v>724.30754781999997</v>
      </c>
      <c r="Q46" s="886">
        <f t="shared" si="50"/>
        <v>827.54801127376982</v>
      </c>
      <c r="R46" s="886">
        <f t="shared" si="50"/>
        <v>919.46118303995729</v>
      </c>
      <c r="S46" s="886">
        <f t="shared" si="50"/>
        <v>362.20565045872581</v>
      </c>
      <c r="T46" s="886">
        <f t="shared" si="50"/>
        <v>361.79383413616705</v>
      </c>
      <c r="U46" s="886">
        <f t="shared" si="50"/>
        <v>347.08040507604284</v>
      </c>
      <c r="V46" s="886">
        <f t="shared" si="50"/>
        <v>348.52074710844835</v>
      </c>
      <c r="W46" s="886">
        <f t="shared" si="50"/>
        <v>308.70514239553921</v>
      </c>
      <c r="X46" s="886">
        <f t="shared" si="50"/>
        <v>350.56706183373126</v>
      </c>
      <c r="Y46" s="886">
        <f t="shared" si="50"/>
        <v>373.78726493590597</v>
      </c>
      <c r="Z46" s="886">
        <f t="shared" si="50"/>
        <v>401.3661956065036</v>
      </c>
      <c r="AA46" s="886"/>
      <c r="AB46" s="887"/>
      <c r="AC46" s="887"/>
      <c r="AD46" s="887"/>
      <c r="AE46" s="887"/>
      <c r="AF46" s="887"/>
      <c r="AG46" s="887"/>
      <c r="AH46" s="887"/>
      <c r="AI46" s="887"/>
      <c r="AJ46" s="887"/>
      <c r="AK46" s="887"/>
      <c r="AL46" s="887"/>
      <c r="AM46" s="887"/>
      <c r="AN46" s="887"/>
      <c r="AO46" s="887"/>
      <c r="AP46" s="887"/>
      <c r="AQ46" s="887"/>
      <c r="AR46" s="887"/>
      <c r="AS46" s="887"/>
      <c r="AT46" s="887"/>
      <c r="AU46" s="887"/>
      <c r="AV46" s="887"/>
      <c r="AW46" s="887"/>
      <c r="AX46" s="887"/>
      <c r="AY46" s="887"/>
      <c r="AZ46" s="887"/>
      <c r="BA46" s="887"/>
    </row>
    <row r="47" spans="2:53" s="150" customFormat="1">
      <c r="B47" s="118" t="s">
        <v>285</v>
      </c>
      <c r="D47" s="883"/>
      <c r="E47" s="883"/>
      <c r="F47" s="883"/>
      <c r="G47" s="2710"/>
      <c r="H47" s="2710"/>
      <c r="I47" s="2710"/>
      <c r="J47" s="884"/>
      <c r="K47" s="884">
        <f>K150-K133-K117</f>
        <v>331.50558635300001</v>
      </c>
      <c r="L47" s="884">
        <f t="shared" ref="L47:Z47" si="51">L150-L133-L117</f>
        <v>361.98152735999997</v>
      </c>
      <c r="M47" s="884">
        <f t="shared" si="51"/>
        <v>317.31392154999998</v>
      </c>
      <c r="N47" s="884">
        <f t="shared" si="51"/>
        <v>703.79277893499989</v>
      </c>
      <c r="O47" s="884">
        <f t="shared" si="51"/>
        <v>805.77910603500004</v>
      </c>
      <c r="P47" s="885">
        <f t="shared" si="51"/>
        <v>965.87477879300013</v>
      </c>
      <c r="Q47" s="886">
        <f t="shared" si="51"/>
        <v>866.98351143046182</v>
      </c>
      <c r="R47" s="886">
        <f t="shared" si="51"/>
        <v>919.57246273762325</v>
      </c>
      <c r="S47" s="886">
        <f t="shared" si="51"/>
        <v>960.24575622309305</v>
      </c>
      <c r="T47" s="886">
        <f t="shared" si="51"/>
        <v>1211.809516937738</v>
      </c>
      <c r="U47" s="886">
        <f t="shared" si="51"/>
        <v>1210.8040152625445</v>
      </c>
      <c r="V47" s="886">
        <f t="shared" si="51"/>
        <v>1103.6111492109646</v>
      </c>
      <c r="W47" s="886">
        <f t="shared" si="51"/>
        <v>1089.007998174895</v>
      </c>
      <c r="X47" s="886">
        <f t="shared" si="51"/>
        <v>1124.176584764668</v>
      </c>
      <c r="Y47" s="886">
        <f t="shared" si="51"/>
        <v>1193.7649911445387</v>
      </c>
      <c r="Z47" s="886">
        <f t="shared" si="51"/>
        <v>1220.2565437342573</v>
      </c>
      <c r="AA47" s="886"/>
      <c r="AB47" s="887"/>
      <c r="AC47" s="887"/>
      <c r="AD47" s="887"/>
      <c r="AE47" s="887"/>
      <c r="AF47" s="887"/>
      <c r="AG47" s="887"/>
      <c r="AH47" s="887"/>
      <c r="AI47" s="887"/>
      <c r="AJ47" s="887"/>
      <c r="AK47" s="887"/>
      <c r="AL47" s="887"/>
      <c r="AM47" s="887"/>
      <c r="AN47" s="887"/>
      <c r="AO47" s="887"/>
      <c r="AP47" s="887"/>
      <c r="AQ47" s="887"/>
      <c r="AR47" s="887"/>
      <c r="AS47" s="887"/>
      <c r="AT47" s="887"/>
      <c r="AU47" s="887"/>
      <c r="AV47" s="887"/>
      <c r="AW47" s="887"/>
      <c r="AX47" s="887"/>
      <c r="AY47" s="887"/>
      <c r="AZ47" s="887"/>
      <c r="BA47" s="887"/>
    </row>
    <row r="48" spans="2:53" s="150" customFormat="1">
      <c r="B48" s="118" t="s">
        <v>286</v>
      </c>
      <c r="D48" s="95"/>
      <c r="E48" s="95"/>
      <c r="F48" s="95"/>
      <c r="G48" s="2710"/>
      <c r="H48" s="2710"/>
      <c r="I48" s="2710"/>
      <c r="J48" s="884"/>
      <c r="K48" s="884">
        <f>K152-K135-K115-K111-K107</f>
        <v>98.450481354999994</v>
      </c>
      <c r="L48" s="884">
        <f t="shared" ref="L48:Z48" si="52">L152-L135-L115-L111-L107</f>
        <v>168.96258043700001</v>
      </c>
      <c r="M48" s="884">
        <f t="shared" si="52"/>
        <v>460.17201537800014</v>
      </c>
      <c r="N48" s="884">
        <f t="shared" si="52"/>
        <v>469.29106458600006</v>
      </c>
      <c r="O48" s="884">
        <f t="shared" si="52"/>
        <v>98.726862585000021</v>
      </c>
      <c r="P48" s="885">
        <f t="shared" si="52"/>
        <v>98.414875747999986</v>
      </c>
      <c r="Q48" s="886">
        <f t="shared" si="52"/>
        <v>375.48652830098206</v>
      </c>
      <c r="R48" s="886">
        <f t="shared" si="52"/>
        <v>415.82048808337515</v>
      </c>
      <c r="S48" s="886">
        <f t="shared" si="52"/>
        <v>427.65719332126343</v>
      </c>
      <c r="T48" s="886">
        <f t="shared" si="52"/>
        <v>412.94786262026207</v>
      </c>
      <c r="U48" s="886">
        <f t="shared" si="52"/>
        <v>359.65638658565439</v>
      </c>
      <c r="V48" s="886">
        <f t="shared" si="52"/>
        <v>365.91233030097055</v>
      </c>
      <c r="W48" s="886">
        <f t="shared" si="52"/>
        <v>414.3400405962683</v>
      </c>
      <c r="X48" s="886">
        <f t="shared" si="52"/>
        <v>418.41495816851682</v>
      </c>
      <c r="Y48" s="886">
        <f t="shared" si="52"/>
        <v>429.48197320199318</v>
      </c>
      <c r="Z48" s="886">
        <f t="shared" si="52"/>
        <v>422.68058234717881</v>
      </c>
      <c r="AA48" s="886"/>
      <c r="AB48" s="887"/>
      <c r="AC48" s="887"/>
      <c r="AD48" s="887"/>
      <c r="AE48" s="887"/>
      <c r="AF48" s="887"/>
      <c r="AG48" s="887"/>
      <c r="AH48" s="887"/>
      <c r="AI48" s="887"/>
      <c r="AJ48" s="887"/>
      <c r="AK48" s="887"/>
      <c r="AL48" s="887"/>
      <c r="AM48" s="887"/>
      <c r="AN48" s="887"/>
      <c r="AO48" s="887"/>
      <c r="AP48" s="887"/>
      <c r="AQ48" s="887"/>
      <c r="AR48" s="887"/>
      <c r="AS48" s="887"/>
      <c r="AT48" s="887"/>
      <c r="AU48" s="887"/>
      <c r="AV48" s="887"/>
      <c r="AW48" s="887"/>
      <c r="AX48" s="887"/>
      <c r="AY48" s="887"/>
      <c r="AZ48" s="887"/>
      <c r="BA48" s="887"/>
    </row>
    <row r="49" spans="2:53" s="150" customFormat="1">
      <c r="B49" s="118" t="s">
        <v>752</v>
      </c>
      <c r="D49" s="95"/>
      <c r="E49" s="95"/>
      <c r="F49" s="95"/>
      <c r="G49" s="2710"/>
      <c r="H49" s="2710"/>
      <c r="I49" s="2710"/>
      <c r="J49" s="884"/>
      <c r="K49" s="884"/>
      <c r="L49" s="884"/>
      <c r="M49" s="884"/>
      <c r="N49" s="884"/>
      <c r="O49" s="884"/>
      <c r="P49" s="885"/>
      <c r="Q49" s="886"/>
      <c r="R49" s="886"/>
      <c r="S49" s="886"/>
      <c r="T49" s="886"/>
      <c r="U49" s="886"/>
      <c r="V49" s="886"/>
      <c r="W49" s="886"/>
      <c r="X49" s="886"/>
      <c r="Y49" s="886"/>
      <c r="Z49" s="886"/>
      <c r="AA49" s="886"/>
      <c r="AB49" s="887"/>
      <c r="AC49" s="887"/>
      <c r="AD49" s="887"/>
      <c r="AE49" s="887"/>
      <c r="AF49" s="887"/>
      <c r="AG49" s="887"/>
      <c r="AH49" s="887"/>
      <c r="AI49" s="887"/>
      <c r="AJ49" s="887"/>
      <c r="AK49" s="887"/>
      <c r="AL49" s="887"/>
      <c r="AM49" s="887"/>
      <c r="AN49" s="887"/>
      <c r="AO49" s="887"/>
      <c r="AP49" s="887"/>
      <c r="AQ49" s="887"/>
      <c r="AR49" s="887"/>
      <c r="AS49" s="887"/>
      <c r="AT49" s="887"/>
      <c r="AU49" s="887"/>
      <c r="AV49" s="887"/>
      <c r="AW49" s="887"/>
      <c r="AX49" s="887"/>
      <c r="AY49" s="887"/>
      <c r="AZ49" s="887"/>
      <c r="BA49" s="887"/>
    </row>
    <row r="50" spans="2:53" s="903" customFormat="1">
      <c r="B50" s="902" t="s">
        <v>753</v>
      </c>
      <c r="D50" s="904"/>
      <c r="E50" s="904"/>
      <c r="F50" s="904"/>
      <c r="G50" s="904"/>
      <c r="H50" s="904"/>
      <c r="I50" s="905"/>
      <c r="J50" s="906"/>
      <c r="K50" s="906"/>
      <c r="L50" s="906"/>
      <c r="M50" s="906"/>
      <c r="N50" s="906"/>
      <c r="O50" s="906"/>
      <c r="P50" s="981"/>
      <c r="Q50" s="906"/>
      <c r="R50" s="906"/>
      <c r="S50" s="906"/>
      <c r="T50" s="906"/>
      <c r="U50" s="906"/>
      <c r="V50" s="906"/>
      <c r="W50" s="906"/>
      <c r="X50" s="906"/>
      <c r="Y50" s="906"/>
      <c r="Z50" s="906"/>
      <c r="AA50" s="906"/>
      <c r="AB50" s="905"/>
      <c r="AC50" s="905"/>
      <c r="AD50" s="905"/>
      <c r="AE50" s="905"/>
      <c r="AF50" s="905"/>
      <c r="AG50" s="905"/>
      <c r="AH50" s="905"/>
      <c r="AI50" s="905"/>
      <c r="AJ50" s="905"/>
      <c r="AK50" s="905"/>
      <c r="AL50" s="905"/>
      <c r="AM50" s="905"/>
      <c r="AN50" s="905"/>
      <c r="AO50" s="905"/>
      <c r="AP50" s="905"/>
      <c r="AQ50" s="905"/>
      <c r="AR50" s="905"/>
      <c r="AS50" s="905"/>
      <c r="AT50" s="905"/>
      <c r="AU50" s="905"/>
      <c r="AV50" s="905"/>
      <c r="AW50" s="905"/>
      <c r="AX50" s="905"/>
      <c r="AY50" s="905"/>
      <c r="AZ50" s="905"/>
      <c r="BA50" s="905"/>
    </row>
    <row r="51" spans="2:53" s="865" customFormat="1">
      <c r="B51" s="888" t="s">
        <v>754</v>
      </c>
      <c r="C51" s="889"/>
      <c r="D51" s="890"/>
      <c r="E51" s="890"/>
      <c r="F51" s="890"/>
      <c r="G51" s="890"/>
      <c r="H51" s="890"/>
      <c r="I51" s="890"/>
      <c r="J51" s="891"/>
      <c r="K51" s="891"/>
      <c r="L51" s="891"/>
      <c r="M51" s="907"/>
      <c r="N51" s="907"/>
      <c r="O51" s="891"/>
      <c r="P51" s="892"/>
      <c r="Q51" s="893"/>
      <c r="R51" s="893"/>
      <c r="S51" s="893"/>
      <c r="T51" s="893"/>
      <c r="U51" s="893"/>
      <c r="V51" s="893"/>
      <c r="W51" s="893"/>
      <c r="X51" s="893"/>
      <c r="Y51" s="893"/>
      <c r="Z51" s="893"/>
      <c r="AA51" s="893"/>
      <c r="AB51" s="894"/>
      <c r="AC51" s="894"/>
      <c r="AD51" s="894"/>
      <c r="AE51" s="894"/>
      <c r="AF51" s="894"/>
      <c r="AG51" s="894"/>
      <c r="AH51" s="894"/>
      <c r="AI51" s="894"/>
      <c r="AJ51" s="894"/>
      <c r="AK51" s="894"/>
      <c r="AL51" s="894"/>
      <c r="AM51" s="894"/>
      <c r="AN51" s="894"/>
      <c r="AO51" s="894"/>
      <c r="AP51" s="894"/>
      <c r="AQ51" s="894"/>
      <c r="AR51" s="894"/>
      <c r="AS51" s="894"/>
      <c r="AT51" s="894"/>
      <c r="AU51" s="894"/>
      <c r="AV51" s="894"/>
      <c r="AW51" s="894"/>
      <c r="AX51" s="894"/>
      <c r="AY51" s="894"/>
      <c r="AZ51" s="894"/>
      <c r="BA51" s="894"/>
    </row>
    <row r="52" spans="2:53" s="900" customFormat="1">
      <c r="B52" s="895" t="s">
        <v>733</v>
      </c>
      <c r="C52" s="896"/>
      <c r="D52" s="897" t="str">
        <f t="shared" ref="D52:G52" si="53">IFERROR(D51/D26," ")</f>
        <v xml:space="preserve"> </v>
      </c>
      <c r="E52" s="897" t="str">
        <f t="shared" si="53"/>
        <v xml:space="preserve"> </v>
      </c>
      <c r="F52" s="897" t="str">
        <f t="shared" si="53"/>
        <v xml:space="preserve"> </v>
      </c>
      <c r="G52" s="897" t="str">
        <f t="shared" si="53"/>
        <v xml:space="preserve"> </v>
      </c>
      <c r="H52" s="897"/>
      <c r="I52" s="897"/>
      <c r="J52" s="897"/>
      <c r="K52" s="897"/>
      <c r="L52" s="897"/>
      <c r="M52" s="897"/>
      <c r="N52" s="897"/>
      <c r="O52" s="897"/>
      <c r="P52" s="898"/>
      <c r="Q52" s="899"/>
      <c r="R52" s="899"/>
      <c r="S52" s="899"/>
      <c r="T52" s="899"/>
      <c r="U52" s="899"/>
      <c r="V52" s="899"/>
      <c r="W52" s="899"/>
      <c r="X52" s="899"/>
      <c r="Y52" s="899"/>
      <c r="Z52" s="899"/>
      <c r="AA52" s="899"/>
      <c r="AB52" s="899"/>
      <c r="AC52" s="899"/>
      <c r="AD52" s="899"/>
      <c r="AE52" s="899"/>
      <c r="AF52" s="899"/>
      <c r="AG52" s="899"/>
      <c r="AH52" s="899"/>
      <c r="AI52" s="899"/>
      <c r="AJ52" s="899"/>
      <c r="AK52" s="899"/>
      <c r="AL52" s="899"/>
      <c r="AM52" s="899"/>
      <c r="AN52" s="899"/>
      <c r="AO52" s="899"/>
      <c r="AP52" s="899"/>
      <c r="AQ52" s="899"/>
      <c r="AR52" s="899"/>
      <c r="AS52" s="899"/>
      <c r="AT52" s="899"/>
      <c r="AU52" s="899"/>
      <c r="AV52" s="899"/>
      <c r="AW52" s="899"/>
      <c r="AX52" s="899"/>
      <c r="AY52" s="899"/>
      <c r="AZ52" s="899"/>
      <c r="BA52" s="899"/>
    </row>
    <row r="53" spans="2:53">
      <c r="I53" s="908"/>
      <c r="J53" s="908"/>
      <c r="K53" s="908"/>
      <c r="L53" s="908"/>
      <c r="M53" s="908"/>
      <c r="P53" s="909"/>
      <c r="Q53" s="1001"/>
      <c r="R53" s="1001"/>
      <c r="S53" s="1001"/>
      <c r="T53" s="1001"/>
      <c r="U53" s="1001"/>
      <c r="V53" s="1001"/>
      <c r="W53" s="1001"/>
      <c r="X53" s="1001"/>
      <c r="Y53" s="1001"/>
      <c r="Z53" s="1001"/>
      <c r="AA53" s="1001"/>
      <c r="AB53" s="675"/>
      <c r="AC53" s="675"/>
      <c r="AD53" s="675"/>
      <c r="AE53" s="675"/>
      <c r="AF53" s="675"/>
      <c r="AG53" s="675"/>
      <c r="AH53" s="675"/>
      <c r="AI53" s="675"/>
      <c r="AJ53" s="675"/>
      <c r="AK53" s="675"/>
      <c r="AL53" s="675"/>
      <c r="AM53" s="675"/>
      <c r="AN53" s="675"/>
      <c r="AO53" s="675"/>
      <c r="AP53" s="675"/>
      <c r="AQ53" s="675"/>
      <c r="AR53" s="675"/>
      <c r="AS53" s="675"/>
      <c r="AT53" s="675"/>
      <c r="AU53" s="675"/>
      <c r="AV53" s="675"/>
      <c r="AW53" s="675"/>
      <c r="AX53" s="675"/>
      <c r="AY53" s="675"/>
      <c r="AZ53" s="675"/>
      <c r="BA53" s="675"/>
    </row>
    <row r="54" spans="2:53" s="5" customFormat="1">
      <c r="B54" s="910" t="s">
        <v>755</v>
      </c>
      <c r="D54" s="88"/>
      <c r="E54" s="88"/>
      <c r="F54" s="88"/>
      <c r="G54" s="88"/>
      <c r="H54" s="88"/>
      <c r="I54" s="390"/>
      <c r="J54" s="911"/>
      <c r="K54" s="911"/>
      <c r="L54" s="911"/>
      <c r="M54" s="911"/>
      <c r="N54" s="911"/>
      <c r="O54" s="911"/>
      <c r="P54" s="912"/>
      <c r="Q54" s="913"/>
      <c r="R54" s="913"/>
      <c r="S54" s="913"/>
      <c r="T54" s="913"/>
      <c r="U54" s="913"/>
      <c r="V54" s="913"/>
      <c r="W54" s="913"/>
      <c r="X54" s="913"/>
      <c r="Y54" s="913"/>
      <c r="Z54" s="913"/>
      <c r="AA54" s="913"/>
      <c r="AB54" s="914"/>
      <c r="AC54" s="914"/>
      <c r="AD54" s="914"/>
      <c r="AE54" s="914"/>
      <c r="AF54" s="914"/>
      <c r="AG54" s="914"/>
      <c r="AH54" s="914"/>
      <c r="AI54" s="914"/>
      <c r="AJ54" s="914"/>
      <c r="AK54" s="914"/>
      <c r="AL54" s="914"/>
      <c r="AM54" s="914"/>
      <c r="AN54" s="914"/>
      <c r="AO54" s="914"/>
      <c r="AP54" s="914"/>
      <c r="AQ54" s="914"/>
      <c r="AR54" s="914"/>
      <c r="AS54" s="914"/>
      <c r="AT54" s="914"/>
      <c r="AU54" s="914"/>
      <c r="AV54" s="914"/>
      <c r="AW54" s="914"/>
      <c r="AX54" s="914"/>
      <c r="AY54" s="914"/>
      <c r="AZ54" s="914"/>
      <c r="BA54" s="914"/>
    </row>
    <row r="55" spans="2:53" s="240" customFormat="1">
      <c r="B55" s="878" t="s">
        <v>733</v>
      </c>
      <c r="C55" s="255"/>
      <c r="D55" s="879"/>
      <c r="E55" s="879"/>
      <c r="F55" s="879"/>
      <c r="G55" s="879"/>
      <c r="H55" s="879"/>
      <c r="I55" s="879"/>
      <c r="J55" s="879"/>
      <c r="K55" s="879"/>
      <c r="L55" s="879"/>
      <c r="M55" s="879"/>
      <c r="N55" s="879"/>
      <c r="O55" s="879"/>
      <c r="P55" s="880"/>
      <c r="Q55" s="881"/>
      <c r="R55" s="881"/>
      <c r="S55" s="881"/>
      <c r="T55" s="881"/>
      <c r="U55" s="881"/>
      <c r="V55" s="881"/>
      <c r="W55" s="881"/>
      <c r="X55" s="881"/>
      <c r="Y55" s="881"/>
      <c r="Z55" s="881"/>
      <c r="AA55" s="881"/>
      <c r="AB55" s="881"/>
      <c r="AC55" s="881"/>
      <c r="AD55" s="881"/>
      <c r="AE55" s="881"/>
      <c r="AF55" s="881"/>
      <c r="AG55" s="881"/>
      <c r="AH55" s="881"/>
      <c r="AI55" s="881"/>
      <c r="AJ55" s="881"/>
      <c r="AK55" s="881"/>
      <c r="AL55" s="881"/>
      <c r="AM55" s="881"/>
      <c r="AN55" s="881"/>
      <c r="AO55" s="881"/>
      <c r="AP55" s="881"/>
      <c r="AQ55" s="881"/>
      <c r="AR55" s="881"/>
      <c r="AS55" s="881"/>
      <c r="AT55" s="881"/>
      <c r="AU55" s="881"/>
      <c r="AV55" s="881"/>
      <c r="AW55" s="881"/>
      <c r="AX55" s="881"/>
      <c r="AY55" s="881"/>
      <c r="AZ55" s="881"/>
      <c r="BA55" s="881"/>
    </row>
    <row r="56" spans="2:53" s="150" customFormat="1">
      <c r="B56" s="118" t="s">
        <v>282</v>
      </c>
      <c r="D56" s="882"/>
      <c r="E56" s="882"/>
      <c r="F56" s="882"/>
      <c r="G56" s="89"/>
      <c r="H56" s="89"/>
      <c r="I56" s="150" t="str">
        <f>IFERROR(I44/I$14,"")</f>
        <v/>
      </c>
      <c r="J56" s="166"/>
      <c r="K56" s="166">
        <f>K44/K14</f>
        <v>0.45701893210529798</v>
      </c>
      <c r="L56" s="166">
        <f t="shared" ref="L56:Z56" si="54">L44/L14</f>
        <v>0.36103825571391873</v>
      </c>
      <c r="M56" s="166">
        <f t="shared" si="54"/>
        <v>0.46090074301002742</v>
      </c>
      <c r="N56" s="166">
        <f t="shared" si="54"/>
        <v>0.40792381122275334</v>
      </c>
      <c r="O56" s="166">
        <f t="shared" si="54"/>
        <v>0.52496837378858763</v>
      </c>
      <c r="P56" s="867">
        <f t="shared" si="54"/>
        <v>0.53420938675726326</v>
      </c>
      <c r="Q56" s="176">
        <f t="shared" si="54"/>
        <v>0.45767658376630799</v>
      </c>
      <c r="R56" s="176">
        <f t="shared" si="54"/>
        <v>0.45778619237647633</v>
      </c>
      <c r="S56" s="176">
        <f t="shared" si="54"/>
        <v>0.47391084848690279</v>
      </c>
      <c r="T56" s="176">
        <f t="shared" si="54"/>
        <v>0.47607919939971516</v>
      </c>
      <c r="U56" s="176">
        <f t="shared" si="54"/>
        <v>0.48743843076254217</v>
      </c>
      <c r="V56" s="176">
        <f t="shared" si="54"/>
        <v>0.48118344025820131</v>
      </c>
      <c r="W56" s="176">
        <f t="shared" si="54"/>
        <v>0.47234578250835763</v>
      </c>
      <c r="X56" s="176">
        <f t="shared" si="54"/>
        <v>0.47479064896536588</v>
      </c>
      <c r="Y56" s="176">
        <f t="shared" si="54"/>
        <v>0.47762472506351417</v>
      </c>
      <c r="Z56" s="176">
        <f t="shared" si="54"/>
        <v>0.47824370449294928</v>
      </c>
      <c r="AA56" s="176"/>
      <c r="AB56" s="180"/>
      <c r="AC56" s="180"/>
      <c r="AD56" s="180"/>
      <c r="AE56" s="180"/>
      <c r="AF56" s="180"/>
      <c r="AG56" s="180"/>
      <c r="AH56" s="180"/>
      <c r="AI56" s="180"/>
      <c r="AJ56" s="180"/>
      <c r="AK56" s="180"/>
      <c r="AL56" s="180"/>
      <c r="AM56" s="180"/>
      <c r="AN56" s="180"/>
      <c r="AO56" s="180"/>
      <c r="AP56" s="180"/>
      <c r="AQ56" s="180"/>
      <c r="AR56" s="180"/>
      <c r="AS56" s="180"/>
      <c r="AT56" s="180"/>
      <c r="AU56" s="180"/>
      <c r="AV56" s="180"/>
      <c r="AW56" s="180"/>
      <c r="AX56" s="180"/>
      <c r="AY56" s="180"/>
      <c r="AZ56" s="180"/>
      <c r="BA56" s="180"/>
    </row>
    <row r="57" spans="2:53" s="150" customFormat="1">
      <c r="B57" s="118" t="s">
        <v>283</v>
      </c>
      <c r="D57" s="883"/>
      <c r="E57" s="883"/>
      <c r="F57" s="883"/>
      <c r="G57" s="89"/>
      <c r="H57" s="89"/>
      <c r="I57" s="150" t="str">
        <f t="shared" ref="I57:I62" si="55">IFERROR(I45/I$14,"")</f>
        <v/>
      </c>
      <c r="J57" s="229"/>
      <c r="K57" s="229">
        <f>K45/K14</f>
        <v>4.4570789271302917E-2</v>
      </c>
      <c r="L57" s="229">
        <f t="shared" ref="L57:Z57" si="56">L45/L14</f>
        <v>3.8798002283342722E-2</v>
      </c>
      <c r="M57" s="229">
        <f t="shared" si="56"/>
        <v>3.8961815868376534E-2</v>
      </c>
      <c r="N57" s="229">
        <f t="shared" si="56"/>
        <v>2.540391653822794E-2</v>
      </c>
      <c r="O57" s="229">
        <f t="shared" si="56"/>
        <v>3.4745500758987254E-2</v>
      </c>
      <c r="P57" s="915">
        <f t="shared" si="56"/>
        <v>2.8581432606752329E-2</v>
      </c>
      <c r="Q57" s="179">
        <f t="shared" si="56"/>
        <v>3.5176909554498273E-2</v>
      </c>
      <c r="R57" s="179">
        <f t="shared" si="56"/>
        <v>3.3611262935030833E-2</v>
      </c>
      <c r="S57" s="179">
        <f t="shared" si="56"/>
        <v>3.2746806376978868E-2</v>
      </c>
      <c r="T57" s="179">
        <f t="shared" si="56"/>
        <v>3.171097146174591E-2</v>
      </c>
      <c r="U57" s="179">
        <f t="shared" si="56"/>
        <v>3.2762147282332239E-2</v>
      </c>
      <c r="V57" s="179">
        <f t="shared" si="56"/>
        <v>3.2431588369556397E-2</v>
      </c>
      <c r="W57" s="179">
        <f t="shared" si="56"/>
        <v>3.3073280996690428E-2</v>
      </c>
      <c r="X57" s="179">
        <f t="shared" si="56"/>
        <v>3.2722676237055784E-2</v>
      </c>
      <c r="Y57" s="179">
        <f t="shared" si="56"/>
        <v>3.2574578454059949E-2</v>
      </c>
      <c r="Z57" s="179">
        <f t="shared" si="56"/>
        <v>3.254587380024012E-2</v>
      </c>
      <c r="AA57" s="179"/>
      <c r="AB57" s="180"/>
      <c r="AC57" s="180"/>
      <c r="AD57" s="180"/>
      <c r="AE57" s="180"/>
      <c r="AF57" s="180"/>
      <c r="AG57" s="180"/>
      <c r="AH57" s="180"/>
      <c r="AI57" s="180"/>
      <c r="AJ57" s="180"/>
      <c r="AK57" s="180"/>
      <c r="AL57" s="180"/>
      <c r="AM57" s="180"/>
      <c r="AN57" s="180"/>
      <c r="AO57" s="180"/>
      <c r="AP57" s="180"/>
      <c r="AQ57" s="180"/>
      <c r="AR57" s="180"/>
      <c r="AS57" s="180"/>
      <c r="AT57" s="180"/>
      <c r="AU57" s="180"/>
      <c r="AV57" s="180"/>
      <c r="AW57" s="180"/>
      <c r="AX57" s="180"/>
      <c r="AY57" s="180"/>
      <c r="AZ57" s="180"/>
      <c r="BA57" s="180"/>
    </row>
    <row r="58" spans="2:53" s="150" customFormat="1">
      <c r="B58" s="118" t="s">
        <v>284</v>
      </c>
      <c r="D58" s="883"/>
      <c r="E58" s="883"/>
      <c r="F58" s="883"/>
      <c r="G58" s="883"/>
      <c r="H58" s="883"/>
      <c r="I58" s="150" t="str">
        <f t="shared" si="55"/>
        <v/>
      </c>
      <c r="J58" s="229"/>
      <c r="K58" s="229">
        <f>K46/K14</f>
        <v>0.18446776080424065</v>
      </c>
      <c r="L58" s="229">
        <f t="shared" ref="L58:Z58" si="57">L46/L14</f>
        <v>0.17167145279587054</v>
      </c>
      <c r="M58" s="229">
        <f t="shared" si="57"/>
        <v>0.13796135331419898</v>
      </c>
      <c r="N58" s="229">
        <f t="shared" si="57"/>
        <v>8.6767736290070938E-2</v>
      </c>
      <c r="O58" s="229">
        <f t="shared" si="57"/>
        <v>8.4516216629885746E-2</v>
      </c>
      <c r="P58" s="915">
        <f t="shared" si="57"/>
        <v>4.9648938457421472E-2</v>
      </c>
      <c r="Q58" s="179">
        <f t="shared" si="57"/>
        <v>4.665668785746558E-2</v>
      </c>
      <c r="R58" s="179">
        <f t="shared" si="57"/>
        <v>4.9460605724673569E-2</v>
      </c>
      <c r="S58" s="179">
        <f t="shared" si="57"/>
        <v>1.8948029364920127E-2</v>
      </c>
      <c r="T58" s="179">
        <f t="shared" si="57"/>
        <v>1.605929369632559E-2</v>
      </c>
      <c r="U58" s="179">
        <f t="shared" si="57"/>
        <v>1.5897270563225797E-2</v>
      </c>
      <c r="V58" s="179">
        <f t="shared" si="57"/>
        <v>1.7058618340648243E-2</v>
      </c>
      <c r="W58" s="179">
        <f t="shared" si="57"/>
        <v>1.4730065621877444E-2</v>
      </c>
      <c r="X58" s="179">
        <f t="shared" si="57"/>
        <v>1.6369238185668902E-2</v>
      </c>
      <c r="Y58" s="179">
        <f t="shared" si="57"/>
        <v>1.6593088447796188E-2</v>
      </c>
      <c r="Z58" s="179">
        <f t="shared" si="57"/>
        <v>1.7580771501628192E-2</v>
      </c>
      <c r="AA58" s="179"/>
      <c r="AB58" s="180"/>
      <c r="AC58" s="180"/>
      <c r="AD58" s="180"/>
      <c r="AE58" s="180"/>
      <c r="AF58" s="180"/>
      <c r="AG58" s="180"/>
      <c r="AH58" s="180"/>
      <c r="AI58" s="180"/>
      <c r="AJ58" s="180"/>
      <c r="AK58" s="180"/>
      <c r="AL58" s="180"/>
      <c r="AM58" s="180"/>
      <c r="AN58" s="180"/>
      <c r="AO58" s="180"/>
      <c r="AP58" s="180"/>
      <c r="AQ58" s="180"/>
      <c r="AR58" s="180"/>
      <c r="AS58" s="180"/>
      <c r="AT58" s="180"/>
      <c r="AU58" s="180"/>
      <c r="AV58" s="180"/>
      <c r="AW58" s="180"/>
      <c r="AX58" s="180"/>
      <c r="AY58" s="180"/>
      <c r="AZ58" s="180"/>
      <c r="BA58" s="180"/>
    </row>
    <row r="59" spans="2:53" s="150" customFormat="1">
      <c r="B59" s="118" t="s">
        <v>285</v>
      </c>
      <c r="D59" s="883"/>
      <c r="E59" s="883"/>
      <c r="F59" s="883"/>
      <c r="G59" s="883"/>
      <c r="H59" s="883"/>
      <c r="I59" s="150" t="str">
        <f t="shared" si="55"/>
        <v/>
      </c>
      <c r="J59" s="229"/>
      <c r="K59" s="229">
        <f>K47/K14</f>
        <v>4.7069024978013484E-2</v>
      </c>
      <c r="L59" s="229">
        <f t="shared" ref="L59:Z59" si="58">L47/L14</f>
        <v>4.7873079943882617E-2</v>
      </c>
      <c r="M59" s="229">
        <f t="shared" si="58"/>
        <v>3.2150105794427938E-2</v>
      </c>
      <c r="N59" s="229">
        <f t="shared" si="58"/>
        <v>4.4195522070200367E-2</v>
      </c>
      <c r="O59" s="229">
        <f t="shared" si="58"/>
        <v>6.4100585342857341E-2</v>
      </c>
      <c r="P59" s="915">
        <f t="shared" si="58"/>
        <v>6.6207590400240601E-2</v>
      </c>
      <c r="Q59" s="179">
        <f t="shared" si="58"/>
        <v>4.888003900597692E-2</v>
      </c>
      <c r="R59" s="179">
        <f t="shared" si="58"/>
        <v>4.946659179711789E-2</v>
      </c>
      <c r="S59" s="179">
        <f t="shared" si="58"/>
        <v>5.023324391381475E-2</v>
      </c>
      <c r="T59" s="179">
        <f t="shared" si="58"/>
        <v>5.3789763949324741E-2</v>
      </c>
      <c r="U59" s="179">
        <f t="shared" si="58"/>
        <v>5.5458270614417556E-2</v>
      </c>
      <c r="V59" s="179">
        <f t="shared" si="58"/>
        <v>5.4017103851255036E-2</v>
      </c>
      <c r="W59" s="179">
        <f t="shared" si="58"/>
        <v>5.1962721292515113E-2</v>
      </c>
      <c r="X59" s="179">
        <f t="shared" si="58"/>
        <v>5.2491851865684995E-2</v>
      </c>
      <c r="Y59" s="179">
        <f t="shared" si="58"/>
        <v>5.2993373349251277E-2</v>
      </c>
      <c r="Z59" s="179">
        <f t="shared" si="58"/>
        <v>5.3450070543038353E-2</v>
      </c>
      <c r="AA59" s="179"/>
      <c r="AB59" s="180"/>
      <c r="AC59" s="180"/>
      <c r="AD59" s="180"/>
      <c r="AE59" s="180"/>
      <c r="AF59" s="180"/>
      <c r="AG59" s="180"/>
      <c r="AH59" s="180"/>
      <c r="AI59" s="180"/>
      <c r="AJ59" s="180"/>
      <c r="AK59" s="180"/>
      <c r="AL59" s="180"/>
      <c r="AM59" s="180"/>
      <c r="AN59" s="180"/>
      <c r="AO59" s="180"/>
      <c r="AP59" s="180"/>
      <c r="AQ59" s="180"/>
      <c r="AR59" s="180"/>
      <c r="AS59" s="180"/>
      <c r="AT59" s="180"/>
      <c r="AU59" s="180"/>
      <c r="AV59" s="180"/>
      <c r="AW59" s="180"/>
      <c r="AX59" s="180"/>
      <c r="AY59" s="180"/>
      <c r="AZ59" s="180"/>
      <c r="BA59" s="180"/>
    </row>
    <row r="60" spans="2:53" s="150" customFormat="1">
      <c r="B60" s="118" t="s">
        <v>286</v>
      </c>
      <c r="D60" s="95"/>
      <c r="E60" s="95"/>
      <c r="F60" s="95"/>
      <c r="G60" s="95"/>
      <c r="H60" s="95"/>
      <c r="I60" s="150" t="str">
        <f t="shared" si="55"/>
        <v/>
      </c>
      <c r="J60" s="229"/>
      <c r="K60" s="229">
        <f>K48/K14</f>
        <v>1.3978552268080081E-2</v>
      </c>
      <c r="L60" s="229">
        <f t="shared" ref="L60:Z60" si="59">L48/L14</f>
        <v>2.2345778746716869E-2</v>
      </c>
      <c r="M60" s="229">
        <f t="shared" si="59"/>
        <v>4.6624424499782324E-2</v>
      </c>
      <c r="N60" s="229">
        <f t="shared" si="59"/>
        <v>2.9469702195074561E-2</v>
      </c>
      <c r="O60" s="229">
        <f t="shared" si="59"/>
        <v>7.8538269773496192E-3</v>
      </c>
      <c r="P60" s="915">
        <f t="shared" si="59"/>
        <v>6.74602125024592E-3</v>
      </c>
      <c r="Q60" s="179">
        <f t="shared" si="59"/>
        <v>2.1169717656208235E-2</v>
      </c>
      <c r="R60" s="179">
        <f t="shared" si="59"/>
        <v>2.2368245220896255E-2</v>
      </c>
      <c r="S60" s="179">
        <f t="shared" si="59"/>
        <v>2.2371989633259485E-2</v>
      </c>
      <c r="T60" s="179">
        <f t="shared" si="59"/>
        <v>1.8329917155505665E-2</v>
      </c>
      <c r="U60" s="179">
        <f t="shared" si="59"/>
        <v>1.647328631557753E-2</v>
      </c>
      <c r="V60" s="179">
        <f t="shared" si="59"/>
        <v>1.7909862871948852E-2</v>
      </c>
      <c r="W60" s="179">
        <f t="shared" si="59"/>
        <v>1.9770503142232686E-2</v>
      </c>
      <c r="X60" s="179">
        <f t="shared" si="59"/>
        <v>1.9537300723236752E-2</v>
      </c>
      <c r="Y60" s="179">
        <f t="shared" si="59"/>
        <v>1.9065476640293479E-2</v>
      </c>
      <c r="Z60" s="179">
        <f t="shared" si="59"/>
        <v>1.8514391141465827E-2</v>
      </c>
      <c r="AA60" s="179"/>
      <c r="AB60" s="180"/>
      <c r="AC60" s="180"/>
      <c r="AD60" s="180"/>
      <c r="AE60" s="180"/>
      <c r="AF60" s="180"/>
      <c r="AG60" s="180"/>
      <c r="AH60" s="180"/>
      <c r="AI60" s="180"/>
      <c r="AJ60" s="180"/>
      <c r="AK60" s="180"/>
      <c r="AL60" s="180"/>
      <c r="AM60" s="180"/>
      <c r="AN60" s="180"/>
      <c r="AO60" s="180"/>
      <c r="AP60" s="180"/>
      <c r="AQ60" s="180"/>
      <c r="AR60" s="180"/>
      <c r="AS60" s="180"/>
      <c r="AT60" s="180"/>
      <c r="AU60" s="180"/>
      <c r="AV60" s="180"/>
      <c r="AW60" s="180"/>
      <c r="AX60" s="180"/>
      <c r="AY60" s="180"/>
      <c r="AZ60" s="180"/>
      <c r="BA60" s="180"/>
    </row>
    <row r="61" spans="2:53" s="150" customFormat="1">
      <c r="B61" s="118" t="s">
        <v>752</v>
      </c>
      <c r="D61" s="95"/>
      <c r="E61" s="95"/>
      <c r="F61" s="95"/>
      <c r="G61" s="95"/>
      <c r="H61" s="95"/>
      <c r="I61" s="150" t="str">
        <f t="shared" si="55"/>
        <v/>
      </c>
      <c r="J61" s="229"/>
      <c r="K61" s="229"/>
      <c r="L61" s="229"/>
      <c r="M61" s="229"/>
      <c r="N61" s="229"/>
      <c r="O61" s="229"/>
      <c r="P61" s="915"/>
      <c r="Q61" s="179"/>
      <c r="R61" s="179"/>
      <c r="S61" s="179"/>
      <c r="T61" s="179"/>
      <c r="U61" s="179"/>
      <c r="V61" s="179"/>
      <c r="W61" s="179"/>
      <c r="X61" s="179"/>
      <c r="Y61" s="179"/>
      <c r="Z61" s="179"/>
      <c r="AA61" s="179"/>
      <c r="AB61" s="180"/>
      <c r="AC61" s="180"/>
      <c r="AD61" s="180"/>
      <c r="AE61" s="180"/>
      <c r="AF61" s="180"/>
      <c r="AG61" s="180"/>
      <c r="AH61" s="180"/>
      <c r="AI61" s="180"/>
      <c r="AJ61" s="180"/>
      <c r="AK61" s="180"/>
      <c r="AL61" s="180"/>
      <c r="AM61" s="180"/>
      <c r="AN61" s="180"/>
      <c r="AO61" s="180"/>
      <c r="AP61" s="180"/>
      <c r="AQ61" s="180"/>
      <c r="AR61" s="180"/>
      <c r="AS61" s="180"/>
      <c r="AT61" s="180"/>
      <c r="AU61" s="180"/>
      <c r="AV61" s="180"/>
      <c r="AW61" s="180"/>
      <c r="AX61" s="180"/>
      <c r="AY61" s="180"/>
      <c r="AZ61" s="180"/>
      <c r="BA61" s="180"/>
    </row>
    <row r="62" spans="2:53" s="150" customFormat="1">
      <c r="B62" s="446" t="s">
        <v>753</v>
      </c>
      <c r="D62" s="95"/>
      <c r="E62" s="95"/>
      <c r="F62" s="95"/>
      <c r="G62" s="95"/>
      <c r="H62" s="95"/>
      <c r="I62" s="150" t="str">
        <f t="shared" si="55"/>
        <v/>
      </c>
      <c r="J62" s="916"/>
      <c r="K62" s="916">
        <f>K41/K14</f>
        <v>0.11670344537402869</v>
      </c>
      <c r="L62" s="916">
        <f t="shared" ref="L62:Z62" si="60">L41/L14</f>
        <v>0.18411658760280245</v>
      </c>
      <c r="M62" s="916">
        <f t="shared" si="60"/>
        <v>1.6382617601081722E-3</v>
      </c>
      <c r="N62" s="916">
        <f t="shared" si="60"/>
        <v>4.8085534987355759E-2</v>
      </c>
      <c r="O62" s="916">
        <f t="shared" si="60"/>
        <v>0.12218366970115419</v>
      </c>
      <c r="P62" s="916">
        <f t="shared" si="60"/>
        <v>0.14412162596926237</v>
      </c>
      <c r="Q62" s="916">
        <f t="shared" si="60"/>
        <v>0.17514274907178765</v>
      </c>
      <c r="R62" s="916">
        <f t="shared" si="60"/>
        <v>0.1610451674561495</v>
      </c>
      <c r="S62" s="916">
        <f t="shared" si="60"/>
        <v>0.15811365513934111</v>
      </c>
      <c r="T62" s="916">
        <f t="shared" si="60"/>
        <v>0.10075444572414818</v>
      </c>
      <c r="U62" s="916">
        <f t="shared" si="60"/>
        <v>0.11965930422787772</v>
      </c>
      <c r="V62" s="916">
        <f t="shared" si="60"/>
        <v>0.14797709260904623</v>
      </c>
      <c r="W62" s="916">
        <f t="shared" si="60"/>
        <v>0.16892546824762439</v>
      </c>
      <c r="X62" s="916">
        <f t="shared" si="60"/>
        <v>0.15149001748371982</v>
      </c>
      <c r="Y62" s="916">
        <f t="shared" si="60"/>
        <v>0.13004784717385354</v>
      </c>
      <c r="Z62" s="916">
        <f t="shared" si="60"/>
        <v>0.13558601995890546</v>
      </c>
      <c r="AA62" s="916"/>
      <c r="AB62" s="180"/>
      <c r="AC62" s="180"/>
      <c r="AD62" s="180"/>
      <c r="AE62" s="180"/>
      <c r="AF62" s="180"/>
      <c r="AG62" s="180"/>
      <c r="AH62" s="180"/>
      <c r="AI62" s="180"/>
      <c r="AJ62" s="180"/>
      <c r="AK62" s="180"/>
      <c r="AL62" s="180"/>
      <c r="AM62" s="180"/>
      <c r="AN62" s="180"/>
      <c r="AO62" s="180"/>
      <c r="AP62" s="180"/>
      <c r="AQ62" s="180"/>
      <c r="AR62" s="180"/>
      <c r="AS62" s="180"/>
      <c r="AT62" s="180"/>
      <c r="AU62" s="180"/>
      <c r="AV62" s="180"/>
      <c r="AW62" s="180"/>
      <c r="AX62" s="180"/>
      <c r="AY62" s="180"/>
      <c r="AZ62" s="180"/>
      <c r="BA62" s="180"/>
    </row>
    <row r="63" spans="2:53" s="865" customFormat="1">
      <c r="B63" s="917" t="s">
        <v>756</v>
      </c>
      <c r="C63" s="918"/>
      <c r="D63" s="890"/>
      <c r="E63" s="890"/>
      <c r="F63" s="890"/>
      <c r="G63" s="890"/>
      <c r="H63" s="890"/>
      <c r="I63" s="919"/>
      <c r="J63" s="919"/>
      <c r="K63" s="919"/>
      <c r="L63" s="920"/>
      <c r="M63" s="920"/>
      <c r="N63" s="920"/>
      <c r="O63" s="921"/>
      <c r="P63" s="922"/>
      <c r="Q63" s="923"/>
      <c r="R63" s="923"/>
      <c r="S63" s="923"/>
      <c r="T63" s="923"/>
      <c r="U63" s="923"/>
      <c r="V63" s="923"/>
      <c r="W63" s="923"/>
      <c r="X63" s="923"/>
      <c r="Y63" s="923"/>
      <c r="Z63" s="923"/>
      <c r="AA63" s="923"/>
      <c r="AB63" s="924"/>
      <c r="AC63" s="924"/>
      <c r="AD63" s="924"/>
      <c r="AE63" s="924"/>
      <c r="AF63" s="924"/>
      <c r="AG63" s="924"/>
      <c r="AH63" s="924"/>
      <c r="AI63" s="924"/>
      <c r="AJ63" s="924"/>
      <c r="AK63" s="924"/>
      <c r="AL63" s="924"/>
      <c r="AM63" s="924"/>
      <c r="AN63" s="924"/>
      <c r="AO63" s="924"/>
      <c r="AP63" s="924"/>
      <c r="AQ63" s="924"/>
      <c r="AR63" s="924"/>
      <c r="AS63" s="924"/>
      <c r="AT63" s="924"/>
      <c r="AU63" s="924"/>
      <c r="AV63" s="924"/>
      <c r="AW63" s="924"/>
      <c r="AX63" s="924"/>
      <c r="AY63" s="924"/>
      <c r="AZ63" s="924"/>
      <c r="BA63" s="924"/>
    </row>
    <row r="64" spans="2:53" s="900" customFormat="1">
      <c r="B64" s="895" t="s">
        <v>733</v>
      </c>
      <c r="C64" s="896"/>
      <c r="D64" s="897"/>
      <c r="E64" s="897"/>
      <c r="F64" s="897"/>
      <c r="G64" s="897"/>
      <c r="H64" s="897"/>
      <c r="I64" s="897"/>
      <c r="J64" s="897"/>
      <c r="K64" s="897"/>
      <c r="L64" s="897"/>
      <c r="M64" s="897"/>
      <c r="N64" s="897"/>
      <c r="O64" s="897"/>
      <c r="P64" s="898"/>
      <c r="Q64" s="899"/>
      <c r="R64" s="899"/>
      <c r="S64" s="899"/>
      <c r="T64" s="899"/>
      <c r="U64" s="899"/>
      <c r="V64" s="899"/>
      <c r="W64" s="899"/>
      <c r="X64" s="899"/>
      <c r="Y64" s="899"/>
      <c r="Z64" s="899"/>
      <c r="AA64" s="899"/>
      <c r="AB64" s="899"/>
      <c r="AC64" s="899"/>
      <c r="AD64" s="899"/>
      <c r="AE64" s="899"/>
      <c r="AF64" s="899"/>
      <c r="AG64" s="899"/>
      <c r="AH64" s="899"/>
      <c r="AI64" s="899"/>
      <c r="AJ64" s="899"/>
      <c r="AK64" s="899"/>
      <c r="AL64" s="899"/>
      <c r="AM64" s="899"/>
      <c r="AN64" s="899"/>
      <c r="AO64" s="899"/>
      <c r="AP64" s="899"/>
      <c r="AQ64" s="899"/>
      <c r="AR64" s="899"/>
      <c r="AS64" s="899"/>
      <c r="AT64" s="899"/>
      <c r="AU64" s="899"/>
      <c r="AV64" s="899"/>
      <c r="AW64" s="899"/>
      <c r="AX64" s="899"/>
      <c r="AY64" s="899"/>
      <c r="AZ64" s="899"/>
      <c r="BA64" s="899"/>
    </row>
    <row r="65" spans="2:53">
      <c r="P65" s="909"/>
      <c r="S65" s="675"/>
      <c r="T65" s="675"/>
      <c r="U65" s="675"/>
      <c r="V65" s="675"/>
      <c r="W65" s="675"/>
      <c r="X65" s="675"/>
      <c r="Y65" s="675"/>
      <c r="Z65" s="675"/>
      <c r="AA65" s="675"/>
      <c r="AB65" s="675"/>
      <c r="AC65" s="675"/>
      <c r="AD65" s="675"/>
      <c r="AE65" s="675"/>
      <c r="AF65" s="675"/>
      <c r="AG65" s="675"/>
      <c r="AH65" s="675"/>
      <c r="AI65" s="675"/>
      <c r="AJ65" s="675"/>
      <c r="AK65" s="675"/>
      <c r="AL65" s="675"/>
      <c r="AM65" s="675"/>
      <c r="AN65" s="675"/>
      <c r="AO65" s="675"/>
      <c r="AP65" s="675"/>
      <c r="AQ65" s="675"/>
      <c r="AR65" s="675"/>
      <c r="AS65" s="675"/>
      <c r="AT65" s="675"/>
      <c r="AU65" s="675"/>
      <c r="AV65" s="675"/>
      <c r="AW65" s="675"/>
      <c r="AX65" s="675"/>
      <c r="AY65" s="675"/>
      <c r="AZ65" s="675"/>
      <c r="BA65" s="675"/>
    </row>
    <row r="66" spans="2:53">
      <c r="P66" s="909"/>
      <c r="S66" s="675"/>
      <c r="T66" s="675"/>
      <c r="U66" s="675"/>
      <c r="V66" s="675"/>
      <c r="W66" s="675"/>
      <c r="X66" s="675"/>
      <c r="Y66" s="675"/>
      <c r="Z66" s="675"/>
      <c r="AA66" s="675"/>
      <c r="AB66" s="675"/>
      <c r="AC66" s="675"/>
      <c r="AD66" s="675"/>
      <c r="AE66" s="675"/>
      <c r="AF66" s="675"/>
      <c r="AG66" s="675"/>
      <c r="AH66" s="675"/>
      <c r="AI66" s="675"/>
      <c r="AJ66" s="675"/>
      <c r="AK66" s="675"/>
      <c r="AL66" s="675"/>
      <c r="AM66" s="675"/>
      <c r="AN66" s="675"/>
      <c r="AO66" s="675"/>
      <c r="AP66" s="675"/>
      <c r="AQ66" s="675"/>
      <c r="AR66" s="675"/>
      <c r="AS66" s="675"/>
      <c r="AT66" s="675"/>
      <c r="AU66" s="675"/>
      <c r="AV66" s="675"/>
      <c r="AW66" s="675"/>
      <c r="AX66" s="675"/>
      <c r="AY66" s="675"/>
      <c r="AZ66" s="675"/>
      <c r="BA66" s="675"/>
    </row>
    <row r="67" spans="2:53">
      <c r="P67" s="909"/>
      <c r="S67" s="675"/>
      <c r="T67" s="675"/>
      <c r="U67" s="675"/>
      <c r="V67" s="675"/>
      <c r="W67" s="675"/>
      <c r="X67" s="675"/>
      <c r="Y67" s="675"/>
      <c r="Z67" s="675"/>
      <c r="AA67" s="675"/>
      <c r="AB67" s="675"/>
      <c r="AC67" s="675"/>
      <c r="AD67" s="675"/>
      <c r="AE67" s="675"/>
      <c r="AF67" s="675"/>
      <c r="AG67" s="675"/>
      <c r="AH67" s="675"/>
      <c r="AI67" s="675"/>
      <c r="AJ67" s="675"/>
      <c r="AK67" s="675"/>
      <c r="AL67" s="675"/>
      <c r="AM67" s="675"/>
      <c r="AN67" s="675"/>
      <c r="AO67" s="675"/>
      <c r="AP67" s="675"/>
      <c r="AQ67" s="675"/>
      <c r="AR67" s="675"/>
      <c r="AS67" s="675"/>
      <c r="AT67" s="675"/>
      <c r="AU67" s="675"/>
      <c r="AV67" s="675"/>
      <c r="AW67" s="675"/>
      <c r="AX67" s="675"/>
      <c r="AY67" s="675"/>
      <c r="AZ67" s="675"/>
      <c r="BA67" s="675"/>
    </row>
    <row r="68" spans="2:53" s="851" customFormat="1" ht="15.75" customHeight="1">
      <c r="B68" s="848" t="s">
        <v>757</v>
      </c>
      <c r="C68" s="849"/>
      <c r="D68" s="849"/>
      <c r="E68" s="849"/>
      <c r="F68" s="849"/>
      <c r="G68" s="849"/>
      <c r="H68" s="849"/>
      <c r="I68" s="849"/>
      <c r="J68" s="849"/>
      <c r="K68" s="849"/>
      <c r="L68" s="849"/>
      <c r="M68" s="849"/>
      <c r="N68" s="849"/>
      <c r="O68" s="849"/>
      <c r="P68" s="850"/>
      <c r="Q68" s="849"/>
      <c r="R68" s="849"/>
      <c r="S68" s="849"/>
      <c r="T68" s="849"/>
      <c r="U68" s="849"/>
      <c r="V68" s="849"/>
      <c r="W68" s="849"/>
      <c r="X68" s="849"/>
      <c r="Y68" s="849"/>
      <c r="Z68" s="849"/>
      <c r="AA68" s="849"/>
      <c r="AB68" s="849"/>
      <c r="AC68" s="849"/>
      <c r="AD68" s="849"/>
      <c r="AE68" s="849"/>
      <c r="AF68" s="849"/>
      <c r="AG68" s="849"/>
      <c r="AH68" s="849"/>
      <c r="AI68" s="849"/>
      <c r="AJ68" s="849"/>
      <c r="AK68" s="849"/>
      <c r="AL68" s="849"/>
      <c r="AM68" s="849"/>
      <c r="AN68" s="849"/>
      <c r="AO68" s="849"/>
      <c r="AP68" s="849"/>
      <c r="AQ68" s="849"/>
      <c r="AR68" s="849"/>
      <c r="AS68" s="849"/>
      <c r="AT68" s="849"/>
      <c r="AU68" s="849"/>
      <c r="AV68" s="849"/>
      <c r="AW68" s="849"/>
      <c r="AX68" s="849"/>
      <c r="AY68" s="849"/>
      <c r="AZ68" s="849"/>
      <c r="BA68" s="849"/>
    </row>
    <row r="69" spans="2:53">
      <c r="M69" s="539"/>
      <c r="N69" s="539"/>
      <c r="O69" s="539"/>
      <c r="P69" s="634"/>
      <c r="Q69" s="539"/>
      <c r="R69" s="539"/>
    </row>
    <row r="70" spans="2:53" s="18" customFormat="1" ht="18" customHeight="1">
      <c r="B70" s="873" t="s">
        <v>758</v>
      </c>
      <c r="D70" s="88"/>
      <c r="E70" s="88"/>
      <c r="F70" s="88"/>
      <c r="G70" s="88"/>
      <c r="H70" s="88"/>
      <c r="I70" s="88"/>
      <c r="J70" s="874"/>
      <c r="K70" s="874">
        <f>K8-K29</f>
        <v>959.19219685000007</v>
      </c>
      <c r="L70" s="874">
        <f t="shared" ref="L70:Z70" si="61">L8-L29</f>
        <v>1316.8477998890003</v>
      </c>
      <c r="M70" s="874">
        <f t="shared" si="61"/>
        <v>2780.936924312</v>
      </c>
      <c r="N70" s="874">
        <f t="shared" si="61"/>
        <v>5703.4294421680006</v>
      </c>
      <c r="O70" s="874">
        <f t="shared" si="61"/>
        <v>2031.7996818600004</v>
      </c>
      <c r="P70" s="875">
        <f t="shared" si="61"/>
        <v>2487.1342556090003</v>
      </c>
      <c r="Q70" s="982">
        <f t="shared" si="61"/>
        <v>3818.7207763795286</v>
      </c>
      <c r="R70" s="982">
        <f t="shared" si="61"/>
        <v>4206.1568578604601</v>
      </c>
      <c r="S70" s="982">
        <f t="shared" si="61"/>
        <v>4658.0367207713407</v>
      </c>
      <c r="T70" s="982">
        <f t="shared" si="61"/>
        <v>6832.4010227382623</v>
      </c>
      <c r="U70" s="982">
        <f t="shared" si="61"/>
        <v>5945.2918376969246</v>
      </c>
      <c r="V70" s="982">
        <f t="shared" si="61"/>
        <v>5095.8900896715204</v>
      </c>
      <c r="W70" s="982">
        <f t="shared" si="61"/>
        <v>5012.8666988822715</v>
      </c>
      <c r="X70" s="982">
        <f t="shared" si="61"/>
        <v>5409.6978198100751</v>
      </c>
      <c r="Y70" s="982">
        <f t="shared" si="61"/>
        <v>6107.0046311751612</v>
      </c>
      <c r="Z70" s="982">
        <f t="shared" si="61"/>
        <v>6028.8850927134263</v>
      </c>
      <c r="AA70" s="876"/>
      <c r="AB70" s="877"/>
      <c r="AC70" s="877"/>
      <c r="AD70" s="877"/>
      <c r="AE70" s="877"/>
      <c r="AF70" s="877"/>
      <c r="AG70" s="877"/>
      <c r="AH70" s="877"/>
      <c r="AI70" s="877"/>
      <c r="AJ70" s="877"/>
      <c r="AK70" s="877"/>
      <c r="AL70" s="877"/>
      <c r="AM70" s="877"/>
      <c r="AN70" s="877"/>
      <c r="AO70" s="877"/>
      <c r="AP70" s="877"/>
      <c r="AQ70" s="877"/>
      <c r="AR70" s="877"/>
      <c r="AS70" s="877"/>
      <c r="AT70" s="877"/>
      <c r="AU70" s="877"/>
      <c r="AV70" s="877"/>
      <c r="AW70" s="877"/>
      <c r="AX70" s="877"/>
      <c r="AY70" s="877"/>
      <c r="AZ70" s="877"/>
      <c r="BA70" s="877"/>
    </row>
    <row r="71" spans="2:53" s="5" customFormat="1">
      <c r="B71" s="5" t="s">
        <v>382</v>
      </c>
      <c r="D71" s="150"/>
      <c r="E71" s="150"/>
      <c r="F71" s="150"/>
      <c r="G71" s="150"/>
      <c r="H71" s="150"/>
      <c r="I71" s="150" t="str">
        <f t="shared" ref="I71" si="62">IFERROR(I70/H70-1," ")</f>
        <v xml:space="preserve"> </v>
      </c>
      <c r="J71" s="229"/>
      <c r="K71" s="1002"/>
      <c r="L71" s="1002">
        <f>L70/K70-1</f>
        <v>0.37287167703568258</v>
      </c>
      <c r="M71" s="1002">
        <f t="shared" ref="M71:Z71" si="63">M70/L70-1</f>
        <v>1.1118134719490063</v>
      </c>
      <c r="N71" s="1002">
        <f t="shared" si="63"/>
        <v>1.0509021230602063</v>
      </c>
      <c r="O71" s="1002">
        <f t="shared" si="63"/>
        <v>-0.64375825063460979</v>
      </c>
      <c r="P71" s="2467">
        <f t="shared" si="63"/>
        <v>0.22410406784401404</v>
      </c>
      <c r="Q71" s="2455">
        <f t="shared" si="63"/>
        <v>0.53538988406738652</v>
      </c>
      <c r="R71" s="2455">
        <f t="shared" si="63"/>
        <v>0.1014570334331315</v>
      </c>
      <c r="S71" s="2455">
        <f t="shared" si="63"/>
        <v>0.10743295558899768</v>
      </c>
      <c r="T71" s="2455">
        <f t="shared" si="63"/>
        <v>0.46679844584970565</v>
      </c>
      <c r="U71" s="2455">
        <f t="shared" si="63"/>
        <v>-0.12983857096341889</v>
      </c>
      <c r="V71" s="2455">
        <f t="shared" si="63"/>
        <v>-0.14286964731313234</v>
      </c>
      <c r="W71" s="2455">
        <f t="shared" si="63"/>
        <v>-1.6292225563797502E-2</v>
      </c>
      <c r="X71" s="2455">
        <f t="shared" si="63"/>
        <v>7.9162512144255848E-2</v>
      </c>
      <c r="Y71" s="2455">
        <f t="shared" si="63"/>
        <v>0.12889940151769275</v>
      </c>
      <c r="Z71" s="2455">
        <f t="shared" si="63"/>
        <v>-1.2791792896790777E-2</v>
      </c>
      <c r="AA71" s="1003"/>
      <c r="AB71" s="180"/>
      <c r="AC71" s="180"/>
      <c r="AD71" s="180"/>
      <c r="AE71" s="180"/>
      <c r="AF71" s="180"/>
      <c r="AG71" s="180"/>
      <c r="AH71" s="180"/>
      <c r="AI71" s="180"/>
      <c r="AJ71" s="180"/>
      <c r="AK71" s="180"/>
      <c r="AL71" s="180"/>
      <c r="AM71" s="180"/>
      <c r="AN71" s="180"/>
      <c r="AO71" s="180"/>
      <c r="AP71" s="180"/>
      <c r="AQ71" s="180"/>
      <c r="AR71" s="180"/>
      <c r="AS71" s="180"/>
      <c r="AT71" s="180"/>
      <c r="AU71" s="180"/>
      <c r="AV71" s="180"/>
      <c r="AW71" s="180"/>
      <c r="AX71" s="180"/>
      <c r="AY71" s="180"/>
      <c r="AZ71" s="180"/>
      <c r="BA71" s="180"/>
    </row>
    <row r="72" spans="2:53" s="150" customFormat="1">
      <c r="B72" s="118" t="s">
        <v>1438</v>
      </c>
      <c r="D72" s="883"/>
      <c r="E72" s="883"/>
      <c r="F72" s="883"/>
      <c r="G72" s="883"/>
      <c r="H72" s="925"/>
      <c r="I72" s="925"/>
      <c r="J72" s="926"/>
      <c r="K72" s="926">
        <f>K9-K30</f>
        <v>739.05270989663404</v>
      </c>
      <c r="L72" s="926">
        <f t="shared" ref="L72:Z72" si="64">L9-L30</f>
        <v>1082.3253572089488</v>
      </c>
      <c r="M72" s="926">
        <f t="shared" si="64"/>
        <v>2336.7207312452547</v>
      </c>
      <c r="N72" s="926">
        <f t="shared" si="64"/>
        <v>5402.7500717253561</v>
      </c>
      <c r="O72" s="926">
        <f t="shared" si="64"/>
        <v>1634.7341183240187</v>
      </c>
      <c r="P72" s="2468">
        <f t="shared" si="64"/>
        <v>1933.7632447237274</v>
      </c>
      <c r="Q72" s="2456">
        <f t="shared" si="64"/>
        <v>2720.141896423248</v>
      </c>
      <c r="R72" s="2456">
        <f t="shared" si="64"/>
        <v>3107.0497967310102</v>
      </c>
      <c r="S72" s="2456">
        <f t="shared" si="64"/>
        <v>3179.9489319060849</v>
      </c>
      <c r="T72" s="2456">
        <f t="shared" si="64"/>
        <v>4350.6039018792944</v>
      </c>
      <c r="U72" s="2456">
        <f t="shared" si="64"/>
        <v>3661.7563409146787</v>
      </c>
      <c r="V72" s="2456">
        <f t="shared" si="64"/>
        <v>3190.1870333249726</v>
      </c>
      <c r="W72" s="2456">
        <f t="shared" si="64"/>
        <v>3029.94384553906</v>
      </c>
      <c r="X72" s="2456">
        <f t="shared" si="64"/>
        <v>3168.6257862938546</v>
      </c>
      <c r="Y72" s="2456">
        <f t="shared" si="64"/>
        <v>3523.9669747992193</v>
      </c>
      <c r="Z72" s="2456">
        <f t="shared" si="64"/>
        <v>3087.7715971601456</v>
      </c>
      <c r="AA72" s="927"/>
      <c r="AB72" s="928"/>
      <c r="AC72" s="928"/>
      <c r="AD72" s="928"/>
      <c r="AE72" s="928"/>
      <c r="AF72" s="928"/>
      <c r="AG72" s="928"/>
      <c r="AH72" s="928"/>
      <c r="AI72" s="928"/>
      <c r="AJ72" s="928"/>
      <c r="AK72" s="928"/>
      <c r="AL72" s="928"/>
      <c r="AM72" s="928"/>
      <c r="AN72" s="928"/>
      <c r="AO72" s="928"/>
      <c r="AP72" s="928"/>
      <c r="AQ72" s="928"/>
      <c r="AR72" s="928"/>
      <c r="AS72" s="928"/>
      <c r="AT72" s="928"/>
      <c r="AU72" s="928"/>
      <c r="AV72" s="928"/>
      <c r="AW72" s="928"/>
      <c r="AX72" s="928"/>
      <c r="AY72" s="928"/>
      <c r="AZ72" s="928"/>
      <c r="BA72" s="928"/>
    </row>
    <row r="73" spans="2:53" s="150" customFormat="1">
      <c r="B73" s="118" t="s">
        <v>1439</v>
      </c>
      <c r="D73" s="883"/>
      <c r="E73" s="883"/>
      <c r="F73" s="883"/>
      <c r="G73" s="883"/>
      <c r="H73" s="925"/>
      <c r="I73" s="925"/>
      <c r="J73" s="926"/>
      <c r="K73" s="926">
        <f>K10-K31</f>
        <v>0</v>
      </c>
      <c r="L73" s="926">
        <f t="shared" ref="L73:Z73" si="65">L10-L31</f>
        <v>0</v>
      </c>
      <c r="M73" s="926">
        <f t="shared" si="65"/>
        <v>-1.6346573409999792</v>
      </c>
      <c r="N73" s="926">
        <f t="shared" si="65"/>
        <v>61.32158246500012</v>
      </c>
      <c r="O73" s="926">
        <f t="shared" si="65"/>
        <v>216.80556301999991</v>
      </c>
      <c r="P73" s="2468">
        <f t="shared" si="65"/>
        <v>196.97897393909261</v>
      </c>
      <c r="Q73" s="2456">
        <f t="shared" si="65"/>
        <v>639.05646246121569</v>
      </c>
      <c r="R73" s="2456">
        <f t="shared" si="65"/>
        <v>637.9410436668627</v>
      </c>
      <c r="S73" s="2456">
        <f t="shared" si="65"/>
        <v>1029.5903019801626</v>
      </c>
      <c r="T73" s="2456">
        <f t="shared" si="65"/>
        <v>2050.9797391358588</v>
      </c>
      <c r="U73" s="2456">
        <f t="shared" si="65"/>
        <v>1872.9281522974125</v>
      </c>
      <c r="V73" s="2456">
        <f t="shared" si="65"/>
        <v>1520.6689661355404</v>
      </c>
      <c r="W73" s="2456">
        <f t="shared" si="65"/>
        <v>1570.7728410280197</v>
      </c>
      <c r="X73" s="2456">
        <f t="shared" si="65"/>
        <v>1778.171037110802</v>
      </c>
      <c r="Y73" s="2456">
        <f t="shared" si="65"/>
        <v>2040.0662013193187</v>
      </c>
      <c r="Z73" s="2456">
        <f t="shared" si="65"/>
        <v>2353.7832291147979</v>
      </c>
      <c r="AA73" s="927"/>
      <c r="AB73" s="928"/>
      <c r="AC73" s="928"/>
      <c r="AD73" s="928"/>
      <c r="AE73" s="928"/>
      <c r="AF73" s="928"/>
      <c r="AG73" s="928"/>
      <c r="AH73" s="928"/>
      <c r="AI73" s="928"/>
      <c r="AJ73" s="928"/>
      <c r="AK73" s="928"/>
      <c r="AL73" s="928"/>
      <c r="AM73" s="928"/>
      <c r="AN73" s="928"/>
      <c r="AO73" s="928"/>
      <c r="AP73" s="928"/>
      <c r="AQ73" s="928"/>
      <c r="AR73" s="928"/>
      <c r="AS73" s="928"/>
      <c r="AT73" s="928"/>
      <c r="AU73" s="928"/>
      <c r="AV73" s="928"/>
      <c r="AW73" s="928"/>
      <c r="AX73" s="928"/>
      <c r="AY73" s="928"/>
      <c r="AZ73" s="928"/>
      <c r="BA73" s="928"/>
    </row>
    <row r="74" spans="2:53" s="150" customFormat="1">
      <c r="B74" s="118" t="s">
        <v>1440</v>
      </c>
      <c r="D74" s="883"/>
      <c r="E74" s="883"/>
      <c r="F74" s="883"/>
      <c r="G74" s="883"/>
      <c r="H74" s="925"/>
      <c r="I74" s="925"/>
      <c r="J74" s="926"/>
      <c r="K74" s="926">
        <f>K11-K32</f>
        <v>-10.680314135000003</v>
      </c>
      <c r="L74" s="926">
        <f t="shared" ref="L74:Z74" si="66">L11-L32</f>
        <v>0</v>
      </c>
      <c r="M74" s="926">
        <f t="shared" si="66"/>
        <v>10.548699273</v>
      </c>
      <c r="N74" s="926">
        <f t="shared" si="66"/>
        <v>39.405144525482477</v>
      </c>
      <c r="O74" s="926">
        <f t="shared" si="66"/>
        <v>15.843305530864086</v>
      </c>
      <c r="P74" s="2468">
        <f t="shared" si="66"/>
        <v>19.093214357708</v>
      </c>
      <c r="Q74" s="2456">
        <f t="shared" si="66"/>
        <v>18.280737150997023</v>
      </c>
      <c r="R74" s="2456">
        <f t="shared" si="66"/>
        <v>17.915122407977083</v>
      </c>
      <c r="S74" s="2456">
        <f t="shared" si="66"/>
        <v>17.556819959817542</v>
      </c>
      <c r="T74" s="2456">
        <f t="shared" si="66"/>
        <v>17.205683560621189</v>
      </c>
      <c r="U74" s="2456">
        <f t="shared" si="66"/>
        <v>16.861569889408766</v>
      </c>
      <c r="V74" s="2456">
        <f t="shared" si="66"/>
        <v>16.52433849162059</v>
      </c>
      <c r="W74" s="2456">
        <f t="shared" si="66"/>
        <v>16.359095106704384</v>
      </c>
      <c r="X74" s="2456">
        <f t="shared" si="66"/>
        <v>16.195504155637337</v>
      </c>
      <c r="Y74" s="2456">
        <f t="shared" si="66"/>
        <v>16.033549114080966</v>
      </c>
      <c r="Z74" s="2456">
        <f t="shared" si="66"/>
        <v>15.873213622940156</v>
      </c>
      <c r="AA74" s="927"/>
      <c r="AB74" s="928"/>
      <c r="AC74" s="928"/>
      <c r="AD74" s="928"/>
      <c r="AE74" s="928"/>
      <c r="AF74" s="928"/>
      <c r="AG74" s="928"/>
      <c r="AH74" s="928"/>
      <c r="AI74" s="928"/>
      <c r="AJ74" s="928"/>
      <c r="AK74" s="928"/>
      <c r="AL74" s="928"/>
      <c r="AM74" s="928"/>
      <c r="AN74" s="928"/>
      <c r="AO74" s="928"/>
      <c r="AP74" s="928"/>
      <c r="AQ74" s="928"/>
      <c r="AR74" s="928"/>
      <c r="AS74" s="928"/>
      <c r="AT74" s="928"/>
      <c r="AU74" s="928"/>
      <c r="AV74" s="928"/>
      <c r="AW74" s="928"/>
      <c r="AX74" s="928"/>
      <c r="AY74" s="928"/>
      <c r="AZ74" s="928"/>
      <c r="BA74" s="928"/>
    </row>
    <row r="75" spans="2:53" s="150" customFormat="1">
      <c r="B75" s="118" t="s">
        <v>1441</v>
      </c>
      <c r="D75" s="883"/>
      <c r="E75" s="883"/>
      <c r="F75" s="883"/>
      <c r="G75" s="883"/>
      <c r="H75" s="925"/>
      <c r="I75" s="925"/>
      <c r="J75" s="926"/>
      <c r="K75" s="926">
        <f>K12-K33</f>
        <v>126.54970183199998</v>
      </c>
      <c r="L75" s="926">
        <f t="shared" ref="L75:Z75" si="67">L12-L33</f>
        <v>98.579528029999892</v>
      </c>
      <c r="M75" s="926">
        <f t="shared" si="67"/>
        <v>154.17852913499996</v>
      </c>
      <c r="N75" s="926">
        <f t="shared" si="67"/>
        <v>96.689020954000171</v>
      </c>
      <c r="O75" s="926">
        <f t="shared" si="67"/>
        <v>143.61367536399985</v>
      </c>
      <c r="P75" s="2468">
        <f t="shared" si="67"/>
        <v>150.36003925500017</v>
      </c>
      <c r="Q75" s="2456">
        <f t="shared" si="67"/>
        <v>220.88856060562603</v>
      </c>
      <c r="R75" s="2456">
        <f t="shared" si="67"/>
        <v>194.82058706019916</v>
      </c>
      <c r="S75" s="2456">
        <f t="shared" si="67"/>
        <v>166.68298027988931</v>
      </c>
      <c r="T75" s="2456">
        <f t="shared" si="67"/>
        <v>140.93614474848073</v>
      </c>
      <c r="U75" s="2456">
        <f t="shared" si="67"/>
        <v>116.72721320909568</v>
      </c>
      <c r="V75" s="2456">
        <f t="shared" si="67"/>
        <v>89.285099971235013</v>
      </c>
      <c r="W75" s="2456">
        <f t="shared" si="67"/>
        <v>76.413675868679547</v>
      </c>
      <c r="X75" s="2456">
        <f t="shared" si="67"/>
        <v>67.412886742872843</v>
      </c>
      <c r="Y75" s="2456">
        <f t="shared" si="67"/>
        <v>59.876646478671319</v>
      </c>
      <c r="Z75" s="2456">
        <f t="shared" si="67"/>
        <v>48.602816643123219</v>
      </c>
      <c r="AA75" s="927"/>
      <c r="AB75" s="928"/>
      <c r="AC75" s="928"/>
      <c r="AD75" s="928"/>
      <c r="AE75" s="928"/>
      <c r="AF75" s="928"/>
      <c r="AG75" s="928"/>
      <c r="AH75" s="928"/>
      <c r="AI75" s="928"/>
      <c r="AJ75" s="928"/>
      <c r="AK75" s="928"/>
      <c r="AL75" s="928"/>
      <c r="AM75" s="928"/>
      <c r="AN75" s="928"/>
      <c r="AO75" s="928"/>
      <c r="AP75" s="928"/>
      <c r="AQ75" s="928"/>
      <c r="AR75" s="928"/>
      <c r="AS75" s="928"/>
      <c r="AT75" s="928"/>
      <c r="AU75" s="928"/>
      <c r="AV75" s="928"/>
      <c r="AW75" s="928"/>
      <c r="AX75" s="928"/>
      <c r="AY75" s="928"/>
      <c r="AZ75" s="928"/>
      <c r="BA75" s="928"/>
    </row>
    <row r="76" spans="2:53" s="150" customFormat="1">
      <c r="B76" s="118" t="s">
        <v>1442</v>
      </c>
      <c r="D76" s="883"/>
      <c r="E76" s="883"/>
      <c r="F76" s="883"/>
      <c r="G76" s="883"/>
      <c r="H76" s="925"/>
      <c r="I76" s="925"/>
      <c r="J76" s="926"/>
      <c r="K76" s="926">
        <f>K13-K34</f>
        <v>104.27009925636605</v>
      </c>
      <c r="L76" s="926">
        <f t="shared" ref="L76:Z76" si="68">L13-L34</f>
        <v>135.94291465005153</v>
      </c>
      <c r="M76" s="926">
        <f t="shared" si="68"/>
        <v>281.12362199974524</v>
      </c>
      <c r="N76" s="926">
        <f t="shared" si="68"/>
        <v>103.26362249816179</v>
      </c>
      <c r="O76" s="926">
        <f t="shared" si="68"/>
        <v>20.80301962111821</v>
      </c>
      <c r="P76" s="2468">
        <f t="shared" si="68"/>
        <v>186.93878333347016</v>
      </c>
      <c r="Q76" s="2456">
        <f t="shared" si="68"/>
        <v>220.35311973844136</v>
      </c>
      <c r="R76" s="2456">
        <f t="shared" si="68"/>
        <v>248.43030799441249</v>
      </c>
      <c r="S76" s="2456">
        <f t="shared" si="68"/>
        <v>264.25768664538771</v>
      </c>
      <c r="T76" s="2456">
        <f t="shared" si="68"/>
        <v>272.67555341400555</v>
      </c>
      <c r="U76" s="2456">
        <f t="shared" si="68"/>
        <v>277.0185613863307</v>
      </c>
      <c r="V76" s="2456">
        <f t="shared" si="68"/>
        <v>279.22465174815397</v>
      </c>
      <c r="W76" s="2456">
        <f t="shared" si="68"/>
        <v>319.3772413398051</v>
      </c>
      <c r="X76" s="2456">
        <f t="shared" si="68"/>
        <v>379.29260550690594</v>
      </c>
      <c r="Y76" s="2456">
        <f t="shared" si="68"/>
        <v>467.06125946386976</v>
      </c>
      <c r="Z76" s="2456">
        <f t="shared" si="68"/>
        <v>522.85423617241963</v>
      </c>
      <c r="AA76" s="927"/>
      <c r="AB76" s="928"/>
      <c r="AC76" s="928"/>
      <c r="AD76" s="928"/>
      <c r="AE76" s="928"/>
      <c r="AF76" s="928"/>
      <c r="AG76" s="928"/>
      <c r="AH76" s="928"/>
      <c r="AI76" s="928"/>
      <c r="AJ76" s="928"/>
      <c r="AK76" s="928"/>
      <c r="AL76" s="928"/>
      <c r="AM76" s="928"/>
      <c r="AN76" s="928"/>
      <c r="AO76" s="928"/>
      <c r="AP76" s="928"/>
      <c r="AQ76" s="928"/>
      <c r="AR76" s="928"/>
      <c r="AS76" s="928"/>
      <c r="AT76" s="928"/>
      <c r="AU76" s="928"/>
      <c r="AV76" s="928"/>
      <c r="AW76" s="928"/>
      <c r="AX76" s="928"/>
      <c r="AY76" s="928"/>
      <c r="AZ76" s="928"/>
      <c r="BA76" s="928"/>
    </row>
    <row r="77" spans="2:53" s="865" customFormat="1" ht="16.5" customHeight="1">
      <c r="B77" s="929" t="s">
        <v>759</v>
      </c>
      <c r="C77" s="889"/>
      <c r="D77" s="890"/>
      <c r="E77" s="890"/>
      <c r="F77" s="890"/>
      <c r="G77" s="890"/>
      <c r="H77" s="890"/>
      <c r="I77" s="890"/>
      <c r="J77" s="891"/>
      <c r="K77" s="891">
        <f>SUM(K72:K76)</f>
        <v>959.19219685000007</v>
      </c>
      <c r="L77" s="891">
        <f t="shared" ref="L77:Z77" si="69">SUM(L72:L76)</f>
        <v>1316.8477998890003</v>
      </c>
      <c r="M77" s="891">
        <f t="shared" si="69"/>
        <v>2780.936924312</v>
      </c>
      <c r="N77" s="891">
        <f t="shared" si="69"/>
        <v>5703.4294421680006</v>
      </c>
      <c r="O77" s="891">
        <f t="shared" si="69"/>
        <v>2031.7996818600006</v>
      </c>
      <c r="P77" s="892">
        <f t="shared" si="69"/>
        <v>2487.1342556089985</v>
      </c>
      <c r="Q77" s="986">
        <f t="shared" si="69"/>
        <v>3818.7207763795282</v>
      </c>
      <c r="R77" s="986">
        <f t="shared" si="69"/>
        <v>4206.156857860462</v>
      </c>
      <c r="S77" s="986">
        <f t="shared" si="69"/>
        <v>4658.0367207713416</v>
      </c>
      <c r="T77" s="986">
        <f t="shared" si="69"/>
        <v>6832.4010227382605</v>
      </c>
      <c r="U77" s="986">
        <f t="shared" si="69"/>
        <v>5945.2918376969265</v>
      </c>
      <c r="V77" s="986">
        <f t="shared" si="69"/>
        <v>5095.8900896715222</v>
      </c>
      <c r="W77" s="986">
        <f t="shared" si="69"/>
        <v>5012.8666988822697</v>
      </c>
      <c r="X77" s="986">
        <f t="shared" si="69"/>
        <v>5409.6978198100724</v>
      </c>
      <c r="Y77" s="986">
        <f t="shared" si="69"/>
        <v>6107.0046311751603</v>
      </c>
      <c r="Z77" s="986">
        <f t="shared" si="69"/>
        <v>6028.8850927134263</v>
      </c>
      <c r="AA77" s="893"/>
      <c r="AB77" s="894"/>
      <c r="AC77" s="894"/>
      <c r="AD77" s="894"/>
      <c r="AE77" s="894"/>
      <c r="AF77" s="894"/>
      <c r="AG77" s="894"/>
      <c r="AH77" s="894"/>
      <c r="AI77" s="894"/>
      <c r="AJ77" s="894"/>
      <c r="AK77" s="894"/>
      <c r="AL77" s="894"/>
      <c r="AM77" s="894"/>
      <c r="AN77" s="894"/>
      <c r="AO77" s="894"/>
      <c r="AP77" s="894"/>
      <c r="AQ77" s="894"/>
      <c r="AR77" s="894"/>
      <c r="AS77" s="894"/>
      <c r="AT77" s="894"/>
      <c r="AU77" s="894"/>
      <c r="AV77" s="894"/>
      <c r="AW77" s="894"/>
      <c r="AX77" s="894"/>
      <c r="AY77" s="894"/>
      <c r="AZ77" s="894"/>
      <c r="BA77" s="894"/>
    </row>
    <row r="78" spans="2:53" s="196" customFormat="1">
      <c r="B78" s="930" t="s">
        <v>382</v>
      </c>
      <c r="D78" s="897"/>
      <c r="E78" s="897"/>
      <c r="F78" s="897"/>
      <c r="G78" s="897"/>
      <c r="H78" s="897"/>
      <c r="I78" s="897"/>
      <c r="J78" s="897"/>
      <c r="K78" s="897"/>
      <c r="L78" s="897"/>
      <c r="M78" s="897"/>
      <c r="N78" s="897"/>
      <c r="O78" s="897"/>
      <c r="P78" s="898"/>
      <c r="Q78" s="899"/>
      <c r="R78" s="899"/>
      <c r="S78" s="899"/>
      <c r="T78" s="899"/>
      <c r="U78" s="899"/>
      <c r="V78" s="899"/>
      <c r="W78" s="899"/>
      <c r="X78" s="899"/>
      <c r="Y78" s="899"/>
      <c r="Z78" s="899"/>
      <c r="AA78" s="899"/>
      <c r="AB78" s="899"/>
      <c r="AC78" s="899"/>
      <c r="AD78" s="899"/>
      <c r="AE78" s="899"/>
      <c r="AF78" s="899"/>
      <c r="AG78" s="899"/>
      <c r="AH78" s="899"/>
      <c r="AI78" s="899"/>
      <c r="AJ78" s="899"/>
      <c r="AK78" s="899"/>
      <c r="AL78" s="899"/>
      <c r="AM78" s="899"/>
      <c r="AN78" s="899"/>
      <c r="AO78" s="899"/>
      <c r="AP78" s="899"/>
      <c r="AQ78" s="899"/>
      <c r="AR78" s="899"/>
      <c r="AS78" s="899"/>
      <c r="AT78" s="899"/>
      <c r="AU78" s="899"/>
      <c r="AV78" s="899"/>
      <c r="AW78" s="899"/>
      <c r="AX78" s="899"/>
      <c r="AY78" s="899"/>
      <c r="AZ78" s="899"/>
      <c r="BA78" s="899"/>
    </row>
    <row r="79" spans="2:53">
      <c r="P79" s="909"/>
      <c r="Q79" s="1001"/>
      <c r="R79" s="1001"/>
      <c r="S79" s="1001"/>
      <c r="T79" s="1001"/>
      <c r="U79" s="1001"/>
      <c r="V79" s="1001"/>
      <c r="W79" s="1001"/>
      <c r="X79" s="1001"/>
      <c r="Y79" s="1001"/>
      <c r="Z79" s="1001"/>
      <c r="AA79" s="1001"/>
      <c r="AB79" s="1001"/>
      <c r="AC79" s="1001"/>
      <c r="AD79" s="1001"/>
      <c r="AE79" s="1001"/>
      <c r="AF79" s="1001"/>
      <c r="AG79" s="1001"/>
      <c r="AH79" s="1001"/>
      <c r="AI79" s="1001"/>
      <c r="AJ79" s="1001"/>
      <c r="AK79" s="1001"/>
      <c r="AL79" s="1001"/>
      <c r="AM79" s="1001"/>
      <c r="AN79" s="1001"/>
      <c r="AO79" s="1001"/>
      <c r="AP79" s="1001"/>
      <c r="AQ79" s="1001"/>
      <c r="AR79" s="1001"/>
      <c r="AS79" s="1001"/>
      <c r="AT79" s="1001"/>
      <c r="AU79" s="1001"/>
      <c r="AV79" s="1001"/>
      <c r="AW79" s="1001"/>
      <c r="AX79" s="1001"/>
      <c r="AY79" s="1001"/>
      <c r="AZ79" s="1001"/>
      <c r="BA79" s="1001"/>
    </row>
    <row r="80" spans="2:53" s="5" customFormat="1">
      <c r="B80" s="18"/>
      <c r="D80" s="150"/>
      <c r="E80" s="150"/>
      <c r="F80" s="150"/>
      <c r="G80" s="150"/>
      <c r="H80" s="150"/>
      <c r="I80" s="150"/>
      <c r="J80" s="229"/>
      <c r="K80" s="229"/>
      <c r="L80" s="229"/>
      <c r="M80" s="229"/>
      <c r="N80" s="229"/>
      <c r="O80" s="229"/>
      <c r="P80" s="915"/>
      <c r="Q80" s="2458"/>
      <c r="R80" s="2458"/>
      <c r="S80" s="2458"/>
      <c r="T80" s="2458"/>
      <c r="U80" s="2458"/>
      <c r="V80" s="2458"/>
      <c r="W80" s="2458"/>
      <c r="X80" s="2458"/>
      <c r="Y80" s="2458"/>
      <c r="Z80" s="2458"/>
      <c r="AA80" s="179"/>
      <c r="AB80" s="180"/>
      <c r="AC80" s="180"/>
      <c r="AD80" s="180"/>
      <c r="AE80" s="180"/>
      <c r="AF80" s="180"/>
      <c r="AG80" s="180"/>
      <c r="AH80" s="180"/>
      <c r="AI80" s="180"/>
      <c r="AJ80" s="180"/>
      <c r="AK80" s="180"/>
      <c r="AL80" s="180"/>
      <c r="AM80" s="180"/>
      <c r="AN80" s="180"/>
      <c r="AO80" s="180"/>
      <c r="AP80" s="180"/>
      <c r="AQ80" s="180"/>
      <c r="AR80" s="180"/>
      <c r="AS80" s="180"/>
      <c r="AT80" s="180"/>
      <c r="AU80" s="180"/>
      <c r="AV80" s="180"/>
      <c r="AW80" s="180"/>
      <c r="AX80" s="180"/>
      <c r="AY80" s="180"/>
      <c r="AZ80" s="180"/>
      <c r="BA80" s="180"/>
    </row>
    <row r="81" spans="2:53" s="150" customFormat="1">
      <c r="B81" s="118" t="s">
        <v>1438</v>
      </c>
      <c r="D81" s="150" t="str">
        <f t="shared" ref="D81:I81" si="70">IFERROR(D72/D9," ")</f>
        <v xml:space="preserve"> </v>
      </c>
      <c r="E81" s="150" t="str">
        <f t="shared" si="70"/>
        <v xml:space="preserve"> </v>
      </c>
      <c r="F81" s="150" t="str">
        <f t="shared" si="70"/>
        <v xml:space="preserve"> </v>
      </c>
      <c r="G81" s="150" t="str">
        <f t="shared" si="70"/>
        <v xml:space="preserve"> </v>
      </c>
      <c r="H81" s="150" t="str">
        <f t="shared" si="70"/>
        <v xml:space="preserve"> </v>
      </c>
      <c r="I81" s="150" t="str">
        <f t="shared" si="70"/>
        <v xml:space="preserve"> </v>
      </c>
      <c r="J81" s="229"/>
      <c r="K81" s="229">
        <f>IFERROR(K72/K9,0)</f>
        <v>0.1351679762213204</v>
      </c>
      <c r="L81" s="229">
        <f t="shared" ref="L81:Z81" si="71">IFERROR(L72/L9,0)</f>
        <v>0.18187434011711798</v>
      </c>
      <c r="M81" s="229">
        <f t="shared" si="71"/>
        <v>0.32806280147181044</v>
      </c>
      <c r="N81" s="229">
        <f t="shared" si="71"/>
        <v>0.44810398371180576</v>
      </c>
      <c r="O81" s="229">
        <f t="shared" si="71"/>
        <v>0.20262477237805521</v>
      </c>
      <c r="P81" s="915">
        <f t="shared" si="71"/>
        <v>0.26019302147497947</v>
      </c>
      <c r="Q81" s="2458">
        <f t="shared" si="71"/>
        <v>0.28221524260381747</v>
      </c>
      <c r="R81" s="2458">
        <f t="shared" si="71"/>
        <v>0.31019216879426792</v>
      </c>
      <c r="S81" s="2458">
        <f t="shared" si="71"/>
        <v>0.32107581849381295</v>
      </c>
      <c r="T81" s="2458">
        <f t="shared" si="71"/>
        <v>0.38377387180297212</v>
      </c>
      <c r="U81" s="2458">
        <f t="shared" si="71"/>
        <v>0.32485623762491994</v>
      </c>
      <c r="V81" s="2458">
        <f t="shared" si="71"/>
        <v>0.29445895485021834</v>
      </c>
      <c r="W81" s="2458">
        <f t="shared" si="71"/>
        <v>0.2763810079974211</v>
      </c>
      <c r="X81" s="2458">
        <f t="shared" si="71"/>
        <v>0.28767645845638806</v>
      </c>
      <c r="Y81" s="2458">
        <f t="shared" si="71"/>
        <v>0.30194291729736639</v>
      </c>
      <c r="Z81" s="2458">
        <f t="shared" si="71"/>
        <v>0.27858886005052697</v>
      </c>
      <c r="AA81" s="179"/>
      <c r="AB81" s="180"/>
      <c r="AC81" s="180"/>
      <c r="AD81" s="180"/>
      <c r="AE81" s="180"/>
      <c r="AF81" s="180"/>
      <c r="AG81" s="180"/>
      <c r="AH81" s="180"/>
      <c r="AI81" s="180"/>
      <c r="AJ81" s="180"/>
      <c r="AK81" s="180"/>
      <c r="AL81" s="180"/>
      <c r="AM81" s="180"/>
      <c r="AN81" s="180"/>
      <c r="AO81" s="180"/>
      <c r="AP81" s="180"/>
      <c r="AQ81" s="180"/>
      <c r="AR81" s="180"/>
      <c r="AS81" s="180"/>
      <c r="AT81" s="180"/>
      <c r="AU81" s="180"/>
      <c r="AV81" s="180"/>
      <c r="AW81" s="180"/>
      <c r="AX81" s="180"/>
      <c r="AY81" s="180"/>
      <c r="AZ81" s="180"/>
      <c r="BA81" s="180"/>
    </row>
    <row r="82" spans="2:53" s="150" customFormat="1">
      <c r="B82" s="118" t="s">
        <v>1439</v>
      </c>
      <c r="J82" s="229"/>
      <c r="K82" s="229">
        <f>IFERROR(K73/K10,0)</f>
        <v>0</v>
      </c>
      <c r="L82" s="229">
        <f t="shared" ref="L82:Z82" si="72">IFERROR(L73/L10,0)</f>
        <v>0</v>
      </c>
      <c r="M82" s="229">
        <f t="shared" si="72"/>
        <v>-4.1780483440181839E-3</v>
      </c>
      <c r="N82" s="229">
        <f t="shared" si="72"/>
        <v>4.8927238391497103E-2</v>
      </c>
      <c r="O82" s="229">
        <f t="shared" si="72"/>
        <v>0.12938633850056155</v>
      </c>
      <c r="P82" s="915">
        <f t="shared" si="72"/>
        <v>5.013648858441374E-2</v>
      </c>
      <c r="Q82" s="2458">
        <f t="shared" si="72"/>
        <v>0.15930222729648744</v>
      </c>
      <c r="R82" s="2458">
        <f t="shared" si="72"/>
        <v>0.13960684030077053</v>
      </c>
      <c r="S82" s="2458">
        <f t="shared" si="72"/>
        <v>0.18645902488437313</v>
      </c>
      <c r="T82" s="2458">
        <f t="shared" si="72"/>
        <v>0.26647297730549535</v>
      </c>
      <c r="U82" s="2458">
        <f t="shared" si="72"/>
        <v>0.24944844612154449</v>
      </c>
      <c r="V82" s="2458">
        <f t="shared" si="72"/>
        <v>0.21833567249921873</v>
      </c>
      <c r="W82" s="2458">
        <f t="shared" si="72"/>
        <v>0.20866751529451899</v>
      </c>
      <c r="X82" s="2458">
        <f t="shared" si="72"/>
        <v>0.22329900326724328</v>
      </c>
      <c r="Y82" s="2458">
        <f t="shared" si="72"/>
        <v>0.24353482670580115</v>
      </c>
      <c r="Z82" s="2458">
        <f t="shared" si="72"/>
        <v>0.25364793255132539</v>
      </c>
      <c r="AA82" s="179"/>
      <c r="AB82" s="180"/>
      <c r="AC82" s="180"/>
      <c r="AD82" s="180"/>
      <c r="AE82" s="180"/>
      <c r="AF82" s="180"/>
      <c r="AG82" s="180"/>
      <c r="AH82" s="180"/>
      <c r="AI82" s="180"/>
      <c r="AJ82" s="180"/>
      <c r="AK82" s="180"/>
      <c r="AL82" s="180"/>
      <c r="AM82" s="180"/>
      <c r="AN82" s="180"/>
      <c r="AO82" s="180"/>
      <c r="AP82" s="180"/>
      <c r="AQ82" s="180"/>
      <c r="AR82" s="180"/>
      <c r="AS82" s="180"/>
      <c r="AT82" s="180"/>
      <c r="AU82" s="180"/>
      <c r="AV82" s="180"/>
      <c r="AW82" s="180"/>
      <c r="AX82" s="180"/>
      <c r="AY82" s="180"/>
      <c r="AZ82" s="180"/>
      <c r="BA82" s="180"/>
    </row>
    <row r="83" spans="2:53" s="150" customFormat="1">
      <c r="B83" s="118" t="s">
        <v>1440</v>
      </c>
      <c r="J83" s="229"/>
      <c r="K83" s="229">
        <f>IFERROR(K74/K11,0)</f>
        <v>-0.28051036433005638</v>
      </c>
      <c r="L83" s="229">
        <f t="shared" ref="L83:Z83" si="73">IFERROR(L74/L11,0)</f>
        <v>0</v>
      </c>
      <c r="M83" s="229">
        <f t="shared" si="73"/>
        <v>0.43925509718108163</v>
      </c>
      <c r="N83" s="229">
        <f t="shared" si="73"/>
        <v>0.4</v>
      </c>
      <c r="O83" s="229">
        <f t="shared" si="73"/>
        <v>0.4</v>
      </c>
      <c r="P83" s="915">
        <f t="shared" si="73"/>
        <v>0.4</v>
      </c>
      <c r="Q83" s="2458">
        <f t="shared" si="73"/>
        <v>0.4</v>
      </c>
      <c r="R83" s="2458">
        <f t="shared" si="73"/>
        <v>0.4</v>
      </c>
      <c r="S83" s="2458">
        <f t="shared" si="73"/>
        <v>0.4</v>
      </c>
      <c r="T83" s="2458">
        <f t="shared" si="73"/>
        <v>0.4</v>
      </c>
      <c r="U83" s="2458">
        <f t="shared" si="73"/>
        <v>0.40000000000000008</v>
      </c>
      <c r="V83" s="2458">
        <f t="shared" si="73"/>
        <v>0.4</v>
      </c>
      <c r="W83" s="2458">
        <f t="shared" si="73"/>
        <v>0.40000000000000008</v>
      </c>
      <c r="X83" s="2458">
        <f t="shared" si="73"/>
        <v>0.4</v>
      </c>
      <c r="Y83" s="2458">
        <f t="shared" si="73"/>
        <v>0.39999999999999997</v>
      </c>
      <c r="Z83" s="2458">
        <f t="shared" si="73"/>
        <v>0.4</v>
      </c>
      <c r="AA83" s="179"/>
      <c r="AB83" s="180"/>
      <c r="AC83" s="180"/>
      <c r="AD83" s="180"/>
      <c r="AE83" s="180"/>
      <c r="AF83" s="180"/>
      <c r="AG83" s="180"/>
      <c r="AH83" s="180"/>
      <c r="AI83" s="180"/>
      <c r="AJ83" s="180"/>
      <c r="AK83" s="180"/>
      <c r="AL83" s="180"/>
      <c r="AM83" s="180"/>
      <c r="AN83" s="180"/>
      <c r="AO83" s="180"/>
      <c r="AP83" s="180"/>
      <c r="AQ83" s="180"/>
      <c r="AR83" s="180"/>
      <c r="AS83" s="180"/>
      <c r="AT83" s="180"/>
      <c r="AU83" s="180"/>
      <c r="AV83" s="180"/>
      <c r="AW83" s="180"/>
      <c r="AX83" s="180"/>
      <c r="AY83" s="180"/>
      <c r="AZ83" s="180"/>
      <c r="BA83" s="180"/>
    </row>
    <row r="84" spans="2:53" s="150" customFormat="1">
      <c r="B84" s="118" t="s">
        <v>1441</v>
      </c>
      <c r="D84" s="150" t="str">
        <f t="shared" ref="D84:I84" si="74">IFERROR(D75/D10," ")</f>
        <v xml:space="preserve"> </v>
      </c>
      <c r="E84" s="150" t="str">
        <f t="shared" si="74"/>
        <v xml:space="preserve"> </v>
      </c>
      <c r="F84" s="150" t="str">
        <f t="shared" si="74"/>
        <v xml:space="preserve"> </v>
      </c>
      <c r="G84" s="150" t="str">
        <f t="shared" si="74"/>
        <v xml:space="preserve"> </v>
      </c>
      <c r="H84" s="150" t="str">
        <f t="shared" si="74"/>
        <v xml:space="preserve"> </v>
      </c>
      <c r="I84" s="150" t="str">
        <f t="shared" si="74"/>
        <v xml:space="preserve"> </v>
      </c>
      <c r="J84" s="229"/>
      <c r="K84" s="229">
        <f>IFERROR(K75/K12,0)</f>
        <v>9.646421962217136E-2</v>
      </c>
      <c r="L84" s="229">
        <f t="shared" ref="L84:Z84" si="75">IFERROR(L75/L12,0)</f>
        <v>7.4046238681210436E-2</v>
      </c>
      <c r="M84" s="229">
        <f t="shared" si="75"/>
        <v>9.4116954203224218E-2</v>
      </c>
      <c r="N84" s="229">
        <f t="shared" si="75"/>
        <v>4.901167198181007E-2</v>
      </c>
      <c r="O84" s="229">
        <f t="shared" si="75"/>
        <v>6.6259910627535001E-2</v>
      </c>
      <c r="P84" s="915">
        <f t="shared" si="75"/>
        <v>6.1623505312226587E-2</v>
      </c>
      <c r="Q84" s="2458">
        <f t="shared" si="75"/>
        <v>6.9907729234461535E-2</v>
      </c>
      <c r="R84" s="2458">
        <f t="shared" si="75"/>
        <v>6.5702951589740696E-2</v>
      </c>
      <c r="S84" s="2458">
        <f t="shared" si="75"/>
        <v>6.4381931133591364E-2</v>
      </c>
      <c r="T84" s="2458">
        <f t="shared" si="75"/>
        <v>5.9673885814232823E-2</v>
      </c>
      <c r="U84" s="2458">
        <f t="shared" si="75"/>
        <v>6.1362069671033102E-2</v>
      </c>
      <c r="V84" s="2458">
        <f t="shared" si="75"/>
        <v>6.0586578186253619E-2</v>
      </c>
      <c r="W84" s="2458">
        <f t="shared" si="75"/>
        <v>6.0422398057974544E-2</v>
      </c>
      <c r="X84" s="2458">
        <f t="shared" si="75"/>
        <v>5.8920553955030867E-2</v>
      </c>
      <c r="Y84" s="2458">
        <f t="shared" si="75"/>
        <v>5.7846674329535046E-2</v>
      </c>
      <c r="Z84" s="2458">
        <f t="shared" si="75"/>
        <v>5.6811925335559448E-2</v>
      </c>
      <c r="AA84" s="179"/>
      <c r="AB84" s="180"/>
      <c r="AC84" s="180"/>
      <c r="AD84" s="180"/>
      <c r="AE84" s="180"/>
      <c r="AF84" s="180"/>
      <c r="AG84" s="180"/>
      <c r="AH84" s="180"/>
      <c r="AI84" s="180"/>
      <c r="AJ84" s="180"/>
      <c r="AK84" s="180"/>
      <c r="AL84" s="180"/>
      <c r="AM84" s="180"/>
      <c r="AN84" s="180"/>
      <c r="AO84" s="180"/>
      <c r="AP84" s="180"/>
      <c r="AQ84" s="180"/>
      <c r="AR84" s="180"/>
      <c r="AS84" s="180"/>
      <c r="AT84" s="180"/>
      <c r="AU84" s="180"/>
      <c r="AV84" s="180"/>
      <c r="AW84" s="180"/>
      <c r="AX84" s="180"/>
      <c r="AY84" s="180"/>
      <c r="AZ84" s="180"/>
      <c r="BA84" s="180"/>
    </row>
    <row r="85" spans="2:53" s="150" customFormat="1">
      <c r="B85" s="118" t="s">
        <v>1442</v>
      </c>
      <c r="D85" s="150" t="str">
        <f t="shared" ref="D85:I86" si="76">IFERROR(D76/D13," ")</f>
        <v xml:space="preserve"> </v>
      </c>
      <c r="E85" s="150" t="str">
        <f t="shared" si="76"/>
        <v xml:space="preserve"> </v>
      </c>
      <c r="F85" s="150" t="str">
        <f t="shared" si="76"/>
        <v xml:space="preserve"> </v>
      </c>
      <c r="G85" s="150" t="str">
        <f t="shared" si="76"/>
        <v xml:space="preserve"> </v>
      </c>
      <c r="H85" s="150" t="str">
        <f t="shared" si="76"/>
        <v xml:space="preserve"> </v>
      </c>
      <c r="I85" s="150" t="str">
        <f t="shared" si="76"/>
        <v xml:space="preserve"> </v>
      </c>
      <c r="J85" s="229"/>
      <c r="K85" s="229">
        <f>IFERROR(K76/K13,0)</f>
        <v>0.46270541746627447</v>
      </c>
      <c r="L85" s="229">
        <f t="shared" ref="L85:Z85" si="77">IFERROR(L76/L13,0)</f>
        <v>0.48725094016428155</v>
      </c>
      <c r="M85" s="229">
        <f t="shared" si="77"/>
        <v>0.40533706108860007</v>
      </c>
      <c r="N85" s="229">
        <f t="shared" si="77"/>
        <v>0.19017061246168235</v>
      </c>
      <c r="O85" s="229">
        <f t="shared" si="77"/>
        <v>3.3549496426306363E-2</v>
      </c>
      <c r="P85" s="915">
        <f t="shared" si="77"/>
        <v>0.25262647833258078</v>
      </c>
      <c r="Q85" s="2458">
        <f t="shared" si="77"/>
        <v>0.25000000000000006</v>
      </c>
      <c r="R85" s="2458">
        <f t="shared" si="77"/>
        <v>0.25000000000000006</v>
      </c>
      <c r="S85" s="2458">
        <f t="shared" si="77"/>
        <v>0.25</v>
      </c>
      <c r="T85" s="2458">
        <f t="shared" si="77"/>
        <v>0.25</v>
      </c>
      <c r="U85" s="2458">
        <f t="shared" si="77"/>
        <v>0.25</v>
      </c>
      <c r="V85" s="2458">
        <f t="shared" si="77"/>
        <v>0.25000000000000006</v>
      </c>
      <c r="W85" s="2458">
        <f t="shared" si="77"/>
        <v>0.27499999999999997</v>
      </c>
      <c r="X85" s="2458">
        <f t="shared" si="77"/>
        <v>0.30250000000000005</v>
      </c>
      <c r="Y85" s="2458">
        <f t="shared" si="77"/>
        <v>0.3327500000000001</v>
      </c>
      <c r="Z85" s="2458">
        <f t="shared" si="77"/>
        <v>0.3327500000000001</v>
      </c>
      <c r="AA85" s="179"/>
      <c r="AB85" s="180"/>
      <c r="AC85" s="180"/>
      <c r="AD85" s="180"/>
      <c r="AE85" s="180"/>
      <c r="AF85" s="180"/>
      <c r="AG85" s="180"/>
      <c r="AH85" s="180"/>
      <c r="AI85" s="180"/>
      <c r="AJ85" s="180"/>
      <c r="AK85" s="180"/>
      <c r="AL85" s="180"/>
      <c r="AM85" s="180"/>
      <c r="AN85" s="180"/>
      <c r="AO85" s="180"/>
      <c r="AP85" s="180"/>
      <c r="AQ85" s="180"/>
      <c r="AR85" s="180"/>
      <c r="AS85" s="180"/>
      <c r="AT85" s="180"/>
      <c r="AU85" s="180"/>
      <c r="AV85" s="180"/>
      <c r="AW85" s="180"/>
      <c r="AX85" s="180"/>
      <c r="AY85" s="180"/>
      <c r="AZ85" s="180"/>
      <c r="BA85" s="180"/>
    </row>
    <row r="86" spans="2:53" s="932" customFormat="1" ht="17.25" customHeight="1">
      <c r="B86" s="931" t="s">
        <v>760</v>
      </c>
      <c r="C86" s="918"/>
      <c r="D86" s="870" t="str">
        <f t="shared" si="76"/>
        <v xml:space="preserve"> </v>
      </c>
      <c r="E86" s="870" t="str">
        <f t="shared" si="76"/>
        <v xml:space="preserve"> </v>
      </c>
      <c r="F86" s="870" t="str">
        <f t="shared" si="76"/>
        <v xml:space="preserve"> </v>
      </c>
      <c r="G86" s="870" t="str">
        <f t="shared" si="76"/>
        <v xml:space="preserve"> </v>
      </c>
      <c r="H86" s="870" t="str">
        <f t="shared" si="76"/>
        <v xml:space="preserve"> </v>
      </c>
      <c r="I86" s="870" t="str">
        <f t="shared" si="76"/>
        <v xml:space="preserve"> </v>
      </c>
      <c r="J86" s="921"/>
      <c r="K86" s="921"/>
      <c r="L86" s="921"/>
      <c r="M86" s="921"/>
      <c r="N86" s="921"/>
      <c r="O86" s="921"/>
      <c r="P86" s="922"/>
      <c r="Q86" s="923"/>
      <c r="R86" s="923"/>
      <c r="S86" s="923"/>
      <c r="T86" s="923"/>
      <c r="U86" s="923"/>
      <c r="V86" s="923"/>
      <c r="W86" s="923"/>
      <c r="X86" s="923"/>
      <c r="Y86" s="923"/>
      <c r="Z86" s="923"/>
      <c r="AA86" s="923"/>
      <c r="AB86" s="871"/>
      <c r="AC86" s="871"/>
      <c r="AD86" s="871"/>
      <c r="AE86" s="871"/>
      <c r="AF86" s="871"/>
      <c r="AG86" s="871"/>
      <c r="AH86" s="871"/>
      <c r="AI86" s="871"/>
      <c r="AJ86" s="871"/>
      <c r="AK86" s="871"/>
      <c r="AL86" s="871"/>
      <c r="AM86" s="871"/>
      <c r="AN86" s="871"/>
      <c r="AO86" s="871"/>
      <c r="AP86" s="871"/>
      <c r="AQ86" s="871"/>
      <c r="AR86" s="871"/>
      <c r="AS86" s="871"/>
      <c r="AT86" s="871"/>
      <c r="AU86" s="871"/>
      <c r="AV86" s="871"/>
      <c r="AW86" s="871"/>
      <c r="AX86" s="871"/>
      <c r="AY86" s="871"/>
      <c r="AZ86" s="871"/>
      <c r="BA86" s="871"/>
    </row>
    <row r="87" spans="2:53" s="865" customFormat="1">
      <c r="B87" s="933"/>
      <c r="C87" s="934"/>
      <c r="D87" s="934"/>
      <c r="E87" s="934"/>
      <c r="F87" s="934"/>
      <c r="G87" s="935"/>
      <c r="H87" s="935"/>
      <c r="I87" s="935"/>
      <c r="J87" s="935"/>
      <c r="K87" s="935"/>
      <c r="L87" s="935"/>
      <c r="M87" s="935"/>
      <c r="N87" s="935"/>
      <c r="O87" s="935"/>
      <c r="P87" s="936"/>
      <c r="Q87" s="935"/>
      <c r="R87" s="937"/>
      <c r="S87" s="937"/>
      <c r="T87" s="937"/>
      <c r="U87" s="937"/>
      <c r="V87" s="937"/>
      <c r="W87" s="937"/>
      <c r="X87" s="937"/>
      <c r="Y87" s="937"/>
      <c r="Z87" s="937"/>
      <c r="AA87" s="937"/>
      <c r="AB87" s="937"/>
      <c r="AC87" s="937"/>
      <c r="AD87" s="937"/>
      <c r="AE87" s="937"/>
      <c r="AF87" s="937"/>
      <c r="AG87" s="937"/>
      <c r="AH87" s="937"/>
      <c r="AI87" s="937"/>
      <c r="AJ87" s="937"/>
      <c r="AK87" s="937"/>
      <c r="AL87" s="937"/>
      <c r="AM87" s="937"/>
      <c r="AN87" s="937"/>
      <c r="AO87" s="937"/>
      <c r="AP87" s="937"/>
      <c r="AQ87" s="937"/>
      <c r="AR87" s="937"/>
      <c r="AS87" s="937"/>
      <c r="AT87" s="937"/>
      <c r="AU87" s="937"/>
      <c r="AV87" s="937"/>
      <c r="AW87" s="937"/>
      <c r="AX87" s="937"/>
      <c r="AY87" s="937"/>
      <c r="AZ87" s="937"/>
      <c r="BA87" s="937"/>
    </row>
    <row r="88" spans="2:53" s="865" customFormat="1">
      <c r="B88" s="933"/>
      <c r="C88" s="934"/>
      <c r="D88" s="934"/>
      <c r="E88" s="934"/>
      <c r="F88" s="934"/>
      <c r="G88" s="935"/>
      <c r="H88" s="935"/>
      <c r="I88" s="935"/>
      <c r="J88" s="935"/>
      <c r="K88" s="935"/>
      <c r="L88" s="935"/>
      <c r="M88" s="935"/>
      <c r="N88" s="935"/>
      <c r="O88" s="935"/>
      <c r="P88" s="936"/>
      <c r="Q88" s="935"/>
      <c r="R88" s="937"/>
      <c r="S88" s="937"/>
      <c r="T88" s="937"/>
      <c r="U88" s="937"/>
      <c r="V88" s="937"/>
      <c r="W88" s="937"/>
      <c r="X88" s="937"/>
      <c r="Y88" s="937"/>
      <c r="Z88" s="937"/>
      <c r="AA88" s="937"/>
      <c r="AB88" s="937"/>
      <c r="AC88" s="937"/>
      <c r="AD88" s="937"/>
      <c r="AE88" s="937"/>
      <c r="AF88" s="937"/>
      <c r="AG88" s="937"/>
      <c r="AH88" s="937"/>
      <c r="AI88" s="937"/>
      <c r="AJ88" s="937"/>
      <c r="AK88" s="937"/>
      <c r="AL88" s="937"/>
      <c r="AM88" s="937"/>
      <c r="AN88" s="937"/>
      <c r="AO88" s="937"/>
      <c r="AP88" s="937"/>
      <c r="AQ88" s="937"/>
      <c r="AR88" s="937"/>
      <c r="AS88" s="937"/>
      <c r="AT88" s="937"/>
      <c r="AU88" s="937"/>
      <c r="AV88" s="937"/>
      <c r="AW88" s="937"/>
      <c r="AX88" s="937"/>
      <c r="AY88" s="937"/>
      <c r="AZ88" s="937"/>
      <c r="BA88" s="937"/>
    </row>
    <row r="89" spans="2:53">
      <c r="P89" s="909"/>
      <c r="S89" s="675"/>
      <c r="T89" s="675"/>
      <c r="U89" s="675"/>
      <c r="V89" s="675"/>
      <c r="W89" s="675"/>
      <c r="X89" s="675"/>
      <c r="Y89" s="675"/>
      <c r="Z89" s="675"/>
      <c r="AA89" s="675"/>
      <c r="AB89" s="675"/>
      <c r="AC89" s="675"/>
      <c r="AD89" s="675"/>
      <c r="AE89" s="675"/>
      <c r="AF89" s="675"/>
      <c r="AG89" s="675"/>
      <c r="AH89" s="675"/>
      <c r="AI89" s="675"/>
      <c r="AJ89" s="675"/>
      <c r="AK89" s="675"/>
      <c r="AL89" s="675"/>
      <c r="AM89" s="675"/>
      <c r="AN89" s="675"/>
      <c r="AO89" s="675"/>
      <c r="AP89" s="675"/>
      <c r="AQ89" s="675"/>
      <c r="AR89" s="675"/>
      <c r="AS89" s="675"/>
      <c r="AT89" s="675"/>
      <c r="AU89" s="675"/>
      <c r="AV89" s="675"/>
      <c r="AW89" s="675"/>
      <c r="AX89" s="675"/>
      <c r="AY89" s="675"/>
      <c r="AZ89" s="675"/>
      <c r="BA89" s="675"/>
    </row>
    <row r="90" spans="2:53" s="18" customFormat="1" ht="19.5" customHeight="1">
      <c r="B90" s="873" t="s">
        <v>761</v>
      </c>
      <c r="D90" s="88"/>
      <c r="E90" s="88"/>
      <c r="F90" s="88"/>
      <c r="G90" s="88"/>
      <c r="H90" s="88"/>
      <c r="I90" s="88">
        <f>+I8-I42</f>
        <v>0</v>
      </c>
      <c r="J90" s="874"/>
      <c r="K90" s="874"/>
      <c r="L90" s="874"/>
      <c r="M90" s="874"/>
      <c r="N90" s="874"/>
      <c r="O90" s="874"/>
      <c r="P90" s="875"/>
      <c r="Q90" s="876"/>
      <c r="R90" s="876"/>
      <c r="S90" s="876"/>
      <c r="T90" s="876"/>
      <c r="U90" s="876"/>
      <c r="V90" s="876"/>
      <c r="W90" s="876"/>
      <c r="X90" s="876"/>
      <c r="Y90" s="876"/>
      <c r="Z90" s="876"/>
      <c r="AA90" s="876"/>
      <c r="AB90" s="877"/>
      <c r="AC90" s="877"/>
      <c r="AD90" s="88"/>
      <c r="AE90" s="88"/>
      <c r="AF90" s="88"/>
      <c r="AG90" s="88"/>
      <c r="AH90" s="88"/>
      <c r="AI90" s="88"/>
      <c r="AJ90" s="88"/>
      <c r="AK90" s="88"/>
      <c r="AL90" s="88"/>
      <c r="AM90" s="88"/>
      <c r="AN90" s="88"/>
      <c r="AO90" s="88"/>
      <c r="AP90" s="88"/>
      <c r="AQ90" s="88"/>
      <c r="AR90" s="88"/>
      <c r="AS90" s="88"/>
      <c r="AT90" s="88"/>
      <c r="AU90" s="88"/>
      <c r="AV90" s="88"/>
      <c r="AW90" s="88"/>
      <c r="AX90" s="88"/>
      <c r="AY90" s="88"/>
      <c r="AZ90" s="88"/>
      <c r="BA90" s="88"/>
    </row>
    <row r="91" spans="2:53" s="5" customFormat="1">
      <c r="B91" s="5" t="s">
        <v>382</v>
      </c>
      <c r="D91" s="150"/>
      <c r="E91" s="150"/>
      <c r="F91" s="150"/>
      <c r="G91" s="150"/>
      <c r="H91" s="150"/>
      <c r="I91" s="150" t="str">
        <f t="shared" ref="I91" si="78">IFERROR(I90/H90-1," ")</f>
        <v xml:space="preserve"> </v>
      </c>
      <c r="J91" s="150"/>
      <c r="K91" s="229"/>
      <c r="L91" s="229"/>
      <c r="M91" s="229"/>
      <c r="N91" s="229"/>
      <c r="O91" s="229"/>
      <c r="P91" s="915"/>
      <c r="Q91" s="179"/>
      <c r="R91" s="179"/>
      <c r="S91" s="179"/>
      <c r="T91" s="179"/>
      <c r="U91" s="179"/>
      <c r="V91" s="179"/>
      <c r="W91" s="179"/>
      <c r="X91" s="179"/>
      <c r="Y91" s="179"/>
      <c r="Z91" s="179"/>
      <c r="AA91" s="179"/>
      <c r="AB91" s="180"/>
      <c r="AC91" s="180"/>
      <c r="AD91" s="180"/>
      <c r="AE91" s="180"/>
      <c r="AF91" s="180"/>
      <c r="AG91" s="180"/>
      <c r="AH91" s="180"/>
      <c r="AI91" s="180"/>
      <c r="AJ91" s="180"/>
      <c r="AK91" s="180"/>
      <c r="AL91" s="180"/>
      <c r="AM91" s="180"/>
      <c r="AN91" s="180"/>
      <c r="AO91" s="180"/>
      <c r="AP91" s="180"/>
      <c r="AQ91" s="180"/>
      <c r="AR91" s="180"/>
      <c r="AS91" s="180"/>
      <c r="AT91" s="180"/>
      <c r="AU91" s="180"/>
      <c r="AV91" s="180"/>
      <c r="AW91" s="180"/>
      <c r="AX91" s="180"/>
      <c r="AY91" s="180"/>
      <c r="AZ91" s="180"/>
      <c r="BA91" s="180"/>
    </row>
    <row r="92" spans="2:53" s="865" customFormat="1" ht="16.5" customHeight="1">
      <c r="B92" s="929" t="s">
        <v>761</v>
      </c>
      <c r="C92" s="889"/>
      <c r="D92" s="890"/>
      <c r="E92" s="890"/>
      <c r="F92" s="890"/>
      <c r="G92" s="890"/>
      <c r="H92" s="890"/>
      <c r="I92" s="890"/>
      <c r="J92" s="891"/>
      <c r="K92" s="891"/>
      <c r="L92" s="891"/>
      <c r="M92" s="891"/>
      <c r="N92" s="891"/>
      <c r="O92" s="891"/>
      <c r="P92" s="892"/>
      <c r="Q92" s="893"/>
      <c r="R92" s="893"/>
      <c r="S92" s="893"/>
      <c r="T92" s="893"/>
      <c r="U92" s="893"/>
      <c r="V92" s="893"/>
      <c r="W92" s="893"/>
      <c r="X92" s="893"/>
      <c r="Y92" s="893"/>
      <c r="Z92" s="893"/>
      <c r="AA92" s="893"/>
      <c r="AB92" s="894"/>
      <c r="AC92" s="894"/>
      <c r="AD92" s="894"/>
      <c r="AE92" s="894"/>
      <c r="AF92" s="894"/>
      <c r="AG92" s="894"/>
      <c r="AH92" s="894"/>
      <c r="AI92" s="894"/>
      <c r="AJ92" s="894"/>
      <c r="AK92" s="894"/>
      <c r="AL92" s="894"/>
      <c r="AM92" s="894"/>
      <c r="AN92" s="894"/>
      <c r="AO92" s="894"/>
      <c r="AP92" s="894"/>
      <c r="AQ92" s="894"/>
      <c r="AR92" s="894"/>
      <c r="AS92" s="894"/>
      <c r="AT92" s="894"/>
      <c r="AU92" s="894"/>
      <c r="AV92" s="894"/>
      <c r="AW92" s="894"/>
      <c r="AX92" s="894"/>
      <c r="AY92" s="894"/>
      <c r="AZ92" s="894"/>
      <c r="BA92" s="894"/>
    </row>
    <row r="93" spans="2:53" s="196" customFormat="1">
      <c r="B93" s="930" t="s">
        <v>382</v>
      </c>
      <c r="D93" s="897"/>
      <c r="E93" s="897"/>
      <c r="F93" s="897"/>
      <c r="G93" s="897"/>
      <c r="H93" s="897"/>
      <c r="I93" s="897"/>
      <c r="J93" s="897"/>
      <c r="K93" s="897"/>
      <c r="L93" s="897"/>
      <c r="M93" s="897"/>
      <c r="N93" s="897"/>
      <c r="O93" s="897"/>
      <c r="P93" s="898"/>
      <c r="Q93" s="899"/>
      <c r="R93" s="899"/>
      <c r="S93" s="899"/>
      <c r="T93" s="899"/>
      <c r="U93" s="899"/>
      <c r="V93" s="899"/>
      <c r="W93" s="899"/>
      <c r="X93" s="899"/>
      <c r="Y93" s="899"/>
      <c r="Z93" s="899"/>
      <c r="AA93" s="899"/>
      <c r="AB93" s="899"/>
      <c r="AC93" s="899"/>
      <c r="AD93" s="899"/>
      <c r="AE93" s="899"/>
      <c r="AF93" s="899"/>
      <c r="AG93" s="899"/>
      <c r="AH93" s="899"/>
      <c r="AI93" s="899"/>
      <c r="AJ93" s="899"/>
      <c r="AK93" s="899"/>
      <c r="AL93" s="899"/>
      <c r="AM93" s="899"/>
      <c r="AN93" s="899"/>
      <c r="AO93" s="899"/>
      <c r="AP93" s="899"/>
      <c r="AQ93" s="899"/>
      <c r="AR93" s="899"/>
      <c r="AS93" s="899"/>
      <c r="AT93" s="899"/>
      <c r="AU93" s="899"/>
      <c r="AV93" s="899"/>
      <c r="AW93" s="899"/>
      <c r="AX93" s="899"/>
      <c r="AY93" s="899"/>
      <c r="AZ93" s="899"/>
      <c r="BA93" s="899"/>
    </row>
    <row r="94" spans="2:53">
      <c r="P94" s="909"/>
      <c r="S94" s="675"/>
      <c r="T94" s="675"/>
      <c r="U94" s="675"/>
      <c r="V94" s="675"/>
      <c r="W94" s="675"/>
      <c r="X94" s="675"/>
      <c r="Y94" s="675"/>
      <c r="Z94" s="675"/>
      <c r="AA94" s="675"/>
      <c r="AB94" s="675"/>
      <c r="AC94" s="675"/>
      <c r="AD94" s="675"/>
      <c r="AE94" s="675"/>
      <c r="AF94" s="675"/>
      <c r="AG94" s="675"/>
      <c r="AH94" s="675"/>
      <c r="AI94" s="675"/>
      <c r="AJ94" s="675"/>
      <c r="AK94" s="675"/>
      <c r="AL94" s="675"/>
      <c r="AM94" s="675"/>
      <c r="AN94" s="675"/>
      <c r="AO94" s="675"/>
      <c r="AP94" s="675"/>
      <c r="AQ94" s="675"/>
      <c r="AR94" s="675"/>
      <c r="AS94" s="675"/>
      <c r="AT94" s="675"/>
      <c r="AU94" s="675"/>
      <c r="AV94" s="675"/>
      <c r="AW94" s="675"/>
      <c r="AX94" s="675"/>
      <c r="AY94" s="675"/>
      <c r="AZ94" s="675"/>
      <c r="BA94" s="675"/>
    </row>
    <row r="95" spans="2:53" s="5" customFormat="1">
      <c r="B95" s="18" t="s">
        <v>762</v>
      </c>
      <c r="D95" s="150" t="str">
        <f t="shared" ref="D95:I95" si="79">IFERROR(D90/D28," ")</f>
        <v xml:space="preserve"> </v>
      </c>
      <c r="E95" s="150" t="str">
        <f t="shared" si="79"/>
        <v xml:space="preserve"> </v>
      </c>
      <c r="F95" s="150" t="str">
        <f t="shared" si="79"/>
        <v xml:space="preserve"> </v>
      </c>
      <c r="G95" s="150" t="str">
        <f t="shared" si="79"/>
        <v xml:space="preserve"> </v>
      </c>
      <c r="H95" s="150" t="str">
        <f t="shared" si="79"/>
        <v xml:space="preserve"> </v>
      </c>
      <c r="I95" s="150" t="str">
        <f t="shared" si="79"/>
        <v xml:space="preserve"> </v>
      </c>
      <c r="J95" s="229"/>
      <c r="K95" s="229"/>
      <c r="L95" s="229"/>
      <c r="M95" s="229"/>
      <c r="N95" s="229"/>
      <c r="O95" s="229"/>
      <c r="P95" s="915"/>
      <c r="Q95" s="179"/>
      <c r="R95" s="179"/>
      <c r="S95" s="179"/>
      <c r="T95" s="179"/>
      <c r="U95" s="179"/>
      <c r="V95" s="179"/>
      <c r="W95" s="179"/>
      <c r="X95" s="179"/>
      <c r="Y95" s="179"/>
      <c r="Z95" s="179"/>
      <c r="AA95" s="179"/>
      <c r="AB95" s="180"/>
      <c r="AC95" s="180"/>
      <c r="AD95" s="180"/>
      <c r="AE95" s="180"/>
      <c r="AF95" s="180"/>
      <c r="AG95" s="180"/>
      <c r="AH95" s="180"/>
      <c r="AI95" s="180"/>
      <c r="AJ95" s="180"/>
      <c r="AK95" s="180"/>
      <c r="AL95" s="180"/>
      <c r="AM95" s="180"/>
      <c r="AN95" s="180"/>
      <c r="AO95" s="180"/>
      <c r="AP95" s="180"/>
      <c r="AQ95" s="180"/>
      <c r="AR95" s="180"/>
      <c r="AS95" s="180"/>
      <c r="AT95" s="180"/>
      <c r="AU95" s="180"/>
      <c r="AV95" s="180"/>
      <c r="AW95" s="180"/>
      <c r="AX95" s="180"/>
      <c r="AY95" s="180"/>
      <c r="AZ95" s="180"/>
      <c r="BA95" s="180"/>
    </row>
    <row r="96" spans="2:53" s="932" customFormat="1" ht="15.75" customHeight="1">
      <c r="B96" s="931" t="s">
        <v>763</v>
      </c>
      <c r="C96" s="918"/>
      <c r="D96" s="870" t="str">
        <f>IFERROR(D92/#REF!," ")</f>
        <v xml:space="preserve"> </v>
      </c>
      <c r="E96" s="870" t="str">
        <f>IFERROR(E92/#REF!," ")</f>
        <v xml:space="preserve"> </v>
      </c>
      <c r="F96" s="870" t="str">
        <f>IFERROR(F92/#REF!," ")</f>
        <v xml:space="preserve"> </v>
      </c>
      <c r="G96" s="870" t="str">
        <f>IFERROR(G92/#REF!," ")</f>
        <v xml:space="preserve"> </v>
      </c>
      <c r="H96" s="870" t="str">
        <f>IFERROR(H92/#REF!," ")</f>
        <v xml:space="preserve"> </v>
      </c>
      <c r="I96" s="870" t="str">
        <f>IFERROR(I92/I14," ")</f>
        <v xml:space="preserve"> </v>
      </c>
      <c r="J96" s="921"/>
      <c r="K96" s="921"/>
      <c r="L96" s="921"/>
      <c r="M96" s="921"/>
      <c r="N96" s="921"/>
      <c r="O96" s="921"/>
      <c r="P96" s="922"/>
      <c r="Q96" s="923"/>
      <c r="R96" s="923"/>
      <c r="S96" s="923"/>
      <c r="T96" s="923"/>
      <c r="U96" s="923"/>
      <c r="V96" s="923"/>
      <c r="W96" s="923"/>
      <c r="X96" s="923"/>
      <c r="Y96" s="923"/>
      <c r="Z96" s="923"/>
      <c r="AA96" s="923"/>
      <c r="AB96" s="871"/>
      <c r="AC96" s="871"/>
      <c r="AD96" s="871"/>
      <c r="AE96" s="870"/>
      <c r="AF96" s="870"/>
      <c r="AG96" s="870"/>
      <c r="AH96" s="870"/>
      <c r="AI96" s="870"/>
      <c r="AJ96" s="870"/>
      <c r="AK96" s="870"/>
      <c r="AL96" s="870"/>
      <c r="AM96" s="870"/>
      <c r="AN96" s="870"/>
      <c r="AO96" s="870"/>
      <c r="AP96" s="870"/>
      <c r="AQ96" s="870"/>
      <c r="AR96" s="870"/>
      <c r="AS96" s="870"/>
      <c r="AT96" s="870"/>
      <c r="AU96" s="870"/>
      <c r="AV96" s="870"/>
      <c r="AW96" s="870"/>
      <c r="AX96" s="870"/>
      <c r="AY96" s="870"/>
      <c r="AZ96" s="870"/>
      <c r="BA96" s="870"/>
    </row>
    <row r="97" spans="2:57">
      <c r="P97" s="909"/>
      <c r="S97" s="675"/>
      <c r="T97" s="675"/>
      <c r="U97" s="675"/>
      <c r="V97" s="675"/>
      <c r="W97" s="675"/>
      <c r="X97" s="675"/>
      <c r="Y97" s="675"/>
      <c r="Z97" s="675"/>
      <c r="AA97" s="675"/>
      <c r="AB97" s="675"/>
      <c r="AC97" s="675"/>
      <c r="AD97" s="675"/>
      <c r="AE97" s="675"/>
      <c r="AF97" s="675"/>
      <c r="AG97" s="675"/>
      <c r="AH97" s="675"/>
      <c r="AI97" s="675"/>
      <c r="AJ97" s="675"/>
      <c r="AK97" s="675"/>
      <c r="AL97" s="675"/>
      <c r="AM97" s="675"/>
      <c r="AN97" s="675"/>
      <c r="AO97" s="675"/>
      <c r="AP97" s="675"/>
      <c r="AQ97" s="675"/>
      <c r="AR97" s="675"/>
      <c r="AS97" s="675"/>
      <c r="AT97" s="675"/>
      <c r="AU97" s="675"/>
      <c r="AV97" s="675"/>
      <c r="AW97" s="675"/>
      <c r="AX97" s="675"/>
      <c r="AY97" s="675"/>
      <c r="AZ97" s="675"/>
      <c r="BA97" s="675"/>
    </row>
    <row r="98" spans="2:57">
      <c r="P98" s="909"/>
      <c r="S98" s="675"/>
      <c r="T98" s="675"/>
      <c r="U98" s="675"/>
      <c r="V98" s="675"/>
      <c r="W98" s="675"/>
      <c r="X98" s="675"/>
      <c r="Y98" s="675"/>
      <c r="Z98" s="675"/>
      <c r="AA98" s="675"/>
      <c r="AB98" s="675"/>
      <c r="AC98" s="675"/>
      <c r="AD98" s="675"/>
      <c r="AE98" s="675"/>
      <c r="AF98" s="675"/>
      <c r="AG98" s="675"/>
      <c r="AH98" s="675"/>
      <c r="AI98" s="675"/>
      <c r="AJ98" s="675"/>
      <c r="AK98" s="675"/>
      <c r="AL98" s="675"/>
      <c r="AM98" s="675"/>
      <c r="AN98" s="675"/>
      <c r="AO98" s="675"/>
      <c r="AP98" s="675"/>
      <c r="AQ98" s="675"/>
      <c r="AR98" s="675"/>
      <c r="AS98" s="675"/>
      <c r="AT98" s="675"/>
      <c r="AU98" s="675"/>
      <c r="AV98" s="675"/>
      <c r="AW98" s="675"/>
      <c r="AX98" s="675"/>
      <c r="AY98" s="675"/>
      <c r="AZ98" s="675"/>
      <c r="BA98" s="675"/>
    </row>
    <row r="99" spans="2:57" s="851" customFormat="1" ht="21" customHeight="1">
      <c r="B99" s="848" t="s">
        <v>325</v>
      </c>
      <c r="C99" s="849"/>
      <c r="D99" s="849"/>
      <c r="E99" s="849"/>
      <c r="F99" s="849"/>
      <c r="G99" s="849"/>
      <c r="H99" s="849"/>
      <c r="I99" s="849"/>
      <c r="J99" s="849"/>
      <c r="K99" s="849"/>
      <c r="L99" s="849"/>
      <c r="M99" s="849"/>
      <c r="N99" s="849"/>
      <c r="O99" s="849"/>
      <c r="P99" s="850"/>
      <c r="Q99" s="849"/>
      <c r="R99" s="849"/>
      <c r="S99" s="849"/>
      <c r="T99" s="849"/>
      <c r="U99" s="849"/>
      <c r="V99" s="849"/>
      <c r="W99" s="849"/>
      <c r="X99" s="849"/>
      <c r="Y99" s="849"/>
      <c r="Z99" s="849"/>
      <c r="AA99" s="849"/>
      <c r="AB99" s="849"/>
      <c r="AC99" s="849"/>
      <c r="AD99" s="849"/>
      <c r="AE99" s="849"/>
      <c r="AF99" s="849"/>
      <c r="AG99" s="849"/>
      <c r="AH99" s="849"/>
      <c r="AI99" s="849"/>
      <c r="AJ99" s="849"/>
      <c r="AK99" s="849"/>
      <c r="AL99" s="849"/>
      <c r="AM99" s="849"/>
      <c r="AN99" s="849"/>
      <c r="AO99" s="849"/>
      <c r="AP99" s="849"/>
      <c r="AQ99" s="849"/>
      <c r="AR99" s="849"/>
      <c r="AS99" s="849"/>
      <c r="AT99" s="849"/>
      <c r="AU99" s="849"/>
      <c r="AV99" s="849"/>
      <c r="AW99" s="849"/>
      <c r="AX99" s="849"/>
      <c r="AY99" s="849"/>
      <c r="AZ99" s="849"/>
      <c r="BA99" s="849"/>
    </row>
    <row r="100" spans="2:57" ht="25.2" customHeight="1">
      <c r="D100" s="938">
        <f>10^9</f>
        <v>1000000000</v>
      </c>
      <c r="M100" s="539"/>
      <c r="N100" s="539"/>
      <c r="O100" s="539"/>
      <c r="P100" s="634"/>
      <c r="Q100" s="539"/>
      <c r="R100" s="539"/>
    </row>
    <row r="101" spans="2:57" s="88" customFormat="1" ht="34.200000000000003" customHeight="1">
      <c r="B101" s="88" t="s">
        <v>764</v>
      </c>
      <c r="I101" s="874"/>
      <c r="J101" s="874"/>
      <c r="K101" s="874">
        <f>SUM(K103,K105,K107,K109,K111,K113,K115,K117,K119)</f>
        <v>364.05869725299999</v>
      </c>
      <c r="L101" s="874">
        <f t="shared" ref="L101:Z101" si="80">SUM(L103,L105,L107,L109,L111,L113,L115,L117,L119)</f>
        <v>369.00031515100005</v>
      </c>
      <c r="M101" s="874">
        <f t="shared" si="80"/>
        <v>420.40125284399994</v>
      </c>
      <c r="N101" s="874">
        <f t="shared" si="80"/>
        <v>698.29487364399995</v>
      </c>
      <c r="O101" s="874">
        <f t="shared" si="80"/>
        <v>800.63145817099996</v>
      </c>
      <c r="P101" s="874">
        <f t="shared" si="80"/>
        <v>1014.369800748</v>
      </c>
      <c r="Q101" s="876">
        <f t="shared" si="80"/>
        <v>971.02815441611381</v>
      </c>
      <c r="R101" s="876">
        <f t="shared" si="80"/>
        <v>1021.8879648796777</v>
      </c>
      <c r="S101" s="876">
        <f t="shared" si="80"/>
        <v>1060.8773076408329</v>
      </c>
      <c r="T101" s="876">
        <f t="shared" si="80"/>
        <v>1286.5053336863157</v>
      </c>
      <c r="U101" s="876">
        <f t="shared" si="80"/>
        <v>1293.4801753900231</v>
      </c>
      <c r="V101" s="876">
        <f t="shared" si="80"/>
        <v>1195.2993372058004</v>
      </c>
      <c r="W101" s="876">
        <f t="shared" si="80"/>
        <v>1188.0729414620519</v>
      </c>
      <c r="X101" s="876">
        <f t="shared" si="80"/>
        <v>1220.6867943713241</v>
      </c>
      <c r="Y101" s="876">
        <f t="shared" si="80"/>
        <v>1291.6556929410824</v>
      </c>
      <c r="Z101" s="876">
        <f t="shared" si="80"/>
        <v>1316.1204604526908</v>
      </c>
      <c r="AA101" s="876"/>
      <c r="AB101" s="877"/>
      <c r="AC101" s="877"/>
      <c r="AD101" s="877"/>
      <c r="AE101" s="877"/>
      <c r="AF101" s="877"/>
      <c r="AG101" s="877"/>
      <c r="AH101" s="877"/>
      <c r="AI101" s="877"/>
      <c r="AJ101" s="877"/>
      <c r="AK101" s="877"/>
      <c r="AL101" s="877"/>
      <c r="AM101" s="877"/>
      <c r="AN101" s="877"/>
      <c r="AO101" s="877"/>
      <c r="AP101" s="877"/>
      <c r="AQ101" s="877"/>
      <c r="AR101" s="877"/>
      <c r="AS101" s="877"/>
      <c r="AT101" s="877"/>
      <c r="AU101" s="877"/>
      <c r="AV101" s="877"/>
      <c r="AW101" s="877"/>
      <c r="AX101" s="877"/>
      <c r="AY101" s="877"/>
      <c r="AZ101" s="877"/>
      <c r="BA101" s="877"/>
      <c r="BE101" s="166"/>
    </row>
    <row r="102" spans="2:57" s="589" customFormat="1" ht="30.6" customHeight="1">
      <c r="B102" s="939" t="s">
        <v>765</v>
      </c>
      <c r="D102" s="879"/>
      <c r="E102" s="879"/>
      <c r="F102" s="879"/>
      <c r="G102" s="879"/>
      <c r="H102" s="879"/>
      <c r="I102" s="879"/>
      <c r="J102" s="166"/>
      <c r="K102" s="166">
        <f>K101/K14</f>
        <v>5.1691098490924216E-2</v>
      </c>
      <c r="L102" s="166">
        <f t="shared" ref="L102:Z102" si="81">L101/L14</f>
        <v>4.8801334464156861E-2</v>
      </c>
      <c r="M102" s="166">
        <f t="shared" si="81"/>
        <v>4.2594868479210124E-2</v>
      </c>
      <c r="N102" s="166">
        <f t="shared" si="81"/>
        <v>4.3850274432115831E-2</v>
      </c>
      <c r="O102" s="166">
        <f t="shared" si="81"/>
        <v>6.3691084477483728E-2</v>
      </c>
      <c r="P102" s="166">
        <f t="shared" si="81"/>
        <v>6.9531767219579016E-2</v>
      </c>
      <c r="Q102" s="244">
        <f t="shared" si="81"/>
        <v>5.474601700953844E-2</v>
      </c>
      <c r="R102" s="244">
        <f t="shared" si="81"/>
        <v>5.4970452976160426E-2</v>
      </c>
      <c r="S102" s="244">
        <f t="shared" si="81"/>
        <v>5.5497572587003365E-2</v>
      </c>
      <c r="T102" s="244">
        <f t="shared" si="81"/>
        <v>5.7105359589356711E-2</v>
      </c>
      <c r="U102" s="244">
        <f t="shared" si="81"/>
        <v>5.9245074096991431E-2</v>
      </c>
      <c r="V102" s="244">
        <f t="shared" si="81"/>
        <v>5.8504853341998612E-2</v>
      </c>
      <c r="W102" s="244">
        <f t="shared" si="81"/>
        <v>5.6689669162977518E-2</v>
      </c>
      <c r="X102" s="244">
        <f t="shared" si="81"/>
        <v>5.699826099647054E-2</v>
      </c>
      <c r="Y102" s="244">
        <f t="shared" si="81"/>
        <v>5.7338917527717109E-2</v>
      </c>
      <c r="Z102" s="244">
        <f t="shared" si="81"/>
        <v>5.7649132729955088E-2</v>
      </c>
      <c r="AA102" s="947"/>
      <c r="AB102" s="947"/>
      <c r="AC102" s="881"/>
      <c r="AD102" s="881"/>
      <c r="AE102" s="881"/>
      <c r="AF102" s="881"/>
      <c r="AG102" s="881"/>
      <c r="AH102" s="881"/>
      <c r="AI102" s="881"/>
      <c r="AJ102" s="881"/>
      <c r="AK102" s="881"/>
      <c r="AL102" s="881"/>
      <c r="AM102" s="881"/>
      <c r="AN102" s="881"/>
      <c r="AO102" s="881"/>
      <c r="AP102" s="881"/>
      <c r="AQ102" s="881"/>
      <c r="AR102" s="881"/>
      <c r="AS102" s="881"/>
      <c r="AT102" s="881"/>
      <c r="AU102" s="881"/>
      <c r="AV102" s="881"/>
      <c r="AW102" s="881"/>
      <c r="AX102" s="881"/>
      <c r="AY102" s="881"/>
      <c r="AZ102" s="881"/>
      <c r="BA102" s="881"/>
      <c r="BC102" s="2711"/>
      <c r="BD102" s="88"/>
      <c r="BE102" s="166"/>
    </row>
    <row r="103" spans="2:57" s="95" customFormat="1" ht="28.2" customHeight="1">
      <c r="B103" s="940" t="s">
        <v>1444</v>
      </c>
      <c r="J103" s="174"/>
      <c r="K103" s="174">
        <f>41729489841/D100</f>
        <v>41.729489841000003</v>
      </c>
      <c r="L103" s="174">
        <f>47651223228/D100</f>
        <v>47.651223227999999</v>
      </c>
      <c r="M103" s="174">
        <f>53627510921/D100</f>
        <v>53.627510921000002</v>
      </c>
      <c r="N103" s="174">
        <f>51034609414/D100</f>
        <v>51.034609414000002</v>
      </c>
      <c r="O103" s="174">
        <f>71214237760/D100</f>
        <v>71.214237760000003</v>
      </c>
      <c r="P103" s="853">
        <f>79647797903/D100</f>
        <v>79.647797902999997</v>
      </c>
      <c r="Q103" s="854">
        <f>Q14*Q104</f>
        <v>94.567757248083169</v>
      </c>
      <c r="R103" s="854">
        <f t="shared" ref="R103:Z103" si="82">R14*R104</f>
        <v>97.276378363780836</v>
      </c>
      <c r="S103" s="854">
        <f t="shared" si="82"/>
        <v>96.62221246306585</v>
      </c>
      <c r="T103" s="854">
        <f t="shared" si="82"/>
        <v>112.45015352092844</v>
      </c>
      <c r="U103" s="854">
        <f t="shared" si="82"/>
        <v>115.47774869176801</v>
      </c>
      <c r="V103" s="854">
        <f t="shared" si="82"/>
        <v>106.78244921384584</v>
      </c>
      <c r="W103" s="854">
        <f t="shared" si="82"/>
        <v>108.72132388659647</v>
      </c>
      <c r="X103" s="854">
        <f t="shared" si="82"/>
        <v>110.58718120268124</v>
      </c>
      <c r="Y103" s="854">
        <f t="shared" si="82"/>
        <v>116.06199732238636</v>
      </c>
      <c r="Z103" s="854">
        <f t="shared" si="82"/>
        <v>117.99532648214223</v>
      </c>
      <c r="AA103" s="855"/>
      <c r="AB103" s="855"/>
      <c r="AC103" s="855"/>
      <c r="AD103" s="855"/>
      <c r="AE103" s="855"/>
      <c r="AF103" s="855"/>
      <c r="AG103" s="855"/>
      <c r="AH103" s="855"/>
      <c r="AI103" s="855"/>
      <c r="AJ103" s="855"/>
      <c r="AK103" s="855"/>
      <c r="AL103" s="855"/>
      <c r="AM103" s="855"/>
      <c r="AN103" s="855"/>
      <c r="AO103" s="855"/>
      <c r="AP103" s="855"/>
      <c r="AQ103" s="855"/>
      <c r="AR103" s="855"/>
      <c r="AS103" s="855"/>
      <c r="AT103" s="855"/>
      <c r="AU103" s="855"/>
      <c r="AV103" s="855"/>
      <c r="AW103" s="855"/>
      <c r="AX103" s="855"/>
      <c r="AY103" s="855"/>
      <c r="AZ103" s="855"/>
      <c r="BA103" s="855"/>
      <c r="BC103" s="2711"/>
    </row>
    <row r="104" spans="2:57" s="95" customFormat="1" ht="28.2" customHeight="1">
      <c r="B104" s="941" t="s">
        <v>767</v>
      </c>
      <c r="D104" s="166"/>
      <c r="E104" s="166"/>
      <c r="F104" s="166"/>
      <c r="G104" s="166"/>
      <c r="H104" s="166"/>
      <c r="I104" s="166"/>
      <c r="J104" s="166"/>
      <c r="K104" s="166">
        <f>K103/K14</f>
        <v>5.9249873320513773E-3</v>
      </c>
      <c r="L104" s="166">
        <f t="shared" ref="L104:P104" si="83">L103/L14</f>
        <v>6.3020089330390527E-3</v>
      </c>
      <c r="M104" s="166">
        <f t="shared" si="83"/>
        <v>5.4335156213129281E-3</v>
      </c>
      <c r="N104" s="166">
        <f t="shared" si="83"/>
        <v>3.2047802623288973E-3</v>
      </c>
      <c r="O104" s="166">
        <f t="shared" si="83"/>
        <v>5.6651683953730277E-3</v>
      </c>
      <c r="P104" s="867">
        <f t="shared" si="83"/>
        <v>5.4595987964741162E-3</v>
      </c>
      <c r="Q104" s="244">
        <f>AVERAGE(K104:P104)</f>
        <v>5.3316765567632332E-3</v>
      </c>
      <c r="R104" s="244">
        <f t="shared" ref="R104:Z104" si="84">AVERAGE(L104:Q104)</f>
        <v>5.2327914275485431E-3</v>
      </c>
      <c r="S104" s="244">
        <f t="shared" si="84"/>
        <v>5.0545885099667906E-3</v>
      </c>
      <c r="T104" s="244">
        <f t="shared" si="84"/>
        <v>4.9914339914091015E-3</v>
      </c>
      <c r="U104" s="244">
        <f t="shared" si="84"/>
        <v>5.2892096129224684E-3</v>
      </c>
      <c r="V104" s="244">
        <f t="shared" si="84"/>
        <v>5.2265498158473754E-3</v>
      </c>
      <c r="W104" s="244">
        <f t="shared" si="84"/>
        <v>5.1877083190762516E-3</v>
      </c>
      <c r="X104" s="244">
        <f t="shared" si="84"/>
        <v>5.1637136127950884E-3</v>
      </c>
      <c r="Y104" s="244">
        <f t="shared" si="84"/>
        <v>5.1522006436695127E-3</v>
      </c>
      <c r="Z104" s="244">
        <f t="shared" si="84"/>
        <v>5.1684693326199665E-3</v>
      </c>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row>
    <row r="105" spans="2:57" s="95" customFormat="1" ht="34.200000000000003" customHeight="1">
      <c r="B105" s="940" t="s">
        <v>1445</v>
      </c>
      <c r="J105" s="174"/>
      <c r="K105" s="174">
        <f>159016645857/D100</f>
        <v>159.01664585699999</v>
      </c>
      <c r="L105" s="174">
        <f>174316931256/D100</f>
        <v>174.316931256</v>
      </c>
      <c r="M105" s="174">
        <f>86281217917/D100</f>
        <v>86.281217917000006</v>
      </c>
      <c r="N105" s="174">
        <f>282963154121/D100</f>
        <v>282.963154121</v>
      </c>
      <c r="O105" s="174">
        <f>299880797451/D100</f>
        <v>299.88079745099998</v>
      </c>
      <c r="P105" s="853">
        <f>336808533230/D100</f>
        <v>336.80853323000002</v>
      </c>
      <c r="Q105" s="854">
        <f>Q14*Q106</f>
        <v>352.0371924395763</v>
      </c>
      <c r="R105" s="854">
        <f t="shared" ref="R105:Z105" si="85">R14*R106</f>
        <v>360.50370239991503</v>
      </c>
      <c r="S105" s="854">
        <f t="shared" si="85"/>
        <v>359.03890423065809</v>
      </c>
      <c r="T105" s="854">
        <f t="shared" si="85"/>
        <v>460.84032905571121</v>
      </c>
      <c r="U105" s="854">
        <f t="shared" si="85"/>
        <v>456.38120727170923</v>
      </c>
      <c r="V105" s="854">
        <f t="shared" si="85"/>
        <v>417.02295589240003</v>
      </c>
      <c r="W105" s="854">
        <f t="shared" si="85"/>
        <v>418.42825505374662</v>
      </c>
      <c r="X105" s="854">
        <f t="shared" si="85"/>
        <v>428.00786043850707</v>
      </c>
      <c r="Y105" s="854">
        <f t="shared" si="85"/>
        <v>452.42595557815616</v>
      </c>
      <c r="Z105" s="854">
        <f t="shared" si="85"/>
        <v>463.46721059641527</v>
      </c>
      <c r="AA105" s="854"/>
      <c r="AB105" s="855"/>
      <c r="AC105" s="855"/>
      <c r="AD105" s="855"/>
      <c r="AE105" s="855"/>
      <c r="AF105" s="855"/>
      <c r="AG105" s="855"/>
      <c r="AH105" s="855"/>
      <c r="AI105" s="855"/>
      <c r="AJ105" s="855"/>
      <c r="AK105" s="855"/>
      <c r="AL105" s="855"/>
      <c r="AM105" s="855"/>
      <c r="AN105" s="855"/>
      <c r="AO105" s="855"/>
      <c r="AP105" s="855"/>
      <c r="AQ105" s="855"/>
      <c r="AR105" s="855"/>
      <c r="AS105" s="855"/>
      <c r="AT105" s="855"/>
      <c r="AU105" s="855"/>
      <c r="AV105" s="855"/>
      <c r="AW105" s="855"/>
      <c r="AX105" s="855"/>
      <c r="AY105" s="855"/>
      <c r="AZ105" s="855"/>
      <c r="BA105" s="855"/>
    </row>
    <row r="106" spans="2:57" s="95" customFormat="1" ht="39" customHeight="1">
      <c r="B106" s="941" t="s">
        <v>767</v>
      </c>
      <c r="D106" s="166"/>
      <c r="E106" s="166"/>
      <c r="F106" s="166"/>
      <c r="G106" s="166"/>
      <c r="H106" s="166"/>
      <c r="I106" s="166"/>
      <c r="J106" s="166"/>
      <c r="K106" s="166">
        <f>K105/K14</f>
        <v>2.2578076460506448E-2</v>
      </c>
      <c r="L106" s="166">
        <f t="shared" ref="L106:P106" si="86">L105/L14</f>
        <v>2.3053906773787859E-2</v>
      </c>
      <c r="M106" s="166">
        <f t="shared" si="86"/>
        <v>8.7419747313751042E-3</v>
      </c>
      <c r="N106" s="166">
        <f t="shared" si="86"/>
        <v>1.7769014825545902E-2</v>
      </c>
      <c r="O106" s="166">
        <f t="shared" si="86"/>
        <v>2.385583655088841E-2</v>
      </c>
      <c r="P106" s="867">
        <f t="shared" si="86"/>
        <v>2.3087135000319437E-2</v>
      </c>
      <c r="Q106" s="244">
        <f>AVERAGE(K106:P106)</f>
        <v>1.984765739040386E-2</v>
      </c>
      <c r="R106" s="244">
        <f t="shared" ref="R106:Z106" si="87">AVERAGE(L106:Q106)</f>
        <v>1.9392587545386763E-2</v>
      </c>
      <c r="S106" s="244">
        <f t="shared" si="87"/>
        <v>1.878236767398658E-2</v>
      </c>
      <c r="T106" s="244">
        <f t="shared" si="87"/>
        <v>2.045576649775516E-2</v>
      </c>
      <c r="U106" s="244">
        <f t="shared" si="87"/>
        <v>2.090355844312337E-2</v>
      </c>
      <c r="V106" s="244">
        <f t="shared" si="87"/>
        <v>2.0411512091829197E-2</v>
      </c>
      <c r="W106" s="244">
        <f t="shared" si="87"/>
        <v>1.9965574940414153E-2</v>
      </c>
      <c r="X106" s="244">
        <f t="shared" si="87"/>
        <v>1.9985227865415872E-2</v>
      </c>
      <c r="Y106" s="244">
        <f t="shared" si="87"/>
        <v>2.0084001252087386E-2</v>
      </c>
      <c r="Z106" s="244">
        <f t="shared" si="87"/>
        <v>2.0300940181770855E-2</v>
      </c>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row>
    <row r="107" spans="2:57" s="95" customFormat="1" ht="30" customHeight="1">
      <c r="B107" s="940" t="s">
        <v>1446</v>
      </c>
      <c r="J107" s="174"/>
      <c r="K107" s="174">
        <f>53102728030/D100</f>
        <v>53.102728030000002</v>
      </c>
      <c r="L107" s="174">
        <f>56288023466/D100</f>
        <v>56.288023465999999</v>
      </c>
      <c r="M107" s="174">
        <f>106443848845/D100</f>
        <v>106.44384884500001</v>
      </c>
      <c r="N107" s="174">
        <f>197520179576/D100</f>
        <v>197.520179576</v>
      </c>
      <c r="O107" s="174">
        <f>246392482098/D100</f>
        <v>246.39248209799999</v>
      </c>
      <c r="P107" s="853">
        <f>341235698819/D100</f>
        <v>341.23569881899999</v>
      </c>
      <c r="Q107" s="854">
        <f>Q14*Q108</f>
        <v>239.93330883300516</v>
      </c>
      <c r="R107" s="854">
        <f t="shared" ref="R107:Z107" si="88">R14*R108</f>
        <v>270.02042029402014</v>
      </c>
      <c r="S107" s="854">
        <f t="shared" si="88"/>
        <v>300.21997277099433</v>
      </c>
      <c r="T107" s="854">
        <f t="shared" si="88"/>
        <v>372.29609512029708</v>
      </c>
      <c r="U107" s="854">
        <f t="shared" si="88"/>
        <v>375.79452753569404</v>
      </c>
      <c r="V107" s="854">
        <f t="shared" si="88"/>
        <v>343.53127868401191</v>
      </c>
      <c r="W107" s="854">
        <f t="shared" si="88"/>
        <v>329.41755828770374</v>
      </c>
      <c r="X107" s="854">
        <f t="shared" si="88"/>
        <v>344.44870214354557</v>
      </c>
      <c r="Y107" s="854">
        <f t="shared" si="88"/>
        <v>368.15972961368749</v>
      </c>
      <c r="Z107" s="854">
        <f t="shared" si="88"/>
        <v>375.54144889219407</v>
      </c>
      <c r="AA107" s="854"/>
      <c r="AB107" s="855"/>
      <c r="AC107" s="855"/>
      <c r="AD107" s="855"/>
      <c r="AE107" s="855"/>
      <c r="AF107" s="855"/>
      <c r="AG107" s="855"/>
      <c r="AH107" s="855"/>
      <c r="AI107" s="855"/>
      <c r="AJ107" s="855"/>
      <c r="AK107" s="855"/>
      <c r="AL107" s="855"/>
      <c r="AM107" s="855"/>
      <c r="AN107" s="855"/>
      <c r="AO107" s="855"/>
      <c r="AP107" s="855"/>
      <c r="AQ107" s="855"/>
      <c r="AR107" s="855"/>
      <c r="AS107" s="855"/>
      <c r="AT107" s="855"/>
      <c r="AU107" s="855"/>
      <c r="AV107" s="855"/>
      <c r="AW107" s="855"/>
      <c r="AX107" s="855"/>
      <c r="AY107" s="855"/>
      <c r="AZ107" s="855"/>
      <c r="BA107" s="855"/>
    </row>
    <row r="108" spans="2:57" s="95" customFormat="1" ht="24.75" customHeight="1">
      <c r="B108" s="941" t="s">
        <v>767</v>
      </c>
      <c r="D108" s="166"/>
      <c r="E108" s="166"/>
      <c r="F108" s="166"/>
      <c r="G108" s="166"/>
      <c r="H108" s="166"/>
      <c r="I108" s="166"/>
      <c r="J108" s="166"/>
      <c r="K108" s="166">
        <f>K107/K14</f>
        <v>7.5398235653958753E-3</v>
      </c>
      <c r="L108" s="166">
        <f t="shared" ref="L108:P108" si="89">L107/L14</f>
        <v>7.4442501718907572E-3</v>
      </c>
      <c r="M108" s="166">
        <f t="shared" si="89"/>
        <v>1.0784843554346243E-2</v>
      </c>
      <c r="N108" s="166">
        <f t="shared" si="89"/>
        <v>1.2403519497558356E-2</v>
      </c>
      <c r="O108" s="166">
        <f t="shared" si="89"/>
        <v>1.9600784145767203E-2</v>
      </c>
      <c r="P108" s="867">
        <f t="shared" si="89"/>
        <v>2.339060287460935E-2</v>
      </c>
      <c r="Q108" s="244">
        <f>AVERAGE(K108:P108)</f>
        <v>1.3527303968261297E-2</v>
      </c>
      <c r="R108" s="244">
        <f t="shared" ref="R108:Z108" si="90">AVERAGE(L108:Q108)</f>
        <v>1.4525217368738868E-2</v>
      </c>
      <c r="S108" s="244">
        <f t="shared" si="90"/>
        <v>1.5705378568213552E-2</v>
      </c>
      <c r="T108" s="244">
        <f t="shared" si="90"/>
        <v>1.6525467737191438E-2</v>
      </c>
      <c r="U108" s="244">
        <f t="shared" si="90"/>
        <v>1.7212459110463617E-2</v>
      </c>
      <c r="V108" s="244">
        <f t="shared" si="90"/>
        <v>1.681440493791302E-2</v>
      </c>
      <c r="W108" s="244">
        <f t="shared" si="90"/>
        <v>1.5718371948463629E-2</v>
      </c>
      <c r="X108" s="244">
        <f t="shared" si="90"/>
        <v>1.6083549945164019E-2</v>
      </c>
      <c r="Y108" s="244">
        <f t="shared" si="90"/>
        <v>1.6343272041234879E-2</v>
      </c>
      <c r="Z108" s="244">
        <f t="shared" si="90"/>
        <v>1.644958762007177E-2</v>
      </c>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row>
    <row r="109" spans="2:57" s="95" customFormat="1" ht="30" customHeight="1">
      <c r="B109" s="940" t="s">
        <v>1447</v>
      </c>
      <c r="J109" s="174"/>
      <c r="K109" s="174">
        <f>14457600000/D100</f>
        <v>14.457599999999999</v>
      </c>
      <c r="L109" s="174">
        <f>13037400790/D100</f>
        <v>13.03740079</v>
      </c>
      <c r="M109" s="174">
        <f>57412538334/D100</f>
        <v>57.412538333999997</v>
      </c>
      <c r="N109" s="174">
        <f>38671503413/D100</f>
        <v>38.671503413000003</v>
      </c>
      <c r="O109" s="174">
        <f>67577857639/D100</f>
        <v>67.577857639000001</v>
      </c>
      <c r="P109" s="853">
        <f>86928198091/D100</f>
        <v>86.928198090999999</v>
      </c>
      <c r="Q109" s="854">
        <f>Q14*Q110</f>
        <v>69.046982461808611</v>
      </c>
      <c r="R109" s="854">
        <f t="shared" ref="R109:Z109" si="91">R14*R110</f>
        <v>78.06784489942649</v>
      </c>
      <c r="S109" s="854">
        <f t="shared" si="91"/>
        <v>88.162792046323688</v>
      </c>
      <c r="T109" s="854">
        <f t="shared" si="91"/>
        <v>99.378836895883907</v>
      </c>
      <c r="U109" s="854">
        <f t="shared" si="91"/>
        <v>103.52394952686571</v>
      </c>
      <c r="V109" s="854">
        <f t="shared" si="91"/>
        <v>94.716892160842676</v>
      </c>
      <c r="W109" s="854">
        <f t="shared" si="91"/>
        <v>92.538811760715433</v>
      </c>
      <c r="X109" s="854">
        <f t="shared" si="91"/>
        <v>96.430114582391184</v>
      </c>
      <c r="Y109" s="854">
        <f t="shared" si="91"/>
        <v>102.56841740795717</v>
      </c>
      <c r="Z109" s="854">
        <f t="shared" si="91"/>
        <v>103.72480083606975</v>
      </c>
      <c r="AA109" s="854"/>
      <c r="AB109" s="855"/>
      <c r="AC109" s="855"/>
      <c r="AD109" s="855"/>
      <c r="AE109" s="855"/>
      <c r="AF109" s="855"/>
      <c r="AG109" s="855"/>
      <c r="AH109" s="855"/>
      <c r="AI109" s="855"/>
      <c r="AJ109" s="855"/>
      <c r="AK109" s="855"/>
      <c r="AL109" s="855"/>
      <c r="AM109" s="855"/>
      <c r="AN109" s="855"/>
      <c r="AO109" s="855"/>
      <c r="AP109" s="855"/>
      <c r="AQ109" s="855"/>
      <c r="AR109" s="855"/>
      <c r="AS109" s="855"/>
      <c r="AT109" s="855"/>
      <c r="AU109" s="855"/>
      <c r="AV109" s="855"/>
      <c r="AW109" s="855"/>
      <c r="AX109" s="855"/>
      <c r="AY109" s="855"/>
      <c r="AZ109" s="855"/>
      <c r="BA109" s="855"/>
    </row>
    <row r="110" spans="2:57" s="95" customFormat="1" ht="22.5" customHeight="1">
      <c r="B110" s="941" t="s">
        <v>767</v>
      </c>
      <c r="D110" s="166"/>
      <c r="E110" s="166"/>
      <c r="F110" s="166"/>
      <c r="G110" s="166"/>
      <c r="H110" s="166"/>
      <c r="I110" s="166"/>
      <c r="J110" s="166"/>
      <c r="K110" s="166">
        <f>K109/K14</f>
        <v>2.0527712459044341E-3</v>
      </c>
      <c r="L110" s="166">
        <f t="shared" ref="L110:P110" si="92">L109/L14</f>
        <v>1.7242330978381238E-3</v>
      </c>
      <c r="M110" s="166">
        <f t="shared" si="92"/>
        <v>5.8170129200394985E-3</v>
      </c>
      <c r="N110" s="166">
        <f t="shared" si="92"/>
        <v>2.4284240102084341E-3</v>
      </c>
      <c r="O110" s="166">
        <f t="shared" si="92"/>
        <v>5.3758904871480089E-3</v>
      </c>
      <c r="P110" s="867">
        <f t="shared" si="92"/>
        <v>5.9586466691179066E-3</v>
      </c>
      <c r="Q110" s="244">
        <f>AVERAGE(K110:P110)</f>
        <v>3.8928297383760677E-3</v>
      </c>
      <c r="R110" s="244">
        <f t="shared" ref="R110:Z110" si="93">AVERAGE(L110:Q110)</f>
        <v>4.1995061537880071E-3</v>
      </c>
      <c r="S110" s="244">
        <f t="shared" si="93"/>
        <v>4.6120516631129871E-3</v>
      </c>
      <c r="T110" s="244">
        <f t="shared" si="93"/>
        <v>4.4112247869585687E-3</v>
      </c>
      <c r="U110" s="244">
        <f t="shared" si="93"/>
        <v>4.7416915830835911E-3</v>
      </c>
      <c r="V110" s="244">
        <f t="shared" si="93"/>
        <v>4.635991765739522E-3</v>
      </c>
      <c r="W110" s="244">
        <f t="shared" si="93"/>
        <v>4.4155492818431239E-3</v>
      </c>
      <c r="X110" s="244">
        <f t="shared" si="93"/>
        <v>4.5026692057542998E-3</v>
      </c>
      <c r="Y110" s="244">
        <f t="shared" si="93"/>
        <v>4.5531963810820156E-3</v>
      </c>
      <c r="Z110" s="244">
        <f t="shared" si="93"/>
        <v>4.5433871674101867E-3</v>
      </c>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row>
    <row r="111" spans="2:57" s="95" customFormat="1" ht="22.5" customHeight="1">
      <c r="B111" s="940" t="s">
        <v>1448</v>
      </c>
      <c r="D111" s="166"/>
      <c r="E111" s="166"/>
      <c r="F111" s="166"/>
      <c r="G111" s="166"/>
      <c r="H111" s="166"/>
      <c r="I111" s="166"/>
      <c r="J111" s="166"/>
      <c r="K111" s="174">
        <f>34490279782/D100</f>
        <v>34.490279782000002</v>
      </c>
      <c r="L111" s="174">
        <f>15676718449/D100</f>
        <v>15.676718449000001</v>
      </c>
      <c r="M111" s="174">
        <f>18826047196/D100</f>
        <v>18.826047196000001</v>
      </c>
      <c r="N111" s="174">
        <f>13793086855 /D100</f>
        <v>13.793086855</v>
      </c>
      <c r="O111" s="174">
        <f>16458026303/D100</f>
        <v>16.458026303</v>
      </c>
      <c r="P111" s="853">
        <f>24260635186/D100</f>
        <v>24.260635185999998</v>
      </c>
      <c r="Q111" s="854">
        <f>Q14*Q112</f>
        <v>37.591296274614962</v>
      </c>
      <c r="R111" s="854">
        <f t="shared" ref="R111:Z111" si="94">R14*R112</f>
        <v>30.792426932933797</v>
      </c>
      <c r="S111" s="854">
        <f t="shared" si="94"/>
        <v>30.335523492735181</v>
      </c>
      <c r="T111" s="854">
        <f t="shared" si="94"/>
        <v>34.54813171406412</v>
      </c>
      <c r="U111" s="854">
        <f t="shared" si="94"/>
        <v>35.909326680125105</v>
      </c>
      <c r="V111" s="854">
        <f t="shared" si="94"/>
        <v>34.745906775197717</v>
      </c>
      <c r="W111" s="854">
        <f t="shared" si="94"/>
        <v>35.773274012462267</v>
      </c>
      <c r="X111" s="854">
        <f t="shared" si="94"/>
        <v>35.084174365472364</v>
      </c>
      <c r="Y111" s="854">
        <f t="shared" si="94"/>
        <v>36.834983930357076</v>
      </c>
      <c r="Z111" s="854">
        <f t="shared" si="94"/>
        <v>37.514215692769682</v>
      </c>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row>
    <row r="112" spans="2:57" s="95" customFormat="1" ht="22.5" customHeight="1">
      <c r="B112" s="941" t="s">
        <v>767</v>
      </c>
      <c r="D112" s="166"/>
      <c r="E112" s="166"/>
      <c r="F112" s="166"/>
      <c r="G112" s="166"/>
      <c r="H112" s="166"/>
      <c r="I112" s="166"/>
      <c r="J112" s="166"/>
      <c r="K112" s="166">
        <f>K111/K14</f>
        <v>4.8971236304565522E-3</v>
      </c>
      <c r="L112" s="166">
        <f t="shared" ref="L112:P112" si="95">L111/L14</f>
        <v>2.0732903168849612E-3</v>
      </c>
      <c r="M112" s="166">
        <f t="shared" si="95"/>
        <v>1.9074467520547196E-3</v>
      </c>
      <c r="N112" s="166">
        <f t="shared" si="95"/>
        <v>8.6615363607281794E-4</v>
      </c>
      <c r="O112" s="166">
        <f t="shared" si="95"/>
        <v>1.3092535059659619E-3</v>
      </c>
      <c r="P112" s="867">
        <f t="shared" si="95"/>
        <v>1.6629880316903806E-3</v>
      </c>
      <c r="Q112" s="244">
        <f>AVERAGE(K112:P112)</f>
        <v>2.1193759788542322E-3</v>
      </c>
      <c r="R112" s="244">
        <f t="shared" ref="R112:Z112" si="96">AVERAGE(L112:Q112)</f>
        <v>1.6564180369205122E-3</v>
      </c>
      <c r="S112" s="244">
        <f t="shared" si="96"/>
        <v>1.5869393235931038E-3</v>
      </c>
      <c r="T112" s="244">
        <f t="shared" si="96"/>
        <v>1.5335214188495015E-3</v>
      </c>
      <c r="U112" s="244">
        <f t="shared" si="96"/>
        <v>1.6447493826456155E-3</v>
      </c>
      <c r="V112" s="244">
        <f t="shared" si="96"/>
        <v>1.7006653620922246E-3</v>
      </c>
      <c r="W112" s="244">
        <f t="shared" si="96"/>
        <v>1.7069449171591984E-3</v>
      </c>
      <c r="X112" s="244">
        <f t="shared" si="96"/>
        <v>1.6382064068766926E-3</v>
      </c>
      <c r="Y112" s="244">
        <f t="shared" si="96"/>
        <v>1.6351711352027229E-3</v>
      </c>
      <c r="Z112" s="244">
        <f t="shared" si="96"/>
        <v>1.6432097704709929E-3</v>
      </c>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row>
    <row r="113" spans="2:57" s="95" customFormat="1" ht="22.5" customHeight="1">
      <c r="B113" s="940" t="s">
        <v>1449</v>
      </c>
      <c r="D113" s="166"/>
      <c r="E113" s="166"/>
      <c r="F113" s="166"/>
      <c r="G113" s="166"/>
      <c r="H113" s="166"/>
      <c r="I113" s="166"/>
      <c r="J113" s="166"/>
      <c r="K113" s="174">
        <f>1096379858/D100</f>
        <v>1.0963798579999999</v>
      </c>
      <c r="L113" s="174">
        <f>3536378703/D100</f>
        <v>3.536378703</v>
      </c>
      <c r="M113" s="174">
        <f>5713708158/D100</f>
        <v>5.7137081580000002</v>
      </c>
      <c r="N113" s="174">
        <f>5805533279/D100</f>
        <v>5.8055332789999996</v>
      </c>
      <c r="O113" s="174">
        <f>5872019078/D100</f>
        <v>5.8720190780000001</v>
      </c>
      <c r="P113" s="853">
        <f>8292820760/D100</f>
        <v>8.2928207599999997</v>
      </c>
      <c r="Q113" s="854">
        <f>Q14*Q114</f>
        <v>7.6931526787560562</v>
      </c>
      <c r="R113" s="854">
        <f t="shared" ref="R113:Z113" si="97">R14*R114</f>
        <v>8.9245725294415479</v>
      </c>
      <c r="S113" s="854">
        <f t="shared" si="97"/>
        <v>9.2165363920477432</v>
      </c>
      <c r="T113" s="854">
        <f t="shared" si="97"/>
        <v>10.498700908796598</v>
      </c>
      <c r="U113" s="854">
        <f t="shared" si="97"/>
        <v>10.543546294296929</v>
      </c>
      <c r="V113" s="854">
        <f t="shared" si="97"/>
        <v>9.9203170068713682</v>
      </c>
      <c r="W113" s="854">
        <f t="shared" si="97"/>
        <v>9.886544667287767</v>
      </c>
      <c r="X113" s="854">
        <f t="shared" si="97"/>
        <v>10.238607074064216</v>
      </c>
      <c r="Y113" s="854">
        <f t="shared" si="97"/>
        <v>10.761981294330656</v>
      </c>
      <c r="Z113" s="854">
        <f t="shared" si="97"/>
        <v>10.89006965793879</v>
      </c>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row>
    <row r="114" spans="2:57" s="95" customFormat="1" ht="22.5" customHeight="1">
      <c r="B114" s="941" t="s">
        <v>767</v>
      </c>
      <c r="D114" s="166"/>
      <c r="E114" s="166"/>
      <c r="F114" s="166"/>
      <c r="G114" s="166"/>
      <c r="H114" s="166"/>
      <c r="I114" s="166"/>
      <c r="J114" s="166"/>
      <c r="K114" s="166">
        <f>K113/K14</f>
        <v>1.5567016981319072E-4</v>
      </c>
      <c r="L114" s="166">
        <f t="shared" ref="L114:P114" si="98">L113/L14</f>
        <v>4.6769607718736525E-4</v>
      </c>
      <c r="M114" s="166">
        <f t="shared" si="98"/>
        <v>5.7891037638964891E-4</v>
      </c>
      <c r="N114" s="166">
        <f t="shared" si="98"/>
        <v>3.6456551110056786E-4</v>
      </c>
      <c r="O114" s="166">
        <f t="shared" si="98"/>
        <v>4.6712536627609711E-4</v>
      </c>
      <c r="P114" s="867">
        <f t="shared" si="98"/>
        <v>5.6844602654063114E-4</v>
      </c>
      <c r="Q114" s="244">
        <f>AVERAGE(K114:P114)</f>
        <v>4.337355878845835E-4</v>
      </c>
      <c r="R114" s="244">
        <f t="shared" ref="R114:Z114" si="99">AVERAGE(L114:Q114)</f>
        <v>4.8007982422981565E-4</v>
      </c>
      <c r="S114" s="244">
        <f t="shared" si="99"/>
        <v>4.8214378207022405E-4</v>
      </c>
      <c r="T114" s="244">
        <f t="shared" si="99"/>
        <v>4.6601601635031989E-4</v>
      </c>
      <c r="U114" s="244">
        <f t="shared" si="99"/>
        <v>4.8292443389194524E-4</v>
      </c>
      <c r="V114" s="244">
        <f t="shared" si="99"/>
        <v>4.8555761182791994E-4</v>
      </c>
      <c r="W114" s="244">
        <f t="shared" si="99"/>
        <v>4.7174287604246804E-4</v>
      </c>
      <c r="X114" s="244">
        <f t="shared" si="99"/>
        <v>4.7807742406878213E-4</v>
      </c>
      <c r="Y114" s="244">
        <f t="shared" si="99"/>
        <v>4.7774369070860992E-4</v>
      </c>
      <c r="Z114" s="244">
        <f t="shared" si="99"/>
        <v>4.7701034214834084E-4</v>
      </c>
      <c r="AA114" s="244"/>
      <c r="AB114" s="244"/>
      <c r="AC114" s="244"/>
      <c r="AD114" s="244"/>
      <c r="AE114" s="244"/>
      <c r="AF114" s="244"/>
      <c r="AG114" s="244"/>
      <c r="AH114" s="244"/>
      <c r="AI114" s="244"/>
      <c r="AJ114" s="244"/>
      <c r="AK114" s="244"/>
      <c r="AL114" s="244"/>
      <c r="AM114" s="244"/>
      <c r="AN114" s="244"/>
      <c r="AO114" s="244"/>
      <c r="AP114" s="244"/>
      <c r="AQ114" s="244"/>
      <c r="AR114" s="244"/>
      <c r="AS114" s="244"/>
      <c r="AT114" s="244"/>
      <c r="AU114" s="244"/>
      <c r="AV114" s="244"/>
      <c r="AW114" s="244"/>
      <c r="AX114" s="244"/>
      <c r="AY114" s="244"/>
      <c r="AZ114" s="244"/>
      <c r="BA114" s="244"/>
    </row>
    <row r="115" spans="2:57" s="95" customFormat="1" ht="21.75" customHeight="1">
      <c r="B115" s="940" t="s">
        <v>1450</v>
      </c>
      <c r="J115" s="174"/>
      <c r="K115" s="174">
        <f>60165573885/D100</f>
        <v>60.165573885000001</v>
      </c>
      <c r="L115" s="174">
        <f>58493639259/D100</f>
        <v>58.493639258999998</v>
      </c>
      <c r="M115" s="174">
        <f>92096381473/D100</f>
        <v>92.096381472999994</v>
      </c>
      <c r="N115" s="174">
        <f>72834320382/D100</f>
        <v>72.834320382000001</v>
      </c>
      <c r="O115" s="174">
        <f>55803746985/D100</f>
        <v>55.803746984999997</v>
      </c>
      <c r="P115" s="853">
        <f>92003628605/D100</f>
        <v>92.003628605000003</v>
      </c>
      <c r="Q115" s="854">
        <f>Q14*Q116</f>
        <v>120.99352367739256</v>
      </c>
      <c r="R115" s="854">
        <f t="shared" ref="R115:Z115" si="100">R14*R116</f>
        <v>121.47848830135909</v>
      </c>
      <c r="S115" s="854">
        <f t="shared" si="100"/>
        <v>121.08843257938898</v>
      </c>
      <c r="T115" s="854">
        <f t="shared" si="100"/>
        <v>131.45546919103407</v>
      </c>
      <c r="U115" s="854">
        <f t="shared" si="100"/>
        <v>131.98440940838543</v>
      </c>
      <c r="V115" s="854">
        <f t="shared" si="100"/>
        <v>128.97804962244697</v>
      </c>
      <c r="W115" s="854">
        <f t="shared" si="100"/>
        <v>132.32543969670277</v>
      </c>
      <c r="X115" s="854">
        <f t="shared" si="100"/>
        <v>133.41018717524858</v>
      </c>
      <c r="Y115" s="854">
        <f t="shared" si="100"/>
        <v>139.18155878006291</v>
      </c>
      <c r="Z115" s="854">
        <f t="shared" si="100"/>
        <v>140.46115643145887</v>
      </c>
      <c r="AA115" s="854"/>
      <c r="AB115" s="855"/>
      <c r="AC115" s="855"/>
      <c r="AD115" s="855"/>
      <c r="AE115" s="855"/>
      <c r="AF115" s="855"/>
      <c r="AG115" s="855"/>
      <c r="AH115" s="855"/>
      <c r="AI115" s="855"/>
      <c r="AJ115" s="855"/>
      <c r="AK115" s="855"/>
      <c r="AL115" s="855"/>
      <c r="AM115" s="855"/>
      <c r="AN115" s="855"/>
      <c r="AO115" s="855"/>
      <c r="AP115" s="855"/>
      <c r="AQ115" s="855"/>
      <c r="AR115" s="855"/>
      <c r="AS115" s="855"/>
      <c r="AT115" s="855"/>
      <c r="AU115" s="855"/>
      <c r="AV115" s="855"/>
      <c r="AW115" s="855"/>
      <c r="AX115" s="855"/>
      <c r="AY115" s="855"/>
      <c r="AZ115" s="855"/>
      <c r="BA115" s="855"/>
    </row>
    <row r="116" spans="2:57" s="95" customFormat="1" ht="24.75" customHeight="1">
      <c r="B116" s="941" t="s">
        <v>767</v>
      </c>
      <c r="D116" s="166"/>
      <c r="E116" s="166"/>
      <c r="F116" s="166"/>
      <c r="G116" s="166"/>
      <c r="H116" s="166"/>
      <c r="I116" s="166"/>
      <c r="J116" s="166"/>
      <c r="K116" s="166">
        <f>K115/K14</f>
        <v>8.5426460867963367E-3</v>
      </c>
      <c r="L116" s="166">
        <f t="shared" ref="L116:P116" si="101">L115/L14</f>
        <v>7.7359490935287323E-3</v>
      </c>
      <c r="M116" s="166">
        <f t="shared" si="101"/>
        <v>9.3311645236919902E-3</v>
      </c>
      <c r="N116" s="166">
        <f t="shared" si="101"/>
        <v>4.5737195808995615E-3</v>
      </c>
      <c r="O116" s="166">
        <f t="shared" si="101"/>
        <v>4.439247455378716E-3</v>
      </c>
      <c r="P116" s="867">
        <f t="shared" si="101"/>
        <v>6.3065510061539303E-3</v>
      </c>
      <c r="Q116" s="244">
        <f>AVERAGE(K116:P116)</f>
        <v>6.8215462910748773E-3</v>
      </c>
      <c r="R116" s="244">
        <f t="shared" ref="R116:Z116" si="102">AVERAGE(L116:Q116)</f>
        <v>6.534696325121301E-3</v>
      </c>
      <c r="S116" s="244">
        <f t="shared" si="102"/>
        <v>6.33448753038673E-3</v>
      </c>
      <c r="T116" s="244">
        <f t="shared" si="102"/>
        <v>5.8350413648358525E-3</v>
      </c>
      <c r="U116" s="244">
        <f t="shared" si="102"/>
        <v>6.0452616621585681E-3</v>
      </c>
      <c r="V116" s="244">
        <f t="shared" si="102"/>
        <v>6.3129306966218761E-3</v>
      </c>
      <c r="W116" s="244">
        <f t="shared" si="102"/>
        <v>6.3139939783665349E-3</v>
      </c>
      <c r="X116" s="244">
        <f t="shared" si="102"/>
        <v>6.2294019262484771E-3</v>
      </c>
      <c r="Y116" s="244">
        <f t="shared" si="102"/>
        <v>6.1785195264363393E-3</v>
      </c>
      <c r="Z116" s="244">
        <f t="shared" si="102"/>
        <v>6.1525248591112747E-3</v>
      </c>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row>
    <row r="117" spans="2:57" s="95" customFormat="1" ht="24.75" customHeight="1">
      <c r="B117" s="940" t="s">
        <v>1451</v>
      </c>
      <c r="D117" s="166"/>
      <c r="E117" s="166"/>
      <c r="F117" s="166"/>
      <c r="G117" s="166"/>
      <c r="H117" s="166"/>
      <c r="I117" s="166"/>
      <c r="J117" s="166"/>
      <c r="K117" s="174">
        <v>0</v>
      </c>
      <c r="L117" s="174">
        <v>0</v>
      </c>
      <c r="M117" s="174">
        <v>0</v>
      </c>
      <c r="N117" s="174">
        <f>35672486604/D100</f>
        <v>35.672486603999999</v>
      </c>
      <c r="O117" s="174">
        <f>37432290857/D100</f>
        <v>37.432290856999998</v>
      </c>
      <c r="P117" s="853">
        <f>45192488154/D100</f>
        <v>45.192488154000003</v>
      </c>
      <c r="Q117" s="854">
        <f>Q14*Q118</f>
        <v>49.164940802877005</v>
      </c>
      <c r="R117" s="854">
        <f t="shared" ref="R117:Z117" si="103">R14*R118</f>
        <v>54.824131158800746</v>
      </c>
      <c r="S117" s="854">
        <f t="shared" si="103"/>
        <v>56.192933665618931</v>
      </c>
      <c r="T117" s="854">
        <f t="shared" si="103"/>
        <v>65.037617279600212</v>
      </c>
      <c r="U117" s="854">
        <f t="shared" si="103"/>
        <v>63.865459981178766</v>
      </c>
      <c r="V117" s="854">
        <f t="shared" si="103"/>
        <v>59.601487850183759</v>
      </c>
      <c r="W117" s="854">
        <f t="shared" si="103"/>
        <v>60.981734096836888</v>
      </c>
      <c r="X117" s="854">
        <f t="shared" si="103"/>
        <v>62.479967389413723</v>
      </c>
      <c r="Y117" s="854">
        <f t="shared" si="103"/>
        <v>65.661069014144672</v>
      </c>
      <c r="Z117" s="854">
        <f t="shared" si="103"/>
        <v>66.526231863702193</v>
      </c>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row>
    <row r="118" spans="2:57" s="95" customFormat="1" ht="24.75" customHeight="1">
      <c r="B118" s="941" t="s">
        <v>767</v>
      </c>
      <c r="D118" s="166"/>
      <c r="E118" s="166"/>
      <c r="F118" s="166"/>
      <c r="G118" s="166"/>
      <c r="H118" s="166"/>
      <c r="I118" s="166"/>
      <c r="J118" s="166"/>
      <c r="K118" s="166">
        <f>K117/K14</f>
        <v>0</v>
      </c>
      <c r="L118" s="166">
        <f t="shared" ref="L118:P118" si="104">L117/L14</f>
        <v>0</v>
      </c>
      <c r="M118" s="166">
        <f t="shared" si="104"/>
        <v>0</v>
      </c>
      <c r="N118" s="166">
        <f t="shared" si="104"/>
        <v>2.2400971084013004E-3</v>
      </c>
      <c r="O118" s="166">
        <f t="shared" si="104"/>
        <v>2.9777785706862998E-3</v>
      </c>
      <c r="P118" s="867">
        <f t="shared" si="104"/>
        <v>3.0977988146732652E-3</v>
      </c>
      <c r="Q118" s="244">
        <f>AVERAGE(N118:P118)</f>
        <v>2.7718914979202886E-3</v>
      </c>
      <c r="R118" s="244">
        <f t="shared" ref="R118:Z118" si="105">AVERAGE(O118:Q118)</f>
        <v>2.9491562944266177E-3</v>
      </c>
      <c r="S118" s="244">
        <f t="shared" si="105"/>
        <v>2.9396155356733907E-3</v>
      </c>
      <c r="T118" s="244">
        <f t="shared" si="105"/>
        <v>2.8868877760067657E-3</v>
      </c>
      <c r="U118" s="244">
        <f t="shared" si="105"/>
        <v>2.9252198687022579E-3</v>
      </c>
      <c r="V118" s="244">
        <f t="shared" si="105"/>
        <v>2.9172410601274712E-3</v>
      </c>
      <c r="W118" s="244">
        <f t="shared" si="105"/>
        <v>2.9097829016121648E-3</v>
      </c>
      <c r="X118" s="244">
        <f t="shared" si="105"/>
        <v>2.9174146101472978E-3</v>
      </c>
      <c r="Y118" s="244">
        <f t="shared" si="105"/>
        <v>2.9148128572956448E-3</v>
      </c>
      <c r="Z118" s="244">
        <f t="shared" si="105"/>
        <v>2.9140034563517026E-3</v>
      </c>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row>
    <row r="119" spans="2:57" s="95" customFormat="1" ht="24.75" customHeight="1">
      <c r="B119" s="118" t="s">
        <v>752</v>
      </c>
      <c r="D119" s="166"/>
      <c r="E119" s="166"/>
      <c r="F119" s="166"/>
      <c r="G119" s="166"/>
      <c r="H119" s="166"/>
      <c r="I119" s="166"/>
      <c r="K119" s="95">
        <v>0</v>
      </c>
      <c r="L119" s="95">
        <v>0</v>
      </c>
      <c r="M119" s="95">
        <v>0</v>
      </c>
      <c r="N119" s="95">
        <v>0</v>
      </c>
      <c r="O119" s="95">
        <v>0</v>
      </c>
      <c r="P119" s="1005">
        <v>0</v>
      </c>
      <c r="Q119" s="855">
        <f>Q14*Q120</f>
        <v>0</v>
      </c>
      <c r="R119" s="855">
        <f t="shared" ref="R119:Z119" si="106">R14*R120</f>
        <v>0</v>
      </c>
      <c r="S119" s="855">
        <f t="shared" si="106"/>
        <v>0</v>
      </c>
      <c r="T119" s="855">
        <f t="shared" si="106"/>
        <v>0</v>
      </c>
      <c r="U119" s="855">
        <f t="shared" si="106"/>
        <v>0</v>
      </c>
      <c r="V119" s="855">
        <f t="shared" si="106"/>
        <v>0</v>
      </c>
      <c r="W119" s="855">
        <f t="shared" si="106"/>
        <v>0</v>
      </c>
      <c r="X119" s="855">
        <f t="shared" si="106"/>
        <v>0</v>
      </c>
      <c r="Y119" s="855">
        <f t="shared" si="106"/>
        <v>0</v>
      </c>
      <c r="Z119" s="855">
        <f t="shared" si="106"/>
        <v>0</v>
      </c>
      <c r="AA119" s="855"/>
      <c r="AB119" s="176"/>
      <c r="AC119" s="176"/>
      <c r="AD119" s="176"/>
      <c r="AE119" s="176"/>
      <c r="AF119" s="176"/>
      <c r="AG119" s="176"/>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row>
    <row r="120" spans="2:57" s="95" customFormat="1" ht="24.75" customHeight="1">
      <c r="B120" s="941" t="s">
        <v>767</v>
      </c>
      <c r="D120" s="166"/>
      <c r="E120" s="166"/>
      <c r="F120" s="166"/>
      <c r="G120" s="166"/>
      <c r="H120" s="166"/>
      <c r="I120" s="166"/>
      <c r="J120" s="166"/>
      <c r="K120" s="166">
        <f>K119/K14</f>
        <v>0</v>
      </c>
      <c r="L120" s="166">
        <f t="shared" ref="L120:P120" si="107">L119/L14</f>
        <v>0</v>
      </c>
      <c r="M120" s="166">
        <f t="shared" si="107"/>
        <v>0</v>
      </c>
      <c r="N120" s="166">
        <f t="shared" si="107"/>
        <v>0</v>
      </c>
      <c r="O120" s="166">
        <f t="shared" si="107"/>
        <v>0</v>
      </c>
      <c r="P120" s="867">
        <f t="shared" si="107"/>
        <v>0</v>
      </c>
      <c r="Q120" s="244">
        <v>0</v>
      </c>
      <c r="R120" s="244">
        <v>0</v>
      </c>
      <c r="S120" s="244">
        <v>0</v>
      </c>
      <c r="T120" s="244">
        <v>0</v>
      </c>
      <c r="U120" s="244">
        <v>0</v>
      </c>
      <c r="V120" s="244">
        <v>0</v>
      </c>
      <c r="W120" s="244">
        <v>0</v>
      </c>
      <c r="X120" s="244">
        <v>0</v>
      </c>
      <c r="Y120" s="244">
        <v>0</v>
      </c>
      <c r="Z120" s="244">
        <v>0</v>
      </c>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row>
    <row r="121" spans="2:57" s="944" customFormat="1">
      <c r="B121" s="942" t="s">
        <v>772</v>
      </c>
      <c r="C121" s="943"/>
      <c r="D121" s="890"/>
      <c r="E121" s="890"/>
      <c r="F121" s="890"/>
      <c r="G121" s="890"/>
      <c r="H121" s="890"/>
      <c r="I121" s="890"/>
      <c r="J121" s="891"/>
      <c r="K121" s="891"/>
      <c r="L121" s="891"/>
      <c r="M121" s="891"/>
      <c r="N121" s="891"/>
      <c r="O121" s="891"/>
      <c r="P121" s="892"/>
      <c r="Q121" s="893"/>
      <c r="R121" s="893"/>
      <c r="S121" s="893"/>
      <c r="T121" s="893"/>
      <c r="U121" s="893"/>
      <c r="V121" s="893"/>
      <c r="W121" s="893"/>
      <c r="X121" s="893"/>
      <c r="Y121" s="893"/>
      <c r="Z121" s="893"/>
      <c r="AA121" s="893"/>
      <c r="AB121" s="894"/>
      <c r="AC121" s="894"/>
      <c r="AD121" s="894"/>
      <c r="AE121" s="894"/>
      <c r="AF121" s="894"/>
      <c r="AG121" s="894"/>
      <c r="AH121" s="894"/>
      <c r="AI121" s="894"/>
      <c r="AJ121" s="894"/>
      <c r="AK121" s="894"/>
      <c r="AL121" s="894"/>
      <c r="AM121" s="894"/>
      <c r="AN121" s="894"/>
      <c r="AO121" s="894"/>
      <c r="AP121" s="894"/>
      <c r="AQ121" s="894"/>
      <c r="AR121" s="894"/>
      <c r="AS121" s="894"/>
      <c r="AT121" s="894"/>
      <c r="AU121" s="894"/>
      <c r="AV121" s="894"/>
      <c r="AW121" s="894"/>
      <c r="AX121" s="894"/>
      <c r="AY121" s="894"/>
      <c r="AZ121" s="894"/>
      <c r="BA121" s="894"/>
    </row>
    <row r="122" spans="2:57" s="196" customFormat="1" ht="16.5" customHeight="1">
      <c r="B122" s="930" t="s">
        <v>773</v>
      </c>
      <c r="G122" s="897"/>
      <c r="H122" s="897"/>
      <c r="I122" s="897"/>
      <c r="J122" s="897"/>
      <c r="K122" s="897"/>
      <c r="L122" s="897"/>
      <c r="M122" s="897"/>
      <c r="N122" s="897"/>
      <c r="O122" s="897"/>
      <c r="P122" s="898"/>
      <c r="Q122" s="899"/>
      <c r="R122" s="899"/>
      <c r="S122" s="899"/>
      <c r="T122" s="899"/>
      <c r="U122" s="899"/>
      <c r="V122" s="899"/>
      <c r="W122" s="899"/>
      <c r="X122" s="899"/>
      <c r="Y122" s="899"/>
      <c r="Z122" s="899"/>
      <c r="AA122" s="899"/>
      <c r="AB122" s="899"/>
      <c r="AC122" s="899"/>
      <c r="AD122" s="899"/>
      <c r="AE122" s="899"/>
      <c r="AF122" s="899"/>
      <c r="AG122" s="899"/>
      <c r="AH122" s="899"/>
      <c r="AI122" s="899"/>
      <c r="AJ122" s="899"/>
      <c r="AK122" s="899"/>
      <c r="AL122" s="899"/>
      <c r="AM122" s="899"/>
      <c r="AN122" s="899"/>
      <c r="AO122" s="899"/>
      <c r="AP122" s="899"/>
      <c r="AQ122" s="899"/>
      <c r="AR122" s="899"/>
      <c r="AS122" s="899"/>
      <c r="AT122" s="899"/>
      <c r="AU122" s="899"/>
      <c r="AV122" s="899"/>
      <c r="AW122" s="899"/>
      <c r="AX122" s="899"/>
      <c r="AY122" s="899"/>
      <c r="AZ122" s="899"/>
      <c r="BA122" s="899"/>
    </row>
    <row r="123" spans="2:57" s="196" customFormat="1" ht="30" customHeight="1">
      <c r="B123" s="930" t="s">
        <v>765</v>
      </c>
      <c r="D123" s="897" t="str">
        <f t="shared" ref="D123:I123" si="108">IFERROR(D121/D14," ")</f>
        <v xml:space="preserve"> </v>
      </c>
      <c r="E123" s="897" t="str">
        <f t="shared" si="108"/>
        <v xml:space="preserve"> </v>
      </c>
      <c r="F123" s="897" t="str">
        <f t="shared" si="108"/>
        <v xml:space="preserve"> </v>
      </c>
      <c r="G123" s="897" t="str">
        <f t="shared" si="108"/>
        <v xml:space="preserve"> </v>
      </c>
      <c r="H123" s="897" t="str">
        <f t="shared" si="108"/>
        <v xml:space="preserve"> </v>
      </c>
      <c r="I123" s="897" t="str">
        <f t="shared" si="108"/>
        <v xml:space="preserve"> </v>
      </c>
      <c r="J123" s="897"/>
      <c r="K123" s="897"/>
      <c r="L123" s="897"/>
      <c r="M123" s="897"/>
      <c r="N123" s="897"/>
      <c r="O123" s="897"/>
      <c r="P123" s="898"/>
      <c r="Q123" s="899"/>
      <c r="R123" s="899"/>
      <c r="S123" s="899"/>
      <c r="T123" s="899"/>
      <c r="U123" s="899"/>
      <c r="V123" s="899"/>
      <c r="W123" s="899"/>
      <c r="X123" s="899"/>
      <c r="Y123" s="899"/>
      <c r="Z123" s="899"/>
      <c r="AA123" s="899"/>
      <c r="AB123" s="899"/>
      <c r="AC123" s="899"/>
      <c r="AD123" s="899"/>
      <c r="AE123" s="899"/>
      <c r="AF123" s="899"/>
      <c r="AG123" s="899"/>
      <c r="AH123" s="899"/>
      <c r="AI123" s="899"/>
      <c r="AJ123" s="899"/>
      <c r="AK123" s="899"/>
      <c r="AL123" s="899"/>
      <c r="AM123" s="899"/>
      <c r="AN123" s="899"/>
      <c r="AO123" s="899"/>
      <c r="AP123" s="899"/>
      <c r="AQ123" s="899"/>
      <c r="AR123" s="899"/>
      <c r="AS123" s="899"/>
      <c r="AT123" s="899"/>
      <c r="AU123" s="899"/>
      <c r="AV123" s="899"/>
      <c r="AW123" s="899"/>
      <c r="AX123" s="899"/>
      <c r="AY123" s="899"/>
      <c r="AZ123" s="899"/>
      <c r="BA123" s="899"/>
    </row>
    <row r="124" spans="2:57" s="945" customFormat="1" ht="24.6" customHeight="1">
      <c r="P124" s="946"/>
    </row>
    <row r="125" spans="2:57" s="88" customFormat="1" ht="18.75" customHeight="1">
      <c r="B125" s="88" t="s">
        <v>774</v>
      </c>
      <c r="D125" s="938">
        <f>10^9</f>
        <v>1000000000</v>
      </c>
      <c r="H125" s="874"/>
      <c r="J125" s="874"/>
      <c r="K125" s="874">
        <f>SUM(K127,K129,K131,K133,K135,K137)</f>
        <v>201.31920175799999</v>
      </c>
      <c r="L125" s="874">
        <f t="shared" ref="L125:Z125" si="109">SUM(L127,L129,L131,L133,L135,L137)</f>
        <v>304.40666301200002</v>
      </c>
      <c r="M125" s="874">
        <f t="shared" si="109"/>
        <v>528.49173761500003</v>
      </c>
      <c r="N125" s="874">
        <f t="shared" si="109"/>
        <v>652.59425896099992</v>
      </c>
      <c r="O125" s="874">
        <f t="shared" si="109"/>
        <v>548.55688916500003</v>
      </c>
      <c r="P125" s="874">
        <f t="shared" si="109"/>
        <v>481.04700190899996</v>
      </c>
      <c r="Q125" s="876">
        <f t="shared" si="109"/>
        <v>753.72310093011151</v>
      </c>
      <c r="R125" s="876">
        <f t="shared" si="109"/>
        <v>785.98294617644638</v>
      </c>
      <c r="S125" s="876">
        <f t="shared" si="109"/>
        <v>772.06880308722907</v>
      </c>
      <c r="T125" s="876">
        <f t="shared" si="109"/>
        <v>876.01921873541255</v>
      </c>
      <c r="U125" s="876">
        <f t="shared" si="109"/>
        <v>884.59189832110269</v>
      </c>
      <c r="V125" s="876">
        <f t="shared" si="109"/>
        <v>836.85596724021138</v>
      </c>
      <c r="W125" s="876">
        <f t="shared" si="109"/>
        <v>850.60644178935149</v>
      </c>
      <c r="X125" s="876">
        <f t="shared" si="109"/>
        <v>861.75978017471391</v>
      </c>
      <c r="Y125" s="876">
        <f t="shared" si="109"/>
        <v>904.33505913698821</v>
      </c>
      <c r="Z125" s="876">
        <f t="shared" si="109"/>
        <v>921.85283158411858</v>
      </c>
      <c r="AA125" s="982"/>
      <c r="AB125" s="877"/>
      <c r="AC125" s="877"/>
      <c r="AD125" s="877"/>
      <c r="AE125" s="877"/>
      <c r="AF125" s="877"/>
      <c r="AG125" s="877"/>
      <c r="AH125" s="877"/>
      <c r="AI125" s="877"/>
      <c r="AJ125" s="877"/>
      <c r="AK125" s="877"/>
      <c r="AL125" s="877"/>
      <c r="AM125" s="877"/>
      <c r="AN125" s="877"/>
      <c r="AO125" s="877"/>
      <c r="AP125" s="877"/>
      <c r="AQ125" s="877"/>
      <c r="AR125" s="877"/>
      <c r="AS125" s="877"/>
      <c r="AT125" s="877"/>
      <c r="AU125" s="877"/>
      <c r="AV125" s="877"/>
      <c r="AW125" s="877"/>
      <c r="AX125" s="877"/>
      <c r="AY125" s="877"/>
      <c r="AZ125" s="877"/>
      <c r="BA125" s="877"/>
    </row>
    <row r="126" spans="2:57" s="589" customFormat="1" ht="28.95" customHeight="1">
      <c r="B126" s="939" t="s">
        <v>765</v>
      </c>
      <c r="D126" s="879"/>
      <c r="E126" s="879"/>
      <c r="F126" s="879"/>
      <c r="G126" s="879"/>
      <c r="H126" s="879"/>
      <c r="I126" s="879"/>
      <c r="J126" s="879"/>
      <c r="K126" s="879">
        <f>K125/K14</f>
        <v>2.8584430930255075E-2</v>
      </c>
      <c r="L126" s="879">
        <f t="shared" ref="L126:Z126" si="110">L125/L14</f>
        <v>4.0258641428767998E-2</v>
      </c>
      <c r="M126" s="879">
        <f t="shared" si="110"/>
        <v>5.3546548455252627E-2</v>
      </c>
      <c r="N126" s="879">
        <f t="shared" si="110"/>
        <v>4.0980448845242642E-2</v>
      </c>
      <c r="O126" s="879">
        <f t="shared" si="110"/>
        <v>4.3638284271677402E-2</v>
      </c>
      <c r="P126" s="879">
        <f t="shared" si="110"/>
        <v>3.2974215255371614E-2</v>
      </c>
      <c r="Q126" s="947">
        <f t="shared" si="110"/>
        <v>4.2494481253032138E-2</v>
      </c>
      <c r="R126" s="947">
        <f t="shared" si="110"/>
        <v>4.2280406529637181E-2</v>
      </c>
      <c r="S126" s="947">
        <f t="shared" si="110"/>
        <v>4.038916105838769E-2</v>
      </c>
      <c r="T126" s="947">
        <f t="shared" si="110"/>
        <v>3.8884714414460862E-2</v>
      </c>
      <c r="U126" s="947">
        <f t="shared" si="110"/>
        <v>4.0516827052126669E-2</v>
      </c>
      <c r="V126" s="947">
        <f t="shared" si="110"/>
        <v>4.09605645278922E-2</v>
      </c>
      <c r="W126" s="947">
        <f t="shared" si="110"/>
        <v>4.058723676813579E-2</v>
      </c>
      <c r="X126" s="947">
        <f t="shared" si="110"/>
        <v>4.0238666538500972E-2</v>
      </c>
      <c r="Y126" s="947">
        <f t="shared" si="110"/>
        <v>4.0145058514168754E-2</v>
      </c>
      <c r="Z126" s="947">
        <f t="shared" si="110"/>
        <v>4.0379294937181093E-2</v>
      </c>
      <c r="AA126" s="947"/>
      <c r="AB126" s="947"/>
      <c r="AC126" s="881"/>
      <c r="AD126" s="881"/>
      <c r="AE126" s="881"/>
      <c r="AF126" s="881"/>
      <c r="AG126" s="881"/>
      <c r="AH126" s="881"/>
      <c r="AI126" s="881"/>
      <c r="AJ126" s="881"/>
      <c r="AK126" s="881"/>
      <c r="AL126" s="881"/>
      <c r="AM126" s="881"/>
      <c r="AN126" s="881"/>
      <c r="AO126" s="881"/>
      <c r="AP126" s="881"/>
      <c r="AQ126" s="881"/>
      <c r="AR126" s="881"/>
      <c r="AS126" s="881"/>
      <c r="AT126" s="881"/>
      <c r="AU126" s="881"/>
      <c r="AV126" s="881"/>
      <c r="AW126" s="881"/>
      <c r="AX126" s="881"/>
      <c r="AY126" s="881"/>
      <c r="AZ126" s="881"/>
      <c r="BA126" s="881"/>
      <c r="BC126" s="2711"/>
      <c r="BD126" s="88"/>
      <c r="BE126" s="166"/>
    </row>
    <row r="127" spans="2:57" s="589" customFormat="1" ht="22.8" customHeight="1">
      <c r="B127" s="940" t="s">
        <v>1457</v>
      </c>
      <c r="D127" s="879"/>
      <c r="E127" s="879"/>
      <c r="F127" s="879"/>
      <c r="G127" s="879"/>
      <c r="H127" s="879"/>
      <c r="I127" s="879"/>
      <c r="J127" s="95"/>
      <c r="K127" s="174">
        <f>101991691795/D125</f>
        <v>101.99169179499999</v>
      </c>
      <c r="L127" s="174">
        <f>97257123787/D125</f>
        <v>97.257123786999998</v>
      </c>
      <c r="M127" s="174">
        <f>143105770233/D125</f>
        <v>143.10577023299999</v>
      </c>
      <c r="N127" s="174">
        <f>141524882997/D125</f>
        <v>141.52488299699999</v>
      </c>
      <c r="O127" s="174">
        <f>173628220877/D125</f>
        <v>173.62822087699999</v>
      </c>
      <c r="P127" s="853">
        <f>186198887833/D125</f>
        <v>186.19888783299999</v>
      </c>
      <c r="Q127" s="854">
        <f>Q14*Q128</f>
        <v>228.52944533876342</v>
      </c>
      <c r="R127" s="854">
        <f t="shared" ref="R127:Z127" si="111">R14*R128</f>
        <v>234.56932020440311</v>
      </c>
      <c r="S127" s="854">
        <f t="shared" si="111"/>
        <v>240.42773132757389</v>
      </c>
      <c r="T127" s="854">
        <f t="shared" si="111"/>
        <v>276.13674417295596</v>
      </c>
      <c r="U127" s="854">
        <f t="shared" si="111"/>
        <v>279.86913679266354</v>
      </c>
      <c r="V127" s="854">
        <f t="shared" si="111"/>
        <v>258.51503054267727</v>
      </c>
      <c r="W127" s="854">
        <f t="shared" si="111"/>
        <v>264.79503928480136</v>
      </c>
      <c r="X127" s="854">
        <f t="shared" si="111"/>
        <v>269.70043625273763</v>
      </c>
      <c r="Y127" s="854">
        <f t="shared" si="111"/>
        <v>283.59141338904044</v>
      </c>
      <c r="Z127" s="854">
        <f t="shared" si="111"/>
        <v>287.45224214313725</v>
      </c>
      <c r="AA127" s="855"/>
      <c r="AB127" s="855"/>
      <c r="AC127" s="855"/>
      <c r="AD127" s="855"/>
      <c r="AE127" s="855"/>
      <c r="AF127" s="855"/>
      <c r="AG127" s="855"/>
      <c r="AH127" s="855"/>
      <c r="AI127" s="855"/>
      <c r="AJ127" s="855"/>
      <c r="AK127" s="855"/>
      <c r="AL127" s="855"/>
      <c r="AM127" s="855"/>
      <c r="AN127" s="855"/>
      <c r="AO127" s="855"/>
      <c r="AP127" s="855"/>
      <c r="AQ127" s="855"/>
      <c r="AR127" s="855"/>
      <c r="AS127" s="855"/>
      <c r="AT127" s="855"/>
      <c r="AU127" s="855"/>
      <c r="AV127" s="855"/>
      <c r="AW127" s="855"/>
      <c r="AX127" s="855"/>
      <c r="AY127" s="855"/>
      <c r="AZ127" s="855"/>
      <c r="BA127" s="855"/>
      <c r="BC127" s="2711"/>
      <c r="BD127" s="88"/>
      <c r="BE127" s="166"/>
    </row>
    <row r="128" spans="2:57" s="589" customFormat="1" ht="21.6" customHeight="1">
      <c r="B128" s="941" t="s">
        <v>767</v>
      </c>
      <c r="D128" s="879"/>
      <c r="E128" s="879"/>
      <c r="F128" s="879"/>
      <c r="G128" s="879"/>
      <c r="H128" s="879"/>
      <c r="I128" s="879"/>
      <c r="J128" s="879"/>
      <c r="K128" s="373">
        <f>K127/K14</f>
        <v>1.4481353214774456E-2</v>
      </c>
      <c r="L128" s="373">
        <f t="shared" ref="L128:P128" si="112">L127/L14</f>
        <v>1.2862529466970916E-2</v>
      </c>
      <c r="M128" s="373">
        <f t="shared" si="112"/>
        <v>1.4499413168858008E-2</v>
      </c>
      <c r="N128" s="373">
        <f t="shared" si="112"/>
        <v>8.8872268616358007E-3</v>
      </c>
      <c r="O128" s="373">
        <f t="shared" si="112"/>
        <v>1.3812309734637363E-2</v>
      </c>
      <c r="P128" s="1409">
        <f t="shared" si="112"/>
        <v>1.2763331199136339E-2</v>
      </c>
      <c r="Q128" s="243">
        <f>AVERAGE(K128:P128)</f>
        <v>1.2884360607668814E-2</v>
      </c>
      <c r="R128" s="243">
        <f t="shared" ref="R128:Z128" si="113">AVERAGE(L128:Q128)</f>
        <v>1.2618195173151207E-2</v>
      </c>
      <c r="S128" s="243">
        <f t="shared" si="113"/>
        <v>1.2577472790847921E-2</v>
      </c>
      <c r="T128" s="243">
        <f t="shared" si="113"/>
        <v>1.2257149394512909E-2</v>
      </c>
      <c r="U128" s="243">
        <f t="shared" si="113"/>
        <v>1.2818803149992425E-2</v>
      </c>
      <c r="V128" s="243">
        <f t="shared" si="113"/>
        <v>1.2653218719218269E-2</v>
      </c>
      <c r="W128" s="243">
        <f t="shared" si="113"/>
        <v>1.2634866639231926E-2</v>
      </c>
      <c r="X128" s="243">
        <f t="shared" si="113"/>
        <v>1.259328431115911E-2</v>
      </c>
      <c r="Y128" s="243">
        <f t="shared" si="113"/>
        <v>1.2589132500827093E-2</v>
      </c>
      <c r="Z128" s="243">
        <f t="shared" si="113"/>
        <v>1.2591075785823622E-2</v>
      </c>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C128" s="2711"/>
      <c r="BD128" s="88"/>
      <c r="BE128" s="166"/>
    </row>
    <row r="129" spans="2:53" s="95" customFormat="1" ht="22.2" customHeight="1">
      <c r="B129" s="940" t="s">
        <v>1458</v>
      </c>
      <c r="J129" s="174"/>
      <c r="K129" s="174">
        <f>18543923616/D125</f>
        <v>18.543923616000001</v>
      </c>
      <c r="L129" s="174">
        <f>16560992525/D125</f>
        <v>16.560992525</v>
      </c>
      <c r="M129" s="174">
        <f>18451388503/D125</f>
        <v>18.451388503</v>
      </c>
      <c r="N129" s="174">
        <f>10488716076 /D125</f>
        <v>10.488716075999999</v>
      </c>
      <c r="O129" s="174">
        <f>15094021155/D125</f>
        <v>15.094021155</v>
      </c>
      <c r="P129" s="853">
        <f>27998345258/D125</f>
        <v>27.998345258000001</v>
      </c>
      <c r="Q129" s="854">
        <f>Q14*Q130</f>
        <v>30.954810556525381</v>
      </c>
      <c r="R129" s="854">
        <f t="shared" ref="R129:Z129" si="114">R14*R130</f>
        <v>29.692606945566116</v>
      </c>
      <c r="S129" s="854">
        <f t="shared" si="114"/>
        <v>28.643505283537987</v>
      </c>
      <c r="T129" s="854">
        <f t="shared" si="114"/>
        <v>32.364204949084943</v>
      </c>
      <c r="U129" s="854">
        <f t="shared" si="114"/>
        <v>34.195173583885712</v>
      </c>
      <c r="V129" s="854">
        <f t="shared" si="114"/>
        <v>33.243960415072699</v>
      </c>
      <c r="W129" s="854">
        <f t="shared" si="114"/>
        <v>33.080916663820432</v>
      </c>
      <c r="X129" s="854">
        <f t="shared" si="114"/>
        <v>33.209857161518826</v>
      </c>
      <c r="Y129" s="854">
        <f t="shared" si="114"/>
        <v>34.757018675138241</v>
      </c>
      <c r="Z129" s="854">
        <f t="shared" si="114"/>
        <v>35.394092571346846</v>
      </c>
      <c r="AA129" s="854"/>
      <c r="AB129" s="855"/>
      <c r="AC129" s="855"/>
      <c r="AD129" s="855"/>
      <c r="AE129" s="855"/>
      <c r="AF129" s="855"/>
      <c r="AG129" s="855"/>
      <c r="AH129" s="855"/>
      <c r="AI129" s="855"/>
      <c r="AJ129" s="855"/>
      <c r="AK129" s="855"/>
      <c r="AL129" s="855"/>
      <c r="AM129" s="855"/>
      <c r="AN129" s="855"/>
      <c r="AO129" s="855"/>
      <c r="AP129" s="855"/>
      <c r="AQ129" s="855"/>
      <c r="AR129" s="855"/>
      <c r="AS129" s="855"/>
      <c r="AT129" s="855"/>
      <c r="AU129" s="855"/>
      <c r="AV129" s="855"/>
      <c r="AW129" s="855"/>
      <c r="AX129" s="855"/>
      <c r="AY129" s="855"/>
      <c r="AZ129" s="855"/>
      <c r="BA129" s="855"/>
    </row>
    <row r="130" spans="2:53" s="95" customFormat="1" ht="19.2" customHeight="1">
      <c r="B130" s="941" t="s">
        <v>767</v>
      </c>
      <c r="D130" s="166"/>
      <c r="E130" s="166"/>
      <c r="F130" s="166"/>
      <c r="G130" s="166"/>
      <c r="H130" s="166"/>
      <c r="I130" s="166"/>
      <c r="J130" s="166"/>
      <c r="K130" s="229">
        <f>K129/K14</f>
        <v>2.632970422834563E-3</v>
      </c>
      <c r="L130" s="229">
        <f t="shared" ref="L130:P130" si="115">L129/L14</f>
        <v>2.1902380623718453E-3</v>
      </c>
      <c r="M130" s="229">
        <f t="shared" si="115"/>
        <v>1.8694864994508826E-3</v>
      </c>
      <c r="N130" s="229">
        <f t="shared" si="115"/>
        <v>6.5865166097098563E-4</v>
      </c>
      <c r="O130" s="229">
        <f t="shared" si="115"/>
        <v>1.2007454449569029E-3</v>
      </c>
      <c r="P130" s="915">
        <f t="shared" si="115"/>
        <v>1.9191959614502537E-3</v>
      </c>
      <c r="Q130" s="243">
        <f>AVERAGE(K130:P130)</f>
        <v>1.7452146753392389E-3</v>
      </c>
      <c r="R130" s="243">
        <f t="shared" ref="R130:Z130" si="116">AVERAGE(L130:Q130)</f>
        <v>1.5972553840900182E-3</v>
      </c>
      <c r="S130" s="243">
        <f t="shared" si="116"/>
        <v>1.4984249377097136E-3</v>
      </c>
      <c r="T130" s="243">
        <f t="shared" si="116"/>
        <v>1.4365813440861853E-3</v>
      </c>
      <c r="U130" s="243">
        <f t="shared" si="116"/>
        <v>1.566236291272052E-3</v>
      </c>
      <c r="V130" s="243">
        <f t="shared" si="116"/>
        <v>1.6271514323245768E-3</v>
      </c>
      <c r="W130" s="243">
        <f t="shared" si="116"/>
        <v>1.5784773441369639E-3</v>
      </c>
      <c r="X130" s="243">
        <f t="shared" si="116"/>
        <v>1.5506877889365849E-3</v>
      </c>
      <c r="Y130" s="243">
        <f t="shared" si="116"/>
        <v>1.5429265230776793E-3</v>
      </c>
      <c r="Z130" s="243">
        <f t="shared" si="116"/>
        <v>1.5503434539723404E-3</v>
      </c>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row>
    <row r="131" spans="2:53" s="95" customFormat="1" ht="21" customHeight="1">
      <c r="B131" s="940" t="s">
        <v>1459</v>
      </c>
      <c r="J131" s="174"/>
      <c r="K131" s="174">
        <f>0</f>
        <v>0</v>
      </c>
      <c r="L131" s="174">
        <f>79425415134/D125</f>
        <v>79.425415134000005</v>
      </c>
      <c r="M131" s="174">
        <f>216728275492/D125</f>
        <v>216.72827549199999</v>
      </c>
      <c r="N131" s="174">
        <f>318816929387/D125</f>
        <v>318.81692938700002</v>
      </c>
      <c r="O131" s="174">
        <f>108885894155/D125</f>
        <v>108.885894155</v>
      </c>
      <c r="P131" s="853">
        <f>44783820092/D125</f>
        <v>44.783820091999999</v>
      </c>
      <c r="Q131" s="854">
        <f>Q14*Q132</f>
        <v>227.79696611301287</v>
      </c>
      <c r="R131" s="854">
        <f t="shared" ref="R131:Z131" si="117">R14*R132</f>
        <v>247.44523146046328</v>
      </c>
      <c r="S131" s="854">
        <f t="shared" si="117"/>
        <v>221.38386495505802</v>
      </c>
      <c r="T131" s="854">
        <f t="shared" si="117"/>
        <v>222.88426958195234</v>
      </c>
      <c r="U131" s="854">
        <f t="shared" si="117"/>
        <v>221.37616334959961</v>
      </c>
      <c r="V131" s="854">
        <f t="shared" si="117"/>
        <v>236.04964430158265</v>
      </c>
      <c r="W131" s="854">
        <f t="shared" si="117"/>
        <v>236.73045383953769</v>
      </c>
      <c r="X131" s="854">
        <f t="shared" si="117"/>
        <v>233.2810112228089</v>
      </c>
      <c r="Y131" s="854">
        <f t="shared" si="117"/>
        <v>242.27515918093223</v>
      </c>
      <c r="Z131" s="854">
        <f t="shared" si="117"/>
        <v>249.46986906476985</v>
      </c>
      <c r="AA131" s="854"/>
      <c r="AB131" s="855"/>
      <c r="AC131" s="855"/>
      <c r="AD131" s="855"/>
      <c r="AE131" s="855"/>
      <c r="AF131" s="855"/>
      <c r="AG131" s="855"/>
      <c r="AH131" s="855"/>
      <c r="AI131" s="855"/>
      <c r="AJ131" s="855"/>
      <c r="AK131" s="855"/>
      <c r="AL131" s="855"/>
      <c r="AM131" s="855"/>
      <c r="AN131" s="855"/>
      <c r="AO131" s="855"/>
      <c r="AP131" s="855"/>
      <c r="AQ131" s="855"/>
      <c r="AR131" s="855"/>
      <c r="AS131" s="855"/>
      <c r="AT131" s="855"/>
      <c r="AU131" s="855"/>
      <c r="AV131" s="855"/>
      <c r="AW131" s="855"/>
      <c r="AX131" s="855"/>
      <c r="AY131" s="855"/>
      <c r="AZ131" s="855"/>
      <c r="BA131" s="855"/>
    </row>
    <row r="132" spans="2:53" s="95" customFormat="1" ht="25.2" customHeight="1">
      <c r="B132" s="941" t="s">
        <v>767</v>
      </c>
      <c r="D132" s="166"/>
      <c r="E132" s="166"/>
      <c r="F132" s="166"/>
      <c r="G132" s="166"/>
      <c r="H132" s="166"/>
      <c r="I132" s="166"/>
      <c r="J132" s="166"/>
      <c r="K132" s="229">
        <f>K131/K14</f>
        <v>0</v>
      </c>
      <c r="L132" s="229">
        <f t="shared" ref="L132:P132" si="118">L131/L14</f>
        <v>1.0504235605659849E-2</v>
      </c>
      <c r="M132" s="229">
        <f t="shared" si="118"/>
        <v>2.1958812748194487E-2</v>
      </c>
      <c r="N132" s="229">
        <f t="shared" si="118"/>
        <v>2.0020496175590919E-2</v>
      </c>
      <c r="O132" s="229">
        <f t="shared" si="118"/>
        <v>8.6619887493244816E-3</v>
      </c>
      <c r="P132" s="915">
        <f t="shared" si="118"/>
        <v>3.0697859415217705E-3</v>
      </c>
      <c r="Q132" s="243">
        <f>AVERAGE(L132:P132)</f>
        <v>1.2843063844058302E-2</v>
      </c>
      <c r="R132" s="243">
        <f t="shared" ref="R132:Z132" si="119">AVERAGE(M132:Q132)</f>
        <v>1.331082949173799E-2</v>
      </c>
      <c r="S132" s="243">
        <f t="shared" si="119"/>
        <v>1.1581232840446692E-2</v>
      </c>
      <c r="T132" s="243">
        <f t="shared" si="119"/>
        <v>9.893380173417848E-3</v>
      </c>
      <c r="U132" s="243">
        <f t="shared" si="119"/>
        <v>1.0139658458236521E-2</v>
      </c>
      <c r="V132" s="243">
        <f t="shared" si="119"/>
        <v>1.1553632961579472E-2</v>
      </c>
      <c r="W132" s="243">
        <f t="shared" si="119"/>
        <v>1.1295746785083705E-2</v>
      </c>
      <c r="X132" s="243">
        <f t="shared" si="119"/>
        <v>1.0892730243752846E-2</v>
      </c>
      <c r="Y132" s="243">
        <f t="shared" si="119"/>
        <v>1.075502972441408E-2</v>
      </c>
      <c r="Z132" s="243">
        <f t="shared" si="119"/>
        <v>1.0927359634613323E-2</v>
      </c>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row>
    <row r="133" spans="2:53" s="95" customFormat="1" ht="24.6" customHeight="1">
      <c r="B133" s="118" t="s">
        <v>1460</v>
      </c>
      <c r="D133" s="166"/>
      <c r="E133" s="166"/>
      <c r="F133" s="166"/>
      <c r="G133" s="166"/>
      <c r="H133" s="166"/>
      <c r="I133" s="166"/>
      <c r="J133" s="174"/>
      <c r="K133" s="174">
        <f>33090611657/D125</f>
        <v>33.090611656999997</v>
      </c>
      <c r="L133" s="174">
        <f>46238682293/D125</f>
        <v>46.238682292999997</v>
      </c>
      <c r="M133" s="174">
        <f>46432261142/D125</f>
        <v>46.432261142000002</v>
      </c>
      <c r="N133" s="174">
        <f>64048454147/D125</f>
        <v>64.048454147000001</v>
      </c>
      <c r="O133" s="174">
        <f>59097126657/D125</f>
        <v>59.097126656999997</v>
      </c>
      <c r="P133" s="853">
        <f>87757543889/D125</f>
        <v>87.757543889000004</v>
      </c>
      <c r="Q133" s="854">
        <f>Q14*Q134</f>
        <v>89.444019600233887</v>
      </c>
      <c r="R133" s="854">
        <f t="shared" ref="R133:Z133" si="120">R14*R134</f>
        <v>94.811630650677571</v>
      </c>
      <c r="S133" s="854">
        <f t="shared" si="120"/>
        <v>94.260490338995993</v>
      </c>
      <c r="T133" s="854">
        <f t="shared" si="120"/>
        <v>111.94017945312801</v>
      </c>
      <c r="U133" s="854">
        <f t="shared" si="120"/>
        <v>111.92747017420268</v>
      </c>
      <c r="V133" s="854">
        <f t="shared" si="120"/>
        <v>106.18872772007012</v>
      </c>
      <c r="W133" s="854">
        <f t="shared" si="120"/>
        <v>106.06909132530841</v>
      </c>
      <c r="X133" s="854">
        <f t="shared" si="120"/>
        <v>108.45627702400591</v>
      </c>
      <c r="Y133" s="854">
        <f t="shared" si="120"/>
        <v>113.94482367880104</v>
      </c>
      <c r="Z133" s="854">
        <f t="shared" si="120"/>
        <v>115.96214867733647</v>
      </c>
      <c r="AA133" s="854"/>
      <c r="AB133" s="855"/>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row>
    <row r="134" spans="2:53" s="95" customFormat="1" ht="22.8" customHeight="1">
      <c r="B134" s="941" t="s">
        <v>767</v>
      </c>
      <c r="D134" s="166"/>
      <c r="E134" s="166"/>
      <c r="F134" s="166"/>
      <c r="G134" s="166"/>
      <c r="H134" s="166"/>
      <c r="I134" s="166"/>
      <c r="J134" s="174"/>
      <c r="K134" s="229">
        <f>K133/K14</f>
        <v>4.6983908891434032E-3</v>
      </c>
      <c r="L134" s="229">
        <f t="shared" ref="L134:P134" si="121">L133/L14</f>
        <v>6.1151964025808088E-3</v>
      </c>
      <c r="M134" s="229">
        <f t="shared" si="121"/>
        <v>4.704496104985992E-3</v>
      </c>
      <c r="N134" s="229">
        <f t="shared" si="121"/>
        <v>4.0220004432261801E-3</v>
      </c>
      <c r="O134" s="229">
        <f t="shared" si="121"/>
        <v>4.7012393128869918E-3</v>
      </c>
      <c r="P134" s="915">
        <f t="shared" si="121"/>
        <v>6.015495639708858E-3</v>
      </c>
      <c r="Q134" s="2484">
        <f>AVERAGE(K134:P134)</f>
        <v>5.0428031320887056E-3</v>
      </c>
      <c r="R134" s="2484">
        <f t="shared" ref="R134:Z134" si="122">AVERAGE(L134:Q134)</f>
        <v>5.1002051725795895E-3</v>
      </c>
      <c r="S134" s="2484">
        <f t="shared" si="122"/>
        <v>4.9310399675793863E-3</v>
      </c>
      <c r="T134" s="2484">
        <f t="shared" si="122"/>
        <v>4.9687972780116186E-3</v>
      </c>
      <c r="U134" s="2484">
        <f t="shared" si="122"/>
        <v>5.1265967504758583E-3</v>
      </c>
      <c r="V134" s="2484">
        <f t="shared" si="122"/>
        <v>5.1974896567406692E-3</v>
      </c>
      <c r="W134" s="2484">
        <f t="shared" si="122"/>
        <v>5.0611553262459716E-3</v>
      </c>
      <c r="X134" s="2484">
        <f t="shared" si="122"/>
        <v>5.064214025272182E-3</v>
      </c>
      <c r="Y134" s="2484">
        <f t="shared" si="122"/>
        <v>5.0582155007209478E-3</v>
      </c>
      <c r="Z134" s="2484">
        <f t="shared" si="122"/>
        <v>5.0794114229112076E-3</v>
      </c>
      <c r="AA134" s="2482"/>
      <c r="AB134" s="2483"/>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row>
    <row r="135" spans="2:53" s="95" customFormat="1" ht="22.2" customHeight="1">
      <c r="B135" s="118" t="s">
        <v>1461</v>
      </c>
      <c r="D135" s="166"/>
      <c r="E135" s="166"/>
      <c r="F135" s="166"/>
      <c r="G135" s="166"/>
      <c r="H135" s="166"/>
      <c r="I135" s="166"/>
      <c r="J135" s="174"/>
      <c r="K135" s="174">
        <f>47692974690/D125</f>
        <v>47.69297469</v>
      </c>
      <c r="L135" s="174">
        <f>64924449273/D125</f>
        <v>64.924449272999993</v>
      </c>
      <c r="M135" s="174">
        <f>66312749643/D125</f>
        <v>66.312749643000004</v>
      </c>
      <c r="N135" s="174">
        <f>113683600527 /D125</f>
        <v>113.683600527</v>
      </c>
      <c r="O135" s="174">
        <f>190786966621/D125</f>
        <v>190.786966621</v>
      </c>
      <c r="P135" s="853">
        <f>132133559161/D125</f>
        <v>132.13355916099999</v>
      </c>
      <c r="Q135" s="854">
        <f>Q14*Q136</f>
        <v>158.00818201925031</v>
      </c>
      <c r="R135" s="854">
        <f t="shared" ref="R135:Z135" si="123">R14*R136</f>
        <v>172.22541900709783</v>
      </c>
      <c r="S135" s="854">
        <f t="shared" si="123"/>
        <v>179.258676988535</v>
      </c>
      <c r="T135" s="854">
        <f t="shared" si="123"/>
        <v>221.24619100190853</v>
      </c>
      <c r="U135" s="854">
        <f t="shared" si="123"/>
        <v>224.17014494954819</v>
      </c>
      <c r="V135" s="854">
        <f t="shared" si="123"/>
        <v>193.05754946174349</v>
      </c>
      <c r="W135" s="854">
        <f t="shared" si="123"/>
        <v>199.40395629336373</v>
      </c>
      <c r="X135" s="854">
        <f t="shared" si="123"/>
        <v>205.93261092086311</v>
      </c>
      <c r="Y135" s="854">
        <f t="shared" si="123"/>
        <v>217.92921555766677</v>
      </c>
      <c r="Z135" s="854">
        <f t="shared" si="123"/>
        <v>221.99106348549972</v>
      </c>
      <c r="AA135" s="854"/>
      <c r="AB135" s="855"/>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row>
    <row r="136" spans="2:53" s="95" customFormat="1" ht="22.2" customHeight="1">
      <c r="B136" s="941" t="s">
        <v>767</v>
      </c>
      <c r="D136" s="166"/>
      <c r="E136" s="166"/>
      <c r="F136" s="166"/>
      <c r="G136" s="166"/>
      <c r="H136" s="166"/>
      <c r="I136" s="166"/>
      <c r="J136" s="174"/>
      <c r="K136" s="229">
        <f>K135/K14</f>
        <v>6.7717164035026511E-3</v>
      </c>
      <c r="L136" s="229">
        <f t="shared" ref="L136:P136" si="124">L135/L14</f>
        <v>8.5864418911845777E-3</v>
      </c>
      <c r="M136" s="229">
        <f t="shared" si="124"/>
        <v>6.7187783823910328E-3</v>
      </c>
      <c r="N136" s="229">
        <f t="shared" si="124"/>
        <v>7.1388997251631359E-3</v>
      </c>
      <c r="O136" s="229">
        <f t="shared" si="124"/>
        <v>1.5177306217794978E-2</v>
      </c>
      <c r="P136" s="915">
        <f t="shared" si="124"/>
        <v>9.0573278805246796E-3</v>
      </c>
      <c r="Q136" s="2484">
        <f>AVERAGE(K136:P136)</f>
        <v>8.9084117500935096E-3</v>
      </c>
      <c r="R136" s="2484">
        <f t="shared" ref="R136:Z136" si="125">AVERAGE(L136:Q136)</f>
        <v>9.2645276411919848E-3</v>
      </c>
      <c r="S136" s="2484">
        <f t="shared" si="125"/>
        <v>9.3775419328598879E-3</v>
      </c>
      <c r="T136" s="2484">
        <f t="shared" si="125"/>
        <v>9.8206691912713622E-3</v>
      </c>
      <c r="U136" s="2484">
        <f t="shared" si="125"/>
        <v>1.0267630768956067E-2</v>
      </c>
      <c r="V136" s="2484">
        <f t="shared" si="125"/>
        <v>9.4493515274829149E-3</v>
      </c>
      <c r="W136" s="2484">
        <f t="shared" si="125"/>
        <v>9.5146888019759547E-3</v>
      </c>
      <c r="X136" s="2484">
        <f t="shared" si="125"/>
        <v>9.6157349772896944E-3</v>
      </c>
      <c r="Y136" s="2484">
        <f t="shared" si="125"/>
        <v>9.6742695333059802E-3</v>
      </c>
      <c r="Z136" s="2484">
        <f t="shared" si="125"/>
        <v>9.7237241333803289E-3</v>
      </c>
      <c r="AA136" s="2482"/>
      <c r="AB136" s="2483"/>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row>
    <row r="137" spans="2:53" s="95" customFormat="1" ht="30" customHeight="1">
      <c r="B137" s="2481" t="s">
        <v>1462</v>
      </c>
      <c r="D137" s="166"/>
      <c r="E137" s="166"/>
      <c r="F137" s="166"/>
      <c r="G137" s="166"/>
      <c r="H137" s="166"/>
      <c r="I137" s="166"/>
      <c r="J137" s="174"/>
      <c r="K137" s="174">
        <v>0</v>
      </c>
      <c r="L137" s="174">
        <v>0</v>
      </c>
      <c r="M137" s="174">
        <f>37461292602/D125</f>
        <v>37.461292602</v>
      </c>
      <c r="N137" s="174">
        <f>4031675827/D125</f>
        <v>4.0316758269999999</v>
      </c>
      <c r="O137" s="174">
        <f>1064659700/D125</f>
        <v>1.0646597</v>
      </c>
      <c r="P137" s="853">
        <f>2174845676/D125</f>
        <v>2.1748456759999999</v>
      </c>
      <c r="Q137" s="854">
        <f>Q14*Q138</f>
        <v>18.989677302325578</v>
      </c>
      <c r="R137" s="854">
        <f t="shared" ref="R137:Z137" si="126">R14*R138</f>
        <v>7.2387379082385053</v>
      </c>
      <c r="S137" s="854">
        <f t="shared" si="126"/>
        <v>8.0945341935282613</v>
      </c>
      <c r="T137" s="854">
        <f t="shared" si="126"/>
        <v>11.447629576382736</v>
      </c>
      <c r="U137" s="854">
        <f t="shared" si="126"/>
        <v>13.053809471202984</v>
      </c>
      <c r="V137" s="854">
        <f t="shared" si="126"/>
        <v>9.8010547990651524</v>
      </c>
      <c r="W137" s="854">
        <f t="shared" si="126"/>
        <v>10.52698438251986</v>
      </c>
      <c r="X137" s="854">
        <f t="shared" si="126"/>
        <v>11.179587592779674</v>
      </c>
      <c r="Y137" s="854">
        <f t="shared" si="126"/>
        <v>11.837428655409392</v>
      </c>
      <c r="Z137" s="854">
        <f t="shared" si="126"/>
        <v>11.583415642028452</v>
      </c>
      <c r="AA137" s="854"/>
      <c r="AB137" s="855"/>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row>
    <row r="138" spans="2:53" s="95" customFormat="1" ht="22.8" customHeight="1">
      <c r="B138" s="941" t="s">
        <v>767</v>
      </c>
      <c r="D138" s="166"/>
      <c r="E138" s="166"/>
      <c r="F138" s="166"/>
      <c r="G138" s="166"/>
      <c r="H138" s="166"/>
      <c r="I138" s="166"/>
      <c r="J138" s="166"/>
      <c r="K138" s="229">
        <f>K137/K14</f>
        <v>0</v>
      </c>
      <c r="L138" s="229">
        <f t="shared" ref="L138:P138" si="127">L137/L14</f>
        <v>0</v>
      </c>
      <c r="M138" s="229">
        <f t="shared" si="127"/>
        <v>3.7955615513722198E-3</v>
      </c>
      <c r="N138" s="229">
        <f t="shared" si="127"/>
        <v>2.5317397865562381E-4</v>
      </c>
      <c r="O138" s="229">
        <f t="shared" si="127"/>
        <v>8.4694812076681683E-5</v>
      </c>
      <c r="P138" s="915">
        <f t="shared" si="127"/>
        <v>1.490786330297187E-4</v>
      </c>
      <c r="Q138" s="243">
        <f>AVERAGE(M138:P138)</f>
        <v>1.070627243783561E-3</v>
      </c>
      <c r="R138" s="243">
        <f t="shared" ref="R138:Z138" si="128">AVERAGE(N138:Q138)</f>
        <v>3.8939366688639629E-4</v>
      </c>
      <c r="S138" s="243">
        <f t="shared" si="128"/>
        <v>4.2344858894408945E-4</v>
      </c>
      <c r="T138" s="243">
        <f t="shared" si="128"/>
        <v>5.0813703316094142E-4</v>
      </c>
      <c r="U138" s="243">
        <f t="shared" si="128"/>
        <v>5.9790163319374708E-4</v>
      </c>
      <c r="V138" s="243">
        <f t="shared" si="128"/>
        <v>4.7972023054629353E-4</v>
      </c>
      <c r="W138" s="243">
        <f t="shared" si="128"/>
        <v>5.0230187146126787E-4</v>
      </c>
      <c r="X138" s="243">
        <f t="shared" si="128"/>
        <v>5.2201519209056245E-4</v>
      </c>
      <c r="Y138" s="243">
        <f t="shared" si="128"/>
        <v>5.2548473182296778E-4</v>
      </c>
      <c r="Z138" s="243">
        <f t="shared" si="128"/>
        <v>5.0738050648027285E-4</v>
      </c>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row>
    <row r="139" spans="2:53" s="944" customFormat="1" ht="25.5" customHeight="1">
      <c r="B139" s="942" t="s">
        <v>775</v>
      </c>
      <c r="C139" s="943"/>
      <c r="D139" s="890"/>
      <c r="E139" s="890"/>
      <c r="F139" s="890"/>
      <c r="G139" s="890"/>
      <c r="H139" s="890"/>
      <c r="I139" s="890"/>
      <c r="J139" s="891"/>
      <c r="K139" s="891"/>
      <c r="L139" s="891"/>
      <c r="M139" s="891"/>
      <c r="N139" s="891"/>
      <c r="O139" s="891"/>
      <c r="P139" s="892"/>
      <c r="Q139" s="893"/>
      <c r="R139" s="893"/>
      <c r="S139" s="893"/>
      <c r="T139" s="893"/>
      <c r="U139" s="893"/>
      <c r="V139" s="893"/>
      <c r="W139" s="893"/>
      <c r="X139" s="893"/>
      <c r="Y139" s="893"/>
      <c r="Z139" s="893"/>
      <c r="AA139" s="893"/>
      <c r="AB139" s="894"/>
      <c r="AC139" s="894"/>
      <c r="AD139" s="894"/>
      <c r="AE139" s="894"/>
      <c r="AF139" s="894"/>
      <c r="AG139" s="894"/>
      <c r="AH139" s="894"/>
      <c r="AI139" s="894"/>
      <c r="AJ139" s="894"/>
      <c r="AK139" s="894"/>
      <c r="AL139" s="894"/>
      <c r="AM139" s="894"/>
      <c r="AN139" s="894"/>
      <c r="AO139" s="894"/>
      <c r="AP139" s="894"/>
      <c r="AQ139" s="894"/>
      <c r="AR139" s="894"/>
      <c r="AS139" s="894"/>
      <c r="AT139" s="894"/>
      <c r="AU139" s="894"/>
      <c r="AV139" s="894"/>
      <c r="AW139" s="894"/>
      <c r="AX139" s="894"/>
      <c r="AY139" s="894"/>
      <c r="AZ139" s="894"/>
      <c r="BA139" s="894"/>
    </row>
    <row r="140" spans="2:53" s="196" customFormat="1" ht="21.6" customHeight="1">
      <c r="B140" s="930" t="s">
        <v>773</v>
      </c>
      <c r="D140" s="897"/>
      <c r="E140" s="897"/>
      <c r="F140" s="897"/>
      <c r="G140" s="897"/>
      <c r="H140" s="897"/>
      <c r="I140" s="897"/>
      <c r="J140" s="897"/>
      <c r="K140" s="897"/>
      <c r="L140" s="897"/>
      <c r="M140" s="897"/>
      <c r="N140" s="897"/>
      <c r="O140" s="897"/>
      <c r="P140" s="898"/>
      <c r="Q140" s="899"/>
      <c r="R140" s="899"/>
      <c r="S140" s="899"/>
      <c r="T140" s="899"/>
      <c r="U140" s="899"/>
      <c r="V140" s="899"/>
      <c r="W140" s="899"/>
      <c r="X140" s="899"/>
      <c r="Y140" s="899"/>
      <c r="Z140" s="899"/>
      <c r="AA140" s="899"/>
      <c r="AB140" s="899"/>
      <c r="AC140" s="899"/>
      <c r="AD140" s="899"/>
      <c r="AE140" s="899"/>
      <c r="AF140" s="899"/>
      <c r="AG140" s="899"/>
      <c r="AH140" s="899"/>
      <c r="AI140" s="899"/>
      <c r="AJ140" s="899"/>
      <c r="AK140" s="899"/>
      <c r="AL140" s="899"/>
      <c r="AM140" s="899"/>
      <c r="AN140" s="899"/>
      <c r="AO140" s="899"/>
      <c r="AP140" s="899"/>
      <c r="AQ140" s="899"/>
      <c r="AR140" s="899"/>
      <c r="AS140" s="899"/>
      <c r="AT140" s="899"/>
      <c r="AU140" s="899"/>
      <c r="AV140" s="899"/>
      <c r="AW140" s="899"/>
      <c r="AX140" s="899"/>
      <c r="AY140" s="899"/>
      <c r="AZ140" s="899"/>
      <c r="BA140" s="899"/>
    </row>
    <row r="141" spans="2:53" s="196" customFormat="1" ht="22.2" customHeight="1">
      <c r="B141" s="930" t="s">
        <v>765</v>
      </c>
      <c r="D141" s="897" t="str">
        <f t="shared" ref="D141:I141" si="129">IFERROR(D139/D14," ")</f>
        <v xml:space="preserve"> </v>
      </c>
      <c r="E141" s="897" t="str">
        <f t="shared" si="129"/>
        <v xml:space="preserve"> </v>
      </c>
      <c r="F141" s="897" t="str">
        <f t="shared" si="129"/>
        <v xml:space="preserve"> </v>
      </c>
      <c r="G141" s="897" t="str">
        <f t="shared" si="129"/>
        <v xml:space="preserve"> </v>
      </c>
      <c r="H141" s="897" t="str">
        <f t="shared" si="129"/>
        <v xml:space="preserve"> </v>
      </c>
      <c r="I141" s="897" t="str">
        <f t="shared" si="129"/>
        <v xml:space="preserve"> </v>
      </c>
      <c r="J141" s="897"/>
      <c r="K141" s="897"/>
      <c r="L141" s="897"/>
      <c r="M141" s="897"/>
      <c r="N141" s="897"/>
      <c r="O141" s="897"/>
      <c r="P141" s="898"/>
      <c r="Q141" s="899"/>
      <c r="R141" s="899"/>
      <c r="S141" s="899"/>
      <c r="T141" s="899"/>
      <c r="U141" s="899"/>
      <c r="V141" s="899"/>
      <c r="W141" s="899"/>
      <c r="X141" s="899"/>
      <c r="Y141" s="899"/>
      <c r="Z141" s="899"/>
      <c r="AA141" s="899"/>
      <c r="AB141" s="899"/>
      <c r="AC141" s="899"/>
      <c r="AD141" s="899"/>
      <c r="AE141" s="899"/>
      <c r="AF141" s="899"/>
      <c r="AG141" s="899"/>
      <c r="AH141" s="899"/>
      <c r="AI141" s="899"/>
      <c r="AJ141" s="899"/>
      <c r="AK141" s="899"/>
      <c r="AL141" s="899"/>
      <c r="AM141" s="899"/>
      <c r="AN141" s="899"/>
      <c r="AO141" s="899"/>
      <c r="AP141" s="899"/>
      <c r="AQ141" s="899"/>
      <c r="AR141" s="899"/>
      <c r="AS141" s="899"/>
      <c r="AT141" s="899"/>
      <c r="AU141" s="899"/>
      <c r="AV141" s="899"/>
      <c r="AW141" s="899"/>
      <c r="AX141" s="899"/>
      <c r="AY141" s="899"/>
      <c r="AZ141" s="899"/>
      <c r="BA141" s="899"/>
    </row>
    <row r="142" spans="2:53" s="945" customFormat="1" ht="23.4" customHeight="1">
      <c r="P142" s="946"/>
    </row>
    <row r="143" spans="2:53" s="18" customFormat="1" ht="23.25" customHeight="1">
      <c r="B143" s="18" t="s">
        <v>776</v>
      </c>
      <c r="D143" s="88"/>
      <c r="E143" s="88"/>
      <c r="F143" s="88"/>
      <c r="G143" s="874"/>
      <c r="H143" s="88"/>
      <c r="I143" s="88"/>
      <c r="J143" s="874"/>
      <c r="K143" s="874">
        <f>SUM(K144,K146,K148,K150,K152,K154)</f>
        <v>5653.7398800210003</v>
      </c>
      <c r="L143" s="874">
        <f t="shared" ref="L143:Z143" si="130">SUM(L144,L146,L148,L150,L152,L154)</f>
        <v>5258.8983620969993</v>
      </c>
      <c r="M143" s="874">
        <f t="shared" si="130"/>
        <v>7623.6663912909989</v>
      </c>
      <c r="N143" s="874">
        <f t="shared" si="130"/>
        <v>10161.763907911998</v>
      </c>
      <c r="O143" s="874">
        <f t="shared" si="130"/>
        <v>9874.6065836909984</v>
      </c>
      <c r="P143" s="874">
        <f t="shared" si="130"/>
        <v>11023.637921377001</v>
      </c>
      <c r="Q143" s="876">
        <f t="shared" si="130"/>
        <v>11868.623350565897</v>
      </c>
      <c r="R143" s="876">
        <f t="shared" si="130"/>
        <v>12504.434193231915</v>
      </c>
      <c r="S143" s="876">
        <f t="shared" si="130"/>
        <v>12591.51188766057</v>
      </c>
      <c r="T143" s="876">
        <f t="shared" si="130"/>
        <v>14794.339946097469</v>
      </c>
      <c r="U143" s="876">
        <f t="shared" si="130"/>
        <v>14658.663072636256</v>
      </c>
      <c r="V143" s="876">
        <f t="shared" si="130"/>
        <v>13586.160684810153</v>
      </c>
      <c r="W143" s="876">
        <f t="shared" si="130"/>
        <v>13684.82095016825</v>
      </c>
      <c r="X143" s="876">
        <f t="shared" si="130"/>
        <v>14075.719154481027</v>
      </c>
      <c r="Y143" s="876">
        <f t="shared" si="130"/>
        <v>14877.016658204075</v>
      </c>
      <c r="Z143" s="876">
        <f t="shared" si="130"/>
        <v>15115.275522710421</v>
      </c>
      <c r="AA143" s="876"/>
      <c r="AB143" s="876"/>
      <c r="AC143" s="876"/>
      <c r="AD143" s="876"/>
      <c r="AE143" s="876"/>
      <c r="AF143" s="876"/>
      <c r="AG143" s="876"/>
      <c r="AH143" s="876"/>
      <c r="AI143" s="876"/>
      <c r="AJ143" s="876"/>
      <c r="AK143" s="876"/>
      <c r="AL143" s="876"/>
      <c r="AM143" s="876"/>
      <c r="AN143" s="876"/>
      <c r="AO143" s="876"/>
      <c r="AP143" s="876"/>
      <c r="AQ143" s="876"/>
      <c r="AR143" s="876"/>
      <c r="AS143" s="876"/>
      <c r="AT143" s="876"/>
      <c r="AU143" s="876"/>
      <c r="AV143" s="876"/>
      <c r="AW143" s="876"/>
      <c r="AX143" s="876"/>
      <c r="AY143" s="876"/>
      <c r="AZ143" s="876"/>
      <c r="BA143" s="876"/>
    </row>
    <row r="144" spans="2:53" s="5" customFormat="1" ht="27" customHeight="1">
      <c r="B144" s="118" t="s">
        <v>766</v>
      </c>
      <c r="D144" s="95"/>
      <c r="E144" s="95"/>
      <c r="F144" s="95"/>
      <c r="G144" s="174"/>
      <c r="H144" s="95"/>
      <c r="I144" s="95"/>
      <c r="J144" s="174"/>
      <c r="K144" s="174">
        <f>Notes!F167</f>
        <v>3218.769225255</v>
      </c>
      <c r="L144" s="174">
        <f>Notes!G167</f>
        <v>2729.9095732280002</v>
      </c>
      <c r="M144" s="174">
        <f>Notes!H167</f>
        <v>4548.9810560799997</v>
      </c>
      <c r="N144" s="174">
        <f>Notes!I167</f>
        <v>6495.9936945239997</v>
      </c>
      <c r="O144" s="174">
        <f>Notes!J167</f>
        <v>6599.1370385379996</v>
      </c>
      <c r="P144" s="853">
        <f>Notes!K167</f>
        <v>7793.3567759240004</v>
      </c>
      <c r="Q144" s="854">
        <f t="shared" ref="Q144:Z144" si="131">Q145*Q14</f>
        <v>8117.7932702691214</v>
      </c>
      <c r="R144" s="854">
        <f t="shared" si="131"/>
        <v>8510.1390865469511</v>
      </c>
      <c r="S144" s="854">
        <f t="shared" si="131"/>
        <v>9059.157753546624</v>
      </c>
      <c r="T144" s="854">
        <f t="shared" si="131"/>
        <v>10725.410603998687</v>
      </c>
      <c r="U144" s="854">
        <f t="shared" si="131"/>
        <v>10642.099052528456</v>
      </c>
      <c r="V144" s="854">
        <f t="shared" si="131"/>
        <v>9830.9493035195537</v>
      </c>
      <c r="W144" s="854">
        <f t="shared" si="131"/>
        <v>9899.1800710382558</v>
      </c>
      <c r="X144" s="854">
        <f t="shared" si="131"/>
        <v>10168.216804349548</v>
      </c>
      <c r="Y144" s="854">
        <f t="shared" si="131"/>
        <v>10759.301392801681</v>
      </c>
      <c r="Z144" s="854">
        <f t="shared" si="131"/>
        <v>10918.227122587823</v>
      </c>
      <c r="AA144" s="854"/>
      <c r="AB144" s="855"/>
      <c r="AC144" s="855"/>
      <c r="AD144" s="855"/>
      <c r="AE144" s="855"/>
      <c r="AF144" s="855"/>
      <c r="AG144" s="855"/>
      <c r="AH144" s="855"/>
      <c r="AI144" s="855"/>
      <c r="AJ144" s="855"/>
      <c r="AK144" s="855"/>
      <c r="AL144" s="855"/>
      <c r="AM144" s="855"/>
      <c r="AN144" s="855"/>
      <c r="AO144" s="855"/>
      <c r="AP144" s="855"/>
      <c r="AQ144" s="855"/>
      <c r="AR144" s="855"/>
      <c r="AS144" s="855"/>
      <c r="AT144" s="855"/>
      <c r="AU144" s="855"/>
      <c r="AV144" s="855"/>
      <c r="AW144" s="855"/>
      <c r="AX144" s="855"/>
      <c r="AY144" s="855"/>
      <c r="AZ144" s="855"/>
      <c r="BA144" s="855"/>
    </row>
    <row r="145" spans="2:53" s="95" customFormat="1" ht="19.5" customHeight="1">
      <c r="B145" s="941" t="s">
        <v>767</v>
      </c>
      <c r="D145" s="166"/>
      <c r="E145" s="166"/>
      <c r="F145" s="166"/>
      <c r="G145" s="166"/>
      <c r="H145" s="166"/>
      <c r="I145" s="166"/>
      <c r="J145" s="166"/>
      <c r="K145" s="166">
        <f t="shared" ref="K145:P145" si="132">K144/K14</f>
        <v>0.45701893210529798</v>
      </c>
      <c r="L145" s="166">
        <f t="shared" si="132"/>
        <v>0.36103825571391873</v>
      </c>
      <c r="M145" s="166">
        <f t="shared" si="132"/>
        <v>0.46090074301002742</v>
      </c>
      <c r="N145" s="166">
        <f t="shared" si="132"/>
        <v>0.40792381122275334</v>
      </c>
      <c r="O145" s="166">
        <f t="shared" si="132"/>
        <v>0.52496837378858763</v>
      </c>
      <c r="P145" s="867">
        <f t="shared" si="132"/>
        <v>0.53420938675726326</v>
      </c>
      <c r="Q145" s="244">
        <f>AVERAGE(K145:P145)</f>
        <v>0.45767658376630799</v>
      </c>
      <c r="R145" s="244">
        <f t="shared" ref="R145:Z145" si="133">AVERAGE(L145:Q145)</f>
        <v>0.45778619237647639</v>
      </c>
      <c r="S145" s="244">
        <f t="shared" si="133"/>
        <v>0.47391084848690274</v>
      </c>
      <c r="T145" s="244">
        <f t="shared" si="133"/>
        <v>0.47607919939971516</v>
      </c>
      <c r="U145" s="244">
        <f t="shared" si="133"/>
        <v>0.48743843076254217</v>
      </c>
      <c r="V145" s="244">
        <f t="shared" si="133"/>
        <v>0.48118344025820131</v>
      </c>
      <c r="W145" s="244">
        <f t="shared" si="133"/>
        <v>0.47234578250835763</v>
      </c>
      <c r="X145" s="244">
        <f t="shared" si="133"/>
        <v>0.47479064896536588</v>
      </c>
      <c r="Y145" s="244">
        <f t="shared" si="133"/>
        <v>0.47762472506351417</v>
      </c>
      <c r="Z145" s="244">
        <f t="shared" si="133"/>
        <v>0.47824370449294934</v>
      </c>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row>
    <row r="146" spans="2:53" s="5" customFormat="1" ht="24.75" customHeight="1">
      <c r="B146" s="118" t="s">
        <v>768</v>
      </c>
      <c r="D146" s="95"/>
      <c r="E146" s="95"/>
      <c r="F146" s="95"/>
      <c r="G146" s="95"/>
      <c r="H146" s="95"/>
      <c r="I146" s="95"/>
      <c r="J146" s="174"/>
      <c r="K146" s="174">
        <f>Notes!F168</f>
        <v>457.63177652299998</v>
      </c>
      <c r="L146" s="174">
        <f>Notes!G168</f>
        <v>438.27071562600003</v>
      </c>
      <c r="M146" s="174">
        <f>Notes!H168</f>
        <v>581.27716610899995</v>
      </c>
      <c r="N146" s="174">
        <f>Notes!I168</f>
        <v>597.104844039</v>
      </c>
      <c r="O146" s="174">
        <f>Notes!J168</f>
        <v>681.61223835999999</v>
      </c>
      <c r="P146" s="853">
        <f>Notes!K168</f>
        <v>682.80922325999995</v>
      </c>
      <c r="Q146" s="854">
        <f t="shared" ref="Q146:Z146" si="134">Q147*Q14</f>
        <v>947.02879484890445</v>
      </c>
      <c r="R146" s="854">
        <f t="shared" si="134"/>
        <v>956.67127700411163</v>
      </c>
      <c r="S146" s="854">
        <f t="shared" si="134"/>
        <v>963.02946259901046</v>
      </c>
      <c r="T146" s="854">
        <f t="shared" si="134"/>
        <v>1102.9915387867018</v>
      </c>
      <c r="U146" s="854">
        <f t="shared" si="134"/>
        <v>1110.6331545762423</v>
      </c>
      <c r="V146" s="854">
        <f t="shared" si="134"/>
        <v>1027.8998771346178</v>
      </c>
      <c r="W146" s="854">
        <f t="shared" si="134"/>
        <v>1066.6491829198058</v>
      </c>
      <c r="X146" s="854">
        <f t="shared" si="134"/>
        <v>1081.0833621104314</v>
      </c>
      <c r="Y146" s="854">
        <f t="shared" si="134"/>
        <v>1133.4506555757673</v>
      </c>
      <c r="Z146" s="854">
        <f t="shared" si="134"/>
        <v>1148.4646511624128</v>
      </c>
      <c r="AA146" s="854"/>
      <c r="AB146" s="855"/>
      <c r="AC146" s="855"/>
      <c r="AD146" s="855"/>
      <c r="AE146" s="855"/>
      <c r="AF146" s="855"/>
      <c r="AG146" s="855"/>
      <c r="AH146" s="855"/>
      <c r="AI146" s="855"/>
      <c r="AJ146" s="855"/>
      <c r="AK146" s="855"/>
      <c r="AL146" s="855"/>
      <c r="AM146" s="855"/>
      <c r="AN146" s="855"/>
      <c r="AO146" s="855"/>
      <c r="AP146" s="855"/>
      <c r="AQ146" s="855"/>
      <c r="AR146" s="855"/>
      <c r="AS146" s="855"/>
      <c r="AT146" s="855"/>
      <c r="AU146" s="855"/>
      <c r="AV146" s="855"/>
      <c r="AW146" s="855"/>
      <c r="AX146" s="855"/>
      <c r="AY146" s="855"/>
      <c r="AZ146" s="855"/>
      <c r="BA146" s="855"/>
    </row>
    <row r="147" spans="2:53" s="95" customFormat="1" ht="23.25" customHeight="1">
      <c r="B147" s="941" t="s">
        <v>767</v>
      </c>
      <c r="D147" s="166"/>
      <c r="E147" s="166"/>
      <c r="F147" s="166"/>
      <c r="G147" s="166"/>
      <c r="H147" s="166"/>
      <c r="I147" s="166"/>
      <c r="J147" s="166"/>
      <c r="K147" s="166">
        <f t="shared" ref="K147:P147" si="135">K146/K14</f>
        <v>6.4977129818128754E-2</v>
      </c>
      <c r="L147" s="166">
        <f t="shared" si="135"/>
        <v>5.7962540683352694E-2</v>
      </c>
      <c r="M147" s="166">
        <f t="shared" si="135"/>
        <v>5.8894744658547472E-2</v>
      </c>
      <c r="N147" s="166">
        <f t="shared" si="135"/>
        <v>3.7495923662192635E-2</v>
      </c>
      <c r="O147" s="166">
        <f t="shared" si="135"/>
        <v>5.4222978888997644E-2</v>
      </c>
      <c r="P147" s="867">
        <f t="shared" si="135"/>
        <v>4.680436260236278E-2</v>
      </c>
      <c r="Q147" s="244">
        <f>AVERAGE(K147:P147)</f>
        <v>5.3392946718930322E-2</v>
      </c>
      <c r="R147" s="244">
        <f t="shared" ref="R147:Z147" si="136">AVERAGE(L147:Q147)</f>
        <v>5.1462249535730586E-2</v>
      </c>
      <c r="S147" s="244">
        <f t="shared" si="136"/>
        <v>5.0378867677793572E-2</v>
      </c>
      <c r="T147" s="244">
        <f t="shared" si="136"/>
        <v>4.8959554847667924E-2</v>
      </c>
      <c r="U147" s="244">
        <f t="shared" si="136"/>
        <v>5.0870160045247137E-2</v>
      </c>
      <c r="V147" s="244">
        <f t="shared" si="136"/>
        <v>5.0311356904622052E-2</v>
      </c>
      <c r="W147" s="244">
        <f t="shared" si="136"/>
        <v>5.0895855954998605E-2</v>
      </c>
      <c r="X147" s="244">
        <f t="shared" si="136"/>
        <v>5.0479674161009985E-2</v>
      </c>
      <c r="Y147" s="244">
        <f t="shared" si="136"/>
        <v>5.0315911598556549E-2</v>
      </c>
      <c r="Z147" s="244">
        <f t="shared" si="136"/>
        <v>5.0305418918683703E-2</v>
      </c>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row>
    <row r="148" spans="2:53" s="5" customFormat="1" ht="24.75" customHeight="1">
      <c r="B148" s="118" t="s">
        <v>769</v>
      </c>
      <c r="D148" s="95"/>
      <c r="E148" s="95"/>
      <c r="F148" s="166"/>
      <c r="G148" s="95"/>
      <c r="H148" s="95"/>
      <c r="I148" s="95"/>
      <c r="J148" s="174"/>
      <c r="K148" s="174">
        <f>Notes!F169</f>
        <v>1318.8406424909999</v>
      </c>
      <c r="L148" s="174">
        <f>Notes!G169</f>
        <v>1318.1524527060001</v>
      </c>
      <c r="M148" s="174">
        <f>Notes!H169</f>
        <v>1385.810943875</v>
      </c>
      <c r="N148" s="174">
        <f>Notes!I169</f>
        <v>1398.029397737</v>
      </c>
      <c r="O148" s="174">
        <f>Notes!J169</f>
        <v>1083.3806986520001</v>
      </c>
      <c r="P148" s="853">
        <f>Notes!K169+(492517255423/10^9)</f>
        <v>760.59871383799998</v>
      </c>
      <c r="Q148" s="854">
        <f>'LT. Asset'!Q8</f>
        <v>866.19597450905121</v>
      </c>
      <c r="R148" s="854">
        <f>'LT. Asset'!R8</f>
        <v>958.07836251496497</v>
      </c>
      <c r="S148" s="854">
        <f>'LT. Asset'!S8</f>
        <v>400.06569213431158</v>
      </c>
      <c r="T148" s="854">
        <f>'LT. Asset'!T8</f>
        <v>404.65673999404856</v>
      </c>
      <c r="U148" s="854">
        <f>'LT. Asset'!U8</f>
        <v>391.81912495422546</v>
      </c>
      <c r="V148" s="854">
        <f>'LT. Asset'!V8</f>
        <v>391.68502453039241</v>
      </c>
      <c r="W148" s="854">
        <f>'LT. Asset'!W8</f>
        <v>351.67260372664737</v>
      </c>
      <c r="X148" s="854">
        <f>'LT. Asset'!X8</f>
        <v>394.01552606931426</v>
      </c>
      <c r="Y148" s="854">
        <f>'LT. Asset'!Y8</f>
        <v>419.30626490537486</v>
      </c>
      <c r="Z148" s="854">
        <f>'LT. Asset'!Z8</f>
        <v>447.65035783578924</v>
      </c>
      <c r="AA148" s="854"/>
      <c r="AB148" s="855"/>
      <c r="AC148" s="855"/>
      <c r="AD148" s="855"/>
      <c r="AE148" s="855"/>
      <c r="AF148" s="855"/>
      <c r="AG148" s="855"/>
      <c r="AH148" s="855"/>
      <c r="AI148" s="855"/>
      <c r="AJ148" s="855"/>
      <c r="AK148" s="855"/>
      <c r="AL148" s="855"/>
      <c r="AM148" s="855"/>
      <c r="AN148" s="855"/>
      <c r="AO148" s="855"/>
      <c r="AP148" s="855"/>
      <c r="AQ148" s="855"/>
      <c r="AR148" s="855"/>
      <c r="AS148" s="855"/>
      <c r="AT148" s="855"/>
      <c r="AU148" s="855"/>
      <c r="AV148" s="855"/>
      <c r="AW148" s="855"/>
      <c r="AX148" s="855"/>
      <c r="AY148" s="855"/>
      <c r="AZ148" s="855"/>
      <c r="BA148" s="855"/>
    </row>
    <row r="149" spans="2:53" s="95" customFormat="1" ht="24.75" customHeight="1">
      <c r="B149" s="941" t="s">
        <v>767</v>
      </c>
      <c r="D149" s="166"/>
      <c r="E149" s="166"/>
      <c r="F149" s="166"/>
      <c r="G149" s="166"/>
      <c r="H149" s="166"/>
      <c r="I149" s="166"/>
      <c r="J149" s="166"/>
      <c r="K149" s="166">
        <f t="shared" ref="K149:Z149" si="137">K148/K14</f>
        <v>0.18725640139688843</v>
      </c>
      <c r="L149" s="166">
        <f t="shared" si="137"/>
        <v>0.17432938693542976</v>
      </c>
      <c r="M149" s="166">
        <f t="shared" si="137"/>
        <v>0.14040975019003951</v>
      </c>
      <c r="N149" s="166">
        <f t="shared" si="137"/>
        <v>8.7790953462142482E-2</v>
      </c>
      <c r="O149" s="166">
        <f t="shared" si="137"/>
        <v>8.6184087441118759E-2</v>
      </c>
      <c r="P149" s="867">
        <f t="shared" si="137"/>
        <v>5.2136580445412362E-2</v>
      </c>
      <c r="Q149" s="244">
        <f t="shared" si="137"/>
        <v>4.8835638120689397E-2</v>
      </c>
      <c r="R149" s="244">
        <f t="shared" si="137"/>
        <v>5.1537940932993402E-2</v>
      </c>
      <c r="S149" s="244">
        <f t="shared" si="137"/>
        <v>2.0928598084700066E-2</v>
      </c>
      <c r="T149" s="244">
        <f t="shared" si="137"/>
        <v>1.7961891056762092E-2</v>
      </c>
      <c r="U149" s="244">
        <f t="shared" si="137"/>
        <v>1.7946431288389793E-2</v>
      </c>
      <c r="V149" s="244">
        <f t="shared" si="137"/>
        <v>1.9171327384800742E-2</v>
      </c>
      <c r="W149" s="244">
        <f t="shared" si="137"/>
        <v>1.6780285842056875E-2</v>
      </c>
      <c r="X149" s="244">
        <f t="shared" si="137"/>
        <v>1.8398003398674267E-2</v>
      </c>
      <c r="Y149" s="244">
        <f t="shared" si="137"/>
        <v>1.8613758661582477E-2</v>
      </c>
      <c r="Z149" s="244">
        <f t="shared" si="137"/>
        <v>1.9608125297748875E-2</v>
      </c>
      <c r="AA149" s="244"/>
      <c r="AB149" s="244"/>
      <c r="AC149" s="244"/>
      <c r="AD149" s="244"/>
      <c r="AE149" s="244"/>
      <c r="AF149" s="244"/>
      <c r="AG149" s="244"/>
      <c r="AH149" s="244"/>
      <c r="AI149" s="244"/>
      <c r="AJ149" s="244"/>
      <c r="AK149" s="244"/>
      <c r="AL149" s="244"/>
      <c r="AM149" s="244"/>
      <c r="AN149" s="244"/>
      <c r="AO149" s="244"/>
      <c r="AP149" s="244"/>
      <c r="AQ149" s="244"/>
      <c r="AR149" s="244"/>
      <c r="AS149" s="244"/>
      <c r="AT149" s="244"/>
      <c r="AU149" s="244"/>
      <c r="AV149" s="244"/>
      <c r="AW149" s="244"/>
      <c r="AX149" s="244"/>
      <c r="AY149" s="244"/>
      <c r="AZ149" s="244"/>
      <c r="BA149" s="244"/>
    </row>
    <row r="150" spans="2:53" s="5" customFormat="1" ht="23.25" customHeight="1">
      <c r="B150" s="118" t="s">
        <v>770</v>
      </c>
      <c r="D150" s="95"/>
      <c r="E150" s="95"/>
      <c r="F150" s="95"/>
      <c r="G150" s="95"/>
      <c r="H150" s="95"/>
      <c r="I150" s="95"/>
      <c r="J150" s="174"/>
      <c r="K150" s="174">
        <f>Notes!F170</f>
        <v>364.59619801000002</v>
      </c>
      <c r="L150" s="174">
        <f>Notes!G170</f>
        <v>408.22020965299998</v>
      </c>
      <c r="M150" s="174">
        <f>Notes!H170</f>
        <v>363.74618269199999</v>
      </c>
      <c r="N150" s="174">
        <f>Notes!I170</f>
        <v>803.51371968599994</v>
      </c>
      <c r="O150" s="174">
        <f>Notes!J170</f>
        <v>902.30852354900003</v>
      </c>
      <c r="P150" s="853">
        <f>Notes!K170</f>
        <v>1098.8248108360001</v>
      </c>
      <c r="Q150" s="854">
        <f t="shared" ref="Q150:Z150" si="138">Q151*Q14</f>
        <v>1005.5924718335727</v>
      </c>
      <c r="R150" s="854">
        <f t="shared" si="138"/>
        <v>1069.2082245471015</v>
      </c>
      <c r="S150" s="854">
        <f t="shared" si="138"/>
        <v>1110.699180227708</v>
      </c>
      <c r="T150" s="854">
        <f t="shared" si="138"/>
        <v>1388.7873136704661</v>
      </c>
      <c r="U150" s="854">
        <f t="shared" si="138"/>
        <v>1386.5969454179258</v>
      </c>
      <c r="V150" s="854">
        <f t="shared" si="138"/>
        <v>1269.4013647812185</v>
      </c>
      <c r="W150" s="854">
        <f t="shared" si="138"/>
        <v>1256.0588235970401</v>
      </c>
      <c r="X150" s="854">
        <f t="shared" si="138"/>
        <v>1295.1128291780876</v>
      </c>
      <c r="Y150" s="854">
        <f t="shared" si="138"/>
        <v>1373.3708838374844</v>
      </c>
      <c r="Z150" s="854">
        <f t="shared" si="138"/>
        <v>1402.7449242752959</v>
      </c>
      <c r="AA150" s="854"/>
      <c r="AB150" s="855"/>
      <c r="AC150" s="855"/>
      <c r="AD150" s="855"/>
      <c r="AE150" s="855"/>
      <c r="AF150" s="855"/>
      <c r="AG150" s="855"/>
      <c r="AH150" s="855"/>
      <c r="AI150" s="855"/>
      <c r="AJ150" s="855"/>
      <c r="AK150" s="855"/>
      <c r="AL150" s="855"/>
      <c r="AM150" s="855"/>
      <c r="AN150" s="855"/>
      <c r="AO150" s="855"/>
      <c r="AP150" s="855"/>
      <c r="AQ150" s="855"/>
      <c r="AR150" s="855"/>
      <c r="AS150" s="855"/>
      <c r="AT150" s="855"/>
      <c r="AU150" s="855"/>
      <c r="AV150" s="855"/>
      <c r="AW150" s="855"/>
      <c r="AX150" s="855"/>
      <c r="AY150" s="855"/>
      <c r="AZ150" s="855"/>
      <c r="BA150" s="855"/>
    </row>
    <row r="151" spans="2:53" s="95" customFormat="1" ht="24.75" customHeight="1">
      <c r="B151" s="941" t="s">
        <v>767</v>
      </c>
      <c r="D151" s="166"/>
      <c r="E151" s="166"/>
      <c r="F151" s="166"/>
      <c r="G151" s="166"/>
      <c r="H151" s="166"/>
      <c r="I151" s="166"/>
      <c r="J151" s="166"/>
      <c r="K151" s="166">
        <f t="shared" ref="K151:P151" si="139">K150/K14</f>
        <v>5.1767415867156892E-2</v>
      </c>
      <c r="L151" s="166">
        <f t="shared" si="139"/>
        <v>5.3988276346463429E-2</v>
      </c>
      <c r="M151" s="166">
        <f t="shared" si="139"/>
        <v>3.6854601899413933E-2</v>
      </c>
      <c r="N151" s="166">
        <f t="shared" si="139"/>
        <v>5.0457619621827855E-2</v>
      </c>
      <c r="O151" s="166">
        <f t="shared" si="139"/>
        <v>7.1779603226430636E-2</v>
      </c>
      <c r="P151" s="867">
        <f t="shared" si="139"/>
        <v>7.5320884854622724E-2</v>
      </c>
      <c r="Q151" s="244">
        <f>AVERAGE(K151:P151)</f>
        <v>5.6694733635985921E-2</v>
      </c>
      <c r="R151" s="244">
        <f t="shared" ref="R151:Z151" si="140">AVERAGE(L151:Q151)</f>
        <v>5.7515953264124085E-2</v>
      </c>
      <c r="S151" s="244">
        <f t="shared" si="140"/>
        <v>5.8103899417067527E-2</v>
      </c>
      <c r="T151" s="244">
        <f t="shared" si="140"/>
        <v>6.1645449003343122E-2</v>
      </c>
      <c r="U151" s="244">
        <f t="shared" si="140"/>
        <v>6.3510087233595663E-2</v>
      </c>
      <c r="V151" s="244">
        <f t="shared" si="140"/>
        <v>6.2131834568123177E-2</v>
      </c>
      <c r="W151" s="244">
        <f t="shared" si="140"/>
        <v>5.9933659520373245E-2</v>
      </c>
      <c r="X151" s="244">
        <f t="shared" si="140"/>
        <v>6.047348050110448E-2</v>
      </c>
      <c r="Y151" s="244">
        <f t="shared" si="140"/>
        <v>6.0966401707267866E-2</v>
      </c>
      <c r="Z151" s="244">
        <f t="shared" si="140"/>
        <v>6.1443485422301262E-2</v>
      </c>
      <c r="AA151" s="244"/>
      <c r="AB151" s="244"/>
      <c r="AC151" s="244"/>
      <c r="AD151" s="244"/>
      <c r="AE151" s="244"/>
      <c r="AF151" s="244"/>
      <c r="AG151" s="244"/>
      <c r="AH151" s="244"/>
      <c r="AI151" s="244"/>
      <c r="AJ151" s="244"/>
      <c r="AK151" s="244"/>
      <c r="AL151" s="244"/>
      <c r="AM151" s="244"/>
      <c r="AN151" s="244"/>
      <c r="AO151" s="244"/>
      <c r="AP151" s="244"/>
      <c r="AQ151" s="244"/>
      <c r="AR151" s="244"/>
      <c r="AS151" s="244"/>
      <c r="AT151" s="244"/>
      <c r="AU151" s="244"/>
      <c r="AV151" s="244"/>
      <c r="AW151" s="244"/>
      <c r="AX151" s="244"/>
      <c r="AY151" s="244"/>
      <c r="AZ151" s="244"/>
      <c r="BA151" s="244"/>
    </row>
    <row r="152" spans="2:53" s="5" customFormat="1" ht="24" customHeight="1">
      <c r="B152" s="118" t="s">
        <v>771</v>
      </c>
      <c r="D152" s="95"/>
      <c r="E152" s="95"/>
      <c r="F152" s="95"/>
      <c r="G152" s="95"/>
      <c r="H152" s="95"/>
      <c r="I152" s="95"/>
      <c r="J152" s="174"/>
      <c r="K152" s="174">
        <f>Notes!F171</f>
        <v>293.902037742</v>
      </c>
      <c r="L152" s="174">
        <f>Notes!G171</f>
        <v>364.34541088399999</v>
      </c>
      <c r="M152" s="174">
        <f>Notes!H171</f>
        <v>743.85104253500003</v>
      </c>
      <c r="N152" s="174">
        <f>Notes!I171</f>
        <v>867.12225192599999</v>
      </c>
      <c r="O152" s="174">
        <f>Notes!J171</f>
        <v>608.16808459200001</v>
      </c>
      <c r="P152" s="853">
        <f>Notes!K171</f>
        <v>688.04839751899999</v>
      </c>
      <c r="Q152" s="854">
        <f t="shared" ref="Q152:Z152" si="141">Q153*Q14</f>
        <v>932.01283910524501</v>
      </c>
      <c r="R152" s="854">
        <f t="shared" si="141"/>
        <v>1010.337242618786</v>
      </c>
      <c r="S152" s="854">
        <f t="shared" si="141"/>
        <v>1058.5597991529169</v>
      </c>
      <c r="T152" s="854">
        <f t="shared" si="141"/>
        <v>1172.4937496475659</v>
      </c>
      <c r="U152" s="854">
        <f t="shared" si="141"/>
        <v>1127.5147951594072</v>
      </c>
      <c r="V152" s="854">
        <f t="shared" si="141"/>
        <v>1066.2251148443706</v>
      </c>
      <c r="W152" s="854">
        <f t="shared" si="141"/>
        <v>1111.2602688865009</v>
      </c>
      <c r="X152" s="854">
        <f t="shared" si="141"/>
        <v>1137.2906327736464</v>
      </c>
      <c r="Y152" s="854">
        <f t="shared" si="141"/>
        <v>1191.5874610837675</v>
      </c>
      <c r="Z152" s="854">
        <f t="shared" si="141"/>
        <v>1198.1884668491011</v>
      </c>
      <c r="AA152" s="854"/>
      <c r="AB152" s="855"/>
      <c r="AC152" s="855"/>
      <c r="AD152" s="855"/>
      <c r="AE152" s="855"/>
      <c r="AF152" s="855"/>
      <c r="AG152" s="855"/>
      <c r="AH152" s="855"/>
      <c r="AI152" s="855"/>
      <c r="AJ152" s="855"/>
      <c r="AK152" s="855"/>
      <c r="AL152" s="855"/>
      <c r="AM152" s="855"/>
      <c r="AN152" s="855"/>
      <c r="AO152" s="855"/>
      <c r="AP152" s="855"/>
      <c r="AQ152" s="855"/>
      <c r="AR152" s="855"/>
      <c r="AS152" s="855"/>
      <c r="AT152" s="855"/>
      <c r="AU152" s="855"/>
      <c r="AV152" s="855"/>
      <c r="AW152" s="855"/>
      <c r="AX152" s="855"/>
      <c r="AY152" s="855"/>
      <c r="AZ152" s="855"/>
      <c r="BA152" s="855"/>
    </row>
    <row r="153" spans="2:53" s="95" customFormat="1" ht="21.75" customHeight="1">
      <c r="B153" s="941" t="s">
        <v>767</v>
      </c>
      <c r="D153" s="166"/>
      <c r="E153" s="166"/>
      <c r="F153" s="166"/>
      <c r="G153" s="166"/>
      <c r="H153" s="166"/>
      <c r="I153" s="166"/>
      <c r="J153" s="166"/>
      <c r="K153" s="166">
        <f t="shared" ref="K153:P153" si="142">K152/K14</f>
        <v>4.1729861954231499E-2</v>
      </c>
      <c r="L153" s="166">
        <f t="shared" si="142"/>
        <v>4.8185710220205895E-2</v>
      </c>
      <c r="M153" s="166">
        <f t="shared" si="142"/>
        <v>7.5366657712266305E-2</v>
      </c>
      <c r="N153" s="166">
        <f t="shared" si="142"/>
        <v>5.4451994634768429E-2</v>
      </c>
      <c r="O153" s="166">
        <f t="shared" si="142"/>
        <v>4.8380418302256478E-2</v>
      </c>
      <c r="P153" s="867">
        <f t="shared" si="142"/>
        <v>4.7163491043224259E-2</v>
      </c>
      <c r="Q153" s="244">
        <f>AVERAGE(K153:P153)</f>
        <v>5.254635564449215E-2</v>
      </c>
      <c r="R153" s="244">
        <f t="shared" ref="R153:Z153" si="143">AVERAGE(L153:Q153)</f>
        <v>5.4349104592868923E-2</v>
      </c>
      <c r="S153" s="244">
        <f t="shared" si="143"/>
        <v>5.5376336988312756E-2</v>
      </c>
      <c r="T153" s="244">
        <f t="shared" si="143"/>
        <v>5.2044616867653826E-2</v>
      </c>
      <c r="U153" s="244">
        <f t="shared" si="143"/>
        <v>5.1643387239801393E-2</v>
      </c>
      <c r="V153" s="244">
        <f t="shared" si="143"/>
        <v>5.2187215396058889E-2</v>
      </c>
      <c r="W153" s="244">
        <f t="shared" si="143"/>
        <v>5.3024502788198001E-2</v>
      </c>
      <c r="X153" s="244">
        <f t="shared" si="143"/>
        <v>5.3104193978815634E-2</v>
      </c>
      <c r="Y153" s="244">
        <f t="shared" si="143"/>
        <v>5.2896708876473408E-2</v>
      </c>
      <c r="Z153" s="244">
        <f t="shared" si="143"/>
        <v>5.2483437524500194E-2</v>
      </c>
      <c r="AA153" s="244"/>
      <c r="AB153" s="244"/>
      <c r="AC153" s="244"/>
      <c r="AD153" s="244"/>
      <c r="AE153" s="244"/>
      <c r="AF153" s="244"/>
      <c r="AG153" s="244"/>
      <c r="AH153" s="244"/>
      <c r="AI153" s="244"/>
      <c r="AJ153" s="244"/>
      <c r="AK153" s="244"/>
      <c r="AL153" s="244"/>
      <c r="AM153" s="244"/>
      <c r="AN153" s="244"/>
      <c r="AO153" s="244"/>
      <c r="AP153" s="244"/>
      <c r="AQ153" s="244"/>
      <c r="AR153" s="244"/>
      <c r="AS153" s="244"/>
      <c r="AT153" s="244"/>
      <c r="AU153" s="244"/>
      <c r="AV153" s="244"/>
      <c r="AW153" s="244"/>
      <c r="AX153" s="244"/>
      <c r="AY153" s="244"/>
      <c r="AZ153" s="244"/>
      <c r="BA153" s="244"/>
    </row>
    <row r="154" spans="2:53" s="95" customFormat="1" ht="21.75" customHeight="1">
      <c r="B154" s="118" t="s">
        <v>752</v>
      </c>
      <c r="D154" s="166"/>
      <c r="E154" s="166"/>
      <c r="F154" s="166"/>
      <c r="G154" s="166"/>
      <c r="H154" s="166"/>
      <c r="I154" s="166"/>
      <c r="J154" s="174"/>
      <c r="K154" s="174">
        <v>0</v>
      </c>
      <c r="L154" s="174">
        <v>0</v>
      </c>
      <c r="M154" s="174">
        <v>0</v>
      </c>
      <c r="N154" s="174">
        <v>0</v>
      </c>
      <c r="O154" s="174">
        <v>0</v>
      </c>
      <c r="P154" s="853">
        <v>0</v>
      </c>
      <c r="Q154" s="854">
        <f t="shared" ref="Q154:Z154" si="144">Q155*Q14</f>
        <v>0</v>
      </c>
      <c r="R154" s="854">
        <f t="shared" si="144"/>
        <v>0</v>
      </c>
      <c r="S154" s="854">
        <f t="shared" si="144"/>
        <v>0</v>
      </c>
      <c r="T154" s="854">
        <f t="shared" si="144"/>
        <v>0</v>
      </c>
      <c r="U154" s="854">
        <f t="shared" si="144"/>
        <v>0</v>
      </c>
      <c r="V154" s="854">
        <f t="shared" si="144"/>
        <v>0</v>
      </c>
      <c r="W154" s="854">
        <f t="shared" si="144"/>
        <v>0</v>
      </c>
      <c r="X154" s="854">
        <f t="shared" si="144"/>
        <v>0</v>
      </c>
      <c r="Y154" s="854">
        <f t="shared" si="144"/>
        <v>0</v>
      </c>
      <c r="Z154" s="854">
        <f t="shared" si="144"/>
        <v>0</v>
      </c>
      <c r="AA154" s="854"/>
      <c r="AB154" s="855"/>
      <c r="AC154" s="176"/>
      <c r="AD154" s="176"/>
      <c r="AE154" s="176"/>
      <c r="AF154" s="176"/>
      <c r="AG154" s="176"/>
      <c r="AH154" s="176"/>
      <c r="AI154" s="176"/>
      <c r="AJ154" s="176"/>
      <c r="AK154" s="176"/>
      <c r="AL154" s="176"/>
      <c r="AM154" s="855"/>
      <c r="AN154" s="855"/>
      <c r="AO154" s="855"/>
      <c r="AP154" s="855"/>
      <c r="AQ154" s="855"/>
      <c r="AR154" s="855"/>
      <c r="AS154" s="855"/>
      <c r="AT154" s="855"/>
      <c r="AU154" s="855"/>
      <c r="AV154" s="855"/>
      <c r="AW154" s="855"/>
      <c r="AX154" s="855"/>
      <c r="AY154" s="855"/>
      <c r="AZ154" s="855"/>
      <c r="BA154" s="855"/>
    </row>
    <row r="155" spans="2:53" s="95" customFormat="1" ht="21.75" customHeight="1">
      <c r="B155" s="941" t="s">
        <v>767</v>
      </c>
      <c r="D155" s="166"/>
      <c r="E155" s="166"/>
      <c r="F155" s="166"/>
      <c r="G155" s="166"/>
      <c r="H155" s="166"/>
      <c r="I155" s="166"/>
      <c r="J155" s="166"/>
      <c r="K155" s="166">
        <f t="shared" ref="K155:P155" si="145">K154/K14</f>
        <v>0</v>
      </c>
      <c r="L155" s="166">
        <f t="shared" si="145"/>
        <v>0</v>
      </c>
      <c r="M155" s="166">
        <f t="shared" si="145"/>
        <v>0</v>
      </c>
      <c r="N155" s="166">
        <f t="shared" si="145"/>
        <v>0</v>
      </c>
      <c r="O155" s="166">
        <f t="shared" si="145"/>
        <v>0</v>
      </c>
      <c r="P155" s="2497">
        <f t="shared" si="145"/>
        <v>0</v>
      </c>
      <c r="Q155" s="244">
        <v>0</v>
      </c>
      <c r="R155" s="244">
        <v>0</v>
      </c>
      <c r="S155" s="244">
        <v>0</v>
      </c>
      <c r="T155" s="244">
        <v>0</v>
      </c>
      <c r="U155" s="244">
        <v>0</v>
      </c>
      <c r="V155" s="244">
        <v>0</v>
      </c>
      <c r="W155" s="244">
        <v>0</v>
      </c>
      <c r="X155" s="244">
        <v>0</v>
      </c>
      <c r="Y155" s="244">
        <v>0</v>
      </c>
      <c r="Z155" s="244">
        <v>0</v>
      </c>
      <c r="AA155" s="244"/>
      <c r="AB155" s="244"/>
      <c r="AC155" s="244"/>
      <c r="AD155" s="244"/>
      <c r="AE155" s="244"/>
      <c r="AF155" s="244"/>
      <c r="AG155" s="244"/>
      <c r="AH155" s="244"/>
      <c r="AI155" s="244"/>
      <c r="AJ155" s="244"/>
      <c r="AK155" s="244"/>
      <c r="AL155" s="244"/>
      <c r="AM155" s="244"/>
      <c r="AN155" s="244"/>
      <c r="AO155" s="244"/>
      <c r="AP155" s="244"/>
      <c r="AQ155" s="244"/>
      <c r="AR155" s="244"/>
      <c r="AS155" s="244"/>
      <c r="AT155" s="244"/>
      <c r="AU155" s="244"/>
      <c r="AV155" s="244"/>
      <c r="AW155" s="244"/>
      <c r="AX155" s="244"/>
      <c r="AY155" s="244"/>
      <c r="AZ155" s="244"/>
      <c r="BA155" s="244"/>
    </row>
    <row r="156" spans="2:53" s="476" customFormat="1">
      <c r="B156" s="860" t="s">
        <v>777</v>
      </c>
      <c r="C156" s="860"/>
      <c r="D156" s="890"/>
      <c r="E156" s="890"/>
      <c r="F156" s="890"/>
      <c r="G156" s="890"/>
      <c r="H156" s="890"/>
      <c r="I156" s="890"/>
      <c r="J156" s="891"/>
      <c r="K156" s="891"/>
      <c r="L156" s="891"/>
      <c r="M156" s="891"/>
      <c r="N156" s="891"/>
      <c r="O156" s="891"/>
      <c r="P156" s="892"/>
      <c r="Q156" s="893"/>
      <c r="R156" s="893"/>
      <c r="S156" s="893"/>
      <c r="T156" s="893"/>
      <c r="U156" s="893"/>
      <c r="V156" s="893"/>
      <c r="W156" s="893"/>
      <c r="X156" s="893"/>
      <c r="Y156" s="893"/>
      <c r="Z156" s="893"/>
      <c r="AA156" s="893"/>
      <c r="AB156" s="894"/>
      <c r="AC156" s="894"/>
      <c r="AD156" s="894"/>
      <c r="AE156" s="894"/>
      <c r="AF156" s="894"/>
      <c r="AG156" s="894"/>
      <c r="AH156" s="894"/>
      <c r="AI156" s="894"/>
      <c r="AJ156" s="894"/>
      <c r="AK156" s="894"/>
      <c r="AL156" s="894"/>
      <c r="AM156" s="894"/>
      <c r="AN156" s="894"/>
      <c r="AO156" s="894"/>
      <c r="AP156" s="894"/>
      <c r="AQ156" s="894"/>
      <c r="AR156" s="894"/>
      <c r="AS156" s="894"/>
      <c r="AT156" s="894"/>
      <c r="AU156" s="894"/>
      <c r="AV156" s="894"/>
      <c r="AW156" s="894"/>
      <c r="AX156" s="894"/>
      <c r="AY156" s="894"/>
      <c r="AZ156" s="894"/>
      <c r="BA156" s="894"/>
    </row>
    <row r="157" spans="2:53" s="476" customFormat="1">
      <c r="D157" s="196"/>
      <c r="E157" s="948"/>
      <c r="F157" s="948"/>
      <c r="G157" s="948"/>
      <c r="H157" s="948"/>
      <c r="I157" s="948"/>
      <c r="J157" s="948"/>
      <c r="K157" s="948"/>
      <c r="L157" s="948"/>
      <c r="M157" s="948"/>
      <c r="N157" s="948"/>
      <c r="O157" s="948"/>
      <c r="P157" s="949"/>
      <c r="Q157" s="196"/>
      <c r="R157" s="196"/>
      <c r="S157" s="196"/>
      <c r="T157" s="196"/>
      <c r="U157" s="196"/>
      <c r="V157" s="196"/>
      <c r="W157" s="196"/>
      <c r="X157" s="196"/>
      <c r="Y157" s="196"/>
      <c r="Z157" s="196"/>
      <c r="AA157" s="196"/>
      <c r="AB157" s="196"/>
      <c r="AC157" s="196"/>
      <c r="AD157" s="196"/>
      <c r="AE157" s="196"/>
      <c r="AF157" s="196"/>
      <c r="AG157" s="196"/>
      <c r="AH157" s="196"/>
      <c r="AI157" s="196"/>
      <c r="AJ157" s="196"/>
      <c r="AK157" s="196"/>
      <c r="AL157" s="196"/>
      <c r="AM157" s="196"/>
      <c r="AN157" s="196"/>
      <c r="AO157" s="196"/>
      <c r="AP157" s="196"/>
      <c r="AQ157" s="196"/>
      <c r="AR157" s="196"/>
      <c r="AS157" s="196"/>
      <c r="AT157" s="196"/>
      <c r="AU157" s="196"/>
      <c r="AV157" s="196"/>
      <c r="AW157" s="196"/>
      <c r="AX157" s="196"/>
      <c r="AY157" s="196"/>
      <c r="AZ157" s="196"/>
      <c r="BA157" s="196"/>
    </row>
    <row r="158" spans="2:53" s="5" customFormat="1">
      <c r="B158" s="18" t="s">
        <v>778</v>
      </c>
      <c r="C158" s="18"/>
      <c r="D158" s="18"/>
      <c r="E158" s="950"/>
      <c r="F158" s="248"/>
      <c r="G158" s="248"/>
      <c r="H158" s="248"/>
      <c r="I158" s="248"/>
      <c r="J158" s="248"/>
      <c r="K158" s="248"/>
      <c r="L158" s="248"/>
      <c r="M158" s="248"/>
      <c r="N158" s="248"/>
      <c r="O158" s="248"/>
      <c r="P158" s="8"/>
    </row>
    <row r="159" spans="2:53" s="5" customFormat="1">
      <c r="B159" s="118" t="s">
        <v>779</v>
      </c>
      <c r="G159" s="166"/>
      <c r="H159" s="166"/>
      <c r="I159" s="166"/>
      <c r="J159" s="166"/>
      <c r="K159" s="166">
        <f>1-K160-K161</f>
        <v>0.98510790247038194</v>
      </c>
      <c r="L159" s="166">
        <f t="shared" ref="L159:Z159" si="146">1-L160-L161</f>
        <v>0.98475337872585023</v>
      </c>
      <c r="M159" s="166">
        <f t="shared" si="146"/>
        <v>0.9825624867751227</v>
      </c>
      <c r="N159" s="166">
        <f t="shared" si="146"/>
        <v>0.98834484497867092</v>
      </c>
      <c r="O159" s="166">
        <f t="shared" si="146"/>
        <v>0.98064757821596127</v>
      </c>
      <c r="P159" s="867">
        <f t="shared" si="146"/>
        <v>0.95228605392339682</v>
      </c>
      <c r="Q159" s="244">
        <f t="shared" si="146"/>
        <v>0.95538196392890584</v>
      </c>
      <c r="R159" s="244">
        <f t="shared" si="146"/>
        <v>0.9596930888057662</v>
      </c>
      <c r="S159" s="244">
        <f t="shared" si="146"/>
        <v>0.9053654376769823</v>
      </c>
      <c r="T159" s="244">
        <f t="shared" si="146"/>
        <v>0.89407588797727189</v>
      </c>
      <c r="U159" s="244">
        <f t="shared" si="146"/>
        <v>0.88581792712795915</v>
      </c>
      <c r="V159" s="244">
        <f t="shared" si="146"/>
        <v>0.88979849951195988</v>
      </c>
      <c r="W159" s="244">
        <f t="shared" si="146"/>
        <v>0.87781970822922983</v>
      </c>
      <c r="X159" s="244">
        <f t="shared" si="146"/>
        <v>0.88972905542828862</v>
      </c>
      <c r="Y159" s="244">
        <f t="shared" si="146"/>
        <v>0.89144211813829877</v>
      </c>
      <c r="Z159" s="244">
        <f t="shared" si="146"/>
        <v>0.89660644425026015</v>
      </c>
      <c r="AA159" s="244"/>
      <c r="AB159" s="244"/>
      <c r="AC159" s="176"/>
      <c r="AD159" s="176"/>
      <c r="AE159" s="176"/>
      <c r="AF159" s="176"/>
      <c r="AG159" s="176"/>
      <c r="AH159" s="176"/>
      <c r="AI159" s="176"/>
      <c r="AJ159" s="176"/>
      <c r="AK159" s="176"/>
      <c r="AL159" s="176"/>
      <c r="AM159" s="176"/>
      <c r="AN159" s="176"/>
      <c r="AO159" s="176"/>
      <c r="AP159" s="176"/>
      <c r="AQ159" s="176"/>
      <c r="AR159" s="176"/>
      <c r="AS159" s="176"/>
      <c r="AT159" s="176"/>
      <c r="AU159" s="176"/>
      <c r="AV159" s="176"/>
      <c r="AW159" s="176"/>
      <c r="AX159" s="176"/>
      <c r="AY159" s="176"/>
      <c r="AZ159" s="176"/>
      <c r="BA159" s="176"/>
    </row>
    <row r="160" spans="2:53" s="5" customFormat="1">
      <c r="B160" s="118" t="s">
        <v>780</v>
      </c>
      <c r="G160" s="166"/>
      <c r="H160" s="166"/>
      <c r="I160" s="166"/>
      <c r="J160" s="166"/>
      <c r="K160" s="229">
        <f>K113/K148</f>
        <v>8.3132095165734318E-4</v>
      </c>
      <c r="L160" s="229">
        <f t="shared" ref="L160:Z160" si="147">L113/L148</f>
        <v>2.6828298166424241E-3</v>
      </c>
      <c r="M160" s="229">
        <f t="shared" si="147"/>
        <v>4.1230069536204901E-3</v>
      </c>
      <c r="N160" s="229">
        <f t="shared" si="147"/>
        <v>4.152654649750182E-3</v>
      </c>
      <c r="O160" s="229">
        <f t="shared" si="147"/>
        <v>5.4200883265746553E-3</v>
      </c>
      <c r="P160" s="915">
        <f t="shared" si="147"/>
        <v>1.0903017069479675E-2</v>
      </c>
      <c r="Q160" s="243">
        <f t="shared" si="147"/>
        <v>8.8815382490278101E-3</v>
      </c>
      <c r="R160" s="243">
        <f t="shared" si="147"/>
        <v>9.3150757585365555E-3</v>
      </c>
      <c r="S160" s="243">
        <f t="shared" si="147"/>
        <v>2.3037557514313255E-2</v>
      </c>
      <c r="T160" s="243">
        <f t="shared" si="147"/>
        <v>2.5944707875002915E-2</v>
      </c>
      <c r="U160" s="243">
        <f t="shared" si="147"/>
        <v>2.6909218113150262E-2</v>
      </c>
      <c r="V160" s="243">
        <f t="shared" si="147"/>
        <v>2.5327281835105266E-2</v>
      </c>
      <c r="W160" s="243">
        <f t="shared" si="147"/>
        <v>2.8112922537953819E-2</v>
      </c>
      <c r="X160" s="243">
        <f t="shared" si="147"/>
        <v>2.5985288387501422E-2</v>
      </c>
      <c r="Y160" s="243">
        <f t="shared" si="147"/>
        <v>2.5666159070528841E-2</v>
      </c>
      <c r="Z160" s="243">
        <f t="shared" si="147"/>
        <v>2.4327177376977715E-2</v>
      </c>
      <c r="AA160" s="244"/>
      <c r="AB160" s="244"/>
      <c r="AC160" s="244"/>
      <c r="AD160" s="244"/>
      <c r="AE160" s="244"/>
      <c r="AF160" s="244"/>
      <c r="AG160" s="244"/>
      <c r="AH160" s="244"/>
      <c r="AI160" s="244"/>
      <c r="AJ160" s="244"/>
      <c r="AK160" s="244"/>
      <c r="AL160" s="244"/>
      <c r="AM160" s="244"/>
      <c r="AN160" s="244"/>
      <c r="AO160" s="244"/>
      <c r="AP160" s="244"/>
      <c r="AQ160" s="244"/>
      <c r="AR160" s="244"/>
      <c r="AS160" s="244"/>
      <c r="AT160" s="244"/>
      <c r="AU160" s="244"/>
      <c r="AV160" s="244"/>
      <c r="AW160" s="244"/>
      <c r="AX160" s="244"/>
      <c r="AY160" s="244"/>
      <c r="AZ160" s="244"/>
      <c r="BA160" s="244"/>
    </row>
    <row r="161" spans="1:53" s="5" customFormat="1">
      <c r="B161" s="118" t="s">
        <v>781</v>
      </c>
      <c r="G161" s="166"/>
      <c r="H161" s="166"/>
      <c r="I161" s="166"/>
      <c r="J161" s="166"/>
      <c r="K161" s="229">
        <f>K129/K148</f>
        <v>1.406077657796063E-2</v>
      </c>
      <c r="L161" s="229">
        <f t="shared" ref="L161:Z161" si="148">L129/L148</f>
        <v>1.2563791457507346E-2</v>
      </c>
      <c r="M161" s="229">
        <f t="shared" si="148"/>
        <v>1.3314506271256805E-2</v>
      </c>
      <c r="N161" s="229">
        <f t="shared" si="148"/>
        <v>7.5025003715788506E-3</v>
      </c>
      <c r="O161" s="229">
        <f t="shared" si="148"/>
        <v>1.3932333457464014E-2</v>
      </c>
      <c r="P161" s="915">
        <f t="shared" si="148"/>
        <v>3.6810929007123419E-2</v>
      </c>
      <c r="Q161" s="243">
        <f t="shared" si="148"/>
        <v>3.5736497822066386E-2</v>
      </c>
      <c r="R161" s="243">
        <f t="shared" si="148"/>
        <v>3.0991835435697279E-2</v>
      </c>
      <c r="S161" s="243">
        <f t="shared" si="148"/>
        <v>7.159700480870447E-2</v>
      </c>
      <c r="T161" s="243">
        <f t="shared" si="148"/>
        <v>7.9979404147725142E-2</v>
      </c>
      <c r="U161" s="243">
        <f t="shared" si="148"/>
        <v>8.7272854758890558E-2</v>
      </c>
      <c r="V161" s="243">
        <f t="shared" si="148"/>
        <v>8.4874218652934916E-2</v>
      </c>
      <c r="W161" s="243">
        <f t="shared" si="148"/>
        <v>9.4067369232816306E-2</v>
      </c>
      <c r="X161" s="243">
        <f t="shared" si="148"/>
        <v>8.4285656184209926E-2</v>
      </c>
      <c r="Y161" s="243">
        <f t="shared" si="148"/>
        <v>8.289172279117242E-2</v>
      </c>
      <c r="Z161" s="243">
        <f t="shared" si="148"/>
        <v>7.9066378372762064E-2</v>
      </c>
      <c r="AA161" s="244"/>
      <c r="AB161" s="244"/>
      <c r="AC161" s="244"/>
      <c r="AD161" s="244"/>
      <c r="AE161" s="244"/>
      <c r="AF161" s="244"/>
      <c r="AG161" s="244"/>
      <c r="AH161" s="244"/>
      <c r="AI161" s="244"/>
      <c r="AJ161" s="244"/>
      <c r="AK161" s="244"/>
      <c r="AL161" s="244"/>
      <c r="AM161" s="244"/>
      <c r="AN161" s="244"/>
      <c r="AO161" s="244"/>
      <c r="AP161" s="244"/>
      <c r="AQ161" s="244"/>
      <c r="AR161" s="244"/>
      <c r="AS161" s="244"/>
      <c r="AT161" s="244"/>
      <c r="AU161" s="244"/>
      <c r="AV161" s="244"/>
      <c r="AW161" s="244"/>
      <c r="AX161" s="244"/>
      <c r="AY161" s="244"/>
      <c r="AZ161" s="244"/>
      <c r="BA161" s="244"/>
    </row>
    <row r="162" spans="1:53" s="67" customFormat="1">
      <c r="A162" s="5"/>
      <c r="B162" s="67" t="s">
        <v>782</v>
      </c>
      <c r="J162" s="951"/>
      <c r="K162" s="951">
        <f>SUM(K159:K161)</f>
        <v>1</v>
      </c>
      <c r="L162" s="951">
        <f t="shared" ref="L162:Z162" si="149">SUM(L159:L161)</f>
        <v>1</v>
      </c>
      <c r="M162" s="951">
        <f t="shared" si="149"/>
        <v>1</v>
      </c>
      <c r="N162" s="951">
        <f t="shared" si="149"/>
        <v>1</v>
      </c>
      <c r="O162" s="951">
        <f t="shared" si="149"/>
        <v>1</v>
      </c>
      <c r="P162" s="952">
        <f t="shared" si="149"/>
        <v>1</v>
      </c>
      <c r="Q162" s="953">
        <f t="shared" si="149"/>
        <v>1</v>
      </c>
      <c r="R162" s="953">
        <f t="shared" si="149"/>
        <v>1</v>
      </c>
      <c r="S162" s="953">
        <f t="shared" si="149"/>
        <v>1</v>
      </c>
      <c r="T162" s="953">
        <f t="shared" si="149"/>
        <v>1</v>
      </c>
      <c r="U162" s="953">
        <f t="shared" si="149"/>
        <v>1</v>
      </c>
      <c r="V162" s="953">
        <f t="shared" si="149"/>
        <v>1</v>
      </c>
      <c r="W162" s="953">
        <f t="shared" si="149"/>
        <v>1</v>
      </c>
      <c r="X162" s="953">
        <f t="shared" si="149"/>
        <v>1</v>
      </c>
      <c r="Y162" s="953">
        <f t="shared" si="149"/>
        <v>1</v>
      </c>
      <c r="Z162" s="953">
        <f t="shared" si="149"/>
        <v>1</v>
      </c>
      <c r="AA162" s="953"/>
      <c r="AB162" s="953"/>
      <c r="AC162" s="951">
        <f t="shared" ref="AC162:BA162" si="150">SUM(AC159:AC161)</f>
        <v>0</v>
      </c>
      <c r="AD162" s="951">
        <f t="shared" si="150"/>
        <v>0</v>
      </c>
      <c r="AE162" s="951">
        <f t="shared" si="150"/>
        <v>0</v>
      </c>
      <c r="AF162" s="951">
        <f t="shared" si="150"/>
        <v>0</v>
      </c>
      <c r="AG162" s="951">
        <f t="shared" si="150"/>
        <v>0</v>
      </c>
      <c r="AH162" s="951">
        <f t="shared" si="150"/>
        <v>0</v>
      </c>
      <c r="AI162" s="951">
        <f t="shared" si="150"/>
        <v>0</v>
      </c>
      <c r="AJ162" s="951">
        <f t="shared" si="150"/>
        <v>0</v>
      </c>
      <c r="AK162" s="951">
        <f t="shared" si="150"/>
        <v>0</v>
      </c>
      <c r="AL162" s="951">
        <f t="shared" si="150"/>
        <v>0</v>
      </c>
      <c r="AM162" s="951">
        <f t="shared" si="150"/>
        <v>0</v>
      </c>
      <c r="AN162" s="951">
        <f t="shared" si="150"/>
        <v>0</v>
      </c>
      <c r="AO162" s="951">
        <f t="shared" si="150"/>
        <v>0</v>
      </c>
      <c r="AP162" s="951">
        <f t="shared" si="150"/>
        <v>0</v>
      </c>
      <c r="AQ162" s="951">
        <f t="shared" si="150"/>
        <v>0</v>
      </c>
      <c r="AR162" s="951">
        <f t="shared" si="150"/>
        <v>0</v>
      </c>
      <c r="AS162" s="951">
        <f t="shared" si="150"/>
        <v>0</v>
      </c>
      <c r="AT162" s="951">
        <f t="shared" si="150"/>
        <v>0</v>
      </c>
      <c r="AU162" s="951">
        <f t="shared" si="150"/>
        <v>0</v>
      </c>
      <c r="AV162" s="951">
        <f t="shared" si="150"/>
        <v>0</v>
      </c>
      <c r="AW162" s="951">
        <f t="shared" si="150"/>
        <v>0</v>
      </c>
      <c r="AX162" s="951">
        <f t="shared" si="150"/>
        <v>0</v>
      </c>
      <c r="AY162" s="951">
        <f t="shared" si="150"/>
        <v>0</v>
      </c>
      <c r="AZ162" s="951">
        <f t="shared" si="150"/>
        <v>0</v>
      </c>
      <c r="BA162" s="951">
        <f t="shared" si="150"/>
        <v>0</v>
      </c>
    </row>
    <row r="163" spans="1:53">
      <c r="P163" s="909"/>
    </row>
    <row r="164" spans="1:53">
      <c r="P164" s="909"/>
    </row>
    <row r="165" spans="1:53">
      <c r="P165" s="909"/>
    </row>
    <row r="166" spans="1:53">
      <c r="P166" s="909"/>
    </row>
    <row r="167" spans="1:53">
      <c r="P167" s="909"/>
    </row>
    <row r="168" spans="1:53">
      <c r="N168" s="954"/>
      <c r="O168" s="684"/>
    </row>
  </sheetData>
  <mergeCells count="5">
    <mergeCell ref="G38:I38"/>
    <mergeCell ref="G46:I49"/>
    <mergeCell ref="BC102:BC103"/>
    <mergeCell ref="BC126:BC128"/>
    <mergeCell ref="H4:I4"/>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B46D0-C940-4992-ACD9-6A83A8FDD333}">
  <dimension ref="A1:BT244"/>
  <sheetViews>
    <sheetView zoomScale="70" zoomScaleNormal="70" workbookViewId="0">
      <pane ySplit="4" topLeftCell="A44" activePane="bottomLeft" state="frozen"/>
      <selection pane="bottomLeft" activeCell="F53" sqref="F53"/>
    </sheetView>
  </sheetViews>
  <sheetFormatPr defaultColWidth="9.109375" defaultRowHeight="13.8"/>
  <cols>
    <col min="1" max="1" width="5.6640625" style="1219" customWidth="1"/>
    <col min="2" max="2" width="39.6640625" style="1220" bestFit="1" customWidth="1"/>
    <col min="3" max="3" width="44.88671875" style="1220" customWidth="1"/>
    <col min="4" max="4" width="13.88671875" style="1222" customWidth="1"/>
    <col min="5" max="5" width="7.6640625" style="1220" customWidth="1"/>
    <col min="6" max="6" width="11.109375" style="758" customWidth="1"/>
    <col min="7" max="7" width="7.6640625" style="1220" customWidth="1"/>
    <col min="8" max="8" width="10.33203125" style="1220" customWidth="1"/>
    <col min="9" max="13" width="10.6640625" style="1220" hidden="1" customWidth="1"/>
    <col min="14" max="14" width="8.5546875" style="1220" hidden="1" customWidth="1"/>
    <col min="15" max="15" width="10.6640625" style="1220" hidden="1" customWidth="1"/>
    <col min="16" max="16" width="19.6640625" style="1220" hidden="1" customWidth="1"/>
    <col min="17" max="17" width="17.44140625" style="1220" customWidth="1"/>
    <col min="18" max="18" width="16.5546875" style="1220" customWidth="1"/>
    <col min="19" max="19" width="15.6640625" style="1220" customWidth="1"/>
    <col min="20" max="20" width="15.5546875" style="1220" customWidth="1"/>
    <col min="21" max="21" width="16.44140625" style="1220" customWidth="1"/>
    <col min="22" max="22" width="16.109375" style="1220" customWidth="1"/>
    <col min="23" max="24" width="13.88671875" style="1220" customWidth="1"/>
    <col min="25" max="25" width="15.109375" style="1220" customWidth="1"/>
    <col min="26" max="26" width="14.44140625" style="1220" customWidth="1"/>
    <col min="27" max="27" width="12.88671875" style="1220" customWidth="1"/>
    <col min="28" max="28" width="13.33203125" style="1220" customWidth="1"/>
    <col min="29" max="29" width="17" style="1220" customWidth="1"/>
    <col min="30" max="30" width="19.44140625" style="1220" customWidth="1"/>
    <col min="31" max="31" width="16.6640625" style="1220" customWidth="1"/>
    <col min="32" max="32" width="14.5546875" style="1220" customWidth="1"/>
    <col min="33" max="33" width="14.33203125" style="1220" customWidth="1"/>
    <col min="34" max="34" width="20.109375" style="1220" customWidth="1"/>
    <col min="35" max="35" width="21" style="1220" customWidth="1"/>
    <col min="36" max="36" width="24.77734375" style="1220" customWidth="1"/>
    <col min="37" max="37" width="21.21875" style="1220" customWidth="1"/>
    <col min="38" max="38" width="17.77734375" style="1220" customWidth="1"/>
    <col min="39" max="39" width="18.44140625" style="1220" customWidth="1"/>
    <col min="40" max="40" width="13.6640625" style="1220" customWidth="1"/>
    <col min="41" max="41" width="10" style="1220" customWidth="1"/>
    <col min="42" max="42" width="15.5546875" style="1220" customWidth="1"/>
    <col min="43" max="43" width="13.33203125" style="1220" customWidth="1"/>
    <col min="44" max="44" width="15.5546875" style="1220" customWidth="1"/>
    <col min="45" max="45" width="16.21875" style="1220" customWidth="1"/>
    <col min="46" max="46" width="13.44140625" style="1220" customWidth="1"/>
    <col min="47" max="47" width="12.88671875" style="1220" customWidth="1"/>
    <col min="48" max="48" width="8.109375" style="1220" customWidth="1"/>
    <col min="49" max="49" width="11.109375" style="1220" customWidth="1"/>
    <col min="50" max="50" width="14.88671875" style="1220" customWidth="1"/>
    <col min="51" max="51" width="15.109375" style="1220" customWidth="1"/>
    <col min="52" max="52" width="12.6640625" style="1220" customWidth="1"/>
    <col min="53" max="53" width="16.21875" style="1220" customWidth="1"/>
    <col min="54" max="54" width="11.21875" style="1220" customWidth="1"/>
    <col min="55" max="55" width="14.77734375" style="1220" customWidth="1"/>
    <col min="56" max="56" width="11.44140625" style="1220" customWidth="1"/>
    <col min="57" max="57" width="18.5546875" style="1220" customWidth="1"/>
    <col min="58" max="58" width="21.77734375" style="1220" customWidth="1"/>
    <col min="59" max="59" width="5.33203125" style="1220" customWidth="1"/>
    <col min="60" max="60" width="33.44140625" style="1220" bestFit="1" customWidth="1"/>
    <col min="61" max="61" width="9.33203125" style="1220" bestFit="1" customWidth="1"/>
    <col min="62" max="16384" width="9.109375" style="1220"/>
  </cols>
  <sheetData>
    <row r="1" spans="1:61">
      <c r="B1" s="3">
        <f>1</f>
        <v>1</v>
      </c>
      <c r="C1" s="2713" t="s">
        <v>843</v>
      </c>
      <c r="D1" s="2713"/>
      <c r="E1" s="2713"/>
      <c r="F1" s="2713"/>
      <c r="G1" s="2713"/>
      <c r="H1" s="2713"/>
      <c r="R1" s="2714" t="s">
        <v>844</v>
      </c>
      <c r="S1" s="2715"/>
      <c r="T1" s="2715"/>
      <c r="U1" s="2715"/>
      <c r="V1" s="2715"/>
      <c r="W1" s="2715"/>
      <c r="X1" s="2715"/>
      <c r="Y1" s="1221"/>
      <c r="Z1" s="1221"/>
      <c r="AA1" s="1221"/>
      <c r="AB1" s="1221"/>
      <c r="AC1" s="1221"/>
      <c r="AD1" s="1221"/>
      <c r="AE1" s="1221"/>
      <c r="AF1" s="1221"/>
      <c r="AG1" s="1221"/>
      <c r="AH1" s="1221"/>
      <c r="AI1" s="1221"/>
      <c r="AJ1" s="1221"/>
      <c r="AK1" s="1221"/>
      <c r="AL1" s="1221"/>
      <c r="AM1" s="1221"/>
      <c r="AN1" s="1221"/>
      <c r="AO1" s="1221"/>
      <c r="AP1" s="1221"/>
      <c r="AQ1" s="1221"/>
      <c r="AR1" s="1221"/>
      <c r="AS1" s="1221"/>
      <c r="AT1" s="1221"/>
      <c r="AU1" s="1221"/>
      <c r="AV1" s="1221"/>
      <c r="AW1" s="1221"/>
      <c r="AX1" s="1221"/>
      <c r="AY1" s="1221"/>
      <c r="AZ1" s="1221"/>
      <c r="BA1" s="1221"/>
      <c r="BB1" s="1221"/>
      <c r="BC1" s="1221"/>
      <c r="BD1" s="1221"/>
      <c r="BE1" s="1221"/>
      <c r="BF1" s="1221"/>
    </row>
    <row r="2" spans="1:61">
      <c r="I2" s="2716" t="s">
        <v>845</v>
      </c>
      <c r="J2" s="2716"/>
      <c r="K2" s="2716"/>
      <c r="L2" s="2716"/>
      <c r="M2" s="2716"/>
      <c r="N2" s="2716"/>
      <c r="O2" s="2716"/>
      <c r="P2" s="2717"/>
      <c r="S2" s="1223">
        <v>1</v>
      </c>
      <c r="T2" s="1223">
        <v>2</v>
      </c>
      <c r="U2" s="1223">
        <v>3</v>
      </c>
      <c r="V2" s="1223">
        <v>4</v>
      </c>
      <c r="W2" s="1223">
        <v>5</v>
      </c>
      <c r="X2" s="1223">
        <v>6</v>
      </c>
      <c r="Y2" s="1223">
        <v>7</v>
      </c>
      <c r="Z2" s="1223">
        <v>8</v>
      </c>
      <c r="AA2" s="1223">
        <v>9</v>
      </c>
      <c r="AB2" s="1223">
        <v>10</v>
      </c>
      <c r="AC2" s="1223">
        <v>11</v>
      </c>
      <c r="AD2" s="1223">
        <v>12</v>
      </c>
      <c r="AE2" s="1223">
        <v>13</v>
      </c>
      <c r="AF2" s="1223">
        <v>14</v>
      </c>
      <c r="AG2" s="1223">
        <v>15</v>
      </c>
      <c r="AH2" s="1223">
        <v>16</v>
      </c>
      <c r="AI2" s="1223">
        <v>17</v>
      </c>
      <c r="AJ2" s="1223">
        <v>18</v>
      </c>
      <c r="AK2" s="1223">
        <v>19</v>
      </c>
      <c r="AL2" s="1223">
        <v>20</v>
      </c>
      <c r="AM2" s="1223">
        <v>21</v>
      </c>
      <c r="AN2" s="1223">
        <v>22</v>
      </c>
      <c r="AO2" s="1223">
        <v>23</v>
      </c>
      <c r="AP2" s="1223">
        <v>24</v>
      </c>
      <c r="AQ2" s="1223">
        <v>25</v>
      </c>
      <c r="AR2" s="1223">
        <v>26</v>
      </c>
      <c r="AS2" s="1223">
        <v>27</v>
      </c>
      <c r="AT2" s="1223">
        <v>28</v>
      </c>
      <c r="AU2" s="1223">
        <v>29</v>
      </c>
      <c r="AV2" s="1223">
        <v>30</v>
      </c>
      <c r="AW2" s="1223">
        <v>31</v>
      </c>
      <c r="AX2" s="1223">
        <v>32</v>
      </c>
      <c r="AY2" s="1223">
        <v>33</v>
      </c>
      <c r="AZ2" s="1223">
        <v>34</v>
      </c>
      <c r="BA2" s="1223">
        <v>35</v>
      </c>
      <c r="BB2" s="1223">
        <v>36</v>
      </c>
      <c r="BC2" s="1223">
        <v>37</v>
      </c>
      <c r="BD2" s="1223">
        <v>38</v>
      </c>
      <c r="BE2" s="1223">
        <v>39</v>
      </c>
      <c r="BF2" s="1223">
        <v>40</v>
      </c>
    </row>
    <row r="3" spans="1:61">
      <c r="B3" s="1224"/>
      <c r="C3" s="2713"/>
      <c r="D3" s="2713"/>
      <c r="E3" s="2713"/>
      <c r="F3" s="2713"/>
      <c r="G3" s="2713"/>
      <c r="H3" s="2713"/>
      <c r="I3" s="2716"/>
      <c r="J3" s="2716"/>
      <c r="K3" s="2716"/>
      <c r="L3" s="2716"/>
      <c r="M3" s="2716"/>
      <c r="N3" s="2716"/>
      <c r="O3" s="2716"/>
      <c r="P3" s="2717"/>
      <c r="Q3" s="1225"/>
      <c r="R3" s="1226" t="str">
        <f ca="1">IF(TODAY()&lt;R4,"Proj","")</f>
        <v/>
      </c>
      <c r="S3" s="1227" t="str">
        <f t="shared" ref="S3:BF3" ca="1" si="0">IF(TODAY()&lt;S4,"Proj","")</f>
        <v>Proj</v>
      </c>
      <c r="T3" s="1227" t="str">
        <f t="shared" ca="1" si="0"/>
        <v>Proj</v>
      </c>
      <c r="U3" s="1227" t="str">
        <f t="shared" ca="1" si="0"/>
        <v>Proj</v>
      </c>
      <c r="V3" s="1227" t="str">
        <f t="shared" ca="1" si="0"/>
        <v>Proj</v>
      </c>
      <c r="W3" s="1227" t="str">
        <f t="shared" ca="1" si="0"/>
        <v>Proj</v>
      </c>
      <c r="X3" s="1227" t="str">
        <f t="shared" ca="1" si="0"/>
        <v>Proj</v>
      </c>
      <c r="Y3" s="1227" t="str">
        <f t="shared" ca="1" si="0"/>
        <v>Proj</v>
      </c>
      <c r="Z3" s="1227" t="str">
        <f t="shared" ca="1" si="0"/>
        <v>Proj</v>
      </c>
      <c r="AA3" s="1227" t="str">
        <f t="shared" ca="1" si="0"/>
        <v>Proj</v>
      </c>
      <c r="AB3" s="1227" t="str">
        <f t="shared" ca="1" si="0"/>
        <v>Proj</v>
      </c>
      <c r="AC3" s="1227" t="str">
        <f t="shared" ca="1" si="0"/>
        <v>Proj</v>
      </c>
      <c r="AD3" s="1227" t="str">
        <f t="shared" ca="1" si="0"/>
        <v>Proj</v>
      </c>
      <c r="AE3" s="1227" t="str">
        <f t="shared" ca="1" si="0"/>
        <v>Proj</v>
      </c>
      <c r="AF3" s="1227" t="str">
        <f t="shared" ca="1" si="0"/>
        <v>Proj</v>
      </c>
      <c r="AG3" s="1227" t="str">
        <f t="shared" ca="1" si="0"/>
        <v>Proj</v>
      </c>
      <c r="AH3" s="1227" t="str">
        <f t="shared" ca="1" si="0"/>
        <v>Proj</v>
      </c>
      <c r="AI3" s="1227" t="str">
        <f t="shared" ca="1" si="0"/>
        <v>Proj</v>
      </c>
      <c r="AJ3" s="1227" t="str">
        <f t="shared" ca="1" si="0"/>
        <v>Proj</v>
      </c>
      <c r="AK3" s="1227" t="str">
        <f t="shared" ca="1" si="0"/>
        <v>Proj</v>
      </c>
      <c r="AL3" s="1227" t="str">
        <f t="shared" ca="1" si="0"/>
        <v>Proj</v>
      </c>
      <c r="AM3" s="1227" t="str">
        <f t="shared" ca="1" si="0"/>
        <v>Proj</v>
      </c>
      <c r="AN3" s="1227" t="str">
        <f t="shared" ca="1" si="0"/>
        <v>Proj</v>
      </c>
      <c r="AO3" s="1227" t="str">
        <f t="shared" ca="1" si="0"/>
        <v>Proj</v>
      </c>
      <c r="AP3" s="1227" t="str">
        <f t="shared" ca="1" si="0"/>
        <v>Proj</v>
      </c>
      <c r="AQ3" s="1227" t="str">
        <f t="shared" ca="1" si="0"/>
        <v>Proj</v>
      </c>
      <c r="AR3" s="1227" t="str">
        <f t="shared" ca="1" si="0"/>
        <v>Proj</v>
      </c>
      <c r="AS3" s="1227" t="str">
        <f t="shared" ca="1" si="0"/>
        <v>Proj</v>
      </c>
      <c r="AT3" s="1227" t="str">
        <f t="shared" ca="1" si="0"/>
        <v>Proj</v>
      </c>
      <c r="AU3" s="1227" t="str">
        <f t="shared" ca="1" si="0"/>
        <v>Proj</v>
      </c>
      <c r="AV3" s="1227" t="str">
        <f t="shared" ca="1" si="0"/>
        <v>Proj</v>
      </c>
      <c r="AW3" s="1227" t="str">
        <f t="shared" ca="1" si="0"/>
        <v>Proj</v>
      </c>
      <c r="AX3" s="1227" t="str">
        <f t="shared" ca="1" si="0"/>
        <v>Proj</v>
      </c>
      <c r="AY3" s="1227" t="str">
        <f t="shared" ca="1" si="0"/>
        <v>Proj</v>
      </c>
      <c r="AZ3" s="1227" t="str">
        <f t="shared" ca="1" si="0"/>
        <v>Proj</v>
      </c>
      <c r="BA3" s="1227" t="str">
        <f t="shared" ca="1" si="0"/>
        <v>Proj</v>
      </c>
      <c r="BB3" s="1227" t="str">
        <f t="shared" ca="1" si="0"/>
        <v>Proj</v>
      </c>
      <c r="BC3" s="1227" t="str">
        <f t="shared" ca="1" si="0"/>
        <v>Proj</v>
      </c>
      <c r="BD3" s="1227" t="str">
        <f t="shared" ca="1" si="0"/>
        <v>Proj</v>
      </c>
      <c r="BE3" s="1227" t="str">
        <f t="shared" ca="1" si="0"/>
        <v>Proj</v>
      </c>
      <c r="BF3" s="1227" t="str">
        <f t="shared" ca="1" si="0"/>
        <v>Proj</v>
      </c>
    </row>
    <row r="4" spans="1:61" s="1234" customFormat="1" ht="28.2" thickBot="1">
      <c r="A4" s="1228"/>
      <c r="B4" s="1229" t="s">
        <v>846</v>
      </c>
      <c r="C4" s="1230" t="s">
        <v>847</v>
      </c>
      <c r="D4" s="1230" t="s">
        <v>848</v>
      </c>
      <c r="E4" s="1230" t="s">
        <v>849</v>
      </c>
      <c r="F4" s="1231" t="s">
        <v>850</v>
      </c>
      <c r="G4" s="1230" t="s">
        <v>851</v>
      </c>
      <c r="H4" s="1230" t="s">
        <v>852</v>
      </c>
      <c r="I4" s="1230"/>
      <c r="J4" s="1230"/>
      <c r="K4" s="1230"/>
      <c r="L4" s="1230"/>
      <c r="M4" s="1230"/>
      <c r="N4" s="1230"/>
      <c r="O4" s="1230"/>
      <c r="P4" s="1230"/>
      <c r="Q4" s="1232"/>
      <c r="R4" s="1232">
        <v>45657</v>
      </c>
      <c r="S4" s="1233">
        <f t="shared" ref="S4:BF4" si="1">DATE(YEAR(R4),MONTH(R4)+13,0)</f>
        <v>46022</v>
      </c>
      <c r="T4" s="1233">
        <f t="shared" si="1"/>
        <v>46387</v>
      </c>
      <c r="U4" s="1233">
        <f t="shared" si="1"/>
        <v>46752</v>
      </c>
      <c r="V4" s="1233">
        <f t="shared" si="1"/>
        <v>47118</v>
      </c>
      <c r="W4" s="1233">
        <f t="shared" si="1"/>
        <v>47483</v>
      </c>
      <c r="X4" s="1233">
        <f t="shared" si="1"/>
        <v>47848</v>
      </c>
      <c r="Y4" s="1233">
        <f t="shared" si="1"/>
        <v>48213</v>
      </c>
      <c r="Z4" s="1233">
        <f t="shared" si="1"/>
        <v>48579</v>
      </c>
      <c r="AA4" s="1233">
        <f t="shared" si="1"/>
        <v>48944</v>
      </c>
      <c r="AB4" s="1233">
        <f t="shared" si="1"/>
        <v>49309</v>
      </c>
      <c r="AC4" s="1233">
        <f t="shared" si="1"/>
        <v>49674</v>
      </c>
      <c r="AD4" s="1233">
        <f t="shared" si="1"/>
        <v>50040</v>
      </c>
      <c r="AE4" s="1233">
        <f t="shared" si="1"/>
        <v>50405</v>
      </c>
      <c r="AF4" s="1233">
        <f t="shared" si="1"/>
        <v>50770</v>
      </c>
      <c r="AG4" s="1233">
        <f t="shared" si="1"/>
        <v>51135</v>
      </c>
      <c r="AH4" s="1233">
        <f t="shared" si="1"/>
        <v>51501</v>
      </c>
      <c r="AI4" s="1233">
        <f t="shared" si="1"/>
        <v>51866</v>
      </c>
      <c r="AJ4" s="1233">
        <f t="shared" si="1"/>
        <v>52231</v>
      </c>
      <c r="AK4" s="1233">
        <f t="shared" si="1"/>
        <v>52596</v>
      </c>
      <c r="AL4" s="1233">
        <f t="shared" si="1"/>
        <v>52962</v>
      </c>
      <c r="AM4" s="1233">
        <f t="shared" si="1"/>
        <v>53327</v>
      </c>
      <c r="AN4" s="1233">
        <f t="shared" si="1"/>
        <v>53692</v>
      </c>
      <c r="AO4" s="1233">
        <f t="shared" si="1"/>
        <v>54057</v>
      </c>
      <c r="AP4" s="1233">
        <f t="shared" si="1"/>
        <v>54423</v>
      </c>
      <c r="AQ4" s="1233">
        <f t="shared" si="1"/>
        <v>54788</v>
      </c>
      <c r="AR4" s="1233">
        <f t="shared" si="1"/>
        <v>55153</v>
      </c>
      <c r="AS4" s="1233">
        <f t="shared" si="1"/>
        <v>55518</v>
      </c>
      <c r="AT4" s="1233">
        <f t="shared" si="1"/>
        <v>55884</v>
      </c>
      <c r="AU4" s="1233">
        <f t="shared" si="1"/>
        <v>56249</v>
      </c>
      <c r="AV4" s="1233">
        <f t="shared" si="1"/>
        <v>56614</v>
      </c>
      <c r="AW4" s="1233">
        <f t="shared" si="1"/>
        <v>56979</v>
      </c>
      <c r="AX4" s="1233">
        <f t="shared" si="1"/>
        <v>57345</v>
      </c>
      <c r="AY4" s="1233">
        <f t="shared" si="1"/>
        <v>57710</v>
      </c>
      <c r="AZ4" s="1233">
        <f t="shared" si="1"/>
        <v>58075</v>
      </c>
      <c r="BA4" s="1233">
        <f t="shared" si="1"/>
        <v>58440</v>
      </c>
      <c r="BB4" s="1233">
        <f t="shared" si="1"/>
        <v>58806</v>
      </c>
      <c r="BC4" s="1233">
        <f t="shared" si="1"/>
        <v>59171</v>
      </c>
      <c r="BD4" s="1233">
        <f t="shared" si="1"/>
        <v>59536</v>
      </c>
      <c r="BE4" s="1233">
        <f t="shared" si="1"/>
        <v>59901</v>
      </c>
      <c r="BF4" s="1233">
        <f t="shared" si="1"/>
        <v>60267</v>
      </c>
      <c r="BH4" s="1235" t="s">
        <v>744</v>
      </c>
    </row>
    <row r="5" spans="1:61" s="1234" customFormat="1" ht="17.25" customHeight="1" thickTop="1">
      <c r="A5" s="1228"/>
      <c r="B5" s="1236"/>
      <c r="C5" s="1237"/>
      <c r="D5" s="1237"/>
      <c r="E5" s="1237"/>
      <c r="F5" s="1238"/>
      <c r="G5" s="1237"/>
      <c r="H5" s="1237"/>
      <c r="I5" s="1237"/>
      <c r="J5" s="1237"/>
      <c r="K5" s="1237"/>
      <c r="L5" s="1237"/>
      <c r="M5" s="1237"/>
      <c r="N5" s="1237"/>
      <c r="O5" s="1237"/>
      <c r="P5" s="1237"/>
      <c r="Q5" s="1237"/>
      <c r="R5" s="1237"/>
      <c r="S5" s="1237"/>
      <c r="T5" s="1237"/>
      <c r="U5" s="1237"/>
      <c r="V5" s="1237"/>
      <c r="W5" s="1237"/>
      <c r="X5" s="1237"/>
      <c r="Y5" s="1237"/>
      <c r="Z5" s="1237"/>
      <c r="AA5" s="1237"/>
      <c r="AB5" s="1237"/>
      <c r="AC5" s="1237"/>
      <c r="AD5" s="1237"/>
      <c r="AE5" s="1237"/>
      <c r="AF5" s="1237"/>
      <c r="AG5" s="1237"/>
      <c r="AH5" s="1237"/>
      <c r="AI5" s="1237"/>
      <c r="AJ5" s="1237"/>
      <c r="AK5" s="1237"/>
      <c r="AL5" s="1237"/>
      <c r="AM5" s="1237"/>
      <c r="AN5" s="1237"/>
      <c r="AO5" s="1237"/>
      <c r="AP5" s="1237"/>
      <c r="AQ5" s="1237"/>
      <c r="AR5" s="1237"/>
      <c r="AS5" s="1237"/>
      <c r="AT5" s="1237"/>
      <c r="AU5" s="1237"/>
      <c r="AV5" s="1237"/>
      <c r="AW5" s="1237"/>
      <c r="AX5" s="1237"/>
      <c r="AY5" s="1237"/>
      <c r="AZ5" s="1237"/>
      <c r="BA5" s="1237"/>
      <c r="BB5" s="1237"/>
      <c r="BC5" s="1237"/>
      <c r="BD5" s="1237"/>
      <c r="BE5" s="1237"/>
      <c r="BF5" s="1237"/>
    </row>
    <row r="6" spans="1:61">
      <c r="B6" s="1239" t="s">
        <v>853</v>
      </c>
      <c r="C6" s="757"/>
      <c r="D6" s="1240"/>
      <c r="E6" s="757"/>
      <c r="G6" s="757"/>
      <c r="H6" s="757"/>
      <c r="I6" s="757"/>
      <c r="J6" s="757"/>
      <c r="K6" s="757"/>
      <c r="L6" s="757"/>
      <c r="M6" s="757"/>
      <c r="N6" s="757"/>
      <c r="O6" s="757"/>
      <c r="P6" s="757"/>
      <c r="Q6" s="757"/>
      <c r="R6" s="757"/>
      <c r="S6" s="757"/>
      <c r="T6" s="757"/>
      <c r="U6" s="757"/>
      <c r="V6" s="757"/>
      <c r="W6" s="757"/>
      <c r="X6" s="757"/>
      <c r="Y6" s="757"/>
      <c r="Z6" s="757"/>
      <c r="AA6" s="757"/>
      <c r="AB6" s="757"/>
      <c r="AC6" s="757"/>
      <c r="AD6" s="757"/>
      <c r="AE6" s="757"/>
      <c r="AF6" s="757"/>
      <c r="AG6" s="757"/>
      <c r="AH6" s="757"/>
      <c r="AI6" s="757"/>
      <c r="AJ6" s="757"/>
      <c r="AK6" s="757"/>
      <c r="AL6" s="757"/>
      <c r="AM6" s="757"/>
      <c r="AN6" s="757"/>
      <c r="AO6" s="757"/>
      <c r="AP6" s="757"/>
      <c r="AQ6" s="757"/>
      <c r="AR6" s="757"/>
      <c r="AS6" s="757"/>
      <c r="AT6" s="757"/>
      <c r="AU6" s="757"/>
      <c r="AV6" s="757"/>
      <c r="AW6" s="757"/>
      <c r="AX6" s="757"/>
      <c r="AY6" s="757"/>
      <c r="AZ6" s="757"/>
      <c r="BA6" s="757"/>
      <c r="BB6" s="757"/>
      <c r="BC6" s="757"/>
      <c r="BD6" s="757"/>
      <c r="BE6" s="757"/>
      <c r="BF6" s="757"/>
      <c r="BG6" s="757"/>
    </row>
    <row r="7" spans="1:61">
      <c r="B7" s="1224" t="s">
        <v>854</v>
      </c>
      <c r="C7" s="757"/>
      <c r="D7" s="1240"/>
      <c r="E7" s="757"/>
      <c r="G7" s="757"/>
      <c r="H7" s="757"/>
      <c r="I7" s="757"/>
      <c r="J7" s="757"/>
      <c r="K7" s="757"/>
      <c r="L7" s="757"/>
      <c r="M7" s="757"/>
      <c r="N7" s="757"/>
      <c r="O7" s="757"/>
      <c r="P7" s="757"/>
      <c r="Q7" s="757"/>
      <c r="R7" s="757"/>
      <c r="S7" s="757"/>
      <c r="T7" s="757"/>
      <c r="U7" s="757"/>
      <c r="V7" s="757"/>
      <c r="W7" s="757"/>
      <c r="X7" s="757"/>
      <c r="Y7" s="757"/>
      <c r="Z7" s="757"/>
      <c r="AA7" s="757"/>
      <c r="AB7" s="757"/>
      <c r="AC7" s="757"/>
      <c r="AD7" s="757"/>
      <c r="AE7" s="757"/>
      <c r="AF7" s="757"/>
      <c r="AG7" s="757"/>
      <c r="AH7" s="757"/>
      <c r="AI7" s="757"/>
      <c r="AJ7" s="757"/>
      <c r="AK7" s="757"/>
      <c r="AL7" s="757"/>
      <c r="AM7" s="757"/>
      <c r="AN7" s="757"/>
      <c r="AO7" s="757"/>
      <c r="AP7" s="757"/>
      <c r="AQ7" s="757"/>
      <c r="AR7" s="757"/>
      <c r="AS7" s="757"/>
      <c r="AT7" s="757"/>
      <c r="AU7" s="757"/>
      <c r="AV7" s="757"/>
      <c r="AW7" s="757"/>
      <c r="AX7" s="757"/>
      <c r="AY7" s="757"/>
      <c r="AZ7" s="757"/>
      <c r="BA7" s="757"/>
      <c r="BB7" s="757"/>
      <c r="BC7" s="757"/>
      <c r="BD7" s="757"/>
      <c r="BE7" s="757"/>
      <c r="BF7" s="757"/>
      <c r="BG7" s="757"/>
      <c r="BH7" s="1220" t="s">
        <v>1478</v>
      </c>
      <c r="BI7" s="1241">
        <v>1.7000000000000001E-2</v>
      </c>
    </row>
    <row r="8" spans="1:61">
      <c r="B8" s="1242" t="s">
        <v>855</v>
      </c>
      <c r="C8" s="757"/>
      <c r="D8" s="1240"/>
      <c r="E8" s="757"/>
      <c r="G8" s="757"/>
      <c r="H8" s="757"/>
      <c r="I8" s="757"/>
      <c r="J8" s="757"/>
      <c r="K8" s="757"/>
      <c r="L8" s="757"/>
      <c r="M8" s="757"/>
      <c r="N8" s="757"/>
      <c r="O8" s="757"/>
      <c r="P8" s="757"/>
      <c r="Q8" s="757"/>
      <c r="R8" s="1243">
        <f>IF(ISTEXT('BS Raw'!J11),('BS Raw'!J92+'BS Raw'!J105)/Debt!$B$1,R17+R24)</f>
        <v>848.77028883000003</v>
      </c>
      <c r="S8" s="1244">
        <f>IF(ISTEXT('BS Raw'!K11),('BS Raw'!K92+'BS Raw'!K105)/Debt!$B$1,S17+S24)</f>
        <v>1348.7555111690001</v>
      </c>
      <c r="T8" s="1244">
        <f>IF(ISTEXT('BS Raw'!L11),('BS Raw'!L92+'BS Raw'!L105)/Debt!$B$1,T17+T24)</f>
        <v>1978.8247398081933</v>
      </c>
      <c r="U8" s="1244">
        <f>IF(ISTEXT('BS Raw'!M11),('BS Raw'!M92+'BS Raw'!M105)/Debt!$B$1,U17+U24)</f>
        <v>2182.4560767774137</v>
      </c>
      <c r="V8" s="1244">
        <f>IF(ISTEXT('BS Raw'!N11),('BS Raw'!N92+'BS Raw'!N105)/Debt!$B$1,V17+V24)</f>
        <v>2134.26349661531</v>
      </c>
      <c r="W8" s="1244">
        <f>IF(ISTEXT('BS Raw'!O11),('BS Raw'!O92+'BS Raw'!O105)/Debt!$B$1,W17+W24)</f>
        <v>2951.1764893688128</v>
      </c>
      <c r="X8" s="1244">
        <f>IF(ISTEXT('BS Raw'!P11),('BS Raw'!P92+'BS Raw'!P105)/Debt!$B$1,X17+X24)</f>
        <v>2865.691663435658</v>
      </c>
      <c r="Y8" s="1244">
        <f>IF(ISTEXT('BS Raw'!Q11),('BS Raw'!Q92+'BS Raw'!Q105)/Debt!$B$1,Y17+Y24)</f>
        <v>2620.8254210770297</v>
      </c>
      <c r="Z8" s="1244">
        <f>IF(ISTEXT('BS Raw'!R11),('BS Raw'!R92+'BS Raw'!R105)/Debt!$B$1,Z17+Z24)</f>
        <v>2551.4777157586509</v>
      </c>
      <c r="AA8" s="1244">
        <f>IF(ISTEXT('BS Raw'!S11),('BS Raw'!S92+'BS Raw'!S105)/Debt!$B$1,AA17+AA24)</f>
        <v>2607.280319327373</v>
      </c>
      <c r="AB8" s="1244">
        <f>IF(ISTEXT('BS Raw'!T11),('BS Raw'!T92+'BS Raw'!T105)/Debt!$B$1,AB17+AB24)</f>
        <v>2705.574605400881</v>
      </c>
      <c r="AC8" s="1244"/>
      <c r="AD8" s="1245"/>
      <c r="AE8" s="1245"/>
      <c r="AF8" s="1245"/>
      <c r="AG8" s="1245"/>
      <c r="AH8" s="1245"/>
      <c r="AI8" s="1245"/>
      <c r="AJ8" s="1245"/>
      <c r="AK8" s="1245"/>
      <c r="AL8" s="1245"/>
      <c r="AM8" s="1245"/>
      <c r="AN8" s="1245"/>
      <c r="AO8" s="1245"/>
      <c r="AP8" s="1245"/>
      <c r="AQ8" s="1245"/>
      <c r="AR8" s="1245"/>
      <c r="AS8" s="1245"/>
      <c r="AT8" s="1245"/>
      <c r="AU8" s="1245"/>
      <c r="AV8" s="1245"/>
      <c r="AW8" s="1245"/>
      <c r="AX8" s="1245"/>
      <c r="AY8" s="1245"/>
      <c r="AZ8" s="1245"/>
      <c r="BA8" s="1245"/>
      <c r="BB8" s="1245"/>
      <c r="BC8" s="1245"/>
      <c r="BD8" s="1245"/>
      <c r="BE8" s="1245"/>
      <c r="BF8" s="1245"/>
      <c r="BG8" s="757"/>
    </row>
    <row r="9" spans="1:61" s="1254" customFormat="1">
      <c r="A9" s="1246"/>
      <c r="B9" s="1247" t="s">
        <v>856</v>
      </c>
      <c r="C9" s="1248"/>
      <c r="D9" s="1249"/>
      <c r="E9" s="1248"/>
      <c r="F9" s="1250"/>
      <c r="G9" s="1248"/>
      <c r="H9" s="1248"/>
      <c r="I9" s="1248"/>
      <c r="J9" s="1248"/>
      <c r="K9" s="1248"/>
      <c r="L9" s="1248"/>
      <c r="M9" s="1248"/>
      <c r="N9" s="1248"/>
      <c r="O9" s="1248"/>
      <c r="P9" s="1248"/>
      <c r="Q9" s="1248"/>
      <c r="R9" s="1251"/>
      <c r="S9" s="1252"/>
      <c r="T9" s="1252"/>
      <c r="U9" s="1252"/>
      <c r="V9" s="1252"/>
      <c r="W9" s="1252"/>
      <c r="X9" s="1252"/>
      <c r="Y9" s="1252"/>
      <c r="Z9" s="1252"/>
      <c r="AA9" s="1252"/>
      <c r="AB9" s="1252"/>
      <c r="AC9" s="1252"/>
      <c r="AD9" s="1253"/>
      <c r="AE9" s="1253"/>
      <c r="AF9" s="1253"/>
      <c r="AG9" s="1253"/>
      <c r="AH9" s="1253"/>
      <c r="AI9" s="1253"/>
      <c r="AJ9" s="1253"/>
      <c r="AK9" s="1253"/>
      <c r="AL9" s="1253"/>
      <c r="AM9" s="1253"/>
      <c r="AN9" s="1253"/>
      <c r="AO9" s="1253"/>
      <c r="AP9" s="1253"/>
      <c r="AQ9" s="1253"/>
      <c r="AR9" s="1253"/>
      <c r="AS9" s="1253"/>
      <c r="AT9" s="1253"/>
      <c r="AU9" s="1253"/>
      <c r="AV9" s="1253"/>
      <c r="AW9" s="1253"/>
      <c r="AX9" s="1253"/>
      <c r="AY9" s="1253"/>
      <c r="AZ9" s="1253"/>
      <c r="BA9" s="1253"/>
      <c r="BB9" s="1253"/>
      <c r="BC9" s="1253"/>
      <c r="BD9" s="1253"/>
      <c r="BE9" s="1253"/>
      <c r="BF9" s="1253"/>
      <c r="BG9" s="1248"/>
    </row>
    <row r="10" spans="1:61" s="1254" customFormat="1">
      <c r="A10" s="1246"/>
      <c r="B10" s="1247" t="s">
        <v>857</v>
      </c>
      <c r="C10" s="1248"/>
      <c r="D10" s="1249"/>
      <c r="E10" s="1248"/>
      <c r="F10" s="1250"/>
      <c r="G10" s="1248"/>
      <c r="H10" s="1248"/>
      <c r="I10" s="1248"/>
      <c r="J10" s="1248"/>
      <c r="K10" s="1248"/>
      <c r="L10" s="1248"/>
      <c r="M10" s="1248"/>
      <c r="N10" s="1248"/>
      <c r="O10" s="1248"/>
      <c r="P10" s="1248"/>
      <c r="Q10" s="1248"/>
      <c r="R10" s="1251"/>
      <c r="S10" s="1252"/>
      <c r="T10" s="1252"/>
      <c r="U10" s="1252"/>
      <c r="V10" s="1252"/>
      <c r="W10" s="1252"/>
      <c r="X10" s="1252"/>
      <c r="Y10" s="1252"/>
      <c r="Z10" s="1252"/>
      <c r="AA10" s="1252"/>
      <c r="AB10" s="1252"/>
      <c r="AC10" s="1252"/>
      <c r="AD10" s="1253"/>
      <c r="AE10" s="1253"/>
      <c r="AF10" s="1253"/>
      <c r="AG10" s="1253"/>
      <c r="AH10" s="1253"/>
      <c r="AI10" s="1253"/>
      <c r="AJ10" s="1253"/>
      <c r="AK10" s="1253"/>
      <c r="AL10" s="1253"/>
      <c r="AM10" s="1253"/>
      <c r="AN10" s="1253"/>
      <c r="AO10" s="1253"/>
      <c r="AP10" s="1253"/>
      <c r="AQ10" s="1253"/>
      <c r="AR10" s="1253"/>
      <c r="AS10" s="1253"/>
      <c r="AT10" s="1253"/>
      <c r="AU10" s="1253"/>
      <c r="AV10" s="1253"/>
      <c r="AW10" s="1253"/>
      <c r="AX10" s="1253"/>
      <c r="AY10" s="1253"/>
      <c r="AZ10" s="1253"/>
      <c r="BA10" s="1253"/>
      <c r="BB10" s="1253"/>
      <c r="BC10" s="1253"/>
      <c r="BD10" s="1253"/>
      <c r="BE10" s="1253"/>
      <c r="BF10" s="1253"/>
      <c r="BG10" s="1248"/>
    </row>
    <row r="11" spans="1:61">
      <c r="B11" s="1242" t="s">
        <v>858</v>
      </c>
      <c r="C11" s="757"/>
      <c r="D11" s="1240"/>
      <c r="E11" s="757"/>
      <c r="G11" s="757"/>
      <c r="H11" s="757"/>
      <c r="I11" s="757"/>
      <c r="J11" s="757"/>
      <c r="K11" s="757"/>
      <c r="L11" s="757"/>
      <c r="M11" s="757"/>
      <c r="N11" s="757"/>
      <c r="O11" s="757"/>
      <c r="P11" s="757"/>
      <c r="Q11" s="757"/>
      <c r="R11" s="1243">
        <f>IF(ISTEXT('BS Raw'!K11),('BS Raw'!K92+'BS Raw'!K105)/Debt!$B$1,R20+R27)</f>
        <v>1348.7555111690001</v>
      </c>
      <c r="S11" s="1244">
        <f>IF(ISTEXT('BS Raw'!L11),('BS Raw'!L92+'BS Raw'!L105)/Debt!$B$1,S17+S24)</f>
        <v>1348.7555111690001</v>
      </c>
      <c r="T11" s="1244">
        <f>IF(ISTEXT('BS Raw'!M11),('BS Raw'!M92+'BS Raw'!M105)/Debt!$B$1,T17+T24)</f>
        <v>1978.8247398081933</v>
      </c>
      <c r="U11" s="1244">
        <f>IF(ISTEXT('BS Raw'!N11),('BS Raw'!N92+'BS Raw'!N105)/Debt!$B$1,U17+U24)</f>
        <v>2182.4560767774137</v>
      </c>
      <c r="V11" s="1244">
        <f>IF(ISTEXT('BS Raw'!O11),('BS Raw'!O92+'BS Raw'!O105)/Debt!$B$1,V17+V24)</f>
        <v>2134.26349661531</v>
      </c>
      <c r="W11" s="1244">
        <f>IF(ISTEXT('BS Raw'!P11),('BS Raw'!P92+'BS Raw'!P105)/Debt!$B$1,W17+W24)</f>
        <v>2951.1764893688128</v>
      </c>
      <c r="X11" s="1244">
        <f>IF(ISTEXT('BS Raw'!Q11),('BS Raw'!Q92+'BS Raw'!Q105)/Debt!$B$1,X17+X24)</f>
        <v>2865.691663435658</v>
      </c>
      <c r="Y11" s="1244">
        <f>IF(ISTEXT('BS Raw'!R11),('BS Raw'!R92+'BS Raw'!R105)/Debt!$B$1,Y17+Y24)</f>
        <v>2620.8254210770297</v>
      </c>
      <c r="Z11" s="1244">
        <f>IF(ISTEXT('BS Raw'!S11),('BS Raw'!S92+'BS Raw'!S105)/Debt!$B$1,Z17+Z24)</f>
        <v>2551.4777157586509</v>
      </c>
      <c r="AA11" s="1244">
        <f>IF(ISTEXT('BS Raw'!T11),('BS Raw'!T92+'BS Raw'!T105)/Debt!$B$1,AA17+AA24)</f>
        <v>2607.280319327373</v>
      </c>
      <c r="AB11" s="1244">
        <f>IF(ISTEXT('BS Raw'!U11),('BS Raw'!U92+'BS Raw'!U105)/Debt!$B$1,AB17+AB24)</f>
        <v>2705.574605400881</v>
      </c>
      <c r="AC11" s="1244"/>
      <c r="AD11" s="1245"/>
      <c r="AE11" s="1245"/>
      <c r="AF11" s="1245"/>
      <c r="AG11" s="1245"/>
      <c r="AH11" s="1245"/>
      <c r="AI11" s="1245"/>
      <c r="AJ11" s="1245"/>
      <c r="AK11" s="1245"/>
      <c r="AL11" s="1245"/>
      <c r="AM11" s="1245"/>
      <c r="AN11" s="1245"/>
      <c r="AO11" s="1245"/>
      <c r="AP11" s="1245"/>
      <c r="AQ11" s="1245"/>
      <c r="AR11" s="1245"/>
      <c r="AS11" s="1245"/>
      <c r="AT11" s="1245"/>
      <c r="AU11" s="1245"/>
      <c r="AV11" s="1245"/>
      <c r="AW11" s="1245"/>
      <c r="AX11" s="1245"/>
      <c r="AY11" s="1245"/>
      <c r="AZ11" s="1245"/>
      <c r="BA11" s="1245"/>
      <c r="BB11" s="1245"/>
      <c r="BC11" s="1245"/>
      <c r="BD11" s="1245"/>
      <c r="BE11" s="1245"/>
      <c r="BF11" s="1245"/>
      <c r="BG11" s="757"/>
    </row>
    <row r="12" spans="1:61" s="1254" customFormat="1">
      <c r="A12" s="1246"/>
      <c r="B12" s="1247" t="s">
        <v>859</v>
      </c>
      <c r="C12" s="1248"/>
      <c r="D12" s="1249"/>
      <c r="E12" s="1255"/>
      <c r="F12" s="1250"/>
      <c r="G12" s="1248"/>
      <c r="H12" s="1248"/>
      <c r="I12" s="1248"/>
      <c r="J12" s="1248"/>
      <c r="K12" s="1248"/>
      <c r="L12" s="1248"/>
      <c r="M12" s="1248"/>
      <c r="N12" s="1248"/>
      <c r="O12" s="1248"/>
      <c r="P12" s="1248"/>
      <c r="Q12" s="1248"/>
      <c r="R12" s="1256">
        <f>Notes!K158/Debt!$B$1</f>
        <v>44.380805248999998</v>
      </c>
      <c r="S12" s="1253"/>
      <c r="T12" s="1253"/>
      <c r="U12" s="1253"/>
      <c r="V12" s="1253"/>
      <c r="W12" s="1253"/>
      <c r="X12" s="1253"/>
      <c r="Y12" s="1253"/>
      <c r="Z12" s="1253"/>
      <c r="AA12" s="1253"/>
      <c r="AB12" s="1253"/>
      <c r="AC12" s="1253"/>
      <c r="AD12" s="1253"/>
      <c r="AE12" s="1253"/>
      <c r="AF12" s="1253"/>
      <c r="AG12" s="1253"/>
      <c r="AH12" s="1253"/>
      <c r="AI12" s="1253"/>
      <c r="AJ12" s="1253"/>
      <c r="AK12" s="1253"/>
      <c r="AL12" s="1253"/>
      <c r="AM12" s="1253"/>
      <c r="AN12" s="1253"/>
      <c r="AO12" s="1253"/>
      <c r="AP12" s="1253"/>
      <c r="AQ12" s="1253"/>
      <c r="AR12" s="1253"/>
      <c r="AS12" s="1253"/>
      <c r="AT12" s="1253"/>
      <c r="AU12" s="1253"/>
      <c r="AV12" s="1253"/>
      <c r="AW12" s="1253"/>
      <c r="AX12" s="1253"/>
      <c r="AY12" s="1253"/>
      <c r="AZ12" s="1253"/>
      <c r="BA12" s="1253"/>
      <c r="BB12" s="1253"/>
      <c r="BC12" s="1253"/>
      <c r="BD12" s="1253"/>
      <c r="BE12" s="1253"/>
      <c r="BF12" s="1253"/>
      <c r="BG12" s="1248"/>
    </row>
    <row r="13" spans="1:61" s="1254" customFormat="1">
      <c r="A13" s="1246"/>
      <c r="B13" s="1247" t="s">
        <v>860</v>
      </c>
      <c r="C13" s="1248"/>
      <c r="D13" s="1249"/>
      <c r="E13" s="1248"/>
      <c r="F13" s="1250"/>
      <c r="G13" s="1248"/>
      <c r="H13" s="1248"/>
      <c r="I13" s="1248"/>
      <c r="J13" s="1248"/>
      <c r="K13" s="1248"/>
      <c r="L13" s="1248"/>
      <c r="M13" s="1248"/>
      <c r="N13" s="1248"/>
      <c r="O13" s="1248"/>
      <c r="P13" s="1248"/>
      <c r="Q13" s="1248"/>
      <c r="R13" s="2670">
        <f>IFERROR(R12/AVERAGE(R8,R11),0) + 0</f>
        <v>4.0391612466183738E-2</v>
      </c>
      <c r="S13" s="1257">
        <f>IF(S12="",R13,S12/AVERAGE(S8,S11))</f>
        <v>4.0391612466183738E-2</v>
      </c>
      <c r="T13" s="1257">
        <f t="shared" ref="T13:AB13" si="2">IF(T12="",S13,T12/AVERAGE(T8,T11))</f>
        <v>4.0391612466183738E-2</v>
      </c>
      <c r="U13" s="1257">
        <f t="shared" si="2"/>
        <v>4.0391612466183738E-2</v>
      </c>
      <c r="V13" s="1257">
        <f t="shared" si="2"/>
        <v>4.0391612466183738E-2</v>
      </c>
      <c r="W13" s="1257">
        <f t="shared" si="2"/>
        <v>4.0391612466183738E-2</v>
      </c>
      <c r="X13" s="1257">
        <f t="shared" si="2"/>
        <v>4.0391612466183738E-2</v>
      </c>
      <c r="Y13" s="1257">
        <f t="shared" si="2"/>
        <v>4.0391612466183738E-2</v>
      </c>
      <c r="Z13" s="1257">
        <f t="shared" si="2"/>
        <v>4.0391612466183738E-2</v>
      </c>
      <c r="AA13" s="1257">
        <f t="shared" si="2"/>
        <v>4.0391612466183738E-2</v>
      </c>
      <c r="AB13" s="1257">
        <f t="shared" si="2"/>
        <v>4.0391612466183738E-2</v>
      </c>
      <c r="AC13" s="1257"/>
      <c r="AD13" s="1258"/>
      <c r="AE13" s="1258"/>
      <c r="AF13" s="1258"/>
      <c r="AG13" s="1258"/>
      <c r="AH13" s="1258"/>
      <c r="AI13" s="1258"/>
      <c r="AJ13" s="1258"/>
      <c r="AK13" s="1258"/>
      <c r="AL13" s="1258"/>
      <c r="AM13" s="1258"/>
      <c r="AN13" s="1258"/>
      <c r="AO13" s="1258"/>
      <c r="AP13" s="1258"/>
      <c r="AQ13" s="1258"/>
      <c r="AR13" s="1258"/>
      <c r="AS13" s="1258"/>
      <c r="AT13" s="1258"/>
      <c r="AU13" s="1258"/>
      <c r="AV13" s="1258"/>
      <c r="AW13" s="1258"/>
      <c r="AX13" s="1258"/>
      <c r="AY13" s="1258"/>
      <c r="AZ13" s="1258"/>
      <c r="BA13" s="1258"/>
      <c r="BB13" s="1258"/>
      <c r="BC13" s="1258"/>
      <c r="BD13" s="1258"/>
      <c r="BE13" s="1258"/>
      <c r="BF13" s="1258"/>
      <c r="BG13" s="1248"/>
    </row>
    <row r="14" spans="1:61">
      <c r="B14" s="1224"/>
      <c r="C14" s="757"/>
      <c r="D14" s="1240"/>
      <c r="E14" s="757"/>
      <c r="G14" s="757"/>
      <c r="H14" s="757"/>
      <c r="I14" s="757"/>
      <c r="J14" s="757"/>
      <c r="K14" s="757"/>
      <c r="L14" s="757"/>
      <c r="M14" s="757"/>
      <c r="N14" s="757"/>
      <c r="O14" s="757"/>
      <c r="P14" s="757"/>
      <c r="Q14" s="757"/>
      <c r="R14" s="757"/>
      <c r="S14" s="757"/>
      <c r="T14" s="757"/>
      <c r="U14" s="757"/>
      <c r="V14" s="757"/>
      <c r="W14" s="757"/>
      <c r="X14" s="757"/>
      <c r="Y14" s="757"/>
      <c r="Z14" s="757"/>
      <c r="AA14" s="757"/>
      <c r="AB14" s="757"/>
      <c r="AC14" s="757"/>
      <c r="AD14" s="757"/>
      <c r="AE14" s="757"/>
      <c r="AF14" s="757"/>
      <c r="AG14" s="757"/>
      <c r="AH14" s="757"/>
      <c r="AI14" s="757"/>
      <c r="AJ14" s="757"/>
      <c r="AK14" s="757"/>
      <c r="AL14" s="757"/>
      <c r="AM14" s="757"/>
      <c r="AN14" s="757"/>
      <c r="AO14" s="757"/>
      <c r="AP14" s="757"/>
      <c r="AQ14" s="757"/>
      <c r="AR14" s="757"/>
      <c r="AS14" s="757"/>
      <c r="AT14" s="757"/>
      <c r="AU14" s="757"/>
      <c r="AV14" s="757"/>
      <c r="AW14" s="757"/>
      <c r="AX14" s="757"/>
      <c r="AY14" s="757"/>
      <c r="AZ14" s="757"/>
      <c r="BA14" s="757"/>
      <c r="BB14" s="757"/>
      <c r="BC14" s="757"/>
      <c r="BD14" s="757"/>
      <c r="BE14" s="757"/>
      <c r="BF14" s="757"/>
      <c r="BG14" s="757"/>
    </row>
    <row r="15" spans="1:61">
      <c r="B15" s="1239" t="s">
        <v>861</v>
      </c>
      <c r="C15" s="757"/>
      <c r="D15" s="1240"/>
      <c r="E15" s="757"/>
      <c r="G15" s="757"/>
      <c r="H15" s="757"/>
      <c r="I15" s="757"/>
      <c r="J15" s="757"/>
      <c r="K15" s="757"/>
      <c r="L15" s="757"/>
      <c r="M15" s="757"/>
      <c r="N15" s="757"/>
      <c r="O15" s="757"/>
      <c r="P15" s="757"/>
      <c r="Q15" s="757"/>
      <c r="R15" s="757"/>
      <c r="S15" s="757"/>
      <c r="T15" s="757"/>
      <c r="U15" s="757"/>
      <c r="V15" s="757"/>
      <c r="W15" s="757"/>
      <c r="X15" s="757"/>
      <c r="Y15" s="757"/>
      <c r="Z15" s="757"/>
      <c r="AA15" s="757"/>
      <c r="AB15" s="757"/>
      <c r="AC15" s="757"/>
      <c r="AD15" s="757"/>
      <c r="AE15" s="757"/>
      <c r="AF15" s="757"/>
      <c r="AG15" s="757"/>
      <c r="AH15" s="757"/>
      <c r="AI15" s="757"/>
      <c r="AJ15" s="757"/>
      <c r="AK15" s="757"/>
      <c r="AL15" s="757"/>
      <c r="AM15" s="757"/>
      <c r="AN15" s="757"/>
      <c r="AO15" s="757"/>
      <c r="AP15" s="757"/>
      <c r="AQ15" s="757"/>
      <c r="AR15" s="757"/>
      <c r="AS15" s="757"/>
      <c r="AT15" s="757"/>
      <c r="AU15" s="757"/>
      <c r="AV15" s="757"/>
      <c r="AW15" s="757"/>
      <c r="AX15" s="757"/>
      <c r="AY15" s="757"/>
      <c r="AZ15" s="757"/>
      <c r="BA15" s="757"/>
      <c r="BB15" s="757"/>
      <c r="BC15" s="757"/>
      <c r="BD15" s="757"/>
      <c r="BE15" s="757"/>
      <c r="BF15" s="757"/>
      <c r="BG15" s="757"/>
    </row>
    <row r="16" spans="1:61">
      <c r="A16" s="1219">
        <v>1</v>
      </c>
      <c r="B16" s="1224" t="s">
        <v>862</v>
      </c>
      <c r="C16" s="757"/>
      <c r="D16" s="1240"/>
      <c r="E16" s="757"/>
      <c r="G16" s="757"/>
      <c r="H16" s="757"/>
      <c r="I16" s="757"/>
      <c r="J16" s="757"/>
      <c r="K16" s="757"/>
      <c r="L16" s="757"/>
      <c r="M16" s="757"/>
      <c r="N16" s="757"/>
      <c r="O16" s="757"/>
      <c r="P16" s="757"/>
      <c r="Q16" s="757"/>
      <c r="R16" s="757"/>
      <c r="S16" s="757"/>
      <c r="T16" s="757"/>
      <c r="U16" s="757"/>
      <c r="V16" s="757"/>
      <c r="W16" s="757"/>
      <c r="X16" s="757"/>
      <c r="Y16" s="757"/>
      <c r="Z16" s="757"/>
      <c r="AA16" s="757"/>
      <c r="AB16" s="757"/>
      <c r="AC16" s="757"/>
      <c r="AD16" s="757"/>
      <c r="AE16" s="757"/>
      <c r="AF16" s="757"/>
      <c r="AG16" s="757"/>
      <c r="AH16" s="757"/>
      <c r="AI16" s="757"/>
      <c r="AJ16" s="757"/>
      <c r="AK16" s="757"/>
      <c r="AL16" s="757"/>
      <c r="AM16" s="757"/>
      <c r="AN16" s="757"/>
      <c r="AO16" s="757"/>
      <c r="AP16" s="757"/>
      <c r="AQ16" s="757"/>
      <c r="AR16" s="757"/>
      <c r="AS16" s="757"/>
      <c r="AT16" s="757"/>
      <c r="AU16" s="757"/>
      <c r="AV16" s="757"/>
      <c r="AW16" s="757"/>
      <c r="AX16" s="757"/>
      <c r="AY16" s="757"/>
      <c r="AZ16" s="757"/>
      <c r="BA16" s="757"/>
      <c r="BB16" s="757"/>
      <c r="BC16" s="757"/>
      <c r="BD16" s="757"/>
      <c r="BE16" s="757"/>
      <c r="BF16" s="757"/>
      <c r="BG16" s="757"/>
    </row>
    <row r="17" spans="1:59">
      <c r="B17" s="1242" t="s">
        <v>855</v>
      </c>
      <c r="C17" s="757"/>
      <c r="D17" s="1240"/>
      <c r="E17" s="757"/>
      <c r="G17" s="757"/>
      <c r="H17" s="757"/>
      <c r="I17" s="757"/>
      <c r="J17" s="757"/>
      <c r="K17" s="757"/>
      <c r="L17" s="757"/>
      <c r="M17" s="757"/>
      <c r="N17" s="757"/>
      <c r="O17" s="757"/>
      <c r="P17" s="757"/>
      <c r="Q17" s="757"/>
      <c r="R17" s="1259">
        <f>R43</f>
        <v>845.80580895499997</v>
      </c>
      <c r="S17" s="1260">
        <f>S43</f>
        <v>1229.228015118</v>
      </c>
      <c r="T17" s="1260">
        <f t="shared" ref="T17:AB17" si="3">T43</f>
        <v>1627.7236010635652</v>
      </c>
      <c r="U17" s="1260">
        <f t="shared" si="3"/>
        <v>1685.447996658171</v>
      </c>
      <c r="V17" s="1260">
        <f t="shared" si="3"/>
        <v>1550.5482856920157</v>
      </c>
      <c r="W17" s="1260">
        <f t="shared" si="3"/>
        <v>2136.859179495259</v>
      </c>
      <c r="X17" s="1260">
        <f t="shared" si="3"/>
        <v>2154.1676466459458</v>
      </c>
      <c r="Y17" s="1260">
        <f t="shared" si="3"/>
        <v>2045.1654161051099</v>
      </c>
      <c r="Z17" s="1260">
        <f t="shared" si="3"/>
        <v>2106.1436444013684</v>
      </c>
      <c r="AA17" s="1260">
        <f t="shared" si="3"/>
        <v>2248.6223982010874</v>
      </c>
      <c r="AB17" s="1260">
        <f t="shared" si="3"/>
        <v>2367.7130746290904</v>
      </c>
      <c r="AC17" s="1260"/>
      <c r="AD17" s="1245"/>
      <c r="AE17" s="1245"/>
      <c r="AF17" s="1245"/>
      <c r="AG17" s="1245"/>
      <c r="AH17" s="1245"/>
      <c r="AI17" s="1245"/>
      <c r="AJ17" s="1245"/>
      <c r="AK17" s="1245"/>
      <c r="AL17" s="1245"/>
      <c r="AM17" s="1245"/>
      <c r="AN17" s="1245"/>
      <c r="AO17" s="1245"/>
      <c r="AP17" s="1245"/>
      <c r="AQ17" s="1245"/>
      <c r="AR17" s="1245"/>
      <c r="AS17" s="1245"/>
      <c r="AT17" s="1245"/>
      <c r="AU17" s="1245"/>
      <c r="AV17" s="1245"/>
      <c r="AW17" s="1245"/>
      <c r="AX17" s="1245"/>
      <c r="AY17" s="1245"/>
      <c r="AZ17" s="1245"/>
      <c r="BA17" s="1245"/>
      <c r="BB17" s="1245"/>
      <c r="BC17" s="1245"/>
      <c r="BD17" s="1245"/>
      <c r="BE17" s="1245"/>
      <c r="BF17" s="1245"/>
      <c r="BG17" s="757"/>
    </row>
    <row r="18" spans="1:59">
      <c r="B18" s="1247" t="s">
        <v>856</v>
      </c>
      <c r="C18" s="757"/>
      <c r="D18" s="1240"/>
      <c r="E18" s="757"/>
      <c r="G18" s="757"/>
      <c r="H18" s="757"/>
      <c r="I18" s="757"/>
      <c r="J18" s="757"/>
      <c r="K18" s="757"/>
      <c r="L18" s="757"/>
      <c r="M18" s="757"/>
      <c r="N18" s="757"/>
      <c r="O18" s="757"/>
      <c r="P18" s="757"/>
      <c r="Q18" s="757"/>
      <c r="R18" s="1259"/>
      <c r="S18" s="1260"/>
      <c r="T18" s="1260"/>
      <c r="U18" s="1260"/>
      <c r="V18" s="1260"/>
      <c r="W18" s="1260"/>
      <c r="X18" s="1260"/>
      <c r="Y18" s="1260"/>
      <c r="Z18" s="1260"/>
      <c r="AA18" s="1260"/>
      <c r="AB18" s="1260"/>
      <c r="AC18" s="1260"/>
      <c r="AD18" s="1245"/>
      <c r="AE18" s="1245"/>
      <c r="AF18" s="1245"/>
      <c r="AG18" s="1245"/>
      <c r="AH18" s="1245"/>
      <c r="AI18" s="1245"/>
      <c r="AJ18" s="1245"/>
      <c r="AK18" s="1245"/>
      <c r="AL18" s="1245"/>
      <c r="AM18" s="1245"/>
      <c r="AN18" s="1245"/>
      <c r="AO18" s="1245"/>
      <c r="AP18" s="1245"/>
      <c r="AQ18" s="1245"/>
      <c r="AR18" s="1245"/>
      <c r="AS18" s="1245"/>
      <c r="AT18" s="1245"/>
      <c r="AU18" s="1245"/>
      <c r="AV18" s="1245"/>
      <c r="AW18" s="1245"/>
      <c r="AX18" s="1245"/>
      <c r="AY18" s="1245"/>
      <c r="AZ18" s="1245"/>
      <c r="BA18" s="1245"/>
      <c r="BB18" s="1245"/>
      <c r="BC18" s="1245"/>
      <c r="BD18" s="1245"/>
      <c r="BE18" s="1245"/>
      <c r="BF18" s="1245"/>
      <c r="BG18" s="757"/>
    </row>
    <row r="19" spans="1:59">
      <c r="B19" s="1247" t="s">
        <v>857</v>
      </c>
      <c r="C19" s="757"/>
      <c r="D19" s="1240"/>
      <c r="E19" s="757"/>
      <c r="G19" s="757"/>
      <c r="H19" s="757"/>
      <c r="I19" s="757"/>
      <c r="J19" s="757"/>
      <c r="K19" s="757"/>
      <c r="L19" s="757"/>
      <c r="M19" s="757"/>
      <c r="N19" s="757"/>
      <c r="O19" s="757"/>
      <c r="P19" s="757"/>
      <c r="Q19" s="757"/>
      <c r="R19" s="1259"/>
      <c r="S19" s="1260"/>
      <c r="T19" s="1260"/>
      <c r="U19" s="1260"/>
      <c r="V19" s="1260"/>
      <c r="W19" s="1260"/>
      <c r="X19" s="1260"/>
      <c r="Y19" s="1260"/>
      <c r="Z19" s="1260"/>
      <c r="AA19" s="1260"/>
      <c r="AB19" s="1260"/>
      <c r="AC19" s="1260"/>
      <c r="AD19" s="1245"/>
      <c r="AE19" s="1245"/>
      <c r="AF19" s="1245"/>
      <c r="AG19" s="1245"/>
      <c r="AH19" s="1245"/>
      <c r="AI19" s="1245"/>
      <c r="AJ19" s="1245"/>
      <c r="AK19" s="1245"/>
      <c r="AL19" s="1245"/>
      <c r="AM19" s="1245"/>
      <c r="AN19" s="1245"/>
      <c r="AO19" s="1245"/>
      <c r="AP19" s="1245"/>
      <c r="AQ19" s="1245"/>
      <c r="AR19" s="1245"/>
      <c r="AS19" s="1245"/>
      <c r="AT19" s="1245"/>
      <c r="AU19" s="1245"/>
      <c r="AV19" s="1245"/>
      <c r="AW19" s="1245"/>
      <c r="AX19" s="1245"/>
      <c r="AY19" s="1245"/>
      <c r="AZ19" s="1245"/>
      <c r="BA19" s="1245"/>
      <c r="BB19" s="1245"/>
      <c r="BC19" s="1245"/>
      <c r="BD19" s="1245"/>
      <c r="BE19" s="1245"/>
      <c r="BF19" s="1245"/>
      <c r="BG19" s="757"/>
    </row>
    <row r="20" spans="1:59">
      <c r="B20" s="1242" t="s">
        <v>858</v>
      </c>
      <c r="C20" s="757"/>
      <c r="D20" s="1240"/>
      <c r="E20" s="757"/>
      <c r="G20" s="757"/>
      <c r="H20" s="757"/>
      <c r="I20" s="757"/>
      <c r="J20" s="757"/>
      <c r="K20" s="757"/>
      <c r="L20" s="757"/>
      <c r="M20" s="757"/>
      <c r="N20" s="757"/>
      <c r="O20" s="757"/>
      <c r="P20" s="757"/>
      <c r="Q20" s="757"/>
      <c r="R20" s="1259">
        <f>R46</f>
        <v>1229.228015118</v>
      </c>
      <c r="S20" s="1260">
        <f>S46</f>
        <v>1627.7236010635652</v>
      </c>
      <c r="T20" s="1260">
        <f t="shared" ref="T20:AB20" si="4">T46</f>
        <v>1685.447996658171</v>
      </c>
      <c r="U20" s="1260">
        <f t="shared" si="4"/>
        <v>1550.5482856920157</v>
      </c>
      <c r="V20" s="1260">
        <f t="shared" si="4"/>
        <v>2136.859179495259</v>
      </c>
      <c r="W20" s="1260">
        <f t="shared" si="4"/>
        <v>2154.1676466459458</v>
      </c>
      <c r="X20" s="1260">
        <f t="shared" si="4"/>
        <v>2045.1654161051099</v>
      </c>
      <c r="Y20" s="1260">
        <f t="shared" si="4"/>
        <v>2106.1436444013684</v>
      </c>
      <c r="Z20" s="1260">
        <f t="shared" si="4"/>
        <v>2248.6223982010874</v>
      </c>
      <c r="AA20" s="1260">
        <f t="shared" si="4"/>
        <v>2367.7130746290904</v>
      </c>
      <c r="AB20" s="1260">
        <f t="shared" si="4"/>
        <v>2492.9776285941348</v>
      </c>
      <c r="AC20" s="1260"/>
      <c r="AD20" s="1245"/>
      <c r="AE20" s="1245"/>
      <c r="AF20" s="1245"/>
      <c r="AG20" s="1245"/>
      <c r="AH20" s="1245"/>
      <c r="AI20" s="1245"/>
      <c r="AJ20" s="1245"/>
      <c r="AK20" s="1245"/>
      <c r="AL20" s="1245"/>
      <c r="AM20" s="1245"/>
      <c r="AN20" s="1245"/>
      <c r="AO20" s="1245"/>
      <c r="AP20" s="1245"/>
      <c r="AQ20" s="1245"/>
      <c r="AR20" s="1245"/>
      <c r="AS20" s="1245"/>
      <c r="AT20" s="1245"/>
      <c r="AU20" s="1245"/>
      <c r="AV20" s="1245"/>
      <c r="AW20" s="1245"/>
      <c r="AX20" s="1245"/>
      <c r="AY20" s="1245"/>
      <c r="AZ20" s="1245"/>
      <c r="BA20" s="1245"/>
      <c r="BB20" s="1245"/>
      <c r="BC20" s="1245"/>
      <c r="BD20" s="1245"/>
      <c r="BE20" s="1245"/>
      <c r="BF20" s="1245"/>
      <c r="BG20" s="757"/>
    </row>
    <row r="21" spans="1:59" s="1268" customFormat="1">
      <c r="A21" s="1261"/>
      <c r="B21" s="1247" t="s">
        <v>859</v>
      </c>
      <c r="C21" s="1262"/>
      <c r="D21" s="1263"/>
      <c r="E21" s="1262"/>
      <c r="F21" s="1264"/>
      <c r="G21" s="1262"/>
      <c r="H21" s="1262"/>
      <c r="I21" s="1262"/>
      <c r="J21" s="1262"/>
      <c r="K21" s="1262"/>
      <c r="L21" s="1262"/>
      <c r="M21" s="1262"/>
      <c r="N21" s="1262"/>
      <c r="O21" s="1262"/>
      <c r="P21" s="1262"/>
      <c r="Q21" s="1262"/>
      <c r="R21" s="1265">
        <f>+R48</f>
        <v>40.923835610443611</v>
      </c>
      <c r="S21" s="1266">
        <f>+S48</f>
        <v>53.461651329834517</v>
      </c>
      <c r="T21" s="1266">
        <f t="shared" ref="T21:AB21" si="5">+T48</f>
        <v>60.877171077992884</v>
      </c>
      <c r="U21" s="1266">
        <f t="shared" si="5"/>
        <v>58.543258596619935</v>
      </c>
      <c r="V21" s="1266">
        <f t="shared" si="5"/>
        <v>64.204685795892686</v>
      </c>
      <c r="W21" s="1266">
        <f t="shared" si="5"/>
        <v>77.23177422295322</v>
      </c>
      <c r="X21" s="1266">
        <f t="shared" si="5"/>
        <v>76.792497429006985</v>
      </c>
      <c r="Y21" s="1266">
        <f t="shared" si="5"/>
        <v>76.965831093159025</v>
      </c>
      <c r="Z21" s="1266">
        <f t="shared" si="5"/>
        <v>82.116062401047316</v>
      </c>
      <c r="AA21" s="1266">
        <f t="shared" si="5"/>
        <v>87.989403650150734</v>
      </c>
      <c r="AB21" s="1266">
        <f t="shared" si="5"/>
        <v>92.953407461246158</v>
      </c>
      <c r="AC21" s="1266"/>
      <c r="AD21" s="1267"/>
      <c r="AE21" s="1267"/>
      <c r="AF21" s="1267"/>
      <c r="AG21" s="1267"/>
      <c r="AH21" s="1267"/>
      <c r="AI21" s="1267"/>
      <c r="AJ21" s="1267"/>
      <c r="AK21" s="1267"/>
      <c r="AL21" s="1267"/>
      <c r="AM21" s="1267"/>
      <c r="AN21" s="1267"/>
      <c r="AO21" s="1267"/>
      <c r="AP21" s="1267"/>
      <c r="AQ21" s="1267"/>
      <c r="AR21" s="1267"/>
      <c r="AS21" s="1267"/>
      <c r="AT21" s="1267"/>
      <c r="AU21" s="1267"/>
      <c r="AV21" s="1267"/>
      <c r="AW21" s="1267"/>
      <c r="AX21" s="1267"/>
      <c r="AY21" s="1267"/>
      <c r="AZ21" s="1267"/>
      <c r="BA21" s="1267"/>
      <c r="BB21" s="1267"/>
      <c r="BC21" s="1267"/>
      <c r="BD21" s="1267"/>
      <c r="BE21" s="1267"/>
      <c r="BF21" s="1267"/>
      <c r="BG21" s="1262"/>
    </row>
    <row r="22" spans="1:59">
      <c r="B22" s="1224"/>
      <c r="C22" s="757"/>
      <c r="D22" s="1240"/>
      <c r="E22" s="757"/>
      <c r="G22" s="757"/>
      <c r="H22" s="757"/>
      <c r="I22" s="757"/>
      <c r="J22" s="757"/>
      <c r="K22" s="757"/>
      <c r="L22" s="757"/>
      <c r="M22" s="757"/>
      <c r="N22" s="757"/>
      <c r="O22" s="757"/>
      <c r="P22" s="757"/>
      <c r="Q22" s="757"/>
      <c r="R22" s="757"/>
      <c r="S22" s="757"/>
      <c r="T22" s="757"/>
      <c r="U22" s="757"/>
      <c r="V22" s="757"/>
      <c r="W22" s="757"/>
      <c r="X22" s="757"/>
      <c r="Y22" s="757"/>
      <c r="Z22" s="757"/>
      <c r="AA22" s="757"/>
      <c r="AB22" s="757"/>
      <c r="AC22" s="757"/>
      <c r="AD22" s="757"/>
      <c r="AE22" s="757"/>
      <c r="AF22" s="757"/>
      <c r="AG22" s="757"/>
      <c r="AH22" s="757"/>
      <c r="AI22" s="757"/>
      <c r="AJ22" s="757"/>
      <c r="AK22" s="757"/>
      <c r="AL22" s="757"/>
      <c r="AM22" s="757"/>
      <c r="AN22" s="757"/>
      <c r="AO22" s="757"/>
      <c r="AP22" s="757"/>
      <c r="AQ22" s="757"/>
      <c r="AR22" s="757"/>
      <c r="AS22" s="757"/>
      <c r="AT22" s="757"/>
      <c r="AU22" s="757"/>
      <c r="AV22" s="757"/>
      <c r="AW22" s="757"/>
      <c r="AX22" s="757"/>
      <c r="AY22" s="757"/>
      <c r="AZ22" s="757"/>
      <c r="BA22" s="757"/>
      <c r="BB22" s="757"/>
      <c r="BC22" s="757"/>
      <c r="BD22" s="757"/>
      <c r="BE22" s="757"/>
      <c r="BF22" s="757"/>
      <c r="BG22" s="757"/>
    </row>
    <row r="23" spans="1:59">
      <c r="A23" s="1219">
        <v>2</v>
      </c>
      <c r="B23" s="1224" t="s">
        <v>863</v>
      </c>
      <c r="C23" s="757"/>
      <c r="D23" s="1240"/>
      <c r="E23" s="757"/>
      <c r="G23" s="757"/>
      <c r="H23" s="757"/>
      <c r="I23" s="757"/>
      <c r="J23" s="757"/>
      <c r="K23" s="757"/>
      <c r="L23" s="757"/>
      <c r="M23" s="757"/>
      <c r="N23" s="757"/>
      <c r="O23" s="757"/>
      <c r="P23" s="757"/>
      <c r="Q23" s="757"/>
      <c r="R23" s="757"/>
      <c r="S23" s="757"/>
      <c r="T23" s="757"/>
      <c r="U23" s="757"/>
      <c r="V23" s="757"/>
      <c r="W23" s="757"/>
      <c r="X23" s="757"/>
      <c r="Y23" s="757"/>
      <c r="Z23" s="757"/>
      <c r="AA23" s="757"/>
      <c r="AB23" s="757"/>
      <c r="AC23" s="757"/>
      <c r="AD23" s="757"/>
      <c r="AE23" s="757"/>
      <c r="AF23" s="757"/>
      <c r="AG23" s="757"/>
      <c r="AH23" s="757"/>
      <c r="AI23" s="757"/>
      <c r="AJ23" s="757"/>
      <c r="AK23" s="757"/>
      <c r="AL23" s="757"/>
      <c r="AM23" s="757"/>
      <c r="AN23" s="757"/>
      <c r="AO23" s="757"/>
      <c r="AP23" s="757"/>
      <c r="AQ23" s="757"/>
      <c r="AR23" s="757"/>
      <c r="AS23" s="757"/>
      <c r="AT23" s="757"/>
      <c r="AU23" s="757"/>
      <c r="AV23" s="757"/>
      <c r="AW23" s="757"/>
      <c r="AX23" s="757"/>
      <c r="AY23" s="757"/>
      <c r="AZ23" s="757"/>
      <c r="BA23" s="757"/>
      <c r="BB23" s="757"/>
      <c r="BC23" s="757"/>
      <c r="BD23" s="757"/>
      <c r="BE23" s="757"/>
      <c r="BF23" s="757"/>
      <c r="BG23" s="757"/>
    </row>
    <row r="24" spans="1:59">
      <c r="B24" s="1242" t="s">
        <v>855</v>
      </c>
      <c r="C24" s="757"/>
      <c r="D24" s="1240"/>
      <c r="E24" s="757"/>
      <c r="G24" s="757"/>
      <c r="H24" s="757"/>
      <c r="I24" s="757"/>
      <c r="J24" s="757"/>
      <c r="K24" s="757"/>
      <c r="L24" s="757"/>
      <c r="M24" s="757"/>
      <c r="N24" s="757"/>
      <c r="O24" s="757"/>
      <c r="P24" s="757"/>
      <c r="Q24" s="757"/>
      <c r="R24" s="1259">
        <f>R54</f>
        <v>2.9644798749999999</v>
      </c>
      <c r="S24" s="1260">
        <f t="shared" ref="S24:AB24" si="6">+S54+S104+S151+S162+S173+S184+S195+S206+S217+S228+S239</f>
        <v>119.527496051</v>
      </c>
      <c r="T24" s="1260">
        <f t="shared" si="6"/>
        <v>351.10113874462809</v>
      </c>
      <c r="U24" s="1260">
        <f t="shared" si="6"/>
        <v>497.008080119243</v>
      </c>
      <c r="V24" s="1260">
        <f t="shared" si="6"/>
        <v>583.71521092329453</v>
      </c>
      <c r="W24" s="1260">
        <f t="shared" si="6"/>
        <v>814.31730987355388</v>
      </c>
      <c r="X24" s="1260">
        <f t="shared" si="6"/>
        <v>711.52401678971239</v>
      </c>
      <c r="Y24" s="1260">
        <f t="shared" si="6"/>
        <v>575.66000497191988</v>
      </c>
      <c r="Z24" s="1260">
        <f t="shared" si="6"/>
        <v>445.3340713572826</v>
      </c>
      <c r="AA24" s="1260">
        <f t="shared" si="6"/>
        <v>358.65792112628571</v>
      </c>
      <c r="AB24" s="1260">
        <f t="shared" si="6"/>
        <v>337.86153077179063</v>
      </c>
      <c r="AC24" s="1260"/>
      <c r="AD24" s="1245"/>
      <c r="AE24" s="1245"/>
      <c r="AF24" s="1245"/>
      <c r="AG24" s="1245"/>
      <c r="AH24" s="1245"/>
      <c r="AI24" s="1245"/>
      <c r="AJ24" s="1245"/>
      <c r="AK24" s="1245"/>
      <c r="AL24" s="1245"/>
      <c r="AM24" s="1245"/>
      <c r="AN24" s="1245"/>
      <c r="AO24" s="1245"/>
      <c r="AP24" s="1245"/>
      <c r="AQ24" s="1245"/>
      <c r="AR24" s="1245"/>
      <c r="AS24" s="1245"/>
      <c r="AT24" s="1245"/>
      <c r="AU24" s="1245"/>
      <c r="AV24" s="1245"/>
      <c r="AW24" s="1245"/>
      <c r="AX24" s="1245"/>
      <c r="AY24" s="1245"/>
      <c r="AZ24" s="1245"/>
      <c r="BA24" s="1245"/>
      <c r="BB24" s="1245"/>
      <c r="BC24" s="1245"/>
      <c r="BD24" s="1245"/>
      <c r="BE24" s="1245"/>
      <c r="BF24" s="1245"/>
      <c r="BG24" s="757"/>
    </row>
    <row r="25" spans="1:59" s="1268" customFormat="1">
      <c r="A25" s="1261"/>
      <c r="B25" s="1247" t="s">
        <v>856</v>
      </c>
      <c r="C25" s="1262"/>
      <c r="D25" s="1263"/>
      <c r="E25" s="1262"/>
      <c r="F25" s="1264"/>
      <c r="G25" s="1262"/>
      <c r="H25" s="1262"/>
      <c r="I25" s="1262"/>
      <c r="J25" s="1262"/>
      <c r="K25" s="1262"/>
      <c r="L25" s="1262"/>
      <c r="M25" s="1262"/>
      <c r="N25" s="1262"/>
      <c r="O25" s="1262"/>
      <c r="P25" s="1262"/>
      <c r="Q25" s="1262"/>
      <c r="R25" s="1265"/>
      <c r="S25" s="1266">
        <f t="shared" ref="S25:AB25" si="7">+S55+S106+S153+S164+S175+S186+S197+S208+S219+S230+S241</f>
        <v>100.15719676750996</v>
      </c>
      <c r="T25" s="1266">
        <f t="shared" si="7"/>
        <v>154.83811635464883</v>
      </c>
      <c r="U25" s="1266">
        <f t="shared" si="7"/>
        <v>208.51483794547107</v>
      </c>
      <c r="V25" s="1266">
        <f t="shared" si="7"/>
        <v>257.39999219781862</v>
      </c>
      <c r="W25" s="1266">
        <f t="shared" si="7"/>
        <v>291.75703644536912</v>
      </c>
      <c r="X25" s="1266">
        <f t="shared" si="7"/>
        <v>289.54094864470409</v>
      </c>
      <c r="Y25" s="1266">
        <f t="shared" si="7"/>
        <v>254.64696340800759</v>
      </c>
      <c r="Z25" s="1266">
        <f t="shared" si="7"/>
        <v>225.75525228303371</v>
      </c>
      <c r="AA25" s="1266">
        <f t="shared" si="7"/>
        <v>184.27677050075343</v>
      </c>
      <c r="AB25" s="1266">
        <f t="shared" si="7"/>
        <v>151.54535159411336</v>
      </c>
      <c r="AC25" s="1266"/>
      <c r="AD25" s="1267"/>
      <c r="AE25" s="1267"/>
      <c r="AF25" s="1267"/>
      <c r="AG25" s="1267"/>
      <c r="AH25" s="1267"/>
      <c r="AI25" s="1267"/>
      <c r="AJ25" s="1267"/>
      <c r="AK25" s="1267"/>
      <c r="AL25" s="1267"/>
      <c r="AM25" s="1267"/>
      <c r="AN25" s="1267"/>
      <c r="AO25" s="1267"/>
      <c r="AP25" s="1267"/>
      <c r="AQ25" s="1267"/>
      <c r="AR25" s="1267"/>
      <c r="AS25" s="1267"/>
      <c r="AT25" s="1267"/>
      <c r="AU25" s="1267"/>
      <c r="AV25" s="1267"/>
      <c r="AW25" s="1267"/>
      <c r="AX25" s="1267"/>
      <c r="AY25" s="1267"/>
      <c r="AZ25" s="1267"/>
      <c r="BA25" s="1267"/>
      <c r="BB25" s="1267"/>
      <c r="BC25" s="1267"/>
      <c r="BD25" s="1267"/>
      <c r="BE25" s="1267"/>
      <c r="BF25" s="1267"/>
      <c r="BG25" s="1262"/>
    </row>
    <row r="26" spans="1:59" s="1268" customFormat="1">
      <c r="A26" s="1261"/>
      <c r="B26" s="1247" t="s">
        <v>857</v>
      </c>
      <c r="C26" s="1784"/>
      <c r="D26" s="1263"/>
      <c r="E26" s="1262"/>
      <c r="F26" s="1264"/>
      <c r="G26" s="1262"/>
      <c r="H26" s="1262"/>
      <c r="I26" s="1262"/>
      <c r="J26" s="1262"/>
      <c r="K26" s="1262"/>
      <c r="L26" s="1262"/>
      <c r="M26" s="1262"/>
      <c r="N26" s="1262"/>
      <c r="O26" s="1262"/>
      <c r="P26" s="1262"/>
      <c r="Q26" s="1262"/>
      <c r="R26" s="1265"/>
      <c r="S26" s="1266">
        <f t="shared" ref="S26:AB26" si="8">+S56+S105+S152+S163+S174+S185+S196+S207+S218+S229+S240</f>
        <v>301.5734904192164</v>
      </c>
      <c r="T26" s="1266">
        <f t="shared" si="8"/>
        <v>273.40459793569431</v>
      </c>
      <c r="U26" s="1266">
        <f t="shared" si="8"/>
        <v>268.38360795411148</v>
      </c>
      <c r="V26" s="1266">
        <f t="shared" si="8"/>
        <v>443.63826468007079</v>
      </c>
      <c r="W26" s="1266">
        <f t="shared" si="8"/>
        <v>171.78522123775241</v>
      </c>
      <c r="X26" s="1266">
        <f t="shared" si="8"/>
        <v>139.70630620628322</v>
      </c>
      <c r="Y26" s="1266">
        <f t="shared" si="8"/>
        <v>113.019117993973</v>
      </c>
      <c r="Z26" s="1266">
        <f t="shared" si="8"/>
        <v>126.43554732003344</v>
      </c>
      <c r="AA26" s="1266">
        <f t="shared" si="8"/>
        <v>148.61852740568943</v>
      </c>
      <c r="AB26" s="1266">
        <f t="shared" si="8"/>
        <v>144.05464842571143</v>
      </c>
      <c r="AC26" s="1266"/>
      <c r="AD26" s="1267"/>
      <c r="AE26" s="1267"/>
      <c r="AF26" s="1267"/>
      <c r="AG26" s="1267"/>
      <c r="AH26" s="1267"/>
      <c r="AI26" s="1267"/>
      <c r="AJ26" s="1267"/>
      <c r="AK26" s="1267"/>
      <c r="AL26" s="1267"/>
      <c r="AM26" s="1267"/>
      <c r="AN26" s="1267"/>
      <c r="AO26" s="1267"/>
      <c r="AP26" s="1267"/>
      <c r="AQ26" s="1267"/>
      <c r="AR26" s="1267"/>
      <c r="AS26" s="1267"/>
      <c r="AT26" s="1267"/>
      <c r="AU26" s="1267"/>
      <c r="AV26" s="1267"/>
      <c r="AW26" s="1267"/>
      <c r="AX26" s="1267"/>
      <c r="AY26" s="1267"/>
      <c r="AZ26" s="1267"/>
      <c r="BA26" s="1267"/>
      <c r="BB26" s="1267"/>
      <c r="BC26" s="1267"/>
      <c r="BD26" s="1267"/>
      <c r="BE26" s="1267"/>
      <c r="BF26" s="1267"/>
      <c r="BG26" s="1262"/>
    </row>
    <row r="27" spans="1:59">
      <c r="B27" s="1242" t="s">
        <v>858</v>
      </c>
      <c r="C27" s="757"/>
      <c r="D27" s="1240"/>
      <c r="E27" s="757"/>
      <c r="G27" s="757"/>
      <c r="H27" s="757"/>
      <c r="I27" s="757"/>
      <c r="J27" s="757"/>
      <c r="K27" s="757"/>
      <c r="L27" s="757"/>
      <c r="M27" s="757"/>
      <c r="N27" s="757"/>
      <c r="O27" s="757"/>
      <c r="P27" s="757"/>
      <c r="Q27" s="757"/>
      <c r="R27" s="1259">
        <f>R57</f>
        <v>119.527496051</v>
      </c>
      <c r="S27" s="1260">
        <f t="shared" ref="S27:AB27" si="9">+S57+S107+S154+S165+S176+S187+S198+S209+S220+S231+S242</f>
        <v>351.10113874462809</v>
      </c>
      <c r="T27" s="1260">
        <f t="shared" si="9"/>
        <v>497.008080119243</v>
      </c>
      <c r="U27" s="1260">
        <f t="shared" si="9"/>
        <v>583.71521092329453</v>
      </c>
      <c r="V27" s="1260">
        <f t="shared" si="9"/>
        <v>814.31730987355388</v>
      </c>
      <c r="W27" s="1260">
        <f t="shared" si="9"/>
        <v>711.52401678971239</v>
      </c>
      <c r="X27" s="1260">
        <f t="shared" si="9"/>
        <v>575.66000497191988</v>
      </c>
      <c r="Y27" s="1260">
        <f t="shared" si="9"/>
        <v>445.3340713572826</v>
      </c>
      <c r="Z27" s="1260">
        <f t="shared" si="9"/>
        <v>358.65792112628571</v>
      </c>
      <c r="AA27" s="1260">
        <f t="shared" si="9"/>
        <v>337.86153077179063</v>
      </c>
      <c r="AB27" s="1260">
        <f t="shared" si="9"/>
        <v>344.77629244595983</v>
      </c>
      <c r="AC27" s="1260"/>
      <c r="AD27" s="1245"/>
      <c r="AE27" s="1245"/>
      <c r="AF27" s="1245"/>
      <c r="AG27" s="1245"/>
      <c r="AH27" s="1245"/>
      <c r="AI27" s="1245"/>
      <c r="AJ27" s="1245"/>
      <c r="AK27" s="1245"/>
      <c r="AL27" s="1245"/>
      <c r="AM27" s="1245"/>
      <c r="AN27" s="1245"/>
      <c r="AO27" s="1245"/>
      <c r="AP27" s="1245"/>
      <c r="AQ27" s="1245"/>
      <c r="AR27" s="1245"/>
      <c r="AS27" s="1245"/>
      <c r="AT27" s="1245"/>
      <c r="AU27" s="1245"/>
      <c r="AV27" s="1245"/>
      <c r="AW27" s="1245"/>
      <c r="AX27" s="1245"/>
      <c r="AY27" s="1245"/>
      <c r="AZ27" s="1245"/>
      <c r="BA27" s="1245"/>
      <c r="BB27" s="1245"/>
      <c r="BC27" s="1245"/>
      <c r="BD27" s="1245"/>
      <c r="BE27" s="1245"/>
      <c r="BF27" s="1245"/>
      <c r="BG27" s="757"/>
    </row>
    <row r="28" spans="1:59" s="1268" customFormat="1">
      <c r="A28" s="1261"/>
      <c r="B28" s="1247" t="s">
        <v>859</v>
      </c>
      <c r="C28" s="1262"/>
      <c r="D28" s="1263"/>
      <c r="E28" s="1262"/>
      <c r="F28" s="1264"/>
      <c r="G28" s="1262"/>
      <c r="H28" s="1262"/>
      <c r="I28" s="1262"/>
      <c r="J28" s="1262"/>
      <c r="K28" s="1262"/>
      <c r="L28" s="1262"/>
      <c r="M28" s="1262"/>
      <c r="N28" s="1262"/>
      <c r="O28" s="1262"/>
      <c r="P28" s="1262"/>
      <c r="Q28" s="1262"/>
      <c r="R28" s="1265">
        <f t="shared" ref="R28:AB28" si="10">+R59+R109+R156+R167+R178+R189+R200+R211+R222+R233+R244</f>
        <v>4.7771870611139997</v>
      </c>
      <c r="S28" s="1266">
        <f t="shared" si="10"/>
        <v>18.354516757029494</v>
      </c>
      <c r="T28" s="1266">
        <f t="shared" si="10"/>
        <v>33.076259535690973</v>
      </c>
      <c r="U28" s="1266">
        <f t="shared" si="10"/>
        <v>42.148208350658962</v>
      </c>
      <c r="V28" s="1266">
        <f t="shared" si="10"/>
        <v>54.523268311077089</v>
      </c>
      <c r="W28" s="1266">
        <f t="shared" si="10"/>
        <v>59.507811739867385</v>
      </c>
      <c r="X28" s="1266">
        <f t="shared" si="10"/>
        <v>50.200176848703663</v>
      </c>
      <c r="Y28" s="1266">
        <f t="shared" si="10"/>
        <v>39.818768976838896</v>
      </c>
      <c r="Z28" s="1266">
        <f t="shared" si="10"/>
        <v>31.355687706859165</v>
      </c>
      <c r="AA28" s="1266">
        <f t="shared" si="10"/>
        <v>27.164258624024978</v>
      </c>
      <c r="AB28" s="1266">
        <f t="shared" si="10"/>
        <v>26.62287510549227</v>
      </c>
      <c r="AC28" s="1266"/>
      <c r="AD28" s="1267"/>
      <c r="AE28" s="1267"/>
      <c r="AF28" s="1267"/>
      <c r="AG28" s="1267"/>
      <c r="AH28" s="1267"/>
      <c r="AI28" s="1267"/>
      <c r="AJ28" s="1267"/>
      <c r="AK28" s="1267"/>
      <c r="AL28" s="1267"/>
      <c r="AM28" s="1267"/>
      <c r="AN28" s="1267"/>
      <c r="AO28" s="1267"/>
      <c r="AP28" s="1267"/>
      <c r="AQ28" s="1267"/>
      <c r="AR28" s="1267"/>
      <c r="AS28" s="1267"/>
      <c r="AT28" s="1267"/>
      <c r="AU28" s="1267"/>
      <c r="AV28" s="1267"/>
      <c r="AW28" s="1267"/>
      <c r="AX28" s="1267"/>
      <c r="AY28" s="1267"/>
      <c r="AZ28" s="1267"/>
      <c r="BA28" s="1267"/>
      <c r="BB28" s="1267"/>
      <c r="BC28" s="1267"/>
      <c r="BD28" s="1267"/>
      <c r="BE28" s="1267"/>
      <c r="BF28" s="1267"/>
      <c r="BG28" s="1262"/>
    </row>
    <row r="29" spans="1:59">
      <c r="B29" s="1224"/>
      <c r="C29" s="757"/>
      <c r="D29" s="1240"/>
      <c r="E29" s="757"/>
      <c r="G29" s="757"/>
      <c r="H29" s="757"/>
      <c r="I29" s="757"/>
      <c r="J29" s="757"/>
      <c r="K29" s="757"/>
      <c r="L29" s="757"/>
      <c r="M29" s="757"/>
      <c r="N29" s="757"/>
      <c r="O29" s="757"/>
      <c r="P29" s="757"/>
      <c r="Q29" s="757"/>
      <c r="R29" s="757"/>
      <c r="S29" s="1259"/>
      <c r="T29" s="1259"/>
      <c r="U29" s="1259"/>
      <c r="V29" s="1259"/>
      <c r="W29" s="1259"/>
      <c r="X29" s="1259"/>
      <c r="Y29" s="1259"/>
      <c r="Z29" s="1259"/>
      <c r="AA29" s="1259"/>
      <c r="AB29" s="757"/>
      <c r="AC29" s="757"/>
      <c r="AD29" s="757"/>
      <c r="AE29" s="757"/>
      <c r="AF29" s="757"/>
      <c r="AG29" s="757"/>
      <c r="AH29" s="757"/>
      <c r="AI29" s="757"/>
      <c r="AJ29" s="757"/>
      <c r="AK29" s="757"/>
      <c r="AL29" s="757"/>
      <c r="AM29" s="757"/>
      <c r="AN29" s="757"/>
      <c r="AO29" s="757"/>
      <c r="AP29" s="757"/>
      <c r="AQ29" s="757"/>
      <c r="AR29" s="757"/>
      <c r="AS29" s="757"/>
      <c r="AT29" s="757"/>
      <c r="AU29" s="757"/>
      <c r="AV29" s="757"/>
      <c r="AW29" s="757"/>
      <c r="AX29" s="757"/>
      <c r="AY29" s="757"/>
      <c r="AZ29" s="757"/>
      <c r="BA29" s="757"/>
      <c r="BB29" s="757"/>
      <c r="BC29" s="757"/>
      <c r="BD29" s="757"/>
      <c r="BE29" s="757"/>
      <c r="BF29" s="757"/>
      <c r="BG29" s="757"/>
    </row>
    <row r="30" spans="1:59">
      <c r="A30" s="1219">
        <v>3</v>
      </c>
      <c r="B30" s="1224" t="s">
        <v>864</v>
      </c>
      <c r="C30" s="757"/>
      <c r="D30" s="1240"/>
      <c r="E30" s="757"/>
      <c r="G30" s="757"/>
      <c r="H30" s="757"/>
      <c r="I30" s="757"/>
      <c r="J30" s="757"/>
      <c r="K30" s="757"/>
      <c r="L30" s="757"/>
      <c r="M30" s="757"/>
      <c r="N30" s="757"/>
      <c r="O30" s="757"/>
      <c r="P30" s="757"/>
      <c r="Q30" s="757"/>
      <c r="R30" s="757"/>
      <c r="S30" s="1269"/>
      <c r="T30" s="1269"/>
      <c r="U30" s="1269"/>
      <c r="V30" s="1269"/>
      <c r="W30" s="1269"/>
      <c r="X30" s="1269"/>
      <c r="Y30" s="1269"/>
      <c r="Z30" s="1269"/>
      <c r="AA30" s="1269"/>
      <c r="AB30" s="1269"/>
      <c r="AC30" s="1269"/>
      <c r="AD30" s="757"/>
      <c r="AE30" s="757"/>
      <c r="AF30" s="757"/>
      <c r="AG30" s="757"/>
      <c r="AH30" s="757"/>
      <c r="AI30" s="757"/>
      <c r="AJ30" s="757"/>
      <c r="AK30" s="757"/>
      <c r="AL30" s="757"/>
      <c r="AM30" s="757"/>
      <c r="AN30" s="757"/>
      <c r="AO30" s="757"/>
      <c r="AP30" s="757"/>
      <c r="AQ30" s="757"/>
      <c r="AR30" s="757"/>
      <c r="AS30" s="757"/>
      <c r="AT30" s="757"/>
      <c r="AU30" s="757"/>
      <c r="AV30" s="757"/>
      <c r="AW30" s="757"/>
      <c r="AX30" s="757"/>
      <c r="AY30" s="757"/>
      <c r="AZ30" s="757"/>
      <c r="BA30" s="757"/>
      <c r="BB30" s="757"/>
      <c r="BC30" s="757"/>
      <c r="BD30" s="757"/>
      <c r="BE30" s="757"/>
      <c r="BF30" s="757"/>
      <c r="BG30" s="757"/>
    </row>
    <row r="31" spans="1:59">
      <c r="B31" s="1242" t="s">
        <v>855</v>
      </c>
      <c r="C31" s="757"/>
      <c r="D31" s="1240"/>
      <c r="E31" s="757"/>
      <c r="G31" s="757"/>
      <c r="H31" s="757"/>
      <c r="I31" s="757"/>
      <c r="J31" s="757"/>
      <c r="K31" s="757"/>
      <c r="L31" s="757"/>
      <c r="M31" s="757"/>
      <c r="N31" s="757"/>
      <c r="O31" s="757"/>
      <c r="P31" s="757"/>
      <c r="Q31" s="757"/>
      <c r="R31" s="757"/>
      <c r="S31" s="1245"/>
      <c r="T31" s="1245"/>
      <c r="U31" s="1245"/>
      <c r="V31" s="1245"/>
      <c r="W31" s="1245"/>
      <c r="X31" s="1245"/>
      <c r="Y31" s="1245"/>
      <c r="Z31" s="1245"/>
      <c r="AA31" s="1245"/>
      <c r="AB31" s="1245"/>
      <c r="AC31" s="1245"/>
      <c r="AD31" s="1245"/>
      <c r="AE31" s="1245"/>
      <c r="AF31" s="1245"/>
      <c r="AG31" s="1245"/>
      <c r="AH31" s="1245"/>
      <c r="AI31" s="1245"/>
      <c r="AJ31" s="1245"/>
      <c r="AK31" s="1245"/>
      <c r="AL31" s="1245"/>
      <c r="AM31" s="1245"/>
      <c r="AN31" s="1245"/>
      <c r="AO31" s="1245"/>
      <c r="AP31" s="1245"/>
      <c r="AQ31" s="1245"/>
      <c r="AR31" s="1245"/>
      <c r="AS31" s="1245"/>
      <c r="AT31" s="1245"/>
      <c r="AU31" s="1245"/>
      <c r="AV31" s="1245"/>
      <c r="AW31" s="1245"/>
      <c r="AX31" s="1245"/>
      <c r="AY31" s="1245"/>
      <c r="AZ31" s="1245"/>
      <c r="BA31" s="1245"/>
      <c r="BB31" s="1245"/>
      <c r="BC31" s="1245"/>
      <c r="BD31" s="1245"/>
      <c r="BE31" s="1245"/>
      <c r="BF31" s="1245"/>
      <c r="BG31" s="757"/>
    </row>
    <row r="32" spans="1:59">
      <c r="B32" s="1247" t="s">
        <v>856</v>
      </c>
      <c r="C32" s="757"/>
      <c r="D32" s="1240"/>
      <c r="E32" s="757"/>
      <c r="G32" s="757"/>
      <c r="H32" s="757"/>
      <c r="I32" s="757"/>
      <c r="J32" s="757"/>
      <c r="K32" s="757"/>
      <c r="L32" s="757"/>
      <c r="M32" s="757"/>
      <c r="N32" s="757"/>
      <c r="O32" s="757"/>
      <c r="P32" s="757"/>
      <c r="Q32" s="757"/>
      <c r="R32" s="757"/>
      <c r="S32" s="1245"/>
      <c r="T32" s="1245"/>
      <c r="U32" s="1245"/>
      <c r="V32" s="1245"/>
      <c r="W32" s="1245"/>
      <c r="X32" s="1245"/>
      <c r="Y32" s="1245"/>
      <c r="Z32" s="1245"/>
      <c r="AA32" s="1245"/>
      <c r="AB32" s="1245"/>
      <c r="AC32" s="1245"/>
      <c r="AD32" s="1245"/>
      <c r="AE32" s="1245"/>
      <c r="AF32" s="1245"/>
      <c r="AG32" s="1245"/>
      <c r="AH32" s="1245"/>
      <c r="AI32" s="1245"/>
      <c r="AJ32" s="1245"/>
      <c r="AK32" s="1245"/>
      <c r="AL32" s="1245"/>
      <c r="AM32" s="1245"/>
      <c r="AN32" s="1245"/>
      <c r="AO32" s="1245"/>
      <c r="AP32" s="1245"/>
      <c r="AQ32" s="1245"/>
      <c r="AR32" s="1245"/>
      <c r="AS32" s="1245"/>
      <c r="AT32" s="1245"/>
      <c r="AU32" s="1245"/>
      <c r="AV32" s="1245"/>
      <c r="AW32" s="1245"/>
      <c r="AX32" s="1245"/>
      <c r="AY32" s="1245"/>
      <c r="AZ32" s="1245"/>
      <c r="BA32" s="1245"/>
      <c r="BB32" s="1245"/>
      <c r="BC32" s="1245"/>
      <c r="BD32" s="1245"/>
      <c r="BE32" s="1245"/>
      <c r="BF32" s="1245"/>
      <c r="BG32" s="757"/>
    </row>
    <row r="33" spans="1:60">
      <c r="B33" s="1247" t="s">
        <v>857</v>
      </c>
      <c r="C33" s="757"/>
      <c r="D33" s="1240"/>
      <c r="E33" s="757"/>
      <c r="G33" s="757"/>
      <c r="H33" s="757"/>
      <c r="I33" s="757"/>
      <c r="J33" s="757"/>
      <c r="K33" s="757"/>
      <c r="L33" s="757"/>
      <c r="M33" s="757"/>
      <c r="N33" s="757"/>
      <c r="O33" s="757"/>
      <c r="P33" s="757"/>
      <c r="Q33" s="757"/>
      <c r="R33" s="757"/>
      <c r="S33" s="1245"/>
      <c r="T33" s="1245"/>
      <c r="U33" s="1245"/>
      <c r="V33" s="1245"/>
      <c r="W33" s="1245"/>
      <c r="X33" s="1245"/>
      <c r="Y33" s="1245"/>
      <c r="Z33" s="1245"/>
      <c r="AA33" s="1245"/>
      <c r="AB33" s="1245"/>
      <c r="AC33" s="1245"/>
      <c r="AD33" s="1245"/>
      <c r="AE33" s="1245"/>
      <c r="AF33" s="1245"/>
      <c r="AG33" s="1245"/>
      <c r="AH33" s="1245"/>
      <c r="AI33" s="1245"/>
      <c r="AJ33" s="1245"/>
      <c r="AK33" s="1245"/>
      <c r="AL33" s="1245"/>
      <c r="AM33" s="1245"/>
      <c r="AN33" s="1245"/>
      <c r="AO33" s="1245"/>
      <c r="AP33" s="1245"/>
      <c r="AQ33" s="1245"/>
      <c r="AR33" s="1245"/>
      <c r="AS33" s="1245"/>
      <c r="AT33" s="1245"/>
      <c r="AU33" s="1245"/>
      <c r="AV33" s="1245"/>
      <c r="AW33" s="1245"/>
      <c r="AX33" s="1245"/>
      <c r="AY33" s="1245"/>
      <c r="AZ33" s="1245"/>
      <c r="BA33" s="1245"/>
      <c r="BB33" s="1245"/>
      <c r="BC33" s="1245"/>
      <c r="BD33" s="1245"/>
      <c r="BE33" s="1245"/>
      <c r="BF33" s="1245"/>
      <c r="BG33" s="757"/>
    </row>
    <row r="34" spans="1:60">
      <c r="B34" s="1242" t="s">
        <v>858</v>
      </c>
      <c r="C34" s="757"/>
      <c r="D34" s="1240"/>
      <c r="E34" s="757"/>
      <c r="G34" s="757"/>
      <c r="H34" s="757"/>
      <c r="I34" s="757"/>
      <c r="J34" s="757"/>
      <c r="K34" s="757"/>
      <c r="L34" s="757"/>
      <c r="M34" s="757"/>
      <c r="N34" s="757"/>
      <c r="O34" s="757"/>
      <c r="P34" s="757"/>
      <c r="Q34" s="757"/>
      <c r="R34" s="757"/>
      <c r="S34" s="1245"/>
      <c r="T34" s="1245"/>
      <c r="U34" s="1245"/>
      <c r="V34" s="1245"/>
      <c r="W34" s="1245"/>
      <c r="X34" s="1245"/>
      <c r="Y34" s="1245"/>
      <c r="Z34" s="1245"/>
      <c r="AA34" s="1245"/>
      <c r="AB34" s="1245"/>
      <c r="AC34" s="1245"/>
      <c r="AD34" s="1245"/>
      <c r="AE34" s="1245"/>
      <c r="AF34" s="1245"/>
      <c r="AG34" s="1245"/>
      <c r="AH34" s="1245"/>
      <c r="AI34" s="1245"/>
      <c r="AJ34" s="1245"/>
      <c r="AK34" s="1245"/>
      <c r="AL34" s="1245"/>
      <c r="AM34" s="1245"/>
      <c r="AN34" s="1245"/>
      <c r="AO34" s="1245"/>
      <c r="AP34" s="1245"/>
      <c r="AQ34" s="1245"/>
      <c r="AR34" s="1245"/>
      <c r="AS34" s="1245"/>
      <c r="AT34" s="1245"/>
      <c r="AU34" s="1245"/>
      <c r="AV34" s="1245"/>
      <c r="AW34" s="1245"/>
      <c r="AX34" s="1245"/>
      <c r="AY34" s="1245"/>
      <c r="AZ34" s="1245"/>
      <c r="BA34" s="1245"/>
      <c r="BB34" s="1245"/>
      <c r="BC34" s="1245"/>
      <c r="BD34" s="1245"/>
      <c r="BE34" s="1245"/>
      <c r="BF34" s="1245"/>
      <c r="BG34" s="757"/>
    </row>
    <row r="35" spans="1:60">
      <c r="B35" s="1247" t="s">
        <v>859</v>
      </c>
      <c r="C35" s="757"/>
      <c r="D35" s="1240"/>
      <c r="E35" s="757"/>
      <c r="G35" s="757"/>
      <c r="H35" s="757"/>
      <c r="I35" s="757"/>
      <c r="J35" s="757"/>
      <c r="K35" s="757"/>
      <c r="L35" s="757"/>
      <c r="M35" s="757"/>
      <c r="N35" s="757"/>
      <c r="O35" s="757"/>
      <c r="P35" s="757"/>
      <c r="Q35" s="757"/>
      <c r="R35" s="757"/>
      <c r="S35" s="1245"/>
      <c r="T35" s="1245"/>
      <c r="U35" s="1245"/>
      <c r="V35" s="1245"/>
      <c r="W35" s="1245"/>
      <c r="X35" s="1245"/>
      <c r="Y35" s="1245"/>
      <c r="Z35" s="1245"/>
      <c r="AA35" s="1245"/>
      <c r="AB35" s="1245"/>
      <c r="AC35" s="1245"/>
      <c r="AD35" s="1245"/>
      <c r="AE35" s="1245"/>
      <c r="AF35" s="1245"/>
      <c r="AG35" s="1245"/>
      <c r="AH35" s="1245"/>
      <c r="AI35" s="1245"/>
      <c r="AJ35" s="1245"/>
      <c r="AK35" s="1245"/>
      <c r="AL35" s="1245"/>
      <c r="AM35" s="1245"/>
      <c r="AN35" s="1245"/>
      <c r="AO35" s="1245"/>
      <c r="AP35" s="1245"/>
      <c r="AQ35" s="1245"/>
      <c r="AR35" s="1245"/>
      <c r="AS35" s="1245"/>
      <c r="AT35" s="1245"/>
      <c r="AU35" s="1245"/>
      <c r="AV35" s="1245"/>
      <c r="AW35" s="1245"/>
      <c r="AX35" s="1245"/>
      <c r="AY35" s="1245"/>
      <c r="AZ35" s="1245"/>
      <c r="BA35" s="1245"/>
      <c r="BB35" s="1245"/>
      <c r="BC35" s="1245"/>
      <c r="BD35" s="1245"/>
      <c r="BE35" s="1245"/>
      <c r="BF35" s="1245"/>
      <c r="BG35" s="757"/>
    </row>
    <row r="36" spans="1:60">
      <c r="B36" s="1224"/>
      <c r="C36" s="757"/>
      <c r="D36" s="1240"/>
      <c r="E36" s="757"/>
      <c r="G36" s="757"/>
      <c r="H36" s="757"/>
      <c r="I36" s="757"/>
      <c r="J36" s="757"/>
      <c r="K36" s="757"/>
      <c r="L36" s="757"/>
      <c r="M36" s="757"/>
      <c r="N36" s="757"/>
      <c r="O36" s="757"/>
      <c r="P36" s="757"/>
      <c r="Q36" s="757"/>
      <c r="R36" s="757"/>
      <c r="S36" s="1259"/>
      <c r="T36" s="757"/>
      <c r="U36" s="757"/>
      <c r="V36" s="757"/>
      <c r="W36" s="757"/>
      <c r="X36" s="757"/>
      <c r="Y36" s="757"/>
      <c r="Z36" s="757"/>
      <c r="AA36" s="757"/>
      <c r="AB36" s="757"/>
      <c r="AC36" s="757"/>
      <c r="AD36" s="757"/>
      <c r="AE36" s="757"/>
      <c r="AF36" s="757"/>
      <c r="AG36" s="757"/>
      <c r="AH36" s="757"/>
      <c r="AI36" s="757"/>
      <c r="AJ36" s="757"/>
      <c r="AK36" s="757"/>
      <c r="AL36" s="757"/>
      <c r="AM36" s="757"/>
      <c r="AN36" s="757"/>
      <c r="AO36" s="757"/>
      <c r="AP36" s="757"/>
      <c r="AQ36" s="757"/>
      <c r="AR36" s="757"/>
      <c r="AS36" s="757"/>
      <c r="AT36" s="757"/>
      <c r="AU36" s="757"/>
      <c r="AV36" s="757"/>
      <c r="AW36" s="757"/>
      <c r="AX36" s="757"/>
      <c r="AY36" s="757"/>
      <c r="AZ36" s="757"/>
      <c r="BA36" s="757"/>
      <c r="BB36" s="757"/>
      <c r="BC36" s="757"/>
      <c r="BD36" s="757"/>
      <c r="BE36" s="757"/>
      <c r="BF36" s="757"/>
      <c r="BG36" s="757"/>
    </row>
    <row r="37" spans="1:60">
      <c r="B37" s="1224"/>
      <c r="C37" s="757"/>
      <c r="D37" s="1240"/>
      <c r="E37" s="757"/>
      <c r="G37" s="757"/>
      <c r="H37" s="757"/>
      <c r="I37" s="757"/>
      <c r="J37" s="757"/>
      <c r="K37" s="757"/>
      <c r="L37" s="757"/>
      <c r="M37" s="757"/>
      <c r="N37" s="757"/>
      <c r="O37" s="757"/>
      <c r="P37" s="757"/>
      <c r="Q37" s="757"/>
      <c r="R37" s="757"/>
      <c r="S37" s="757"/>
      <c r="T37" s="757"/>
      <c r="U37" s="757"/>
      <c r="V37" s="757"/>
      <c r="W37" s="757"/>
      <c r="X37" s="757"/>
      <c r="Y37" s="757"/>
      <c r="Z37" s="757"/>
      <c r="AA37" s="757"/>
      <c r="AB37" s="757"/>
      <c r="AC37" s="757"/>
      <c r="AD37" s="757"/>
      <c r="AE37" s="757"/>
      <c r="AF37" s="757"/>
      <c r="AG37" s="757"/>
      <c r="AH37" s="757"/>
      <c r="AI37" s="757"/>
      <c r="AJ37" s="757"/>
      <c r="AK37" s="757"/>
      <c r="AL37" s="757"/>
      <c r="AM37" s="757"/>
      <c r="AN37" s="757"/>
      <c r="AO37" s="757"/>
      <c r="AP37" s="757"/>
      <c r="AQ37" s="757"/>
      <c r="AR37" s="757"/>
      <c r="AS37" s="757"/>
      <c r="AT37" s="757"/>
      <c r="AU37" s="757"/>
      <c r="AV37" s="757"/>
      <c r="AW37" s="757"/>
      <c r="AX37" s="757"/>
      <c r="AY37" s="757"/>
      <c r="AZ37" s="757"/>
      <c r="BA37" s="757"/>
      <c r="BB37" s="757"/>
      <c r="BC37" s="757"/>
      <c r="BD37" s="757"/>
      <c r="BE37" s="757"/>
      <c r="BF37" s="757"/>
      <c r="BG37" s="757"/>
    </row>
    <row r="38" spans="1:60">
      <c r="B38" s="1239" t="s">
        <v>865</v>
      </c>
      <c r="C38" s="757"/>
      <c r="D38" s="1240"/>
      <c r="E38" s="757"/>
      <c r="G38" s="757"/>
      <c r="H38" s="757"/>
      <c r="I38" s="757"/>
      <c r="J38" s="757"/>
      <c r="K38" s="757"/>
      <c r="L38" s="757"/>
      <c r="M38" s="757"/>
      <c r="N38" s="757"/>
      <c r="O38" s="757"/>
      <c r="P38" s="757"/>
      <c r="Q38" s="757"/>
      <c r="R38" s="757"/>
      <c r="S38" s="757"/>
      <c r="T38" s="757"/>
      <c r="U38" s="757"/>
      <c r="V38" s="757"/>
      <c r="W38" s="757"/>
      <c r="X38" s="757"/>
      <c r="Y38" s="757"/>
      <c r="Z38" s="757"/>
      <c r="AA38" s="757"/>
      <c r="AB38" s="757"/>
      <c r="AC38" s="757"/>
      <c r="AD38" s="757"/>
      <c r="AE38" s="757"/>
      <c r="AF38" s="757"/>
      <c r="AG38" s="757"/>
      <c r="AH38" s="757"/>
      <c r="AI38" s="757"/>
      <c r="AJ38" s="757"/>
      <c r="AK38" s="757"/>
      <c r="AL38" s="757"/>
      <c r="AM38" s="757"/>
      <c r="AN38" s="757"/>
      <c r="AO38" s="757"/>
      <c r="AP38" s="757"/>
      <c r="AQ38" s="757"/>
      <c r="AR38" s="757"/>
      <c r="AS38" s="757"/>
      <c r="AT38" s="757"/>
      <c r="AU38" s="757"/>
      <c r="AV38" s="757"/>
      <c r="AW38" s="757"/>
      <c r="AX38" s="757"/>
      <c r="AY38" s="757"/>
      <c r="AZ38" s="757"/>
      <c r="BA38" s="757"/>
      <c r="BB38" s="757"/>
      <c r="BC38" s="757"/>
      <c r="BD38" s="757"/>
      <c r="BE38" s="757"/>
      <c r="BF38" s="757"/>
      <c r="BG38" s="757"/>
    </row>
    <row r="39" spans="1:60" s="1224" customFormat="1" ht="14.4" thickBot="1">
      <c r="A39" s="1219">
        <v>1</v>
      </c>
      <c r="B39" s="1270" t="s">
        <v>866</v>
      </c>
      <c r="C39" s="1271"/>
      <c r="D39" s="1272"/>
      <c r="E39" s="1271"/>
      <c r="F39" s="1273"/>
      <c r="G39" s="1271"/>
      <c r="H39" s="1271"/>
      <c r="I39" s="1271"/>
      <c r="J39" s="1271"/>
      <c r="K39" s="1271"/>
      <c r="L39" s="1271"/>
      <c r="M39" s="1271"/>
      <c r="N39" s="1271"/>
      <c r="O39" s="1271"/>
      <c r="P39" s="1271"/>
      <c r="Q39" s="1274"/>
      <c r="R39" s="1275"/>
      <c r="S39" s="1271"/>
      <c r="T39" s="1271"/>
      <c r="U39" s="1271"/>
      <c r="V39" s="1271"/>
      <c r="W39" s="1271"/>
      <c r="X39" s="1271"/>
      <c r="Y39" s="1271"/>
      <c r="Z39" s="1271"/>
      <c r="AA39" s="1271"/>
      <c r="AB39" s="1271"/>
      <c r="AC39" s="1271"/>
      <c r="AD39" s="1271"/>
      <c r="AE39" s="1271"/>
      <c r="AF39" s="1271"/>
      <c r="AG39" s="1271"/>
      <c r="AH39" s="1271"/>
      <c r="AI39" s="1271"/>
      <c r="AJ39" s="1271"/>
      <c r="AK39" s="1271"/>
      <c r="AL39" s="1271"/>
      <c r="AM39" s="1271"/>
      <c r="AN39" s="1271"/>
      <c r="AO39" s="1271"/>
      <c r="AP39" s="1271"/>
      <c r="AQ39" s="1271"/>
      <c r="AR39" s="1271"/>
      <c r="AS39" s="1271"/>
      <c r="AT39" s="1271"/>
      <c r="AU39" s="1271"/>
      <c r="AV39" s="1271"/>
      <c r="AW39" s="1271"/>
      <c r="AX39" s="1271"/>
      <c r="AY39" s="1271"/>
      <c r="AZ39" s="1271"/>
      <c r="BA39" s="1271"/>
      <c r="BB39" s="1271"/>
      <c r="BC39" s="1271"/>
      <c r="BD39" s="1271"/>
      <c r="BE39" s="1271"/>
      <c r="BF39" s="1271"/>
    </row>
    <row r="40" spans="1:60" s="1224" customFormat="1">
      <c r="A40" s="1219"/>
      <c r="C40" s="1274"/>
      <c r="D40" s="1276"/>
      <c r="E40" s="1274"/>
      <c r="F40" s="1277"/>
      <c r="G40" s="1274"/>
      <c r="H40" s="1274"/>
      <c r="I40" s="1274"/>
      <c r="J40" s="1274"/>
      <c r="K40" s="1274"/>
      <c r="L40" s="1274"/>
      <c r="M40" s="1274"/>
      <c r="N40" s="1274"/>
      <c r="O40" s="1274"/>
      <c r="P40" s="1274"/>
      <c r="Q40" s="1274"/>
      <c r="R40" s="1278"/>
      <c r="S40" s="1274"/>
      <c r="T40" s="1274"/>
      <c r="U40" s="1274"/>
      <c r="V40" s="1274"/>
      <c r="W40" s="1274"/>
      <c r="X40" s="1274"/>
      <c r="Y40" s="1274"/>
      <c r="Z40" s="1274"/>
      <c r="AA40" s="1274"/>
      <c r="AB40" s="1274"/>
      <c r="AC40" s="1274"/>
      <c r="AD40" s="1274"/>
      <c r="AE40" s="1274"/>
      <c r="AF40" s="1274"/>
      <c r="AG40" s="1274"/>
      <c r="AH40" s="1274"/>
      <c r="AI40" s="1274"/>
      <c r="AJ40" s="1274"/>
      <c r="AK40" s="1274"/>
      <c r="AL40" s="1274"/>
      <c r="AM40" s="1274"/>
      <c r="AN40" s="1274"/>
      <c r="AO40" s="1274"/>
      <c r="AP40" s="1274"/>
      <c r="AQ40" s="1274"/>
      <c r="AR40" s="1274"/>
      <c r="AS40" s="1274"/>
      <c r="AT40" s="1274"/>
      <c r="AU40" s="1274"/>
      <c r="AV40" s="1274"/>
      <c r="AW40" s="1274"/>
      <c r="AX40" s="1274"/>
      <c r="AY40" s="1274"/>
      <c r="AZ40" s="1274"/>
      <c r="BA40" s="1274"/>
      <c r="BB40" s="1274"/>
      <c r="BC40" s="1274"/>
      <c r="BD40" s="1274"/>
      <c r="BE40" s="1274"/>
      <c r="BF40" s="1274"/>
    </row>
    <row r="41" spans="1:60" s="1224" customFormat="1">
      <c r="A41" s="1219">
        <v>1.1000000000000001</v>
      </c>
      <c r="B41" s="1279" t="s">
        <v>867</v>
      </c>
      <c r="C41" s="1280"/>
      <c r="D41" s="1281"/>
      <c r="E41" s="1280"/>
      <c r="F41" s="1282"/>
      <c r="G41" s="1280"/>
      <c r="H41" s="1280"/>
      <c r="I41" s="1280"/>
      <c r="J41" s="1280"/>
      <c r="K41" s="1280"/>
      <c r="L41" s="1280"/>
      <c r="M41" s="1280"/>
      <c r="N41" s="1280"/>
      <c r="O41" s="1280"/>
      <c r="P41" s="1280"/>
      <c r="Q41" s="1274"/>
      <c r="R41" s="1274"/>
      <c r="S41" s="1274"/>
      <c r="T41" s="1274"/>
      <c r="U41" s="1274"/>
      <c r="V41" s="1274"/>
      <c r="W41" s="1274"/>
      <c r="X41" s="1274"/>
      <c r="Y41" s="1274"/>
      <c r="Z41" s="1274"/>
      <c r="AA41" s="1274"/>
      <c r="AB41" s="1274"/>
      <c r="AC41" s="1274"/>
      <c r="AD41" s="1274"/>
      <c r="AE41" s="1274"/>
      <c r="AF41" s="1274"/>
      <c r="AG41" s="1274"/>
      <c r="AH41" s="1274"/>
      <c r="AI41" s="1274"/>
      <c r="AJ41" s="1274"/>
      <c r="AK41" s="1274"/>
      <c r="AL41" s="1274"/>
      <c r="AM41" s="1274"/>
      <c r="AN41" s="1274"/>
      <c r="AO41" s="1274"/>
      <c r="AP41" s="1274"/>
      <c r="AQ41" s="1274"/>
      <c r="AR41" s="1274"/>
      <c r="AS41" s="1274"/>
      <c r="AT41" s="1274"/>
      <c r="AU41" s="1274"/>
      <c r="AV41" s="1274"/>
      <c r="AW41" s="1274"/>
      <c r="AX41" s="1274"/>
      <c r="AY41" s="1274"/>
      <c r="AZ41" s="1274"/>
      <c r="BA41" s="1274"/>
      <c r="BB41" s="1274"/>
      <c r="BC41" s="1274"/>
      <c r="BD41" s="1274"/>
      <c r="BE41" s="1274"/>
      <c r="BF41" s="1274"/>
      <c r="BG41" s="1274"/>
    </row>
    <row r="42" spans="1:60">
      <c r="B42" s="1283" t="s">
        <v>868</v>
      </c>
      <c r="C42" s="1284"/>
      <c r="D42" s="1285">
        <v>45627</v>
      </c>
      <c r="E42" s="1286">
        <v>12</v>
      </c>
      <c r="F42" s="1287"/>
      <c r="G42" s="1286" t="s">
        <v>869</v>
      </c>
      <c r="H42" s="1286">
        <v>0.5</v>
      </c>
      <c r="I42" s="1288"/>
      <c r="J42" s="1288"/>
      <c r="K42" s="1288"/>
      <c r="L42" s="1288"/>
      <c r="M42" s="1288"/>
      <c r="N42" s="1288"/>
      <c r="O42" s="1288"/>
      <c r="P42" s="1288"/>
      <c r="Q42" s="757"/>
      <c r="R42" s="757"/>
      <c r="S42" s="757"/>
      <c r="T42" s="757"/>
      <c r="U42" s="757"/>
      <c r="V42" s="757"/>
      <c r="W42" s="757"/>
      <c r="X42" s="757"/>
      <c r="Y42" s="757"/>
      <c r="Z42" s="757"/>
      <c r="AA42" s="757"/>
      <c r="AB42" s="757"/>
      <c r="AC42" s="757"/>
      <c r="AD42" s="757"/>
      <c r="AE42" s="757"/>
      <c r="AF42" s="757"/>
      <c r="AG42" s="757"/>
      <c r="AH42" s="757"/>
      <c r="AI42" s="757"/>
      <c r="AJ42" s="757"/>
      <c r="AK42" s="757"/>
      <c r="AL42" s="757"/>
      <c r="AM42" s="757"/>
      <c r="AN42" s="757"/>
      <c r="AO42" s="757"/>
      <c r="AP42" s="757"/>
      <c r="AQ42" s="757"/>
      <c r="AR42" s="757"/>
      <c r="AS42" s="757"/>
      <c r="AT42" s="757"/>
      <c r="AU42" s="757"/>
      <c r="AV42" s="757"/>
      <c r="AW42" s="757"/>
      <c r="AX42" s="757"/>
      <c r="AY42" s="757"/>
      <c r="AZ42" s="757"/>
      <c r="BA42" s="757"/>
      <c r="BB42" s="757"/>
      <c r="BC42" s="757"/>
      <c r="BD42" s="757"/>
      <c r="BE42" s="757"/>
      <c r="BF42" s="757"/>
      <c r="BG42" s="757"/>
    </row>
    <row r="43" spans="1:60" s="706" customFormat="1">
      <c r="A43" s="1289"/>
      <c r="B43" s="1290" t="s">
        <v>855</v>
      </c>
      <c r="C43" s="1291"/>
      <c r="D43" s="1292"/>
      <c r="E43" s="1291"/>
      <c r="F43" s="1293"/>
      <c r="G43" s="1291"/>
      <c r="H43" s="1291"/>
      <c r="I43" s="1294"/>
      <c r="J43" s="1294"/>
      <c r="K43" s="1294"/>
      <c r="L43" s="1294"/>
      <c r="M43" s="1294"/>
      <c r="N43" s="1294"/>
      <c r="O43" s="1294"/>
      <c r="P43" s="1294"/>
      <c r="Q43" s="1295"/>
      <c r="R43" s="1296">
        <f>'BS Raw'!J92/B1</f>
        <v>845.80580895499997</v>
      </c>
      <c r="S43" s="1297">
        <f>R46</f>
        <v>1229.228015118</v>
      </c>
      <c r="T43" s="1297">
        <f t="shared" ref="T43:AB43" si="11">S46</f>
        <v>1627.7236010635652</v>
      </c>
      <c r="U43" s="1297">
        <f t="shared" si="11"/>
        <v>1685.447996658171</v>
      </c>
      <c r="V43" s="1297">
        <f t="shared" si="11"/>
        <v>1550.5482856920157</v>
      </c>
      <c r="W43" s="1297">
        <f t="shared" si="11"/>
        <v>2136.859179495259</v>
      </c>
      <c r="X43" s="1297">
        <f t="shared" si="11"/>
        <v>2154.1676466459458</v>
      </c>
      <c r="Y43" s="1297">
        <f t="shared" si="11"/>
        <v>2045.1654161051099</v>
      </c>
      <c r="Z43" s="1297">
        <f t="shared" si="11"/>
        <v>2106.1436444013684</v>
      </c>
      <c r="AA43" s="1297">
        <f t="shared" si="11"/>
        <v>2248.6223982010874</v>
      </c>
      <c r="AB43" s="1297">
        <f t="shared" si="11"/>
        <v>2367.7130746290904</v>
      </c>
      <c r="AC43" s="1297"/>
      <c r="AD43" s="1298"/>
      <c r="AE43" s="1298"/>
      <c r="AF43" s="1298"/>
      <c r="AG43" s="1298"/>
      <c r="AH43" s="1298"/>
      <c r="AI43" s="1298"/>
      <c r="AJ43" s="1298"/>
      <c r="AK43" s="1298"/>
      <c r="AL43" s="1298"/>
      <c r="AM43" s="1298"/>
      <c r="AN43" s="1298"/>
      <c r="AO43" s="1298"/>
      <c r="AP43" s="1298"/>
      <c r="AQ43" s="1298"/>
      <c r="AR43" s="1298"/>
      <c r="AS43" s="1298"/>
      <c r="AT43" s="1298"/>
      <c r="AU43" s="1298"/>
      <c r="AV43" s="1298"/>
      <c r="AW43" s="1298"/>
      <c r="AX43" s="1298"/>
      <c r="AY43" s="1298"/>
      <c r="AZ43" s="1298"/>
      <c r="BA43" s="1298"/>
      <c r="BB43" s="1298"/>
      <c r="BC43" s="1298"/>
      <c r="BD43" s="1298"/>
      <c r="BE43" s="1298"/>
      <c r="BF43" s="1298"/>
      <c r="BG43" s="1295"/>
    </row>
    <row r="44" spans="1:60" s="1268" customFormat="1">
      <c r="A44" s="1261"/>
      <c r="B44" s="1247" t="s">
        <v>856</v>
      </c>
      <c r="C44" s="1299"/>
      <c r="D44" s="1300"/>
      <c r="E44" s="1299"/>
      <c r="F44" s="1301"/>
      <c r="G44" s="1299"/>
      <c r="H44" s="1299"/>
      <c r="I44" s="1302"/>
      <c r="J44" s="1302"/>
      <c r="K44" s="1302"/>
      <c r="L44" s="1302"/>
      <c r="M44" s="1302"/>
      <c r="N44" s="1302"/>
      <c r="O44" s="1302"/>
      <c r="P44" s="1302"/>
      <c r="Q44" s="1262"/>
      <c r="R44" s="1262"/>
      <c r="S44" s="1267"/>
      <c r="T44" s="1267"/>
      <c r="U44" s="1267"/>
      <c r="V44" s="1267"/>
      <c r="W44" s="1267"/>
      <c r="X44" s="1267"/>
      <c r="Y44" s="1267"/>
      <c r="Z44" s="1267"/>
      <c r="AA44" s="1267"/>
      <c r="AB44" s="1267"/>
      <c r="AC44" s="1267"/>
      <c r="AD44" s="1267"/>
      <c r="AE44" s="1267"/>
      <c r="AF44" s="1267"/>
      <c r="AG44" s="1267"/>
      <c r="AH44" s="1267"/>
      <c r="AI44" s="1267"/>
      <c r="AJ44" s="1267"/>
      <c r="AK44" s="1267"/>
      <c r="AL44" s="1267"/>
      <c r="AM44" s="1267"/>
      <c r="AN44" s="1267"/>
      <c r="AO44" s="1267"/>
      <c r="AP44" s="1267"/>
      <c r="AQ44" s="1267"/>
      <c r="AR44" s="1267"/>
      <c r="AS44" s="1267"/>
      <c r="AT44" s="1267"/>
      <c r="AU44" s="1267"/>
      <c r="AV44" s="1267"/>
      <c r="AW44" s="1267"/>
      <c r="AX44" s="1267"/>
      <c r="AY44" s="1267"/>
      <c r="AZ44" s="1267"/>
      <c r="BA44" s="1267"/>
      <c r="BB44" s="1267"/>
      <c r="BC44" s="1267"/>
      <c r="BD44" s="1267"/>
      <c r="BE44" s="1267"/>
      <c r="BF44" s="1267"/>
      <c r="BG44" s="1262"/>
    </row>
    <row r="45" spans="1:60">
      <c r="B45" s="1247" t="s">
        <v>857</v>
      </c>
      <c r="C45" s="1286"/>
      <c r="D45" s="1285"/>
      <c r="E45" s="1286"/>
      <c r="F45" s="1303"/>
      <c r="G45" s="1286"/>
      <c r="H45" s="1286"/>
      <c r="I45" s="1288"/>
      <c r="J45" s="1288"/>
      <c r="K45" s="1288"/>
      <c r="L45" s="1288"/>
      <c r="M45" s="1288"/>
      <c r="N45" s="1288"/>
      <c r="O45" s="1288"/>
      <c r="P45" s="1288"/>
      <c r="Q45" s="757"/>
      <c r="R45" s="757"/>
      <c r="S45" s="1245"/>
      <c r="T45" s="1245"/>
      <c r="U45" s="1245"/>
      <c r="V45" s="1245"/>
      <c r="W45" s="1245"/>
      <c r="X45" s="1245"/>
      <c r="Y45" s="1245"/>
      <c r="Z45" s="1245"/>
      <c r="AA45" s="1245"/>
      <c r="AB45" s="1245"/>
      <c r="AC45" s="1245"/>
      <c r="AD45" s="1245"/>
      <c r="AE45" s="1245"/>
      <c r="AF45" s="1245"/>
      <c r="AG45" s="1245"/>
      <c r="AH45" s="1245"/>
      <c r="AI45" s="1245"/>
      <c r="AJ45" s="1245"/>
      <c r="AK45" s="1245"/>
      <c r="AL45" s="1245"/>
      <c r="AM45" s="1245"/>
      <c r="AN45" s="1245"/>
      <c r="AO45" s="1245"/>
      <c r="AP45" s="1245"/>
      <c r="AQ45" s="1245"/>
      <c r="AR45" s="1245"/>
      <c r="AS45" s="1245"/>
      <c r="AT45" s="1245"/>
      <c r="AU45" s="1245"/>
      <c r="AV45" s="1245"/>
      <c r="AW45" s="1245"/>
      <c r="AX45" s="1245"/>
      <c r="AY45" s="1245"/>
      <c r="AZ45" s="1245"/>
      <c r="BA45" s="1245"/>
      <c r="BB45" s="1245"/>
      <c r="BC45" s="1245"/>
      <c r="BD45" s="1245"/>
      <c r="BE45" s="1245"/>
      <c r="BF45" s="1245"/>
      <c r="BG45" s="757"/>
    </row>
    <row r="46" spans="1:60" s="706" customFormat="1">
      <c r="A46" s="1289"/>
      <c r="B46" s="1290" t="s">
        <v>858</v>
      </c>
      <c r="C46" s="1291"/>
      <c r="D46" s="1292"/>
      <c r="E46" s="1291"/>
      <c r="F46" s="1293"/>
      <c r="G46" s="1291"/>
      <c r="H46" s="1291"/>
      <c r="I46" s="1294"/>
      <c r="J46" s="1294"/>
      <c r="K46" s="1294"/>
      <c r="L46" s="1294"/>
      <c r="M46" s="1294"/>
      <c r="N46" s="1294"/>
      <c r="O46" s="1294"/>
      <c r="P46" s="1294"/>
      <c r="Q46" s="1295"/>
      <c r="R46" s="1296">
        <f>'BS Raw'!K92/B1</f>
        <v>1229.228015118</v>
      </c>
      <c r="S46" s="1297">
        <f>Input!Q279</f>
        <v>1627.7236010635652</v>
      </c>
      <c r="T46" s="1297">
        <f>Input!R279</f>
        <v>1685.447996658171</v>
      </c>
      <c r="U46" s="1297">
        <f>Input!S279</f>
        <v>1550.5482856920157</v>
      </c>
      <c r="V46" s="1297">
        <f>Input!T279</f>
        <v>2136.859179495259</v>
      </c>
      <c r="W46" s="1297">
        <f>Input!U279</f>
        <v>2154.1676466459458</v>
      </c>
      <c r="X46" s="1297">
        <f>Input!V279</f>
        <v>2045.1654161051099</v>
      </c>
      <c r="Y46" s="1297">
        <f>Input!W279</f>
        <v>2106.1436444013684</v>
      </c>
      <c r="Z46" s="1297">
        <f>Input!X279</f>
        <v>2248.6223982010874</v>
      </c>
      <c r="AA46" s="1297">
        <f>Input!Y279</f>
        <v>2367.7130746290904</v>
      </c>
      <c r="AB46" s="1297">
        <f>Input!Z279</f>
        <v>2492.9776285941348</v>
      </c>
      <c r="AC46" s="1297"/>
      <c r="AD46" s="1298"/>
      <c r="AE46" s="1298"/>
      <c r="AF46" s="1298"/>
      <c r="AG46" s="1298"/>
      <c r="AH46" s="1298"/>
      <c r="AI46" s="1298"/>
      <c r="AJ46" s="1298"/>
      <c r="AK46" s="1298"/>
      <c r="AL46" s="1298"/>
      <c r="AM46" s="1298"/>
      <c r="AN46" s="1298"/>
      <c r="AO46" s="1298"/>
      <c r="AP46" s="1298"/>
      <c r="AQ46" s="1298"/>
      <c r="AR46" s="1298"/>
      <c r="AS46" s="1298"/>
      <c r="AT46" s="1298"/>
      <c r="AU46" s="1298"/>
      <c r="AV46" s="1298"/>
      <c r="AW46" s="1298"/>
      <c r="AX46" s="1298"/>
      <c r="AY46" s="1298"/>
      <c r="AZ46" s="1298"/>
      <c r="BA46" s="1298"/>
      <c r="BB46" s="1298"/>
      <c r="BC46" s="1298"/>
      <c r="BD46" s="1298"/>
      <c r="BE46" s="1298"/>
      <c r="BF46" s="1298"/>
      <c r="BG46" s="1295"/>
    </row>
    <row r="47" spans="1:60" s="1268" customFormat="1" ht="14.4">
      <c r="A47" s="1261"/>
      <c r="B47" s="1247" t="s">
        <v>870</v>
      </c>
      <c r="C47" s="1304"/>
      <c r="D47" s="1305"/>
      <c r="E47" s="1304"/>
      <c r="F47" s="1306"/>
      <c r="G47" s="1304"/>
      <c r="H47" s="1304"/>
      <c r="I47" s="1307"/>
      <c r="J47" s="1307"/>
      <c r="K47" s="1307"/>
      <c r="L47" s="1307"/>
      <c r="M47" s="1307"/>
      <c r="N47" s="1307"/>
      <c r="O47" s="1307"/>
      <c r="P47" s="1307"/>
      <c r="Q47" s="1262"/>
      <c r="R47" s="2671">
        <f>IF($F$42,$F$42,IFERROR(R13-$BI$7*AVERAGE(R24,R27)/AVERAGE(R8,R11),0))</f>
        <v>3.9444017861950675E-2</v>
      </c>
      <c r="S47" s="1308">
        <f>IF(S12="",S13-$BI$7*AVERAGE(S24,S27)/AVERAGE(S8,S11),R47)</f>
        <v>3.7425660992668988E-2</v>
      </c>
      <c r="T47" s="1308">
        <f t="shared" ref="T47:AB47" si="12">IF(T12="",T13-$BI$7*AVERAGE(T24,T27)/AVERAGE(T8,T11),S47)</f>
        <v>3.6748577175932787E-2</v>
      </c>
      <c r="U47" s="1308">
        <f t="shared" si="12"/>
        <v>3.6182525249443175E-2</v>
      </c>
      <c r="V47" s="1308">
        <f t="shared" si="12"/>
        <v>3.482375430545584E-2</v>
      </c>
      <c r="W47" s="1308">
        <f t="shared" si="12"/>
        <v>3.5996873173783209E-2</v>
      </c>
      <c r="X47" s="1308">
        <f t="shared" si="12"/>
        <v>3.6573663618240791E-2</v>
      </c>
      <c r="Y47" s="1308">
        <f t="shared" si="12"/>
        <v>3.7080270329845712E-2</v>
      </c>
      <c r="Z47" s="1308">
        <f t="shared" si="12"/>
        <v>3.7713191293268125E-2</v>
      </c>
      <c r="AA47" s="1308">
        <f t="shared" si="12"/>
        <v>3.8120887950201889E-2</v>
      </c>
      <c r="AB47" s="1308">
        <f t="shared" si="12"/>
        <v>3.8246995390843044E-2</v>
      </c>
      <c r="AC47" s="1308"/>
      <c r="AD47" s="1309"/>
      <c r="AE47" s="1309"/>
      <c r="AF47" s="1309"/>
      <c r="AG47" s="1309"/>
      <c r="AH47" s="1309"/>
      <c r="AI47" s="1309"/>
      <c r="AJ47" s="1309"/>
      <c r="AK47" s="1309"/>
      <c r="AL47" s="1309"/>
      <c r="AM47" s="1309"/>
      <c r="AN47" s="1309"/>
      <c r="AO47" s="1309"/>
      <c r="AP47" s="1309"/>
      <c r="AQ47" s="1309"/>
      <c r="AR47" s="1309"/>
      <c r="AS47" s="1309"/>
      <c r="AT47" s="1309"/>
      <c r="AU47" s="1309"/>
      <c r="AV47" s="1309"/>
      <c r="AW47" s="1309"/>
      <c r="AX47" s="1309"/>
      <c r="AY47" s="1309"/>
      <c r="AZ47" s="1309"/>
      <c r="BA47" s="1309"/>
      <c r="BB47" s="1309"/>
      <c r="BC47" s="1309"/>
      <c r="BD47" s="1309"/>
      <c r="BE47" s="1309"/>
      <c r="BF47" s="1309"/>
      <c r="BG47" s="1262"/>
      <c r="BH47" s="1310" t="s">
        <v>1479</v>
      </c>
    </row>
    <row r="48" spans="1:60" s="1268" customFormat="1">
      <c r="A48" s="1261"/>
      <c r="B48" s="1247" t="s">
        <v>859</v>
      </c>
      <c r="C48" s="1299"/>
      <c r="D48" s="1300"/>
      <c r="E48" s="1299"/>
      <c r="F48" s="1301"/>
      <c r="G48" s="1299"/>
      <c r="H48" s="1299"/>
      <c r="I48" s="1302"/>
      <c r="J48" s="1302"/>
      <c r="K48" s="1302"/>
      <c r="L48" s="1302"/>
      <c r="M48" s="1302"/>
      <c r="N48" s="1302"/>
      <c r="O48" s="1302"/>
      <c r="P48" s="1302"/>
      <c r="Q48" s="1262"/>
      <c r="R48" s="1265">
        <f>R47*AVERAGE(R43,R46)</f>
        <v>40.923835610443611</v>
      </c>
      <c r="S48" s="1266">
        <f>S47*AVERAGE(S43,S46)</f>
        <v>53.461651329834517</v>
      </c>
      <c r="T48" s="1266">
        <f t="shared" ref="T48:AB48" si="13">T47*AVERAGE(T43,T46)</f>
        <v>60.877171077992884</v>
      </c>
      <c r="U48" s="1266">
        <f t="shared" si="13"/>
        <v>58.543258596619935</v>
      </c>
      <c r="V48" s="1266">
        <f t="shared" si="13"/>
        <v>64.204685795892686</v>
      </c>
      <c r="W48" s="1266">
        <f t="shared" si="13"/>
        <v>77.23177422295322</v>
      </c>
      <c r="X48" s="1266">
        <f t="shared" si="13"/>
        <v>76.792497429006985</v>
      </c>
      <c r="Y48" s="1266">
        <f t="shared" si="13"/>
        <v>76.965831093159025</v>
      </c>
      <c r="Z48" s="1266">
        <f t="shared" si="13"/>
        <v>82.116062401047316</v>
      </c>
      <c r="AA48" s="1266">
        <f t="shared" si="13"/>
        <v>87.989403650150734</v>
      </c>
      <c r="AB48" s="1266">
        <f t="shared" si="13"/>
        <v>92.953407461246158</v>
      </c>
      <c r="AC48" s="1266"/>
      <c r="AD48" s="1267"/>
      <c r="AE48" s="1267"/>
      <c r="AF48" s="1267"/>
      <c r="AG48" s="1267"/>
      <c r="AH48" s="1267"/>
      <c r="AI48" s="1267"/>
      <c r="AJ48" s="1267"/>
      <c r="AK48" s="1267"/>
      <c r="AL48" s="1267"/>
      <c r="AM48" s="1267"/>
      <c r="AN48" s="1267"/>
      <c r="AO48" s="1267"/>
      <c r="AP48" s="1267"/>
      <c r="AQ48" s="1267"/>
      <c r="AR48" s="1267"/>
      <c r="AS48" s="1267"/>
      <c r="AT48" s="1267"/>
      <c r="AU48" s="1267"/>
      <c r="AV48" s="1267"/>
      <c r="AW48" s="1267"/>
      <c r="AX48" s="1267"/>
      <c r="AY48" s="1267"/>
      <c r="AZ48" s="1267"/>
      <c r="BA48" s="1267"/>
      <c r="BB48" s="1267"/>
      <c r="BC48" s="1267"/>
      <c r="BD48" s="1267"/>
      <c r="BE48" s="1267"/>
      <c r="BF48" s="1267"/>
      <c r="BG48" s="1262"/>
    </row>
    <row r="50" spans="1:60" ht="14.4" thickBot="1">
      <c r="A50" s="1219">
        <v>2</v>
      </c>
      <c r="B50" s="1270" t="s">
        <v>871</v>
      </c>
      <c r="C50" s="1311"/>
      <c r="D50" s="1312"/>
      <c r="E50" s="1311"/>
      <c r="F50" s="1313"/>
      <c r="G50" s="1311"/>
      <c r="H50" s="1311"/>
      <c r="I50" s="1311"/>
      <c r="J50" s="1311"/>
      <c r="K50" s="1311"/>
      <c r="L50" s="1311"/>
      <c r="M50" s="1311"/>
      <c r="N50" s="1311"/>
      <c r="O50" s="1311"/>
      <c r="P50" s="1311"/>
      <c r="Q50" s="757"/>
      <c r="R50" s="1314"/>
      <c r="S50" s="1311"/>
      <c r="T50" s="1311"/>
      <c r="U50" s="1311"/>
      <c r="V50" s="1311"/>
      <c r="W50" s="1311"/>
      <c r="X50" s="1311"/>
      <c r="Y50" s="1311"/>
      <c r="Z50" s="1311"/>
      <c r="AA50" s="1311"/>
      <c r="AB50" s="1311"/>
      <c r="AC50" s="1311"/>
      <c r="AD50" s="1311"/>
      <c r="AE50" s="1311"/>
      <c r="AF50" s="1311"/>
      <c r="AG50" s="1311"/>
      <c r="AH50" s="1311"/>
      <c r="AI50" s="1311"/>
      <c r="AJ50" s="1311"/>
      <c r="AK50" s="1311"/>
      <c r="AL50" s="1311"/>
      <c r="AM50" s="1311"/>
      <c r="AN50" s="1311"/>
      <c r="AO50" s="1311"/>
      <c r="AP50" s="1311"/>
      <c r="AQ50" s="1311"/>
      <c r="AR50" s="1311"/>
      <c r="AS50" s="1311"/>
      <c r="AT50" s="1311"/>
      <c r="AU50" s="1311"/>
      <c r="AV50" s="1311"/>
      <c r="AW50" s="1311"/>
      <c r="AX50" s="1311"/>
      <c r="AY50" s="1311"/>
      <c r="AZ50" s="1311"/>
      <c r="BA50" s="1311"/>
      <c r="BB50" s="1311"/>
      <c r="BC50" s="1311"/>
      <c r="BD50" s="1311"/>
      <c r="BE50" s="1311"/>
      <c r="BF50" s="1311"/>
      <c r="BG50" s="757"/>
    </row>
    <row r="51" spans="1:60">
      <c r="B51" s="1224"/>
      <c r="C51" s="757"/>
      <c r="D51" s="1240"/>
      <c r="E51" s="757"/>
      <c r="G51" s="757"/>
      <c r="H51" s="757"/>
      <c r="I51" s="757"/>
      <c r="J51" s="757"/>
      <c r="K51" s="757"/>
      <c r="L51" s="757"/>
      <c r="M51" s="757"/>
      <c r="N51" s="757"/>
      <c r="O51" s="757"/>
      <c r="P51" s="757"/>
      <c r="Q51" s="757"/>
      <c r="S51" s="757"/>
      <c r="T51" s="757"/>
      <c r="U51" s="757"/>
      <c r="V51" s="757"/>
      <c r="W51" s="757"/>
      <c r="X51" s="757"/>
      <c r="Y51" s="757"/>
      <c r="Z51" s="757"/>
      <c r="AA51" s="757"/>
      <c r="AB51" s="757"/>
      <c r="AC51" s="757"/>
      <c r="AD51" s="757"/>
      <c r="AE51" s="757"/>
      <c r="AF51" s="757"/>
      <c r="AG51" s="757"/>
      <c r="AH51" s="757"/>
      <c r="AI51" s="757"/>
      <c r="AJ51" s="757"/>
      <c r="AK51" s="757"/>
      <c r="AL51" s="757"/>
      <c r="AM51" s="757"/>
      <c r="AN51" s="757"/>
      <c r="AO51" s="757"/>
      <c r="AP51" s="757"/>
      <c r="AQ51" s="757"/>
      <c r="AR51" s="757"/>
      <c r="AS51" s="757"/>
      <c r="AT51" s="757"/>
      <c r="AU51" s="757"/>
      <c r="AV51" s="757"/>
      <c r="AW51" s="757"/>
      <c r="AX51" s="757"/>
      <c r="AY51" s="757"/>
      <c r="AZ51" s="757"/>
      <c r="BA51" s="757"/>
      <c r="BB51" s="757"/>
      <c r="BC51" s="757"/>
      <c r="BD51" s="757"/>
      <c r="BE51" s="757"/>
      <c r="BF51" s="757"/>
      <c r="BG51" s="757"/>
    </row>
    <row r="52" spans="1:60">
      <c r="A52" s="1219" t="s">
        <v>291</v>
      </c>
      <c r="B52" s="1279" t="s">
        <v>867</v>
      </c>
      <c r="C52" s="1315" t="s">
        <v>1489</v>
      </c>
      <c r="D52" s="1316"/>
      <c r="E52" s="1315"/>
      <c r="F52" s="1317"/>
      <c r="G52" s="1315"/>
      <c r="H52" s="1315"/>
      <c r="I52" s="1315"/>
      <c r="J52" s="1315"/>
      <c r="K52" s="1315"/>
      <c r="L52" s="1315"/>
      <c r="M52" s="1315"/>
      <c r="N52" s="1315"/>
      <c r="O52" s="1315"/>
      <c r="P52" s="1315"/>
      <c r="Q52" s="1318"/>
      <c r="R52" s="1318"/>
      <c r="S52" s="1318"/>
      <c r="T52" s="1318"/>
      <c r="U52" s="1315"/>
      <c r="V52" s="1315"/>
      <c r="W52" s="1315"/>
      <c r="X52" s="757"/>
      <c r="Y52" s="757"/>
      <c r="Z52" s="757"/>
      <c r="AA52" s="757"/>
      <c r="AB52" s="757"/>
      <c r="AC52" s="757"/>
      <c r="AD52" s="757"/>
      <c r="AE52" s="757"/>
      <c r="AF52" s="757"/>
      <c r="AG52" s="757"/>
      <c r="AH52" s="757"/>
      <c r="AI52" s="757"/>
      <c r="AJ52" s="757"/>
      <c r="AK52" s="757"/>
      <c r="AL52" s="757"/>
      <c r="AM52" s="757"/>
      <c r="AN52" s="757"/>
      <c r="AO52" s="757"/>
      <c r="AP52" s="757"/>
      <c r="AQ52" s="757"/>
      <c r="AR52" s="757"/>
      <c r="AS52" s="757"/>
      <c r="AT52" s="757"/>
      <c r="AU52" s="757"/>
      <c r="AV52" s="757"/>
      <c r="AW52" s="757"/>
      <c r="AX52" s="757"/>
      <c r="AY52" s="757"/>
      <c r="AZ52" s="757"/>
      <c r="BA52" s="757"/>
      <c r="BB52" s="757"/>
      <c r="BC52" s="757"/>
      <c r="BD52" s="757"/>
      <c r="BE52" s="757"/>
      <c r="BF52" s="757"/>
      <c r="BG52" s="757"/>
    </row>
    <row r="53" spans="1:60">
      <c r="B53" s="1283" t="s">
        <v>872</v>
      </c>
      <c r="C53" s="1319">
        <f>R57</f>
        <v>119.527496051</v>
      </c>
      <c r="D53" s="1320">
        <v>45649</v>
      </c>
      <c r="E53" s="1321">
        <v>36</v>
      </c>
      <c r="F53" s="2672">
        <v>7.8E-2</v>
      </c>
      <c r="G53" s="1286" t="s">
        <v>869</v>
      </c>
      <c r="H53" s="1286">
        <v>0.5</v>
      </c>
      <c r="I53" s="1288"/>
      <c r="J53" s="1288"/>
      <c r="K53" s="1288"/>
      <c r="L53" s="1288"/>
      <c r="M53" s="1288"/>
      <c r="N53" s="1288"/>
      <c r="O53" s="1288"/>
      <c r="P53" s="1288"/>
      <c r="Q53" s="757"/>
      <c r="R53" s="757"/>
      <c r="S53" s="757"/>
      <c r="T53" s="757"/>
      <c r="U53" s="757"/>
      <c r="V53" s="757"/>
      <c r="W53" s="757"/>
      <c r="X53" s="757"/>
      <c r="Y53" s="757"/>
      <c r="Z53" s="757"/>
      <c r="AA53" s="757"/>
      <c r="AB53" s="757"/>
      <c r="AC53" s="757"/>
      <c r="AD53" s="757"/>
      <c r="AE53" s="757"/>
      <c r="AF53" s="757"/>
      <c r="AG53" s="757"/>
      <c r="AH53" s="757"/>
      <c r="AI53" s="757"/>
      <c r="AJ53" s="757"/>
      <c r="AK53" s="757"/>
      <c r="AL53" s="757"/>
      <c r="AM53" s="757"/>
      <c r="AN53" s="757"/>
      <c r="AO53" s="757"/>
      <c r="AP53" s="757"/>
      <c r="AQ53" s="757"/>
      <c r="AR53" s="757"/>
      <c r="AS53" s="757"/>
      <c r="AT53" s="757"/>
      <c r="AU53" s="757"/>
      <c r="AV53" s="757"/>
      <c r="AW53" s="757"/>
      <c r="AX53" s="757"/>
      <c r="AY53" s="757"/>
      <c r="AZ53" s="757"/>
      <c r="BA53" s="757"/>
      <c r="BB53" s="757"/>
      <c r="BC53" s="757"/>
      <c r="BD53" s="757"/>
      <c r="BE53" s="757"/>
      <c r="BF53" s="757"/>
      <c r="BG53" s="757"/>
      <c r="BH53" s="1220" t="s">
        <v>1480</v>
      </c>
    </row>
    <row r="54" spans="1:60">
      <c r="B54" s="1242" t="s">
        <v>855</v>
      </c>
      <c r="C54" s="1286"/>
      <c r="D54" s="1285"/>
      <c r="E54" s="1286"/>
      <c r="F54" s="1303"/>
      <c r="G54" s="1286"/>
      <c r="H54" s="1286"/>
      <c r="I54" s="1288"/>
      <c r="J54" s="1288"/>
      <c r="K54" s="1288"/>
      <c r="L54" s="1288"/>
      <c r="M54" s="1288"/>
      <c r="N54" s="1288"/>
      <c r="O54" s="1288"/>
      <c r="P54" s="1288"/>
      <c r="Q54" s="757"/>
      <c r="R54" s="1259">
        <f>'BS Raw'!J105/Debt!$B$1</f>
        <v>2.9644798749999999</v>
      </c>
      <c r="S54" s="1260">
        <f>R57</f>
        <v>119.527496051</v>
      </c>
      <c r="T54" s="1260">
        <f>S57</f>
        <v>79.684997367333324</v>
      </c>
      <c r="U54" s="1260">
        <f t="shared" ref="U54:AB54" si="14">T57</f>
        <v>39.842498683666655</v>
      </c>
      <c r="V54" s="1260">
        <f t="shared" si="14"/>
        <v>0</v>
      </c>
      <c r="W54" s="1260">
        <f t="shared" si="14"/>
        <v>0</v>
      </c>
      <c r="X54" s="1260">
        <f t="shared" si="14"/>
        <v>0</v>
      </c>
      <c r="Y54" s="1260">
        <f t="shared" si="14"/>
        <v>0</v>
      </c>
      <c r="Z54" s="1260">
        <f t="shared" si="14"/>
        <v>0</v>
      </c>
      <c r="AA54" s="1260">
        <f t="shared" si="14"/>
        <v>0</v>
      </c>
      <c r="AB54" s="1260">
        <f t="shared" si="14"/>
        <v>0</v>
      </c>
      <c r="AC54" s="1260"/>
      <c r="AD54" s="1245"/>
      <c r="AE54" s="1245"/>
      <c r="AF54" s="1245"/>
      <c r="AG54" s="1245"/>
      <c r="AH54" s="1245"/>
      <c r="AI54" s="1245"/>
      <c r="AJ54" s="1245"/>
      <c r="AK54" s="1245"/>
      <c r="AL54" s="1245"/>
      <c r="AM54" s="1245"/>
      <c r="AN54" s="1245"/>
      <c r="AO54" s="1245"/>
      <c r="AP54" s="1245"/>
      <c r="AQ54" s="1245"/>
      <c r="AR54" s="1245"/>
      <c r="AS54" s="1245"/>
      <c r="AT54" s="1245"/>
      <c r="AU54" s="1245"/>
      <c r="AV54" s="1245"/>
      <c r="AW54" s="1245"/>
      <c r="AX54" s="1245"/>
      <c r="AY54" s="1245"/>
      <c r="AZ54" s="1245"/>
      <c r="BA54" s="1245"/>
      <c r="BB54" s="1245"/>
      <c r="BC54" s="1245"/>
      <c r="BD54" s="1245"/>
      <c r="BE54" s="1245"/>
      <c r="BF54" s="1245"/>
      <c r="BG54" s="757"/>
    </row>
    <row r="55" spans="1:60" s="1254" customFormat="1">
      <c r="A55" s="1246"/>
      <c r="B55" s="1247" t="s">
        <v>856</v>
      </c>
      <c r="C55" s="1322"/>
      <c r="D55" s="1323"/>
      <c r="E55" s="1322"/>
      <c r="F55" s="1324"/>
      <c r="G55" s="1322"/>
      <c r="H55" s="1322"/>
      <c r="I55" s="1325"/>
      <c r="J55" s="1325"/>
      <c r="K55" s="1325"/>
      <c r="L55" s="1325"/>
      <c r="M55" s="1325"/>
      <c r="N55" s="1325"/>
      <c r="O55" s="1325"/>
      <c r="P55" s="1325"/>
      <c r="Q55" s="1248"/>
      <c r="R55" s="1248"/>
      <c r="S55" s="1326">
        <f>C53/(E53/12)</f>
        <v>39.842498683666669</v>
      </c>
      <c r="T55" s="1326">
        <f>MIN(S55,S57)</f>
        <v>39.842498683666669</v>
      </c>
      <c r="U55" s="1326">
        <f t="shared" ref="U55:AB55" si="15">MIN(T55,T57)</f>
        <v>39.842498683666655</v>
      </c>
      <c r="V55" s="1326">
        <f t="shared" si="15"/>
        <v>0</v>
      </c>
      <c r="W55" s="1326">
        <f t="shared" si="15"/>
        <v>0</v>
      </c>
      <c r="X55" s="1326">
        <f t="shared" si="15"/>
        <v>0</v>
      </c>
      <c r="Y55" s="1326">
        <f t="shared" si="15"/>
        <v>0</v>
      </c>
      <c r="Z55" s="1326">
        <f t="shared" si="15"/>
        <v>0</v>
      </c>
      <c r="AA55" s="1326">
        <f t="shared" si="15"/>
        <v>0</v>
      </c>
      <c r="AB55" s="1326">
        <f t="shared" si="15"/>
        <v>0</v>
      </c>
      <c r="AC55" s="1326"/>
      <c r="AD55" s="1253"/>
      <c r="AE55" s="1253"/>
      <c r="AF55" s="1253"/>
      <c r="AG55" s="1253"/>
      <c r="AH55" s="1253"/>
      <c r="AI55" s="1253"/>
      <c r="AJ55" s="1253"/>
      <c r="AK55" s="1253"/>
      <c r="AL55" s="1253"/>
      <c r="AM55" s="1253"/>
      <c r="AN55" s="1253"/>
      <c r="AO55" s="1253"/>
      <c r="AP55" s="1253"/>
      <c r="AQ55" s="1253"/>
      <c r="AR55" s="1253"/>
      <c r="AS55" s="1253"/>
      <c r="AT55" s="1253"/>
      <c r="AU55" s="1253"/>
      <c r="AV55" s="1253"/>
      <c r="AW55" s="1253"/>
      <c r="AX55" s="1253"/>
      <c r="AY55" s="1253"/>
      <c r="AZ55" s="1253"/>
      <c r="BA55" s="1253"/>
      <c r="BB55" s="1253"/>
      <c r="BC55" s="1253"/>
      <c r="BD55" s="1253"/>
      <c r="BE55" s="1253"/>
      <c r="BF55" s="1253"/>
      <c r="BG55" s="1248"/>
    </row>
    <row r="56" spans="1:60" s="1254" customFormat="1">
      <c r="A56" s="1246"/>
      <c r="B56" s="1247" t="s">
        <v>857</v>
      </c>
      <c r="C56" s="1322"/>
      <c r="D56" s="1323"/>
      <c r="E56" s="1322"/>
      <c r="F56" s="1324"/>
      <c r="G56" s="1322"/>
      <c r="H56" s="1322"/>
      <c r="I56" s="1325"/>
      <c r="J56" s="1325"/>
      <c r="K56" s="1325"/>
      <c r="L56" s="1325"/>
      <c r="M56" s="1325"/>
      <c r="N56" s="1325"/>
      <c r="O56" s="1325"/>
      <c r="P56" s="1325"/>
      <c r="Q56" s="1248"/>
      <c r="R56" s="1248"/>
      <c r="S56" s="1326"/>
      <c r="T56" s="1326"/>
      <c r="U56" s="1326"/>
      <c r="V56" s="1326"/>
      <c r="W56" s="1326"/>
      <c r="X56" s="1326"/>
      <c r="Y56" s="1326"/>
      <c r="Z56" s="1253"/>
      <c r="AA56" s="1253"/>
      <c r="AB56" s="1253"/>
      <c r="AC56" s="1253"/>
      <c r="AD56" s="1253"/>
      <c r="AE56" s="1253"/>
      <c r="AF56" s="1253"/>
      <c r="AG56" s="1253"/>
      <c r="AH56" s="1253"/>
      <c r="AI56" s="1253"/>
      <c r="AJ56" s="1253"/>
      <c r="AK56" s="1253"/>
      <c r="AL56" s="1253"/>
      <c r="AM56" s="1253"/>
      <c r="AN56" s="1253"/>
      <c r="AO56" s="1253"/>
      <c r="AP56" s="1253"/>
      <c r="AQ56" s="1253"/>
      <c r="AR56" s="1253"/>
      <c r="AS56" s="1253"/>
      <c r="AT56" s="1253"/>
      <c r="AU56" s="1253"/>
      <c r="AV56" s="1253"/>
      <c r="AW56" s="1253"/>
      <c r="AX56" s="1253"/>
      <c r="AY56" s="1253"/>
      <c r="AZ56" s="1253"/>
      <c r="BA56" s="1253"/>
      <c r="BB56" s="1253"/>
      <c r="BC56" s="1253"/>
      <c r="BD56" s="1253"/>
      <c r="BE56" s="1253"/>
      <c r="BF56" s="1253"/>
      <c r="BG56" s="1248"/>
    </row>
    <row r="57" spans="1:60">
      <c r="B57" s="1242" t="s">
        <v>858</v>
      </c>
      <c r="C57" s="1286"/>
      <c r="D57" s="1285"/>
      <c r="E57" s="1286"/>
      <c r="F57" s="1303"/>
      <c r="G57" s="1286"/>
      <c r="H57" s="1286"/>
      <c r="I57" s="1288"/>
      <c r="J57" s="1288"/>
      <c r="K57" s="1288"/>
      <c r="L57" s="1288"/>
      <c r="M57" s="1288"/>
      <c r="N57" s="1288"/>
      <c r="O57" s="1288"/>
      <c r="P57" s="1288"/>
      <c r="Q57" s="757"/>
      <c r="R57" s="1259">
        <f>'BS Raw'!K105/Debt!$B$1</f>
        <v>119.527496051</v>
      </c>
      <c r="S57" s="1260">
        <f>S54-S55</f>
        <v>79.684997367333324</v>
      </c>
      <c r="T57" s="1260">
        <f t="shared" ref="T57:AB57" si="16">T54-T55</f>
        <v>39.842498683666655</v>
      </c>
      <c r="U57" s="1260">
        <f t="shared" si="16"/>
        <v>0</v>
      </c>
      <c r="V57" s="1260">
        <f t="shared" si="16"/>
        <v>0</v>
      </c>
      <c r="W57" s="1260">
        <f t="shared" si="16"/>
        <v>0</v>
      </c>
      <c r="X57" s="1260">
        <f t="shared" si="16"/>
        <v>0</v>
      </c>
      <c r="Y57" s="1260">
        <f t="shared" si="16"/>
        <v>0</v>
      </c>
      <c r="Z57" s="1260">
        <f t="shared" si="16"/>
        <v>0</v>
      </c>
      <c r="AA57" s="1260">
        <f t="shared" si="16"/>
        <v>0</v>
      </c>
      <c r="AB57" s="1260">
        <f t="shared" si="16"/>
        <v>0</v>
      </c>
      <c r="AC57" s="1260"/>
      <c r="AD57" s="1245"/>
      <c r="AE57" s="1245"/>
      <c r="AF57" s="1245"/>
      <c r="AG57" s="1245"/>
      <c r="AH57" s="1245"/>
      <c r="AI57" s="1245"/>
      <c r="AJ57" s="1245"/>
      <c r="AK57" s="1245"/>
      <c r="AL57" s="1245"/>
      <c r="AM57" s="1245"/>
      <c r="AN57" s="1245"/>
      <c r="AO57" s="1245"/>
      <c r="AP57" s="1245"/>
      <c r="AQ57" s="1245"/>
      <c r="AR57" s="1245"/>
      <c r="AS57" s="1245"/>
      <c r="AT57" s="1245"/>
      <c r="AU57" s="1245"/>
      <c r="AV57" s="1245"/>
      <c r="AW57" s="1245"/>
      <c r="AX57" s="1245"/>
      <c r="AY57" s="1245"/>
      <c r="AZ57" s="1245"/>
      <c r="BA57" s="1245"/>
      <c r="BB57" s="1245"/>
      <c r="BC57" s="1245"/>
      <c r="BD57" s="1245"/>
      <c r="BE57" s="1245"/>
      <c r="BF57" s="1245"/>
      <c r="BG57" s="757"/>
    </row>
    <row r="58" spans="1:60" s="1268" customFormat="1">
      <c r="A58" s="1261"/>
      <c r="B58" s="1247" t="s">
        <v>870</v>
      </c>
      <c r="C58" s="1327"/>
      <c r="D58" s="1300"/>
      <c r="E58" s="1299"/>
      <c r="F58" s="1301"/>
      <c r="G58" s="1299"/>
      <c r="H58" s="1299"/>
      <c r="I58" s="1302"/>
      <c r="J58" s="1302"/>
      <c r="K58" s="1302"/>
      <c r="L58" s="1302"/>
      <c r="M58" s="1302"/>
      <c r="N58" s="1302"/>
      <c r="O58" s="1302"/>
      <c r="P58" s="1302"/>
      <c r="Q58" s="1262"/>
      <c r="R58" s="1328">
        <f>IF($F$53="",R47+$BI$7,$F$53)</f>
        <v>7.8E-2</v>
      </c>
      <c r="S58" s="1308">
        <f>IF($F$53="",S47+$BI$7,$F$53)</f>
        <v>7.8E-2</v>
      </c>
      <c r="T58" s="1308">
        <f t="shared" ref="T58:AB58" si="17">IF($F$53="",T47+$BI$7,$F$53)</f>
        <v>7.8E-2</v>
      </c>
      <c r="U58" s="1308">
        <f t="shared" si="17"/>
        <v>7.8E-2</v>
      </c>
      <c r="V58" s="1308">
        <f t="shared" si="17"/>
        <v>7.8E-2</v>
      </c>
      <c r="W58" s="1308">
        <f t="shared" si="17"/>
        <v>7.8E-2</v>
      </c>
      <c r="X58" s="1308">
        <f t="shared" si="17"/>
        <v>7.8E-2</v>
      </c>
      <c r="Y58" s="1308">
        <f t="shared" si="17"/>
        <v>7.8E-2</v>
      </c>
      <c r="Z58" s="1308">
        <f t="shared" si="17"/>
        <v>7.8E-2</v>
      </c>
      <c r="AA58" s="1308">
        <f t="shared" si="17"/>
        <v>7.8E-2</v>
      </c>
      <c r="AB58" s="1308">
        <f t="shared" si="17"/>
        <v>7.8E-2</v>
      </c>
      <c r="AC58" s="1309"/>
      <c r="AD58" s="1309"/>
      <c r="AE58" s="1309"/>
      <c r="AF58" s="1309"/>
      <c r="AG58" s="1309"/>
      <c r="AH58" s="1309"/>
      <c r="AI58" s="1309"/>
      <c r="AJ58" s="1309"/>
      <c r="AK58" s="1309"/>
      <c r="AL58" s="1309"/>
      <c r="AM58" s="1309"/>
      <c r="AN58" s="1309"/>
      <c r="AO58" s="1309"/>
      <c r="AP58" s="1309"/>
      <c r="AQ58" s="1309"/>
      <c r="AR58" s="1309"/>
      <c r="AS58" s="1309"/>
      <c r="AT58" s="1309"/>
      <c r="AU58" s="1309"/>
      <c r="AV58" s="1309"/>
      <c r="AW58" s="1309"/>
      <c r="AX58" s="1309"/>
      <c r="AY58" s="1309"/>
      <c r="AZ58" s="1309"/>
      <c r="BA58" s="1309"/>
      <c r="BB58" s="1309"/>
      <c r="BC58" s="1309"/>
      <c r="BD58" s="1309"/>
      <c r="BE58" s="1309"/>
      <c r="BF58" s="1309"/>
      <c r="BG58" s="1262"/>
      <c r="BH58" s="735" t="s">
        <v>1479</v>
      </c>
    </row>
    <row r="59" spans="1:60">
      <c r="B59" s="1247" t="s">
        <v>859</v>
      </c>
      <c r="C59" s="1329"/>
      <c r="D59" s="1285"/>
      <c r="E59" s="1286"/>
      <c r="F59" s="1303"/>
      <c r="G59" s="1286"/>
      <c r="H59" s="1286"/>
      <c r="I59" s="1288"/>
      <c r="J59" s="1288"/>
      <c r="K59" s="1288"/>
      <c r="L59" s="1288"/>
      <c r="M59" s="1288"/>
      <c r="N59" s="1288"/>
      <c r="O59" s="1288"/>
      <c r="P59" s="1288"/>
      <c r="Q59" s="1330"/>
      <c r="R59" s="1265">
        <f>R58*AVERAGE(R54,R57)</f>
        <v>4.7771870611139997</v>
      </c>
      <c r="S59" s="1266">
        <f>S58*AVERAGE(S54,S57)</f>
        <v>7.7692872433150004</v>
      </c>
      <c r="T59" s="1266">
        <f t="shared" ref="T59:AB59" si="18">T58*AVERAGE(T54,T57)</f>
        <v>4.6615723459889997</v>
      </c>
      <c r="U59" s="1266">
        <f t="shared" si="18"/>
        <v>1.5538574486629995</v>
      </c>
      <c r="V59" s="1266">
        <f t="shared" si="18"/>
        <v>0</v>
      </c>
      <c r="W59" s="1266">
        <f t="shared" si="18"/>
        <v>0</v>
      </c>
      <c r="X59" s="1266">
        <f t="shared" si="18"/>
        <v>0</v>
      </c>
      <c r="Y59" s="1266">
        <f t="shared" si="18"/>
        <v>0</v>
      </c>
      <c r="Z59" s="1266">
        <f t="shared" si="18"/>
        <v>0</v>
      </c>
      <c r="AA59" s="1266">
        <f t="shared" si="18"/>
        <v>0</v>
      </c>
      <c r="AB59" s="1266">
        <f t="shared" si="18"/>
        <v>0</v>
      </c>
      <c r="AC59" s="1266"/>
      <c r="AD59" s="1267"/>
      <c r="AE59" s="1267"/>
      <c r="AF59" s="1267"/>
      <c r="AG59" s="1267"/>
      <c r="AH59" s="1267"/>
      <c r="AI59" s="1267"/>
      <c r="AJ59" s="1267"/>
      <c r="AK59" s="1267"/>
      <c r="AL59" s="1267"/>
      <c r="AM59" s="1267"/>
      <c r="AN59" s="1267"/>
      <c r="AO59" s="1267"/>
      <c r="AP59" s="1267"/>
      <c r="AQ59" s="1267"/>
      <c r="AR59" s="1267"/>
      <c r="AS59" s="1267"/>
      <c r="AT59" s="1267"/>
      <c r="AU59" s="1267"/>
      <c r="AV59" s="1267"/>
      <c r="AW59" s="1267"/>
      <c r="AX59" s="1267"/>
      <c r="AY59" s="1267"/>
      <c r="AZ59" s="1267"/>
      <c r="BA59" s="1267"/>
      <c r="BB59" s="1267"/>
      <c r="BC59" s="1267"/>
      <c r="BD59" s="1267"/>
      <c r="BE59" s="1267"/>
      <c r="BF59" s="1267"/>
      <c r="BG59" s="757"/>
    </row>
    <row r="60" spans="1:60">
      <c r="B60" s="1247"/>
      <c r="C60" s="1331"/>
      <c r="D60" s="1332"/>
      <c r="E60" s="1333"/>
      <c r="F60" s="1334"/>
      <c r="G60" s="1333"/>
      <c r="H60" s="1333"/>
      <c r="I60" s="1288"/>
      <c r="J60" s="1288"/>
      <c r="K60" s="1288"/>
      <c r="L60" s="1288"/>
      <c r="M60" s="1288"/>
      <c r="N60" s="1288"/>
      <c r="O60" s="1288"/>
      <c r="P60" s="1288"/>
      <c r="Q60" s="757"/>
      <c r="R60" s="1262"/>
      <c r="S60" s="1267"/>
      <c r="T60" s="1267"/>
      <c r="U60" s="1267"/>
      <c r="V60" s="1267"/>
      <c r="W60" s="1267"/>
      <c r="X60" s="1267"/>
      <c r="Y60" s="1267"/>
      <c r="Z60" s="1267"/>
      <c r="AA60" s="1267"/>
      <c r="AB60" s="1267"/>
      <c r="AC60" s="1267"/>
      <c r="AD60" s="1267"/>
      <c r="AE60" s="1335"/>
      <c r="AF60" s="1335"/>
      <c r="AG60" s="1335"/>
      <c r="AH60" s="1335"/>
      <c r="AI60" s="1335"/>
      <c r="AJ60" s="1335"/>
      <c r="AK60" s="1335"/>
      <c r="AL60" s="1335"/>
      <c r="AM60" s="1335"/>
      <c r="AN60" s="1335"/>
      <c r="AO60" s="1335"/>
      <c r="AP60" s="1335"/>
      <c r="AQ60" s="1335"/>
      <c r="AR60" s="1335"/>
      <c r="AS60" s="1335"/>
      <c r="AT60" s="1335"/>
      <c r="AU60" s="1335"/>
      <c r="AV60" s="1335"/>
      <c r="AW60" s="1335"/>
      <c r="AX60" s="1335"/>
      <c r="AY60" s="1335"/>
      <c r="AZ60" s="1335"/>
      <c r="BA60" s="1335"/>
      <c r="BB60" s="1335"/>
      <c r="BC60" s="1335"/>
      <c r="BD60" s="1335"/>
      <c r="BE60" s="1335"/>
      <c r="BF60" s="1335"/>
      <c r="BG60" s="757"/>
    </row>
    <row r="61" spans="1:60" s="1224" customFormat="1" hidden="1">
      <c r="A61" s="1219" t="s">
        <v>294</v>
      </c>
      <c r="B61" s="1279" t="s">
        <v>873</v>
      </c>
      <c r="C61" s="1336"/>
      <c r="D61" s="1337"/>
      <c r="E61" s="1338"/>
      <c r="F61" s="1339"/>
      <c r="G61" s="1338"/>
      <c r="H61" s="1338"/>
      <c r="I61" s="1340"/>
      <c r="J61" s="1340"/>
      <c r="K61" s="1340"/>
      <c r="L61" s="1340"/>
      <c r="M61" s="1340"/>
      <c r="N61" s="1340"/>
      <c r="O61" s="1340"/>
      <c r="P61" s="1340"/>
      <c r="Q61" s="1274"/>
      <c r="R61" s="1274"/>
      <c r="S61" s="1341"/>
      <c r="T61" s="1341"/>
      <c r="U61" s="1341"/>
      <c r="V61" s="1341"/>
      <c r="W61" s="1341"/>
      <c r="X61" s="1341"/>
      <c r="Y61" s="1341"/>
      <c r="Z61" s="1341"/>
      <c r="AA61" s="1341"/>
      <c r="AB61" s="1341"/>
      <c r="AC61" s="1341"/>
      <c r="AD61" s="1341"/>
      <c r="AE61" s="1341"/>
      <c r="AF61" s="1341"/>
      <c r="AG61" s="1341"/>
      <c r="AH61" s="1341"/>
      <c r="AI61" s="1341"/>
      <c r="AJ61" s="1341"/>
      <c r="AK61" s="1341"/>
      <c r="AL61" s="1341"/>
      <c r="AM61" s="1341"/>
      <c r="AN61" s="1341"/>
      <c r="AO61" s="1341"/>
      <c r="AP61" s="1341"/>
      <c r="AQ61" s="1341"/>
      <c r="AR61" s="1341"/>
      <c r="AS61" s="1341"/>
      <c r="AT61" s="1341"/>
      <c r="AU61" s="1341"/>
      <c r="AV61" s="1341"/>
      <c r="AW61" s="1341"/>
      <c r="AX61" s="1341"/>
      <c r="AY61" s="1341"/>
      <c r="AZ61" s="1341"/>
      <c r="BA61" s="1341"/>
      <c r="BB61" s="1341"/>
      <c r="BC61" s="1341"/>
      <c r="BD61" s="1341"/>
      <c r="BE61" s="1341"/>
      <c r="BF61" s="1341"/>
      <c r="BG61" s="1274"/>
    </row>
    <row r="62" spans="1:60" hidden="1">
      <c r="B62" s="1283" t="s">
        <v>868</v>
      </c>
      <c r="C62" s="1286"/>
      <c r="D62" s="1285"/>
      <c r="E62" s="1286"/>
      <c r="F62" s="1303"/>
      <c r="G62" s="1286"/>
      <c r="H62" s="1286"/>
      <c r="I62" s="1288"/>
      <c r="J62" s="1288"/>
      <c r="K62" s="1288"/>
      <c r="L62" s="1288"/>
      <c r="M62" s="1288"/>
      <c r="N62" s="1288"/>
      <c r="O62" s="1288"/>
      <c r="P62" s="1288"/>
      <c r="Q62" s="757"/>
      <c r="R62" s="757"/>
      <c r="S62" s="1342"/>
      <c r="T62" s="1342"/>
      <c r="U62" s="1342"/>
      <c r="V62" s="1342"/>
      <c r="W62" s="1342"/>
      <c r="X62" s="1342"/>
      <c r="Y62" s="1342"/>
      <c r="Z62" s="1342"/>
      <c r="AA62" s="1342"/>
      <c r="AB62" s="1342"/>
      <c r="AC62" s="1342"/>
      <c r="AD62" s="1342"/>
      <c r="AE62" s="1342"/>
      <c r="AF62" s="1342"/>
      <c r="AG62" s="1342"/>
      <c r="AH62" s="1342"/>
      <c r="AI62" s="1342"/>
      <c r="AJ62" s="1342"/>
      <c r="AK62" s="1342"/>
      <c r="AL62" s="1342"/>
      <c r="AM62" s="1342"/>
      <c r="AN62" s="1342"/>
      <c r="AO62" s="1342"/>
      <c r="AP62" s="1342"/>
      <c r="AQ62" s="1342"/>
      <c r="AR62" s="1342"/>
      <c r="AS62" s="1342"/>
      <c r="AT62" s="1342"/>
      <c r="AU62" s="1342"/>
      <c r="AV62" s="1342"/>
      <c r="AW62" s="1342"/>
      <c r="AX62" s="1342"/>
      <c r="AY62" s="1342"/>
      <c r="AZ62" s="1342"/>
      <c r="BA62" s="1342"/>
      <c r="BB62" s="1342"/>
      <c r="BC62" s="1342"/>
      <c r="BD62" s="1342"/>
      <c r="BE62" s="1342"/>
      <c r="BF62" s="1342"/>
      <c r="BG62" s="757"/>
    </row>
    <row r="63" spans="1:60" hidden="1">
      <c r="B63" s="1242" t="s">
        <v>855</v>
      </c>
      <c r="C63" s="1286"/>
      <c r="D63" s="1285"/>
      <c r="E63" s="1286"/>
      <c r="F63" s="1303"/>
      <c r="G63" s="1286"/>
      <c r="H63" s="1286"/>
      <c r="I63" s="1288"/>
      <c r="J63" s="1288"/>
      <c r="K63" s="1288"/>
      <c r="L63" s="1288"/>
      <c r="M63" s="1288"/>
      <c r="N63" s="1288"/>
      <c r="O63" s="1288"/>
      <c r="P63" s="1288"/>
      <c r="Q63" s="757"/>
      <c r="R63" s="757"/>
      <c r="S63" s="1342"/>
      <c r="T63" s="1342"/>
      <c r="U63" s="1342"/>
      <c r="V63" s="1342"/>
      <c r="W63" s="1342"/>
      <c r="X63" s="1342"/>
      <c r="Y63" s="1342"/>
      <c r="Z63" s="1342"/>
      <c r="AA63" s="1342"/>
      <c r="AB63" s="1342"/>
      <c r="AC63" s="1342"/>
      <c r="AD63" s="1342"/>
      <c r="AE63" s="1342"/>
      <c r="AF63" s="1342"/>
      <c r="AG63" s="1342"/>
      <c r="AH63" s="1342"/>
      <c r="AI63" s="1342"/>
      <c r="AJ63" s="1342"/>
      <c r="AK63" s="1342"/>
      <c r="AL63" s="1342"/>
      <c r="AM63" s="1342"/>
      <c r="AN63" s="1342"/>
      <c r="AO63" s="1342"/>
      <c r="AP63" s="1342"/>
      <c r="AQ63" s="1342"/>
      <c r="AR63" s="1342"/>
      <c r="AS63" s="1342"/>
      <c r="AT63" s="1342"/>
      <c r="AU63" s="1342"/>
      <c r="AV63" s="1342"/>
      <c r="AW63" s="1342"/>
      <c r="AX63" s="1342"/>
      <c r="AY63" s="1342"/>
      <c r="AZ63" s="1342"/>
      <c r="BA63" s="1342"/>
      <c r="BB63" s="1342"/>
      <c r="BC63" s="1342"/>
      <c r="BD63" s="1342"/>
      <c r="BE63" s="1342"/>
      <c r="BF63" s="1342"/>
      <c r="BG63" s="757"/>
    </row>
    <row r="64" spans="1:60" hidden="1">
      <c r="B64" s="1247" t="s">
        <v>856</v>
      </c>
      <c r="C64" s="1286"/>
      <c r="D64" s="1285"/>
      <c r="E64" s="1286"/>
      <c r="F64" s="1303"/>
      <c r="G64" s="1286"/>
      <c r="H64" s="1286"/>
      <c r="I64" s="1288"/>
      <c r="J64" s="1288"/>
      <c r="K64" s="1288"/>
      <c r="L64" s="1288"/>
      <c r="M64" s="1288"/>
      <c r="N64" s="1288"/>
      <c r="O64" s="1288"/>
      <c r="P64" s="1288"/>
      <c r="Q64" s="757"/>
      <c r="R64" s="757"/>
      <c r="S64" s="1342"/>
      <c r="T64" s="1342"/>
      <c r="U64" s="1342"/>
      <c r="V64" s="1342"/>
      <c r="W64" s="1342"/>
      <c r="X64" s="1342"/>
      <c r="Y64" s="1342"/>
      <c r="Z64" s="1342"/>
      <c r="AA64" s="1342"/>
      <c r="AB64" s="1342"/>
      <c r="AC64" s="1342"/>
      <c r="AD64" s="1342"/>
      <c r="AE64" s="1342"/>
      <c r="AF64" s="1342"/>
      <c r="AG64" s="1342"/>
      <c r="AH64" s="1342"/>
      <c r="AI64" s="1342"/>
      <c r="AJ64" s="1342"/>
      <c r="AK64" s="1342"/>
      <c r="AL64" s="1342"/>
      <c r="AM64" s="1342"/>
      <c r="AN64" s="1342"/>
      <c r="AO64" s="1342"/>
      <c r="AP64" s="1342"/>
      <c r="AQ64" s="1342"/>
      <c r="AR64" s="1342"/>
      <c r="AS64" s="1342"/>
      <c r="AT64" s="1342"/>
      <c r="AU64" s="1342"/>
      <c r="AV64" s="1342"/>
      <c r="AW64" s="1342"/>
      <c r="AX64" s="1342"/>
      <c r="AY64" s="1342"/>
      <c r="AZ64" s="1342"/>
      <c r="BA64" s="1342"/>
      <c r="BB64" s="1342"/>
      <c r="BC64" s="1342"/>
      <c r="BD64" s="1342"/>
      <c r="BE64" s="1342"/>
      <c r="BF64" s="1342"/>
      <c r="BG64" s="757"/>
    </row>
    <row r="65" spans="1:59" hidden="1">
      <c r="B65" s="1247" t="s">
        <v>857</v>
      </c>
      <c r="C65" s="1286"/>
      <c r="D65" s="1285"/>
      <c r="E65" s="1286"/>
      <c r="F65" s="1303"/>
      <c r="G65" s="1286"/>
      <c r="H65" s="1286"/>
      <c r="I65" s="1288"/>
      <c r="J65" s="1288"/>
      <c r="K65" s="1288"/>
      <c r="L65" s="1288"/>
      <c r="M65" s="1288"/>
      <c r="N65" s="1288"/>
      <c r="O65" s="1288"/>
      <c r="P65" s="1288"/>
      <c r="Q65" s="757"/>
      <c r="R65" s="757"/>
      <c r="S65" s="1342"/>
      <c r="T65" s="1342"/>
      <c r="U65" s="1342"/>
      <c r="V65" s="1342"/>
      <c r="W65" s="1342"/>
      <c r="X65" s="1342"/>
      <c r="Y65" s="1342"/>
      <c r="Z65" s="1342"/>
      <c r="AA65" s="1342"/>
      <c r="AB65" s="1342"/>
      <c r="AC65" s="1342"/>
      <c r="AD65" s="1342"/>
      <c r="AE65" s="1342"/>
      <c r="AF65" s="1342"/>
      <c r="AG65" s="1342"/>
      <c r="AH65" s="1342"/>
      <c r="AI65" s="1342"/>
      <c r="AJ65" s="1342"/>
      <c r="AK65" s="1342"/>
      <c r="AL65" s="1342"/>
      <c r="AM65" s="1342"/>
      <c r="AN65" s="1342"/>
      <c r="AO65" s="1342"/>
      <c r="AP65" s="1342"/>
      <c r="AQ65" s="1342"/>
      <c r="AR65" s="1342"/>
      <c r="AS65" s="1342"/>
      <c r="AT65" s="1342"/>
      <c r="AU65" s="1342"/>
      <c r="AV65" s="1342"/>
      <c r="AW65" s="1342"/>
      <c r="AX65" s="1342"/>
      <c r="AY65" s="1342"/>
      <c r="AZ65" s="1342"/>
      <c r="BA65" s="1342"/>
      <c r="BB65" s="1342"/>
      <c r="BC65" s="1342"/>
      <c r="BD65" s="1342"/>
      <c r="BE65" s="1342"/>
      <c r="BF65" s="1342"/>
      <c r="BG65" s="757"/>
    </row>
    <row r="66" spans="1:59" s="1224" customFormat="1" hidden="1">
      <c r="A66" s="1219"/>
      <c r="B66" s="1242" t="s">
        <v>858</v>
      </c>
      <c r="C66" s="1343"/>
      <c r="D66" s="1344"/>
      <c r="E66" s="1343"/>
      <c r="F66" s="1345"/>
      <c r="G66" s="1343"/>
      <c r="H66" s="1343"/>
      <c r="I66" s="1340"/>
      <c r="J66" s="1340"/>
      <c r="K66" s="1340"/>
      <c r="L66" s="1340"/>
      <c r="M66" s="1340"/>
      <c r="N66" s="1340"/>
      <c r="O66" s="1340"/>
      <c r="P66" s="1340"/>
      <c r="Q66" s="1274"/>
      <c r="R66" s="1274"/>
      <c r="S66" s="1341"/>
      <c r="T66" s="1341"/>
      <c r="U66" s="1341"/>
      <c r="V66" s="1341"/>
      <c r="W66" s="1341"/>
      <c r="X66" s="1341"/>
      <c r="Y66" s="1341"/>
      <c r="Z66" s="1341"/>
      <c r="AA66" s="1341"/>
      <c r="AB66" s="1341"/>
      <c r="AC66" s="1341"/>
      <c r="AD66" s="1341"/>
      <c r="AE66" s="1341"/>
      <c r="AF66" s="1341"/>
      <c r="AG66" s="1341"/>
      <c r="AH66" s="1341"/>
      <c r="AI66" s="1341"/>
      <c r="AJ66" s="1341"/>
      <c r="AK66" s="1341"/>
      <c r="AL66" s="1341"/>
      <c r="AM66" s="1341"/>
      <c r="AN66" s="1341"/>
      <c r="AO66" s="1341"/>
      <c r="AP66" s="1341"/>
      <c r="AQ66" s="1341"/>
      <c r="AR66" s="1341"/>
      <c r="AS66" s="1341"/>
      <c r="AT66" s="1341"/>
      <c r="AU66" s="1341"/>
      <c r="AV66" s="1341"/>
      <c r="AW66" s="1341"/>
      <c r="AX66" s="1341"/>
      <c r="AY66" s="1341"/>
      <c r="AZ66" s="1341"/>
      <c r="BA66" s="1341"/>
      <c r="BB66" s="1341"/>
      <c r="BC66" s="1341"/>
      <c r="BD66" s="1341"/>
      <c r="BE66" s="1341"/>
      <c r="BF66" s="1341"/>
      <c r="BG66" s="1274"/>
    </row>
    <row r="67" spans="1:59" s="1224" customFormat="1" hidden="1">
      <c r="A67" s="1219"/>
      <c r="B67" s="1247" t="s">
        <v>859</v>
      </c>
      <c r="C67" s="1343"/>
      <c r="D67" s="1344"/>
      <c r="E67" s="1343"/>
      <c r="F67" s="1345"/>
      <c r="G67" s="1343"/>
      <c r="H67" s="1343"/>
      <c r="I67" s="1340"/>
      <c r="J67" s="1340"/>
      <c r="K67" s="1340"/>
      <c r="L67" s="1340"/>
      <c r="M67" s="1340"/>
      <c r="N67" s="1340"/>
      <c r="O67" s="1340"/>
      <c r="P67" s="1340"/>
      <c r="Q67" s="1274"/>
      <c r="R67" s="1274"/>
      <c r="S67" s="1341"/>
      <c r="T67" s="1341"/>
      <c r="U67" s="1341"/>
      <c r="V67" s="1341"/>
      <c r="W67" s="1341"/>
      <c r="X67" s="1341"/>
      <c r="Y67" s="1341"/>
      <c r="Z67" s="1341"/>
      <c r="AA67" s="1341"/>
      <c r="AB67" s="1341"/>
      <c r="AC67" s="1341"/>
      <c r="AD67" s="1341"/>
      <c r="AE67" s="1341"/>
      <c r="AF67" s="1341"/>
      <c r="AG67" s="1341"/>
      <c r="AH67" s="1341"/>
      <c r="AI67" s="1341"/>
      <c r="AJ67" s="1341"/>
      <c r="AK67" s="1341"/>
      <c r="AL67" s="1341"/>
      <c r="AM67" s="1341"/>
      <c r="AN67" s="1341"/>
      <c r="AO67" s="1341"/>
      <c r="AP67" s="1341"/>
      <c r="AQ67" s="1341"/>
      <c r="AR67" s="1341"/>
      <c r="AS67" s="1341"/>
      <c r="AT67" s="1341"/>
      <c r="AU67" s="1341"/>
      <c r="AV67" s="1341"/>
      <c r="AW67" s="1341"/>
      <c r="AX67" s="1341"/>
      <c r="AY67" s="1341"/>
      <c r="AZ67" s="1341"/>
      <c r="BA67" s="1341"/>
      <c r="BB67" s="1341"/>
      <c r="BC67" s="1341"/>
      <c r="BD67" s="1341"/>
      <c r="BE67" s="1341"/>
      <c r="BF67" s="1341"/>
      <c r="BG67" s="1274"/>
    </row>
    <row r="68" spans="1:59" s="1224" customFormat="1" hidden="1">
      <c r="A68" s="1219"/>
      <c r="C68" s="1343"/>
      <c r="D68" s="1344"/>
      <c r="E68" s="1343"/>
      <c r="F68" s="1345"/>
      <c r="G68" s="1343"/>
      <c r="H68" s="1343"/>
      <c r="I68" s="1340"/>
      <c r="J68" s="1340"/>
      <c r="K68" s="1340"/>
      <c r="L68" s="1340"/>
      <c r="M68" s="1340"/>
      <c r="N68" s="1340"/>
      <c r="O68" s="1340"/>
      <c r="P68" s="1340"/>
      <c r="Q68" s="1274"/>
      <c r="R68" s="1274"/>
      <c r="S68" s="1341"/>
      <c r="T68" s="1341"/>
      <c r="U68" s="1341"/>
      <c r="V68" s="1341"/>
      <c r="W68" s="1341"/>
      <c r="X68" s="1341"/>
      <c r="Y68" s="1341"/>
      <c r="Z68" s="1341"/>
      <c r="AA68" s="1341"/>
      <c r="AB68" s="1341"/>
      <c r="AC68" s="1341"/>
      <c r="AD68" s="1341"/>
      <c r="AE68" s="1341"/>
      <c r="AF68" s="1341"/>
      <c r="AG68" s="1341"/>
      <c r="AH68" s="1341"/>
      <c r="AI68" s="1341"/>
      <c r="AJ68" s="1341"/>
      <c r="AK68" s="1341"/>
      <c r="AL68" s="1341"/>
      <c r="AM68" s="1341"/>
      <c r="AN68" s="1341"/>
      <c r="AO68" s="1341"/>
      <c r="AP68" s="1341"/>
      <c r="AQ68" s="1341"/>
      <c r="AR68" s="1341"/>
      <c r="AS68" s="1341"/>
      <c r="AT68" s="1341"/>
      <c r="AU68" s="1341"/>
      <c r="AV68" s="1341"/>
      <c r="AW68" s="1341"/>
      <c r="AX68" s="1341"/>
      <c r="AY68" s="1341"/>
      <c r="AZ68" s="1341"/>
      <c r="BA68" s="1341"/>
      <c r="BB68" s="1341"/>
      <c r="BC68" s="1341"/>
      <c r="BD68" s="1341"/>
      <c r="BE68" s="1341"/>
      <c r="BF68" s="1341"/>
      <c r="BG68" s="1274"/>
    </row>
    <row r="69" spans="1:59" hidden="1">
      <c r="B69" s="1283" t="s">
        <v>874</v>
      </c>
      <c r="C69" s="1286"/>
      <c r="D69" s="1285"/>
      <c r="E69" s="1286"/>
      <c r="F69" s="1303"/>
      <c r="G69" s="1286"/>
      <c r="H69" s="1286"/>
      <c r="I69" s="1288"/>
      <c r="J69" s="1288"/>
      <c r="K69" s="1288"/>
      <c r="L69" s="1288"/>
      <c r="M69" s="1288"/>
      <c r="N69" s="1288"/>
      <c r="O69" s="1288"/>
      <c r="P69" s="1288"/>
      <c r="Q69" s="757"/>
      <c r="R69" s="757"/>
      <c r="S69" s="1342"/>
      <c r="T69" s="1342"/>
      <c r="U69" s="1342"/>
      <c r="V69" s="1342"/>
      <c r="W69" s="1342"/>
      <c r="X69" s="1342"/>
      <c r="Y69" s="1342"/>
      <c r="Z69" s="1342"/>
      <c r="AA69" s="1342"/>
      <c r="AB69" s="1342"/>
      <c r="AC69" s="1342"/>
      <c r="AD69" s="1342"/>
      <c r="AE69" s="1342"/>
      <c r="AF69" s="1342"/>
      <c r="AG69" s="1342"/>
      <c r="AH69" s="1342"/>
      <c r="AI69" s="1342"/>
      <c r="AJ69" s="1342"/>
      <c r="AK69" s="1342"/>
      <c r="AL69" s="1342"/>
      <c r="AM69" s="1342"/>
      <c r="AN69" s="1342"/>
      <c r="AO69" s="1342"/>
      <c r="AP69" s="1342"/>
      <c r="AQ69" s="1342"/>
      <c r="AR69" s="1342"/>
      <c r="AS69" s="1342"/>
      <c r="AT69" s="1342"/>
      <c r="AU69" s="1342"/>
      <c r="AV69" s="1342"/>
      <c r="AW69" s="1342"/>
      <c r="AX69" s="1342"/>
      <c r="AY69" s="1342"/>
      <c r="AZ69" s="1342"/>
      <c r="BA69" s="1342"/>
      <c r="BB69" s="1342"/>
      <c r="BC69" s="1342"/>
      <c r="BD69" s="1342"/>
      <c r="BE69" s="1342"/>
      <c r="BF69" s="1342"/>
      <c r="BG69" s="757"/>
    </row>
    <row r="70" spans="1:59" hidden="1">
      <c r="B70" s="1242" t="s">
        <v>855</v>
      </c>
      <c r="C70" s="1286"/>
      <c r="D70" s="1285"/>
      <c r="E70" s="1286"/>
      <c r="F70" s="1303"/>
      <c r="G70" s="1286"/>
      <c r="H70" s="1286"/>
      <c r="I70" s="1288"/>
      <c r="J70" s="1288"/>
      <c r="K70" s="1288"/>
      <c r="L70" s="1288"/>
      <c r="M70" s="1288"/>
      <c r="N70" s="1288"/>
      <c r="O70" s="1288"/>
      <c r="P70" s="1288"/>
      <c r="Q70" s="757"/>
      <c r="R70" s="757"/>
      <c r="S70" s="1342"/>
      <c r="T70" s="1342"/>
      <c r="U70" s="1342"/>
      <c r="V70" s="1342"/>
      <c r="W70" s="1342"/>
      <c r="X70" s="1342"/>
      <c r="Y70" s="1342"/>
      <c r="Z70" s="1342"/>
      <c r="AA70" s="1342"/>
      <c r="AB70" s="1342"/>
      <c r="AC70" s="1342"/>
      <c r="AD70" s="1342"/>
      <c r="AE70" s="1342"/>
      <c r="AF70" s="1342"/>
      <c r="AG70" s="1342"/>
      <c r="AH70" s="1342"/>
      <c r="AI70" s="1342"/>
      <c r="AJ70" s="1342"/>
      <c r="AK70" s="1342"/>
      <c r="AL70" s="1342"/>
      <c r="AM70" s="1342"/>
      <c r="AN70" s="1342"/>
      <c r="AO70" s="1342"/>
      <c r="AP70" s="1342"/>
      <c r="AQ70" s="1342"/>
      <c r="AR70" s="1342"/>
      <c r="AS70" s="1342"/>
      <c r="AT70" s="1342"/>
      <c r="AU70" s="1342"/>
      <c r="AV70" s="1342"/>
      <c r="AW70" s="1342"/>
      <c r="AX70" s="1342"/>
      <c r="AY70" s="1342"/>
      <c r="AZ70" s="1342"/>
      <c r="BA70" s="1342"/>
      <c r="BB70" s="1342"/>
      <c r="BC70" s="1342"/>
      <c r="BD70" s="1342"/>
      <c r="BE70" s="1342"/>
      <c r="BF70" s="1342"/>
      <c r="BG70" s="757"/>
    </row>
    <row r="71" spans="1:59" hidden="1">
      <c r="B71" s="1247" t="s">
        <v>856</v>
      </c>
      <c r="C71" s="1286"/>
      <c r="D71" s="1285"/>
      <c r="E71" s="1286"/>
      <c r="F71" s="1303"/>
      <c r="G71" s="1286"/>
      <c r="H71" s="1286"/>
      <c r="I71" s="1288"/>
      <c r="J71" s="1288"/>
      <c r="K71" s="1288"/>
      <c r="L71" s="1288"/>
      <c r="M71" s="1288"/>
      <c r="N71" s="1288"/>
      <c r="O71" s="1288"/>
      <c r="P71" s="1288"/>
      <c r="Q71" s="757"/>
      <c r="R71" s="757"/>
      <c r="S71" s="1342"/>
      <c r="T71" s="1342"/>
      <c r="U71" s="1342"/>
      <c r="V71" s="1342"/>
      <c r="W71" s="1342"/>
      <c r="X71" s="1342"/>
      <c r="Y71" s="1342"/>
      <c r="Z71" s="1342"/>
      <c r="AA71" s="1342"/>
      <c r="AB71" s="1342"/>
      <c r="AC71" s="1342"/>
      <c r="AD71" s="1342"/>
      <c r="AE71" s="1342"/>
      <c r="AF71" s="1342"/>
      <c r="AG71" s="1342"/>
      <c r="AH71" s="1342"/>
      <c r="AI71" s="1342"/>
      <c r="AJ71" s="1342"/>
      <c r="AK71" s="1342"/>
      <c r="AL71" s="1342"/>
      <c r="AM71" s="1342"/>
      <c r="AN71" s="1342"/>
      <c r="AO71" s="1342"/>
      <c r="AP71" s="1342"/>
      <c r="AQ71" s="1342"/>
      <c r="AR71" s="1342"/>
      <c r="AS71" s="1342"/>
      <c r="AT71" s="1342"/>
      <c r="AU71" s="1342"/>
      <c r="AV71" s="1342"/>
      <c r="AW71" s="1342"/>
      <c r="AX71" s="1342"/>
      <c r="AY71" s="1342"/>
      <c r="AZ71" s="1342"/>
      <c r="BA71" s="1342"/>
      <c r="BB71" s="1342"/>
      <c r="BC71" s="1342"/>
      <c r="BD71" s="1342"/>
      <c r="BE71" s="1342"/>
      <c r="BF71" s="1342"/>
      <c r="BG71" s="757"/>
    </row>
    <row r="72" spans="1:59" hidden="1">
      <c r="B72" s="1247" t="s">
        <v>857</v>
      </c>
      <c r="C72" s="1286"/>
      <c r="D72" s="1285"/>
      <c r="E72" s="1286"/>
      <c r="F72" s="1303"/>
      <c r="G72" s="1286"/>
      <c r="H72" s="1286"/>
      <c r="I72" s="1288"/>
      <c r="J72" s="1288"/>
      <c r="K72" s="1288"/>
      <c r="L72" s="1288"/>
      <c r="M72" s="1288"/>
      <c r="N72" s="1288"/>
      <c r="O72" s="1288"/>
      <c r="P72" s="1288"/>
      <c r="Q72" s="757"/>
      <c r="R72" s="757"/>
      <c r="S72" s="1342"/>
      <c r="T72" s="1342"/>
      <c r="U72" s="1342"/>
      <c r="V72" s="1342"/>
      <c r="W72" s="1342"/>
      <c r="X72" s="1342"/>
      <c r="Y72" s="1342"/>
      <c r="Z72" s="1342"/>
      <c r="AA72" s="1342"/>
      <c r="AB72" s="1342"/>
      <c r="AC72" s="1342"/>
      <c r="AD72" s="1342"/>
      <c r="AE72" s="1342"/>
      <c r="AF72" s="1342"/>
      <c r="AG72" s="1342"/>
      <c r="AH72" s="1342"/>
      <c r="AI72" s="1342"/>
      <c r="AJ72" s="1342"/>
      <c r="AK72" s="1342"/>
      <c r="AL72" s="1342"/>
      <c r="AM72" s="1342"/>
      <c r="AN72" s="1342"/>
      <c r="AO72" s="1342"/>
      <c r="AP72" s="1342"/>
      <c r="AQ72" s="1342"/>
      <c r="AR72" s="1342"/>
      <c r="AS72" s="1342"/>
      <c r="AT72" s="1342"/>
      <c r="AU72" s="1342"/>
      <c r="AV72" s="1342"/>
      <c r="AW72" s="1342"/>
      <c r="AX72" s="1342"/>
      <c r="AY72" s="1342"/>
      <c r="AZ72" s="1342"/>
      <c r="BA72" s="1342"/>
      <c r="BB72" s="1342"/>
      <c r="BC72" s="1342"/>
      <c r="BD72" s="1342"/>
      <c r="BE72" s="1342"/>
      <c r="BF72" s="1342"/>
      <c r="BG72" s="757"/>
    </row>
    <row r="73" spans="1:59" s="1224" customFormat="1" hidden="1">
      <c r="A73" s="1219"/>
      <c r="B73" s="1242" t="s">
        <v>858</v>
      </c>
      <c r="C73" s="1343"/>
      <c r="D73" s="1344"/>
      <c r="E73" s="1343"/>
      <c r="F73" s="1345"/>
      <c r="G73" s="1343"/>
      <c r="H73" s="1343"/>
      <c r="I73" s="1340"/>
      <c r="J73" s="1340"/>
      <c r="K73" s="1340"/>
      <c r="L73" s="1340"/>
      <c r="M73" s="1340"/>
      <c r="N73" s="1340"/>
      <c r="O73" s="1340"/>
      <c r="P73" s="1340"/>
      <c r="Q73" s="1274"/>
      <c r="R73" s="1274"/>
      <c r="S73" s="1341"/>
      <c r="T73" s="1341"/>
      <c r="U73" s="1341"/>
      <c r="V73" s="1341"/>
      <c r="W73" s="1341"/>
      <c r="X73" s="1341"/>
      <c r="Y73" s="1341"/>
      <c r="Z73" s="1341"/>
      <c r="AA73" s="1341"/>
      <c r="AB73" s="1341"/>
      <c r="AC73" s="1341"/>
      <c r="AD73" s="1341"/>
      <c r="AE73" s="1341"/>
      <c r="AF73" s="1341"/>
      <c r="AG73" s="1341"/>
      <c r="AH73" s="1341"/>
      <c r="AI73" s="1341"/>
      <c r="AJ73" s="1341"/>
      <c r="AK73" s="1341"/>
      <c r="AL73" s="1341"/>
      <c r="AM73" s="1341"/>
      <c r="AN73" s="1341"/>
      <c r="AO73" s="1341"/>
      <c r="AP73" s="1341"/>
      <c r="AQ73" s="1341"/>
      <c r="AR73" s="1341"/>
      <c r="AS73" s="1341"/>
      <c r="AT73" s="1341"/>
      <c r="AU73" s="1341"/>
      <c r="AV73" s="1341"/>
      <c r="AW73" s="1341"/>
      <c r="AX73" s="1341"/>
      <c r="AY73" s="1341"/>
      <c r="AZ73" s="1341"/>
      <c r="BA73" s="1341"/>
      <c r="BB73" s="1341"/>
      <c r="BC73" s="1341"/>
      <c r="BD73" s="1341"/>
      <c r="BE73" s="1341"/>
      <c r="BF73" s="1341"/>
      <c r="BG73" s="1274"/>
    </row>
    <row r="74" spans="1:59" hidden="1">
      <c r="B74" s="1247" t="s">
        <v>859</v>
      </c>
      <c r="C74" s="1346"/>
      <c r="D74" s="1347"/>
      <c r="E74" s="1346"/>
      <c r="F74" s="1348"/>
      <c r="G74" s="1346"/>
      <c r="H74" s="1346"/>
      <c r="I74" s="1349"/>
      <c r="J74" s="1349"/>
      <c r="K74" s="1349"/>
      <c r="L74" s="1349"/>
      <c r="M74" s="1349"/>
      <c r="N74" s="1349"/>
      <c r="O74" s="1349"/>
      <c r="P74" s="1349"/>
      <c r="Q74" s="757"/>
      <c r="R74" s="757"/>
      <c r="S74" s="1342"/>
      <c r="T74" s="1342"/>
      <c r="U74" s="1342"/>
      <c r="V74" s="1342"/>
      <c r="W74" s="1342"/>
      <c r="X74" s="1342"/>
      <c r="Y74" s="1342"/>
      <c r="Z74" s="1342"/>
      <c r="AA74" s="1342"/>
      <c r="AB74" s="1342"/>
      <c r="AC74" s="1342"/>
      <c r="AD74" s="1342"/>
      <c r="AE74" s="1342"/>
      <c r="AF74" s="1342"/>
      <c r="AG74" s="1342"/>
      <c r="AH74" s="1342"/>
      <c r="AI74" s="1342"/>
      <c r="AJ74" s="1342"/>
      <c r="AK74" s="1342"/>
      <c r="AL74" s="1342"/>
      <c r="AM74" s="1342"/>
      <c r="AN74" s="1342"/>
      <c r="AO74" s="1342"/>
      <c r="AP74" s="1342"/>
      <c r="AQ74" s="1342"/>
      <c r="AR74" s="1342"/>
      <c r="AS74" s="1342"/>
      <c r="AT74" s="1342"/>
      <c r="AU74" s="1342"/>
      <c r="AV74" s="1342"/>
      <c r="AW74" s="1342"/>
      <c r="AX74" s="1342"/>
      <c r="AY74" s="1342"/>
      <c r="AZ74" s="1342"/>
      <c r="BA74" s="1342"/>
      <c r="BB74" s="1342"/>
      <c r="BC74" s="1342"/>
      <c r="BD74" s="1342"/>
      <c r="BE74" s="1342"/>
      <c r="BF74" s="1342"/>
      <c r="BG74" s="757"/>
    </row>
    <row r="75" spans="1:59" hidden="1">
      <c r="B75" s="1247"/>
      <c r="C75" s="1350"/>
      <c r="D75" s="1351"/>
      <c r="E75" s="1350"/>
      <c r="F75" s="1352"/>
      <c r="G75" s="1350"/>
      <c r="H75" s="1350"/>
      <c r="I75" s="1353"/>
      <c r="J75" s="1353"/>
      <c r="K75" s="1353"/>
      <c r="L75" s="1353"/>
      <c r="M75" s="1353"/>
      <c r="N75" s="1353"/>
      <c r="O75" s="1353"/>
      <c r="P75" s="1353"/>
      <c r="Q75" s="757"/>
      <c r="R75" s="757"/>
      <c r="S75" s="1342"/>
      <c r="T75" s="1342"/>
      <c r="U75" s="1342"/>
      <c r="V75" s="1342"/>
      <c r="W75" s="1342"/>
      <c r="X75" s="1342"/>
      <c r="Y75" s="1342"/>
      <c r="Z75" s="1342"/>
      <c r="AA75" s="1342"/>
      <c r="AB75" s="1342"/>
      <c r="AC75" s="1342"/>
      <c r="AD75" s="1342"/>
      <c r="AE75" s="1342"/>
      <c r="AF75" s="1342"/>
      <c r="AG75" s="1342"/>
      <c r="AH75" s="1342"/>
      <c r="AI75" s="1342"/>
      <c r="AJ75" s="1342"/>
      <c r="AK75" s="1342"/>
      <c r="AL75" s="1342"/>
      <c r="AM75" s="1342"/>
      <c r="AN75" s="1342"/>
      <c r="AO75" s="1342"/>
      <c r="AP75" s="1342"/>
      <c r="AQ75" s="1342"/>
      <c r="AR75" s="1342"/>
      <c r="AS75" s="1342"/>
      <c r="AT75" s="1342"/>
      <c r="AU75" s="1342"/>
      <c r="AV75" s="1342"/>
      <c r="AW75" s="1342"/>
      <c r="AX75" s="1342"/>
      <c r="AY75" s="1342"/>
      <c r="AZ75" s="1342"/>
      <c r="BA75" s="1342"/>
      <c r="BB75" s="1342"/>
      <c r="BC75" s="1342"/>
      <c r="BD75" s="1342"/>
      <c r="BE75" s="1342"/>
      <c r="BF75" s="1342"/>
      <c r="BG75" s="757"/>
    </row>
    <row r="76" spans="1:59" s="1224" customFormat="1" ht="14.4" hidden="1" thickBot="1">
      <c r="A76" s="1219" t="s">
        <v>875</v>
      </c>
      <c r="B76" s="1270" t="s">
        <v>876</v>
      </c>
      <c r="C76" s="1354"/>
      <c r="D76" s="1355"/>
      <c r="E76" s="1354"/>
      <c r="F76" s="1356"/>
      <c r="G76" s="1354"/>
      <c r="H76" s="1354"/>
      <c r="I76" s="1357"/>
      <c r="J76" s="1357"/>
      <c r="K76" s="1357"/>
      <c r="L76" s="1357"/>
      <c r="M76" s="1357"/>
      <c r="N76" s="1357"/>
      <c r="O76" s="1357"/>
      <c r="P76" s="1357"/>
      <c r="Q76" s="1271"/>
      <c r="R76" s="1271"/>
      <c r="S76" s="1358"/>
      <c r="T76" s="1358"/>
      <c r="U76" s="1358"/>
      <c r="V76" s="1358"/>
      <c r="W76" s="1358"/>
      <c r="X76" s="1358"/>
      <c r="Y76" s="1358"/>
      <c r="Z76" s="1358"/>
      <c r="AA76" s="1358"/>
      <c r="AB76" s="1358"/>
      <c r="AC76" s="1358"/>
      <c r="AD76" s="1358"/>
      <c r="AE76" s="1358"/>
      <c r="AF76" s="1358"/>
      <c r="AG76" s="1358"/>
      <c r="AH76" s="1358"/>
      <c r="AI76" s="1358"/>
      <c r="AJ76" s="1358"/>
      <c r="AK76" s="1358"/>
      <c r="AL76" s="1358"/>
      <c r="AM76" s="1358"/>
      <c r="AN76" s="1358"/>
      <c r="AO76" s="1358"/>
      <c r="AP76" s="1358"/>
      <c r="AQ76" s="1358"/>
      <c r="AR76" s="1358"/>
      <c r="AS76" s="1358"/>
      <c r="AT76" s="1358"/>
      <c r="AU76" s="1358"/>
      <c r="AV76" s="1358"/>
      <c r="AW76" s="1358"/>
      <c r="AX76" s="1358"/>
      <c r="AY76" s="1358"/>
      <c r="AZ76" s="1358"/>
      <c r="BA76" s="1358"/>
      <c r="BB76" s="1358"/>
      <c r="BC76" s="1358"/>
      <c r="BD76" s="1358"/>
      <c r="BE76" s="1358"/>
      <c r="BF76" s="1358"/>
    </row>
    <row r="77" spans="1:59" hidden="1">
      <c r="B77" s="1220" t="s">
        <v>877</v>
      </c>
      <c r="C77" s="1333"/>
      <c r="D77" s="1332"/>
      <c r="E77" s="1333"/>
      <c r="F77" s="1334"/>
      <c r="G77" s="1333"/>
      <c r="H77" s="1333"/>
      <c r="I77" s="1359"/>
      <c r="J77" s="1359"/>
      <c r="K77" s="1359"/>
      <c r="L77" s="1359"/>
      <c r="M77" s="1359"/>
      <c r="N77" s="1359"/>
      <c r="O77" s="1359"/>
      <c r="P77" s="1359"/>
      <c r="Q77" s="757"/>
      <c r="R77" s="757"/>
      <c r="S77" s="1342"/>
      <c r="T77" s="1342"/>
      <c r="U77" s="1342"/>
      <c r="V77" s="1342"/>
      <c r="W77" s="1342"/>
      <c r="X77" s="1342"/>
      <c r="Y77" s="1342"/>
      <c r="Z77" s="1342"/>
      <c r="AA77" s="1342"/>
      <c r="AB77" s="1342"/>
      <c r="AC77" s="1342"/>
      <c r="AD77" s="1342"/>
      <c r="AE77" s="1342"/>
      <c r="AF77" s="1342"/>
      <c r="AG77" s="1342"/>
      <c r="AH77" s="1342"/>
      <c r="AI77" s="1342"/>
      <c r="AJ77" s="1342"/>
      <c r="AK77" s="1342"/>
      <c r="AL77" s="1342"/>
      <c r="AM77" s="1342"/>
      <c r="AN77" s="1342"/>
      <c r="AO77" s="1342"/>
      <c r="AP77" s="1342"/>
      <c r="AQ77" s="1342"/>
      <c r="AR77" s="1342"/>
      <c r="AS77" s="1342"/>
      <c r="AT77" s="1342"/>
      <c r="AU77" s="1342"/>
      <c r="AV77" s="1342"/>
      <c r="AW77" s="1342"/>
      <c r="AX77" s="1342"/>
      <c r="AY77" s="1342"/>
      <c r="AZ77" s="1342"/>
      <c r="BA77" s="1342"/>
      <c r="BB77" s="1342"/>
      <c r="BC77" s="1342"/>
      <c r="BD77" s="1342"/>
      <c r="BE77" s="1342"/>
      <c r="BF77" s="1342"/>
      <c r="BG77" s="757"/>
    </row>
    <row r="78" spans="1:59" hidden="1">
      <c r="C78" s="1286"/>
      <c r="D78" s="1285"/>
      <c r="E78" s="1286"/>
      <c r="F78" s="1303"/>
      <c r="G78" s="1286"/>
      <c r="H78" s="1286"/>
      <c r="I78" s="1288"/>
      <c r="J78" s="1288"/>
      <c r="K78" s="1288"/>
      <c r="L78" s="1288"/>
      <c r="M78" s="1288"/>
      <c r="N78" s="1288"/>
      <c r="O78" s="1288"/>
      <c r="P78" s="1288"/>
      <c r="Q78" s="757"/>
      <c r="R78" s="757"/>
      <c r="S78" s="1342"/>
      <c r="T78" s="1342"/>
      <c r="U78" s="1342"/>
      <c r="V78" s="1342"/>
      <c r="W78" s="1342"/>
      <c r="X78" s="1342"/>
      <c r="Y78" s="1342"/>
      <c r="Z78" s="1342"/>
      <c r="AA78" s="1342"/>
      <c r="AB78" s="1342"/>
      <c r="AC78" s="1342"/>
      <c r="AD78" s="1342"/>
      <c r="AE78" s="1342"/>
      <c r="AF78" s="1342"/>
      <c r="AG78" s="1342"/>
      <c r="AH78" s="1342"/>
      <c r="AI78" s="1342"/>
      <c r="AJ78" s="1342"/>
      <c r="AK78" s="1342"/>
      <c r="AL78" s="1342"/>
      <c r="AM78" s="1342"/>
      <c r="AN78" s="1342"/>
      <c r="AO78" s="1342"/>
      <c r="AP78" s="1342"/>
      <c r="AQ78" s="1342"/>
      <c r="AR78" s="1342"/>
      <c r="AS78" s="1342"/>
      <c r="AT78" s="1342"/>
      <c r="AU78" s="1342"/>
      <c r="AV78" s="1342"/>
      <c r="AW78" s="1342"/>
      <c r="AX78" s="1342"/>
      <c r="AY78" s="1342"/>
      <c r="AZ78" s="1342"/>
      <c r="BA78" s="1342"/>
      <c r="BB78" s="1342"/>
      <c r="BC78" s="1342"/>
      <c r="BD78" s="1342"/>
      <c r="BE78" s="1342"/>
      <c r="BF78" s="1342"/>
      <c r="BG78" s="757"/>
    </row>
    <row r="79" spans="1:59" hidden="1">
      <c r="B79" s="1360"/>
      <c r="C79" s="1286"/>
      <c r="D79" s="1285"/>
      <c r="E79" s="1286"/>
      <c r="F79" s="1303"/>
      <c r="G79" s="1286"/>
      <c r="H79" s="1286"/>
      <c r="I79" s="1288"/>
      <c r="J79" s="1288"/>
      <c r="K79" s="1288"/>
      <c r="L79" s="1288"/>
      <c r="M79" s="1288"/>
      <c r="N79" s="1288"/>
      <c r="O79" s="1288"/>
      <c r="P79" s="1288"/>
      <c r="Q79" s="757"/>
      <c r="R79" s="757"/>
      <c r="S79" s="1342"/>
      <c r="T79" s="1342"/>
      <c r="U79" s="1342"/>
      <c r="V79" s="1342"/>
      <c r="W79" s="1342"/>
      <c r="X79" s="1342"/>
      <c r="Y79" s="1342"/>
      <c r="Z79" s="1342"/>
      <c r="AA79" s="1342"/>
      <c r="AB79" s="1342"/>
      <c r="AC79" s="1342"/>
      <c r="AD79" s="1342"/>
      <c r="AE79" s="1342"/>
      <c r="AF79" s="1342"/>
      <c r="AG79" s="1342"/>
      <c r="AH79" s="1342"/>
      <c r="AI79" s="1342"/>
      <c r="AJ79" s="1342"/>
      <c r="AK79" s="1342"/>
      <c r="AL79" s="1342"/>
      <c r="AM79" s="1342"/>
      <c r="AN79" s="1342"/>
      <c r="AO79" s="1342"/>
      <c r="AP79" s="1342"/>
      <c r="AQ79" s="1342"/>
      <c r="AR79" s="1342"/>
      <c r="AS79" s="1342"/>
      <c r="AT79" s="1342"/>
      <c r="AU79" s="1342"/>
      <c r="AV79" s="1342"/>
      <c r="AW79" s="1342"/>
      <c r="AX79" s="1342"/>
      <c r="AY79" s="1342"/>
      <c r="AZ79" s="1342"/>
      <c r="BA79" s="1342"/>
      <c r="BB79" s="1342"/>
      <c r="BC79" s="1342"/>
      <c r="BD79" s="1342"/>
      <c r="BE79" s="1342"/>
      <c r="BF79" s="1342"/>
      <c r="BG79" s="757"/>
    </row>
    <row r="80" spans="1:59" hidden="1">
      <c r="B80" s="1360"/>
      <c r="C80" s="1286"/>
      <c r="D80" s="1285"/>
      <c r="E80" s="1286"/>
      <c r="F80" s="1303"/>
      <c r="G80" s="1286"/>
      <c r="H80" s="1286"/>
      <c r="I80" s="1288"/>
      <c r="J80" s="1288"/>
      <c r="K80" s="1288"/>
      <c r="L80" s="1288"/>
      <c r="M80" s="1288"/>
      <c r="N80" s="1288"/>
      <c r="O80" s="1288"/>
      <c r="P80" s="1288"/>
      <c r="Q80" s="757"/>
      <c r="R80" s="757"/>
      <c r="S80" s="1342"/>
      <c r="T80" s="1342"/>
      <c r="U80" s="1342"/>
      <c r="V80" s="1342"/>
      <c r="W80" s="1342"/>
      <c r="X80" s="1342"/>
      <c r="Y80" s="1342"/>
      <c r="Z80" s="1342"/>
      <c r="AA80" s="1342"/>
      <c r="AB80" s="1342"/>
      <c r="AC80" s="1342"/>
      <c r="AD80" s="1342"/>
      <c r="AE80" s="1342"/>
      <c r="AF80" s="1342"/>
      <c r="AG80" s="1342"/>
      <c r="AH80" s="1342"/>
      <c r="AI80" s="1342"/>
      <c r="AJ80" s="1342"/>
      <c r="AK80" s="1342"/>
      <c r="AL80" s="1342"/>
      <c r="AM80" s="1342"/>
      <c r="AN80" s="1342"/>
      <c r="AO80" s="1342"/>
      <c r="AP80" s="1342"/>
      <c r="AQ80" s="1342"/>
      <c r="AR80" s="1342"/>
      <c r="AS80" s="1342"/>
      <c r="AT80" s="1342"/>
      <c r="AU80" s="1342"/>
      <c r="AV80" s="1342"/>
      <c r="AW80" s="1342"/>
      <c r="AX80" s="1342"/>
      <c r="AY80" s="1342"/>
      <c r="AZ80" s="1342"/>
      <c r="BA80" s="1342"/>
      <c r="BB80" s="1342"/>
      <c r="BC80" s="1342"/>
      <c r="BD80" s="1342"/>
      <c r="BE80" s="1342"/>
      <c r="BF80" s="1342"/>
      <c r="BG80" s="757"/>
    </row>
    <row r="81" spans="1:59" hidden="1">
      <c r="B81" s="1360"/>
      <c r="C81" s="1286"/>
      <c r="D81" s="1285"/>
      <c r="E81" s="1286"/>
      <c r="F81" s="1303"/>
      <c r="G81" s="1286"/>
      <c r="H81" s="1286"/>
      <c r="I81" s="1288"/>
      <c r="J81" s="1288"/>
      <c r="K81" s="1288"/>
      <c r="L81" s="1288"/>
      <c r="M81" s="1288"/>
      <c r="N81" s="1288"/>
      <c r="O81" s="1288"/>
      <c r="P81" s="1288"/>
      <c r="Q81" s="757"/>
      <c r="R81" s="757"/>
      <c r="S81" s="1342"/>
      <c r="T81" s="1342"/>
      <c r="U81" s="1342"/>
      <c r="V81" s="1342"/>
      <c r="W81" s="1342"/>
      <c r="X81" s="1342"/>
      <c r="Y81" s="1342"/>
      <c r="Z81" s="1342"/>
      <c r="AA81" s="1342"/>
      <c r="AB81" s="1342"/>
      <c r="AC81" s="1342"/>
      <c r="AD81" s="1342"/>
      <c r="AE81" s="1342"/>
      <c r="AF81" s="1342"/>
      <c r="AG81" s="1342"/>
      <c r="AH81" s="1342"/>
      <c r="AI81" s="1342"/>
      <c r="AJ81" s="1342"/>
      <c r="AK81" s="1342"/>
      <c r="AL81" s="1342"/>
      <c r="AM81" s="1342"/>
      <c r="AN81" s="1342"/>
      <c r="AO81" s="1342"/>
      <c r="AP81" s="1342"/>
      <c r="AQ81" s="1342"/>
      <c r="AR81" s="1342"/>
      <c r="AS81" s="1342"/>
      <c r="AT81" s="1342"/>
      <c r="AU81" s="1342"/>
      <c r="AV81" s="1342"/>
      <c r="AW81" s="1342"/>
      <c r="AX81" s="1342"/>
      <c r="AY81" s="1342"/>
      <c r="AZ81" s="1342"/>
      <c r="BA81" s="1342"/>
      <c r="BB81" s="1342"/>
      <c r="BC81" s="1342"/>
      <c r="BD81" s="1342"/>
      <c r="BE81" s="1342"/>
      <c r="BF81" s="1342"/>
      <c r="BG81" s="757"/>
    </row>
    <row r="82" spans="1:59" hidden="1">
      <c r="B82" s="1360"/>
      <c r="C82" s="1346"/>
      <c r="D82" s="1347"/>
      <c r="E82" s="1346"/>
      <c r="F82" s="1348"/>
      <c r="G82" s="1346"/>
      <c r="H82" s="1346"/>
      <c r="I82" s="1349"/>
      <c r="J82" s="1349"/>
      <c r="K82" s="1349"/>
      <c r="L82" s="1349"/>
      <c r="M82" s="1349"/>
      <c r="N82" s="1349"/>
      <c r="O82" s="1349"/>
      <c r="P82" s="1349"/>
      <c r="Q82" s="757"/>
      <c r="R82" s="757"/>
      <c r="S82" s="1342"/>
      <c r="T82" s="1342"/>
      <c r="U82" s="1342"/>
      <c r="V82" s="1342"/>
      <c r="W82" s="1342"/>
      <c r="X82" s="1342"/>
      <c r="Y82" s="1342"/>
      <c r="Z82" s="1342"/>
      <c r="AA82" s="1342"/>
      <c r="AB82" s="1342"/>
      <c r="AC82" s="1342"/>
      <c r="AD82" s="1342"/>
      <c r="AE82" s="1342"/>
      <c r="AF82" s="1342"/>
      <c r="AG82" s="1342"/>
      <c r="AH82" s="1342"/>
      <c r="AI82" s="1342"/>
      <c r="AJ82" s="1342"/>
      <c r="AK82" s="1342"/>
      <c r="AL82" s="1342"/>
      <c r="AM82" s="1342"/>
      <c r="AN82" s="1342"/>
      <c r="AO82" s="1342"/>
      <c r="AP82" s="1342"/>
      <c r="AQ82" s="1342"/>
      <c r="AR82" s="1342"/>
      <c r="AS82" s="1342"/>
      <c r="AT82" s="1342"/>
      <c r="AU82" s="1342"/>
      <c r="AV82" s="1342"/>
      <c r="AW82" s="1342"/>
      <c r="AX82" s="1342"/>
      <c r="AY82" s="1342"/>
      <c r="AZ82" s="1342"/>
      <c r="BA82" s="1342"/>
      <c r="BB82" s="1342"/>
      <c r="BC82" s="1342"/>
      <c r="BD82" s="1342"/>
      <c r="BE82" s="1342"/>
      <c r="BF82" s="1342"/>
      <c r="BG82" s="757"/>
    </row>
    <row r="83" spans="1:59" s="1224" customFormat="1" ht="14.4" hidden="1" thickBot="1">
      <c r="A83" s="1219" t="s">
        <v>878</v>
      </c>
      <c r="B83" s="1270" t="s">
        <v>879</v>
      </c>
      <c r="C83" s="1361"/>
      <c r="D83" s="1362"/>
      <c r="E83" s="1361"/>
      <c r="F83" s="1363"/>
      <c r="G83" s="1361"/>
      <c r="H83" s="1361"/>
      <c r="I83" s="1364"/>
      <c r="J83" s="1364"/>
      <c r="K83" s="1364"/>
      <c r="L83" s="1364"/>
      <c r="M83" s="1364"/>
      <c r="N83" s="1364"/>
      <c r="O83" s="1364"/>
      <c r="P83" s="1364"/>
      <c r="Q83" s="1271"/>
      <c r="R83" s="1271"/>
      <c r="S83" s="1358"/>
      <c r="T83" s="1358"/>
      <c r="U83" s="1358"/>
      <c r="V83" s="1358"/>
      <c r="W83" s="1358"/>
      <c r="X83" s="1358"/>
      <c r="Y83" s="1358"/>
      <c r="Z83" s="1358"/>
      <c r="AA83" s="1358"/>
      <c r="AB83" s="1358"/>
      <c r="AC83" s="1358"/>
      <c r="AD83" s="1358"/>
      <c r="AE83" s="1358"/>
      <c r="AF83" s="1358"/>
      <c r="AG83" s="1358"/>
      <c r="AH83" s="1358"/>
      <c r="AI83" s="1358"/>
      <c r="AJ83" s="1358"/>
      <c r="AK83" s="1358"/>
      <c r="AL83" s="1358"/>
      <c r="AM83" s="1358"/>
      <c r="AN83" s="1358"/>
      <c r="AO83" s="1358"/>
      <c r="AP83" s="1358"/>
      <c r="AQ83" s="1358"/>
      <c r="AR83" s="1358"/>
      <c r="AS83" s="1358"/>
      <c r="AT83" s="1358"/>
      <c r="AU83" s="1358"/>
      <c r="AV83" s="1358"/>
      <c r="AW83" s="1358"/>
      <c r="AX83" s="1358"/>
      <c r="AY83" s="1358"/>
      <c r="AZ83" s="1358"/>
      <c r="BA83" s="1358"/>
      <c r="BB83" s="1358"/>
      <c r="BC83" s="1358"/>
      <c r="BD83" s="1358"/>
      <c r="BE83" s="1358"/>
      <c r="BF83" s="1358"/>
      <c r="BG83" s="1274"/>
    </row>
    <row r="84" spans="1:59" hidden="1">
      <c r="B84" s="1283" t="s">
        <v>880</v>
      </c>
      <c r="C84" s="1333"/>
      <c r="D84" s="1332"/>
      <c r="E84" s="1333"/>
      <c r="F84" s="1334"/>
      <c r="G84" s="1333"/>
      <c r="H84" s="1333"/>
      <c r="I84" s="1359"/>
      <c r="J84" s="1359"/>
      <c r="K84" s="1359"/>
      <c r="L84" s="1359"/>
      <c r="M84" s="1359"/>
      <c r="N84" s="1359"/>
      <c r="O84" s="1359"/>
      <c r="P84" s="1359"/>
      <c r="Q84" s="757"/>
      <c r="R84" s="757"/>
      <c r="S84" s="1342"/>
      <c r="T84" s="1342"/>
      <c r="U84" s="1342"/>
      <c r="V84" s="1342"/>
      <c r="W84" s="1342"/>
      <c r="X84" s="1342"/>
      <c r="Y84" s="1342"/>
      <c r="Z84" s="1342"/>
      <c r="AA84" s="1342"/>
      <c r="AB84" s="1342"/>
      <c r="AC84" s="1342"/>
      <c r="AD84" s="1342"/>
      <c r="AE84" s="1342"/>
      <c r="AF84" s="1342"/>
      <c r="AG84" s="1342"/>
      <c r="AH84" s="1342"/>
      <c r="AI84" s="1342"/>
      <c r="AJ84" s="1342"/>
      <c r="AK84" s="1342"/>
      <c r="AL84" s="1342"/>
      <c r="AM84" s="1342"/>
      <c r="AN84" s="1342"/>
      <c r="AO84" s="1342"/>
      <c r="AP84" s="1342"/>
      <c r="AQ84" s="1342"/>
      <c r="AR84" s="1342"/>
      <c r="AS84" s="1342"/>
      <c r="AT84" s="1342"/>
      <c r="AU84" s="1342"/>
      <c r="AV84" s="1342"/>
      <c r="AW84" s="1342"/>
      <c r="AX84" s="1342"/>
      <c r="AY84" s="1342"/>
      <c r="AZ84" s="1342"/>
      <c r="BA84" s="1342"/>
      <c r="BB84" s="1342"/>
      <c r="BC84" s="1342"/>
      <c r="BD84" s="1342"/>
      <c r="BE84" s="1342"/>
      <c r="BF84" s="1342"/>
      <c r="BG84" s="757"/>
    </row>
    <row r="85" spans="1:59" hidden="1">
      <c r="B85" s="1242"/>
      <c r="C85" s="1286"/>
      <c r="D85" s="1285"/>
      <c r="E85" s="1286"/>
      <c r="F85" s="1303"/>
      <c r="G85" s="1286"/>
      <c r="H85" s="1286"/>
      <c r="I85" s="1288"/>
      <c r="J85" s="1288"/>
      <c r="K85" s="1288"/>
      <c r="L85" s="1288"/>
      <c r="M85" s="1288"/>
      <c r="N85" s="1288"/>
      <c r="O85" s="1288"/>
      <c r="P85" s="1288"/>
      <c r="Q85" s="757"/>
      <c r="R85" s="757"/>
      <c r="S85" s="1342"/>
      <c r="T85" s="1342"/>
      <c r="U85" s="1342"/>
      <c r="V85" s="1342"/>
      <c r="W85" s="1342"/>
      <c r="X85" s="1342"/>
      <c r="Y85" s="1342"/>
      <c r="Z85" s="1342"/>
      <c r="AA85" s="1342"/>
      <c r="AB85" s="1342"/>
      <c r="AC85" s="1342"/>
      <c r="AD85" s="1342"/>
      <c r="AE85" s="1342"/>
      <c r="AF85" s="1342"/>
      <c r="AG85" s="1342"/>
      <c r="AH85" s="1342"/>
      <c r="AI85" s="1342"/>
      <c r="AJ85" s="1342"/>
      <c r="AK85" s="1342"/>
      <c r="AL85" s="1342"/>
      <c r="AM85" s="1342"/>
      <c r="AN85" s="1342"/>
      <c r="AO85" s="1342"/>
      <c r="AP85" s="1342"/>
      <c r="AQ85" s="1342"/>
      <c r="AR85" s="1342"/>
      <c r="AS85" s="1342"/>
      <c r="AT85" s="1342"/>
      <c r="AU85" s="1342"/>
      <c r="AV85" s="1342"/>
      <c r="AW85" s="1342"/>
      <c r="AX85" s="1342"/>
      <c r="AY85" s="1342"/>
      <c r="AZ85" s="1342"/>
      <c r="BA85" s="1342"/>
      <c r="BB85" s="1342"/>
      <c r="BC85" s="1342"/>
      <c r="BD85" s="1342"/>
      <c r="BE85" s="1342"/>
      <c r="BF85" s="1342"/>
      <c r="BG85" s="757"/>
    </row>
    <row r="86" spans="1:59" hidden="1">
      <c r="B86" s="1242"/>
      <c r="C86" s="1286"/>
      <c r="D86" s="1285"/>
      <c r="E86" s="1286"/>
      <c r="F86" s="1303"/>
      <c r="G86" s="1286"/>
      <c r="H86" s="1286"/>
      <c r="I86" s="1288"/>
      <c r="J86" s="1288"/>
      <c r="K86" s="1288"/>
      <c r="L86" s="1288"/>
      <c r="M86" s="1288"/>
      <c r="N86" s="1288"/>
      <c r="O86" s="1288"/>
      <c r="P86" s="1288"/>
      <c r="Q86" s="757"/>
      <c r="R86" s="757"/>
      <c r="S86" s="1342"/>
      <c r="T86" s="1342"/>
      <c r="U86" s="1342"/>
      <c r="V86" s="1342"/>
      <c r="W86" s="1342"/>
      <c r="X86" s="1342"/>
      <c r="Y86" s="1342"/>
      <c r="Z86" s="1342"/>
      <c r="AA86" s="1342"/>
      <c r="AB86" s="1342"/>
      <c r="AC86" s="1342"/>
      <c r="AD86" s="1342"/>
      <c r="AE86" s="1342"/>
      <c r="AF86" s="1342"/>
      <c r="AG86" s="1342"/>
      <c r="AH86" s="1342"/>
      <c r="AI86" s="1342"/>
      <c r="AJ86" s="1342"/>
      <c r="AK86" s="1342"/>
      <c r="AL86" s="1342"/>
      <c r="AM86" s="1342"/>
      <c r="AN86" s="1342"/>
      <c r="AO86" s="1342"/>
      <c r="AP86" s="1342"/>
      <c r="AQ86" s="1342"/>
      <c r="AR86" s="1342"/>
      <c r="AS86" s="1342"/>
      <c r="AT86" s="1342"/>
      <c r="AU86" s="1342"/>
      <c r="AV86" s="1342"/>
      <c r="AW86" s="1342"/>
      <c r="AX86" s="1342"/>
      <c r="AY86" s="1342"/>
      <c r="AZ86" s="1342"/>
      <c r="BA86" s="1342"/>
      <c r="BB86" s="1342"/>
      <c r="BC86" s="1342"/>
      <c r="BD86" s="1342"/>
      <c r="BE86" s="1342"/>
      <c r="BF86" s="1342"/>
      <c r="BG86" s="757"/>
    </row>
    <row r="87" spans="1:59" hidden="1">
      <c r="B87" s="1242"/>
      <c r="C87" s="1286"/>
      <c r="D87" s="1285"/>
      <c r="E87" s="1286"/>
      <c r="F87" s="1303"/>
      <c r="G87" s="1286"/>
      <c r="H87" s="1286"/>
      <c r="I87" s="1288"/>
      <c r="J87" s="1288"/>
      <c r="K87" s="1288"/>
      <c r="L87" s="1288"/>
      <c r="M87" s="1288"/>
      <c r="N87" s="1288"/>
      <c r="O87" s="1288"/>
      <c r="P87" s="1288"/>
      <c r="Q87" s="757"/>
      <c r="R87" s="757"/>
      <c r="S87" s="1342"/>
      <c r="T87" s="1342"/>
      <c r="U87" s="1342"/>
      <c r="V87" s="1342"/>
      <c r="W87" s="1342"/>
      <c r="X87" s="1342"/>
      <c r="Y87" s="1342"/>
      <c r="Z87" s="1342"/>
      <c r="AA87" s="1342"/>
      <c r="AB87" s="1342"/>
      <c r="AC87" s="1342"/>
      <c r="AD87" s="1342"/>
      <c r="AE87" s="1342"/>
      <c r="AF87" s="1342"/>
      <c r="AG87" s="1342"/>
      <c r="AH87" s="1342"/>
      <c r="AI87" s="1342"/>
      <c r="AJ87" s="1342"/>
      <c r="AK87" s="1342"/>
      <c r="AL87" s="1342"/>
      <c r="AM87" s="1342"/>
      <c r="AN87" s="1342"/>
      <c r="AO87" s="1342"/>
      <c r="AP87" s="1342"/>
      <c r="AQ87" s="1342"/>
      <c r="AR87" s="1342"/>
      <c r="AS87" s="1342"/>
      <c r="AT87" s="1342"/>
      <c r="AU87" s="1342"/>
      <c r="AV87" s="1342"/>
      <c r="AW87" s="1342"/>
      <c r="AX87" s="1342"/>
      <c r="AY87" s="1342"/>
      <c r="AZ87" s="1342"/>
      <c r="BA87" s="1342"/>
      <c r="BB87" s="1342"/>
      <c r="BC87" s="1342"/>
      <c r="BD87" s="1342"/>
      <c r="BE87" s="1342"/>
      <c r="BF87" s="1342"/>
      <c r="BG87" s="757"/>
    </row>
    <row r="88" spans="1:59" hidden="1">
      <c r="B88" s="1283"/>
      <c r="C88" s="1286"/>
      <c r="D88" s="1285"/>
      <c r="E88" s="1286"/>
      <c r="F88" s="1303"/>
      <c r="G88" s="1286"/>
      <c r="H88" s="1286"/>
      <c r="I88" s="1288"/>
      <c r="J88" s="1288"/>
      <c r="K88" s="1288"/>
      <c r="L88" s="1288"/>
      <c r="M88" s="1288"/>
      <c r="N88" s="1288"/>
      <c r="O88" s="1288"/>
      <c r="P88" s="1288"/>
      <c r="Q88" s="757"/>
      <c r="R88" s="757"/>
      <c r="S88" s="1342"/>
      <c r="T88" s="1342"/>
      <c r="U88" s="1342"/>
      <c r="V88" s="1342"/>
      <c r="W88" s="1342"/>
      <c r="X88" s="1342"/>
      <c r="Y88" s="1342"/>
      <c r="Z88" s="1342"/>
      <c r="AA88" s="1342"/>
      <c r="AB88" s="1342"/>
      <c r="AC88" s="1342"/>
      <c r="AD88" s="1342"/>
      <c r="AE88" s="1342"/>
      <c r="AF88" s="1342"/>
      <c r="AG88" s="1342"/>
      <c r="AH88" s="1342"/>
      <c r="AI88" s="1342"/>
      <c r="AJ88" s="1342"/>
      <c r="AK88" s="1342"/>
      <c r="AL88" s="1342"/>
      <c r="AM88" s="1342"/>
      <c r="AN88" s="1342"/>
      <c r="AO88" s="1342"/>
      <c r="AP88" s="1342"/>
      <c r="AQ88" s="1342"/>
      <c r="AR88" s="1342"/>
      <c r="AS88" s="1342"/>
      <c r="AT88" s="1342"/>
      <c r="AU88" s="1342"/>
      <c r="AV88" s="1342"/>
      <c r="AW88" s="1342"/>
      <c r="AX88" s="1342"/>
      <c r="AY88" s="1342"/>
      <c r="AZ88" s="1342"/>
      <c r="BA88" s="1342"/>
      <c r="BB88" s="1342"/>
      <c r="BC88" s="1342"/>
      <c r="BD88" s="1342"/>
      <c r="BE88" s="1342"/>
      <c r="BF88" s="1342"/>
      <c r="BG88" s="757"/>
    </row>
    <row r="89" spans="1:59" hidden="1">
      <c r="B89" s="1242"/>
      <c r="C89" s="1286"/>
      <c r="D89" s="1285"/>
      <c r="E89" s="1286"/>
      <c r="F89" s="1303"/>
      <c r="G89" s="1286"/>
      <c r="H89" s="1286"/>
      <c r="I89" s="1288"/>
      <c r="J89" s="1288"/>
      <c r="K89" s="1288"/>
      <c r="L89" s="1288"/>
      <c r="M89" s="1288"/>
      <c r="N89" s="1288"/>
      <c r="O89" s="1288"/>
      <c r="P89" s="1288"/>
      <c r="Q89" s="757"/>
      <c r="R89" s="757"/>
      <c r="S89" s="1342"/>
      <c r="T89" s="1342"/>
      <c r="U89" s="1342"/>
      <c r="V89" s="1342"/>
      <c r="W89" s="1342"/>
      <c r="X89" s="1342"/>
      <c r="Y89" s="1342"/>
      <c r="Z89" s="1342"/>
      <c r="AA89" s="1342"/>
      <c r="AB89" s="1342"/>
      <c r="AC89" s="1342"/>
      <c r="AD89" s="1342"/>
      <c r="AE89" s="1342"/>
      <c r="AF89" s="1342"/>
      <c r="AG89" s="1342"/>
      <c r="AH89" s="1342"/>
      <c r="AI89" s="1342"/>
      <c r="AJ89" s="1342"/>
      <c r="AK89" s="1342"/>
      <c r="AL89" s="1342"/>
      <c r="AM89" s="1342"/>
      <c r="AN89" s="1342"/>
      <c r="AO89" s="1342"/>
      <c r="AP89" s="1342"/>
      <c r="AQ89" s="1342"/>
      <c r="AR89" s="1342"/>
      <c r="AS89" s="1342"/>
      <c r="AT89" s="1342"/>
      <c r="AU89" s="1342"/>
      <c r="AV89" s="1342"/>
      <c r="AW89" s="1342"/>
      <c r="AX89" s="1342"/>
      <c r="AY89" s="1342"/>
      <c r="AZ89" s="1342"/>
      <c r="BA89" s="1342"/>
      <c r="BB89" s="1342"/>
      <c r="BC89" s="1342"/>
      <c r="BD89" s="1342"/>
      <c r="BE89" s="1342"/>
      <c r="BF89" s="1342"/>
      <c r="BG89" s="757"/>
    </row>
    <row r="90" spans="1:59" hidden="1">
      <c r="B90" s="1283" t="s">
        <v>881</v>
      </c>
      <c r="C90" s="1286"/>
      <c r="D90" s="1285"/>
      <c r="E90" s="1286"/>
      <c r="F90" s="1303"/>
      <c r="G90" s="1286"/>
      <c r="H90" s="1286"/>
      <c r="I90" s="1288"/>
      <c r="J90" s="1288"/>
      <c r="K90" s="1288"/>
      <c r="L90" s="1288"/>
      <c r="M90" s="1288"/>
      <c r="N90" s="1288"/>
      <c r="O90" s="1288"/>
      <c r="P90" s="1288"/>
      <c r="Q90" s="757"/>
      <c r="R90" s="757"/>
      <c r="S90" s="1342"/>
      <c r="T90" s="1342"/>
      <c r="U90" s="1342"/>
      <c r="V90" s="1342"/>
      <c r="W90" s="1342"/>
      <c r="X90" s="1342"/>
      <c r="Y90" s="1342"/>
      <c r="Z90" s="1342"/>
      <c r="AA90" s="1342"/>
      <c r="AB90" s="1342"/>
      <c r="AC90" s="1342"/>
      <c r="AD90" s="1342"/>
      <c r="AE90" s="1342"/>
      <c r="AF90" s="1342"/>
      <c r="AG90" s="1342"/>
      <c r="AH90" s="1342"/>
      <c r="AI90" s="1342"/>
      <c r="AJ90" s="1342"/>
      <c r="AK90" s="1342"/>
      <c r="AL90" s="1342"/>
      <c r="AM90" s="1342"/>
      <c r="AN90" s="1342"/>
      <c r="AO90" s="1342"/>
      <c r="AP90" s="1342"/>
      <c r="AQ90" s="1342"/>
      <c r="AR90" s="1342"/>
      <c r="AS90" s="1342"/>
      <c r="AT90" s="1342"/>
      <c r="AU90" s="1342"/>
      <c r="AV90" s="1342"/>
      <c r="AW90" s="1342"/>
      <c r="AX90" s="1342"/>
      <c r="AY90" s="1342"/>
      <c r="AZ90" s="1342"/>
      <c r="BA90" s="1342"/>
      <c r="BB90" s="1342"/>
      <c r="BC90" s="1342"/>
      <c r="BD90" s="1342"/>
      <c r="BE90" s="1342"/>
      <c r="BF90" s="1342"/>
      <c r="BG90" s="757"/>
    </row>
    <row r="91" spans="1:59" hidden="1">
      <c r="B91" s="1360"/>
      <c r="C91" s="1286"/>
      <c r="D91" s="1285"/>
      <c r="E91" s="1286"/>
      <c r="F91" s="1303"/>
      <c r="G91" s="1286"/>
      <c r="H91" s="1286"/>
      <c r="I91" s="1288"/>
      <c r="J91" s="1288"/>
      <c r="K91" s="1288"/>
      <c r="L91" s="1288"/>
      <c r="M91" s="1288"/>
      <c r="N91" s="1288"/>
      <c r="O91" s="1288"/>
      <c r="P91" s="1288"/>
      <c r="Q91" s="757"/>
      <c r="R91" s="757"/>
      <c r="S91" s="1342"/>
      <c r="T91" s="1342"/>
      <c r="U91" s="1342"/>
      <c r="V91" s="1342"/>
      <c r="W91" s="1342"/>
      <c r="X91" s="1342"/>
      <c r="Y91" s="1342"/>
      <c r="Z91" s="1342"/>
      <c r="AA91" s="1342"/>
      <c r="AB91" s="1342"/>
      <c r="AC91" s="1342"/>
      <c r="AD91" s="1342"/>
      <c r="AE91" s="1342"/>
      <c r="AF91" s="1342"/>
      <c r="AG91" s="1342"/>
      <c r="AH91" s="1342"/>
      <c r="AI91" s="1342"/>
      <c r="AJ91" s="1342"/>
      <c r="AK91" s="1342"/>
      <c r="AL91" s="1342"/>
      <c r="AM91" s="1342"/>
      <c r="AN91" s="1342"/>
      <c r="AO91" s="1342"/>
      <c r="AP91" s="1342"/>
      <c r="AQ91" s="1342"/>
      <c r="AR91" s="1342"/>
      <c r="AS91" s="1342"/>
      <c r="AT91" s="1342"/>
      <c r="AU91" s="1342"/>
      <c r="AV91" s="1342"/>
      <c r="AW91" s="1342"/>
      <c r="AX91" s="1342"/>
      <c r="AY91" s="1342"/>
      <c r="AZ91" s="1342"/>
      <c r="BA91" s="1342"/>
      <c r="BB91" s="1342"/>
      <c r="BC91" s="1342"/>
      <c r="BD91" s="1342"/>
      <c r="BE91" s="1342"/>
      <c r="BF91" s="1342"/>
      <c r="BG91" s="757"/>
    </row>
    <row r="92" spans="1:59" s="1366" customFormat="1" hidden="1">
      <c r="A92" s="1365"/>
      <c r="C92" s="1284"/>
      <c r="D92" s="1367"/>
      <c r="E92" s="1284"/>
      <c r="F92" s="1368"/>
      <c r="G92" s="1284"/>
      <c r="H92" s="1284"/>
      <c r="I92" s="1369"/>
      <c r="J92" s="1369"/>
      <c r="K92" s="1369"/>
      <c r="L92" s="1369"/>
      <c r="M92" s="1369"/>
      <c r="N92" s="1369"/>
      <c r="O92" s="1369"/>
      <c r="P92" s="1369"/>
      <c r="Q92" s="1370"/>
      <c r="R92" s="1370"/>
      <c r="S92" s="1371"/>
      <c r="T92" s="1371"/>
      <c r="U92" s="1371"/>
      <c r="V92" s="1371"/>
      <c r="W92" s="1371"/>
      <c r="X92" s="1371"/>
      <c r="Y92" s="1371"/>
      <c r="Z92" s="1371"/>
      <c r="AA92" s="1371"/>
      <c r="AB92" s="1371"/>
      <c r="AC92" s="1371"/>
      <c r="AD92" s="1371"/>
      <c r="AE92" s="1371"/>
      <c r="AF92" s="1371"/>
      <c r="AG92" s="1371"/>
      <c r="AH92" s="1371"/>
      <c r="AI92" s="1371"/>
      <c r="AJ92" s="1371"/>
      <c r="AK92" s="1371"/>
      <c r="AL92" s="1371"/>
      <c r="AM92" s="1371"/>
      <c r="AN92" s="1371"/>
      <c r="AO92" s="1371"/>
      <c r="AP92" s="1371"/>
      <c r="AQ92" s="1371"/>
      <c r="AR92" s="1371"/>
      <c r="AS92" s="1371"/>
      <c r="AT92" s="1371"/>
      <c r="AU92" s="1371"/>
      <c r="AV92" s="1371"/>
      <c r="AW92" s="1371"/>
      <c r="AX92" s="1371"/>
      <c r="AY92" s="1371"/>
      <c r="AZ92" s="1371"/>
      <c r="BA92" s="1371"/>
      <c r="BB92" s="1371"/>
      <c r="BC92" s="1371"/>
      <c r="BD92" s="1371"/>
      <c r="BE92" s="1371"/>
      <c r="BF92" s="1371"/>
      <c r="BG92" s="1370"/>
    </row>
    <row r="93" spans="1:59" s="1366" customFormat="1" hidden="1">
      <c r="A93" s="1365"/>
      <c r="B93" s="1372"/>
      <c r="C93" s="1284"/>
      <c r="D93" s="1367"/>
      <c r="E93" s="1284"/>
      <c r="F93" s="1368"/>
      <c r="G93" s="1284"/>
      <c r="H93" s="1284"/>
      <c r="I93" s="1369"/>
      <c r="J93" s="1369"/>
      <c r="K93" s="1369"/>
      <c r="L93" s="1369"/>
      <c r="M93" s="1369"/>
      <c r="N93" s="1369"/>
      <c r="O93" s="1369"/>
      <c r="P93" s="1369"/>
      <c r="Q93" s="1370"/>
      <c r="R93" s="1370"/>
      <c r="S93" s="1371"/>
      <c r="T93" s="1371"/>
      <c r="U93" s="1371"/>
      <c r="V93" s="1371"/>
      <c r="W93" s="1371"/>
      <c r="X93" s="1371"/>
      <c r="Y93" s="1371"/>
      <c r="Z93" s="1371"/>
      <c r="AA93" s="1371"/>
      <c r="AB93" s="1371"/>
      <c r="AC93" s="1371"/>
      <c r="AD93" s="1371"/>
      <c r="AE93" s="1371"/>
      <c r="AF93" s="1371"/>
      <c r="AG93" s="1371"/>
      <c r="AH93" s="1371"/>
      <c r="AI93" s="1371"/>
      <c r="AJ93" s="1371"/>
      <c r="AK93" s="1371"/>
      <c r="AL93" s="1371"/>
      <c r="AM93" s="1371"/>
      <c r="AN93" s="1371"/>
      <c r="AO93" s="1371"/>
      <c r="AP93" s="1371"/>
      <c r="AQ93" s="1371"/>
      <c r="AR93" s="1371"/>
      <c r="AS93" s="1371"/>
      <c r="AT93" s="1371"/>
      <c r="AU93" s="1371"/>
      <c r="AV93" s="1371"/>
      <c r="AW93" s="1371"/>
      <c r="AX93" s="1371"/>
      <c r="AY93" s="1371"/>
      <c r="AZ93" s="1371"/>
      <c r="BA93" s="1371"/>
      <c r="BB93" s="1371"/>
      <c r="BC93" s="1371"/>
      <c r="BD93" s="1371"/>
      <c r="BE93" s="1371"/>
      <c r="BF93" s="1371"/>
      <c r="BG93" s="1370"/>
    </row>
    <row r="94" spans="1:59" s="1366" customFormat="1" hidden="1">
      <c r="A94" s="1365"/>
      <c r="B94" s="1372"/>
      <c r="C94" s="1284"/>
      <c r="D94" s="1367"/>
      <c r="E94" s="1284"/>
      <c r="F94" s="1368"/>
      <c r="G94" s="1284"/>
      <c r="H94" s="1284"/>
      <c r="I94" s="1369"/>
      <c r="J94" s="1369"/>
      <c r="K94" s="1369"/>
      <c r="L94" s="1369"/>
      <c r="M94" s="1369"/>
      <c r="N94" s="1369"/>
      <c r="O94" s="1369"/>
      <c r="P94" s="1369"/>
      <c r="Q94" s="1370"/>
      <c r="R94" s="1370"/>
      <c r="S94" s="1371"/>
      <c r="T94" s="1371"/>
      <c r="U94" s="1371"/>
      <c r="V94" s="1371"/>
      <c r="W94" s="1371"/>
      <c r="X94" s="1371"/>
      <c r="Y94" s="1371"/>
      <c r="Z94" s="1371"/>
      <c r="AA94" s="1371"/>
      <c r="AB94" s="1371"/>
      <c r="AC94" s="1371"/>
      <c r="AD94" s="1371"/>
      <c r="AE94" s="1371"/>
      <c r="AF94" s="1371"/>
      <c r="AG94" s="1371"/>
      <c r="AH94" s="1371"/>
      <c r="AI94" s="1371"/>
      <c r="AJ94" s="1371"/>
      <c r="AK94" s="1371"/>
      <c r="AL94" s="1371"/>
      <c r="AM94" s="1371"/>
      <c r="AN94" s="1371"/>
      <c r="AO94" s="1371"/>
      <c r="AP94" s="1371"/>
      <c r="AQ94" s="1371"/>
      <c r="AR94" s="1371"/>
      <c r="AS94" s="1371"/>
      <c r="AT94" s="1371"/>
      <c r="AU94" s="1371"/>
      <c r="AV94" s="1371"/>
      <c r="AW94" s="1371"/>
      <c r="AX94" s="1371"/>
      <c r="AY94" s="1371"/>
      <c r="AZ94" s="1371"/>
      <c r="BA94" s="1371"/>
      <c r="BB94" s="1371"/>
      <c r="BC94" s="1371"/>
      <c r="BD94" s="1371"/>
      <c r="BE94" s="1371"/>
      <c r="BF94" s="1371"/>
      <c r="BG94" s="1370"/>
    </row>
    <row r="95" spans="1:59" s="1366" customFormat="1" hidden="1">
      <c r="A95" s="1365"/>
      <c r="B95" s="1372"/>
      <c r="C95" s="1373"/>
      <c r="D95" s="1374"/>
      <c r="E95" s="1373"/>
      <c r="F95" s="1375"/>
      <c r="G95" s="1373"/>
      <c r="H95" s="1373"/>
      <c r="I95" s="1376"/>
      <c r="J95" s="1376"/>
      <c r="K95" s="1376"/>
      <c r="L95" s="1376"/>
      <c r="M95" s="1376"/>
      <c r="N95" s="1376"/>
      <c r="O95" s="1376"/>
      <c r="P95" s="1376"/>
      <c r="Q95" s="1370"/>
      <c r="R95" s="1370"/>
      <c r="S95" s="1371"/>
      <c r="T95" s="1371"/>
      <c r="U95" s="1371"/>
      <c r="V95" s="1371"/>
      <c r="W95" s="1371"/>
      <c r="X95" s="1371"/>
      <c r="Y95" s="1371"/>
      <c r="Z95" s="1371"/>
      <c r="AA95" s="1371"/>
      <c r="AB95" s="1371"/>
      <c r="AC95" s="1371"/>
      <c r="AD95" s="1371"/>
      <c r="AE95" s="1371"/>
      <c r="AF95" s="1371"/>
      <c r="AG95" s="1371"/>
      <c r="AH95" s="1371"/>
      <c r="AI95" s="1371"/>
      <c r="AJ95" s="1371"/>
      <c r="AK95" s="1371"/>
      <c r="AL95" s="1371"/>
      <c r="AM95" s="1371"/>
      <c r="AN95" s="1371"/>
      <c r="AO95" s="1371"/>
      <c r="AP95" s="1371"/>
      <c r="AQ95" s="1371"/>
      <c r="AR95" s="1371"/>
      <c r="AS95" s="1371"/>
      <c r="AT95" s="1371"/>
      <c r="AU95" s="1371"/>
      <c r="AV95" s="1371"/>
      <c r="AW95" s="1371"/>
      <c r="AX95" s="1371"/>
      <c r="AY95" s="1371"/>
      <c r="AZ95" s="1371"/>
      <c r="BA95" s="1371"/>
      <c r="BB95" s="1371"/>
      <c r="BC95" s="1371"/>
      <c r="BD95" s="1371"/>
      <c r="BE95" s="1371"/>
      <c r="BF95" s="1371"/>
      <c r="BG95" s="1370"/>
    </row>
    <row r="96" spans="1:59" s="1224" customFormat="1" hidden="1">
      <c r="A96" s="1219"/>
      <c r="B96" s="1377"/>
      <c r="C96" s="1378"/>
      <c r="D96" s="1379"/>
      <c r="E96" s="1378"/>
      <c r="F96" s="1380"/>
      <c r="G96" s="1378"/>
      <c r="H96" s="1378"/>
      <c r="I96" s="1378"/>
      <c r="J96" s="1378"/>
      <c r="K96" s="1378"/>
      <c r="L96" s="1378"/>
      <c r="M96" s="1378"/>
      <c r="N96" s="1378"/>
      <c r="O96" s="1378"/>
      <c r="P96" s="1378"/>
      <c r="Q96" s="1274"/>
      <c r="R96" s="1378"/>
      <c r="S96" s="1378"/>
      <c r="T96" s="1378"/>
      <c r="U96" s="1378"/>
      <c r="V96" s="1378"/>
      <c r="W96" s="1378"/>
      <c r="X96" s="1378"/>
      <c r="Y96" s="1378"/>
      <c r="Z96" s="1378"/>
      <c r="AA96" s="1378"/>
      <c r="AB96" s="1378"/>
      <c r="AC96" s="1378"/>
      <c r="AD96" s="1378"/>
      <c r="AE96" s="1378"/>
      <c r="AF96" s="1378"/>
      <c r="AG96" s="1378"/>
      <c r="AH96" s="1378"/>
      <c r="AI96" s="1378"/>
      <c r="AJ96" s="1378"/>
      <c r="AK96" s="1378"/>
      <c r="AL96" s="1378"/>
      <c r="AM96" s="1378"/>
      <c r="AN96" s="1378"/>
      <c r="AO96" s="1378"/>
      <c r="AP96" s="1378"/>
      <c r="AQ96" s="1378"/>
      <c r="AR96" s="1378"/>
      <c r="AS96" s="1378"/>
      <c r="AT96" s="1378"/>
      <c r="AU96" s="1378"/>
      <c r="AV96" s="1378"/>
      <c r="AW96" s="1378"/>
      <c r="AX96" s="1378"/>
      <c r="AY96" s="1378"/>
      <c r="AZ96" s="1378"/>
      <c r="BA96" s="1378"/>
      <c r="BB96" s="1378"/>
      <c r="BC96" s="1378"/>
      <c r="BD96" s="1378"/>
      <c r="BE96" s="1378"/>
      <c r="BF96" s="1378"/>
      <c r="BG96" s="1274"/>
    </row>
    <row r="97" spans="1:72">
      <c r="C97" s="757"/>
      <c r="D97" s="1240"/>
      <c r="E97" s="757"/>
      <c r="G97" s="757"/>
      <c r="H97" s="757"/>
      <c r="I97" s="757"/>
      <c r="J97" s="757"/>
      <c r="K97" s="757"/>
      <c r="L97" s="757"/>
      <c r="M97" s="757"/>
      <c r="N97" s="757"/>
      <c r="O97" s="757"/>
      <c r="P97" s="757"/>
      <c r="Q97" s="757"/>
      <c r="R97" s="757"/>
      <c r="S97" s="757"/>
      <c r="T97" s="757"/>
      <c r="U97" s="757"/>
      <c r="V97" s="757"/>
      <c r="W97" s="757"/>
      <c r="X97" s="757"/>
      <c r="Y97" s="757"/>
      <c r="Z97" s="757"/>
      <c r="AA97" s="757"/>
      <c r="AB97" s="757"/>
      <c r="AC97" s="757"/>
      <c r="AD97" s="757"/>
      <c r="AE97" s="757"/>
      <c r="AF97" s="757"/>
      <c r="AG97" s="757"/>
      <c r="AH97" s="757"/>
      <c r="AI97" s="757"/>
      <c r="AJ97" s="757"/>
      <c r="AK97" s="757"/>
      <c r="AL97" s="757"/>
      <c r="AM97" s="757"/>
      <c r="AN97" s="757"/>
      <c r="AO97" s="757"/>
      <c r="AP97" s="757"/>
      <c r="AQ97" s="757"/>
      <c r="AR97" s="757"/>
      <c r="AS97" s="757"/>
      <c r="AT97" s="757"/>
      <c r="AU97" s="757"/>
      <c r="AV97" s="757"/>
      <c r="AW97" s="757"/>
      <c r="AX97" s="757"/>
      <c r="AY97" s="757"/>
      <c r="AZ97" s="757"/>
      <c r="BA97" s="757"/>
      <c r="BB97" s="757"/>
      <c r="BC97" s="757"/>
      <c r="BD97" s="757"/>
      <c r="BE97" s="757"/>
      <c r="BF97" s="757"/>
      <c r="BG97" s="757"/>
    </row>
    <row r="98" spans="1:72">
      <c r="C98" s="757"/>
      <c r="D98" s="1240"/>
      <c r="E98" s="757"/>
      <c r="G98" s="757"/>
      <c r="H98" s="757"/>
      <c r="I98" s="757"/>
      <c r="J98" s="757"/>
      <c r="K98" s="757"/>
      <c r="L98" s="757"/>
      <c r="M98" s="757"/>
      <c r="N98" s="757"/>
      <c r="O98" s="757"/>
      <c r="P98" s="757"/>
      <c r="Q98" s="757"/>
      <c r="R98" s="757"/>
      <c r="S98" s="757"/>
      <c r="T98" s="757"/>
      <c r="U98" s="757"/>
      <c r="V98" s="757"/>
      <c r="W98" s="757"/>
      <c r="X98" s="757"/>
      <c r="Y98" s="757"/>
      <c r="Z98" s="757"/>
      <c r="AA98" s="757"/>
      <c r="AB98" s="757"/>
      <c r="AC98" s="757"/>
      <c r="AD98" s="757"/>
      <c r="AE98" s="757"/>
      <c r="AF98" s="757"/>
      <c r="AG98" s="757"/>
      <c r="AH98" s="757"/>
      <c r="AI98" s="757"/>
      <c r="AJ98" s="757"/>
      <c r="AK98" s="757"/>
      <c r="AL98" s="757"/>
      <c r="AM98" s="757"/>
      <c r="AN98" s="757"/>
      <c r="AO98" s="757"/>
      <c r="AP98" s="757"/>
      <c r="AQ98" s="757"/>
      <c r="AR98" s="757"/>
      <c r="AS98" s="757"/>
      <c r="AT98" s="757"/>
      <c r="AU98" s="757"/>
      <c r="AV98" s="757"/>
      <c r="AW98" s="757"/>
      <c r="AX98" s="757"/>
      <c r="AY98" s="757"/>
      <c r="AZ98" s="757"/>
      <c r="BA98" s="757"/>
      <c r="BB98" s="757"/>
      <c r="BC98" s="757"/>
      <c r="BD98" s="757"/>
      <c r="BE98" s="757"/>
      <c r="BF98" s="757"/>
      <c r="BG98" s="757"/>
    </row>
    <row r="99" spans="1:72">
      <c r="B99" s="1239" t="s">
        <v>882</v>
      </c>
      <c r="C99" s="2559" t="s">
        <v>1493</v>
      </c>
      <c r="D99" s="2560"/>
      <c r="E99" s="2559"/>
      <c r="F99" s="2561"/>
      <c r="G99" s="757"/>
      <c r="H99" s="757"/>
      <c r="I99" s="757"/>
      <c r="J99" s="757"/>
      <c r="K99" s="757"/>
      <c r="L99" s="757"/>
      <c r="M99" s="757"/>
      <c r="N99" s="757"/>
      <c r="O99" s="757"/>
      <c r="P99" s="757"/>
      <c r="Q99" s="757"/>
      <c r="R99" s="757"/>
      <c r="S99" s="757"/>
      <c r="T99" s="757"/>
      <c r="U99" s="757"/>
      <c r="V99" s="757"/>
      <c r="W99" s="757"/>
      <c r="X99" s="757"/>
      <c r="Y99" s="757"/>
      <c r="Z99" s="757"/>
      <c r="AA99" s="757"/>
      <c r="AB99" s="757"/>
      <c r="AC99" s="757"/>
      <c r="AD99" s="757"/>
      <c r="AE99" s="757"/>
      <c r="AF99" s="757"/>
      <c r="AG99" s="757"/>
      <c r="AH99" s="757"/>
      <c r="AI99" s="757"/>
      <c r="AJ99" s="757"/>
      <c r="AK99" s="757"/>
      <c r="AL99" s="757"/>
      <c r="AM99" s="757"/>
      <c r="AN99" s="757"/>
      <c r="AO99" s="757"/>
      <c r="AP99" s="757"/>
      <c r="AQ99" s="757"/>
      <c r="AR99" s="757"/>
      <c r="AS99" s="757"/>
      <c r="AT99" s="757"/>
      <c r="AU99" s="757"/>
      <c r="AV99" s="757"/>
      <c r="AW99" s="757"/>
      <c r="AX99" s="757"/>
      <c r="AY99" s="757"/>
      <c r="AZ99" s="757"/>
      <c r="BA99" s="757"/>
      <c r="BB99" s="757"/>
      <c r="BC99" s="757"/>
      <c r="BD99" s="757"/>
      <c r="BE99" s="757"/>
      <c r="BF99" s="757"/>
      <c r="BG99" s="757"/>
    </row>
    <row r="100" spans="1:72" ht="22.2" customHeight="1" thickBot="1">
      <c r="A100" s="1219">
        <v>1</v>
      </c>
      <c r="B100" s="1270" t="s">
        <v>889</v>
      </c>
      <c r="C100" s="1381"/>
      <c r="D100" s="1312"/>
      <c r="E100" s="1311"/>
      <c r="F100" s="1313"/>
      <c r="G100" s="1311"/>
      <c r="H100" s="1311"/>
      <c r="I100" s="1311"/>
      <c r="J100" s="1311"/>
      <c r="K100" s="1311"/>
      <c r="L100" s="1311"/>
      <c r="M100" s="1311"/>
      <c r="N100" s="1311"/>
      <c r="O100" s="1311"/>
      <c r="P100" s="1311"/>
      <c r="Q100" s="757"/>
      <c r="R100" s="1314"/>
      <c r="S100" s="1311"/>
      <c r="T100" s="1311"/>
      <c r="U100" s="1311"/>
      <c r="V100" s="1311"/>
      <c r="W100" s="1311"/>
      <c r="X100" s="1311"/>
      <c r="Y100" s="1311"/>
      <c r="Z100" s="1311"/>
      <c r="AA100" s="1311"/>
      <c r="AB100" s="1311"/>
      <c r="AC100" s="1311"/>
      <c r="AD100" s="1311"/>
      <c r="AE100" s="1311"/>
      <c r="AF100" s="1311"/>
      <c r="AG100" s="1311"/>
      <c r="AH100" s="1311"/>
      <c r="AI100" s="1311"/>
      <c r="AJ100" s="1311"/>
      <c r="AK100" s="1311"/>
      <c r="AL100" s="1311"/>
      <c r="AM100" s="1311"/>
      <c r="AN100" s="1311"/>
      <c r="AO100" s="1311"/>
      <c r="AP100" s="1311"/>
      <c r="AQ100" s="1311"/>
      <c r="AR100" s="1311"/>
      <c r="AS100" s="1311"/>
      <c r="AT100" s="1311"/>
      <c r="AU100" s="1311"/>
      <c r="AV100" s="1311"/>
      <c r="AW100" s="1311"/>
      <c r="AX100" s="1311"/>
      <c r="AY100" s="1311"/>
      <c r="AZ100" s="1311"/>
      <c r="BA100" s="1311"/>
      <c r="BB100" s="1311"/>
      <c r="BC100" s="1311"/>
      <c r="BD100" s="1311"/>
      <c r="BE100" s="1311"/>
      <c r="BF100" s="1311"/>
      <c r="BG100" s="757"/>
    </row>
    <row r="101" spans="1:72" ht="17.399999999999999" customHeight="1">
      <c r="B101" s="1224"/>
      <c r="C101" s="1382"/>
      <c r="D101" s="1240"/>
      <c r="E101" s="757"/>
      <c r="G101" s="757"/>
      <c r="H101" s="757"/>
      <c r="I101" s="757"/>
      <c r="J101" s="757"/>
      <c r="K101" s="757"/>
      <c r="L101" s="757"/>
      <c r="M101" s="757"/>
      <c r="N101" s="757"/>
      <c r="O101" s="757"/>
      <c r="P101" s="757"/>
      <c r="Q101" s="757"/>
      <c r="S101" s="757"/>
      <c r="T101" s="757"/>
      <c r="U101" s="757"/>
      <c r="V101" s="757"/>
      <c r="W101" s="757"/>
      <c r="X101" s="757"/>
      <c r="Y101" s="757"/>
      <c r="Z101" s="757"/>
      <c r="AA101" s="757"/>
      <c r="AB101" s="757"/>
      <c r="AC101" s="757"/>
      <c r="AD101" s="757"/>
      <c r="AE101" s="757"/>
      <c r="AF101" s="757"/>
      <c r="AG101" s="757"/>
      <c r="AH101" s="757"/>
      <c r="AI101" s="757"/>
      <c r="AJ101" s="757"/>
      <c r="AK101" s="757"/>
      <c r="AL101" s="757"/>
      <c r="AM101" s="757"/>
      <c r="AN101" s="757"/>
      <c r="AO101" s="757"/>
      <c r="AP101" s="757"/>
      <c r="AQ101" s="757"/>
      <c r="AR101" s="757"/>
      <c r="AS101" s="757"/>
      <c r="AT101" s="757"/>
      <c r="AU101" s="757"/>
      <c r="AV101" s="757"/>
      <c r="AW101" s="757"/>
      <c r="AX101" s="757"/>
      <c r="AY101" s="757"/>
      <c r="AZ101" s="757"/>
      <c r="BA101" s="757"/>
      <c r="BB101" s="757"/>
      <c r="BC101" s="757"/>
      <c r="BD101" s="757"/>
      <c r="BE101" s="757"/>
      <c r="BF101" s="757"/>
      <c r="BG101" s="757"/>
    </row>
    <row r="102" spans="1:72">
      <c r="A102" s="1219" t="s">
        <v>883</v>
      </c>
      <c r="B102" s="1279" t="s">
        <v>867</v>
      </c>
      <c r="D102" s="1220"/>
      <c r="E102" s="1384"/>
      <c r="F102" s="1385"/>
      <c r="G102" s="1384"/>
      <c r="H102" s="1384"/>
      <c r="I102" s="1384"/>
      <c r="J102" s="1384"/>
      <c r="K102" s="1384"/>
      <c r="L102" s="1384"/>
      <c r="M102" s="1384"/>
      <c r="N102" s="1384"/>
      <c r="O102" s="1384"/>
      <c r="P102" s="1384"/>
      <c r="Q102" s="757"/>
      <c r="R102" s="1274"/>
      <c r="S102" s="757"/>
      <c r="T102" s="757"/>
      <c r="U102" s="1259"/>
      <c r="V102" s="757"/>
      <c r="W102" s="757"/>
      <c r="X102" s="757"/>
      <c r="Y102" s="757"/>
      <c r="Z102" s="757"/>
      <c r="AA102" s="757"/>
      <c r="AB102" s="757"/>
      <c r="AC102" s="757"/>
      <c r="AD102" s="757"/>
      <c r="AE102" s="757"/>
      <c r="AF102" s="757"/>
      <c r="AG102" s="757"/>
      <c r="AH102" s="757"/>
      <c r="AI102" s="757"/>
      <c r="AJ102" s="757"/>
      <c r="AK102" s="757"/>
      <c r="AL102" s="757"/>
      <c r="AM102" s="757"/>
      <c r="AN102" s="757"/>
      <c r="AO102" s="757"/>
      <c r="AP102" s="757"/>
      <c r="AQ102" s="757"/>
      <c r="AR102" s="757"/>
      <c r="AS102" s="757"/>
      <c r="AT102" s="757"/>
      <c r="AU102" s="757"/>
      <c r="AV102" s="757"/>
      <c r="AW102" s="757"/>
      <c r="AX102" s="757"/>
      <c r="AY102" s="757"/>
      <c r="AZ102" s="757"/>
      <c r="BA102" s="757"/>
      <c r="BB102" s="757"/>
      <c r="BC102" s="757"/>
      <c r="BD102" s="757"/>
      <c r="BE102" s="757"/>
      <c r="BF102" s="757"/>
      <c r="BG102" s="757"/>
    </row>
    <row r="103" spans="1:72">
      <c r="B103" s="1283" t="s">
        <v>884</v>
      </c>
      <c r="C103" s="1386">
        <f>'LT. Asset'!BD20</f>
        <v>301.5734904192164</v>
      </c>
      <c r="D103" s="1387">
        <v>45809</v>
      </c>
      <c r="E103" s="1388">
        <v>60</v>
      </c>
      <c r="F103" s="1389">
        <f>R58</f>
        <v>7.8E-2</v>
      </c>
      <c r="G103" s="1286" t="s">
        <v>869</v>
      </c>
      <c r="H103" s="1286">
        <v>0.5</v>
      </c>
      <c r="I103" s="1288"/>
      <c r="J103" s="1288"/>
      <c r="K103" s="1288"/>
      <c r="L103" s="1288"/>
      <c r="M103" s="1288"/>
      <c r="N103" s="1288"/>
      <c r="O103" s="1288"/>
      <c r="P103" s="1288"/>
      <c r="Q103" s="757"/>
      <c r="R103" s="757"/>
      <c r="S103" s="757"/>
      <c r="T103" s="757"/>
      <c r="U103" s="757"/>
      <c r="V103" s="757"/>
      <c r="W103" s="757"/>
      <c r="X103" s="757"/>
      <c r="Y103" s="757"/>
      <c r="Z103" s="757"/>
      <c r="AA103" s="757"/>
      <c r="AB103" s="757"/>
      <c r="AC103" s="757"/>
      <c r="AD103" s="757"/>
      <c r="AE103" s="757"/>
      <c r="AF103" s="757"/>
      <c r="AG103" s="757"/>
      <c r="AH103" s="757"/>
      <c r="AI103" s="757"/>
      <c r="AJ103" s="757"/>
      <c r="AK103" s="757"/>
      <c r="AL103" s="757"/>
      <c r="AM103" s="757"/>
      <c r="AN103" s="757"/>
      <c r="AO103" s="757"/>
      <c r="AP103" s="757"/>
      <c r="AQ103" s="757"/>
      <c r="AR103" s="757"/>
      <c r="AS103" s="757"/>
      <c r="AT103" s="757"/>
      <c r="AU103" s="757"/>
      <c r="AV103" s="757"/>
      <c r="AW103" s="757"/>
      <c r="AX103" s="757"/>
      <c r="AY103" s="757"/>
      <c r="AZ103" s="757"/>
      <c r="BA103" s="757"/>
      <c r="BB103" s="757"/>
      <c r="BC103" s="757"/>
      <c r="BD103" s="757"/>
      <c r="BE103" s="757"/>
      <c r="BF103" s="757"/>
      <c r="BG103" s="757"/>
      <c r="BH103" s="1383" t="s">
        <v>1481</v>
      </c>
      <c r="BI103" s="1383"/>
      <c r="BJ103" s="1383"/>
      <c r="BK103" s="1383"/>
      <c r="BL103" s="1383"/>
      <c r="BM103" s="1383"/>
      <c r="BN103" s="1383"/>
      <c r="BO103" s="1383"/>
      <c r="BP103" s="1383"/>
      <c r="BQ103" s="1383"/>
      <c r="BR103" s="1383"/>
      <c r="BS103" s="1383"/>
      <c r="BT103" s="1383"/>
    </row>
    <row r="104" spans="1:72">
      <c r="B104" s="1242" t="s">
        <v>855</v>
      </c>
      <c r="C104" s="1286"/>
      <c r="D104" s="1285"/>
      <c r="E104" s="1286"/>
      <c r="F104" s="1303"/>
      <c r="G104" s="1286"/>
      <c r="H104" s="1286"/>
      <c r="I104" s="1288"/>
      <c r="J104" s="1288"/>
      <c r="K104" s="1288"/>
      <c r="L104" s="1288"/>
      <c r="M104" s="1288"/>
      <c r="N104" s="1288"/>
      <c r="O104" s="1288"/>
      <c r="P104" s="1288"/>
      <c r="Q104" s="757"/>
      <c r="R104" s="757">
        <v>0</v>
      </c>
      <c r="S104" s="1245">
        <v>0</v>
      </c>
      <c r="T104" s="1260">
        <f t="shared" ref="T104:AB104" si="19">S107</f>
        <v>271.41614137729476</v>
      </c>
      <c r="U104" s="1260">
        <f t="shared" si="19"/>
        <v>211.1014432934515</v>
      </c>
      <c r="V104" s="1260">
        <f t="shared" si="19"/>
        <v>150.78674520960823</v>
      </c>
      <c r="W104" s="1260">
        <f t="shared" si="19"/>
        <v>90.472047125764945</v>
      </c>
      <c r="X104" s="1260">
        <f t="shared" si="19"/>
        <v>30.157349041921663</v>
      </c>
      <c r="Y104" s="1245">
        <f t="shared" si="19"/>
        <v>0</v>
      </c>
      <c r="Z104" s="1245">
        <f t="shared" si="19"/>
        <v>0</v>
      </c>
      <c r="AA104" s="1245">
        <f t="shared" si="19"/>
        <v>0</v>
      </c>
      <c r="AB104" s="1245">
        <f t="shared" si="19"/>
        <v>0</v>
      </c>
      <c r="AC104" s="1245"/>
      <c r="AD104" s="1245"/>
      <c r="AE104" s="1245"/>
      <c r="AF104" s="1245"/>
      <c r="AG104" s="1245"/>
      <c r="AH104" s="1245"/>
      <c r="AI104" s="1245"/>
      <c r="AJ104" s="1245"/>
      <c r="AK104" s="1245"/>
      <c r="AL104" s="1245"/>
      <c r="AM104" s="1245"/>
      <c r="AN104" s="1245"/>
      <c r="AO104" s="1245"/>
      <c r="AP104" s="1245"/>
      <c r="AQ104" s="1245"/>
      <c r="AR104" s="1245"/>
      <c r="AS104" s="1245"/>
      <c r="AT104" s="1245"/>
      <c r="AU104" s="1245"/>
      <c r="AV104" s="1245"/>
      <c r="AW104" s="1245"/>
      <c r="AX104" s="1245"/>
      <c r="AY104" s="1245"/>
      <c r="AZ104" s="1245"/>
      <c r="BA104" s="1245"/>
      <c r="BB104" s="1245"/>
      <c r="BC104" s="1245"/>
      <c r="BD104" s="1245"/>
      <c r="BE104" s="1245"/>
      <c r="BF104" s="1245"/>
      <c r="BG104" s="757"/>
    </row>
    <row r="105" spans="1:72">
      <c r="B105" s="1247" t="s">
        <v>857</v>
      </c>
      <c r="C105" s="1286"/>
      <c r="D105" s="1285"/>
      <c r="E105" s="1286"/>
      <c r="F105" s="1303"/>
      <c r="G105" s="1286"/>
      <c r="H105" s="1286"/>
      <c r="I105" s="1288"/>
      <c r="J105" s="1288"/>
      <c r="K105" s="1288"/>
      <c r="L105" s="1288"/>
      <c r="M105" s="1288"/>
      <c r="N105" s="1288"/>
      <c r="O105" s="1288"/>
      <c r="P105" s="1288"/>
      <c r="Q105" s="757"/>
      <c r="R105" s="757"/>
      <c r="S105" s="1260">
        <f>IF(YEAR($D$103)=YEAR(S4),$C$103,0)</f>
        <v>301.5734904192164</v>
      </c>
      <c r="T105" s="1245">
        <v>0</v>
      </c>
      <c r="U105" s="1245">
        <f t="shared" ref="U105:AB105" si="20">IF(YEAR($D$103)=YEAR(U4),$C$103,0)</f>
        <v>0</v>
      </c>
      <c r="V105" s="1245">
        <f t="shared" si="20"/>
        <v>0</v>
      </c>
      <c r="W105" s="1245">
        <f t="shared" si="20"/>
        <v>0</v>
      </c>
      <c r="X105" s="1245">
        <f t="shared" si="20"/>
        <v>0</v>
      </c>
      <c r="Y105" s="1245">
        <f t="shared" si="20"/>
        <v>0</v>
      </c>
      <c r="Z105" s="1245">
        <f t="shared" si="20"/>
        <v>0</v>
      </c>
      <c r="AA105" s="1245">
        <f t="shared" si="20"/>
        <v>0</v>
      </c>
      <c r="AB105" s="1245">
        <f t="shared" si="20"/>
        <v>0</v>
      </c>
      <c r="AC105" s="1245"/>
      <c r="AD105" s="1245"/>
      <c r="AE105" s="1245"/>
      <c r="AF105" s="1245"/>
      <c r="AG105" s="1245"/>
      <c r="AH105" s="1245"/>
      <c r="AI105" s="1245"/>
      <c r="AJ105" s="1245"/>
      <c r="AK105" s="1245"/>
      <c r="AL105" s="1245"/>
      <c r="AM105" s="1245"/>
      <c r="AN105" s="1245"/>
      <c r="AO105" s="1245"/>
      <c r="AP105" s="1245"/>
      <c r="AQ105" s="1245"/>
      <c r="AR105" s="1245"/>
      <c r="AS105" s="1245"/>
      <c r="AT105" s="1245"/>
      <c r="AU105" s="1245"/>
      <c r="AV105" s="1245"/>
      <c r="AW105" s="1245"/>
      <c r="AX105" s="1245"/>
      <c r="AY105" s="1245"/>
      <c r="AZ105" s="1245"/>
      <c r="BA105" s="1245"/>
      <c r="BB105" s="1245"/>
      <c r="BC105" s="1245"/>
      <c r="BD105" s="1245"/>
      <c r="BE105" s="1245"/>
      <c r="BF105" s="1245"/>
      <c r="BG105" s="757"/>
    </row>
    <row r="106" spans="1:72">
      <c r="B106" s="1247" t="s">
        <v>856</v>
      </c>
      <c r="C106" s="1286"/>
      <c r="D106" s="1285"/>
      <c r="E106" s="1286"/>
      <c r="F106" s="1303"/>
      <c r="G106" s="1286"/>
      <c r="H106" s="1286"/>
      <c r="I106" s="1288"/>
      <c r="J106" s="1288"/>
      <c r="K106" s="1288"/>
      <c r="L106" s="1288"/>
      <c r="M106" s="1288"/>
      <c r="N106" s="1288"/>
      <c r="O106" s="1288"/>
      <c r="P106" s="1288"/>
      <c r="Q106" s="757"/>
      <c r="R106" s="757"/>
      <c r="S106" s="1260">
        <f>IF($C103=S105,$C103/($E103/12),MIN(R107,R106))</f>
        <v>60.314698083843282</v>
      </c>
      <c r="T106" s="1260">
        <f t="shared" ref="T106:AB106" si="21">IF($C103=T105,$C103/($E103/12),MIN(S107,S106))</f>
        <v>60.314698083843282</v>
      </c>
      <c r="U106" s="1260">
        <f t="shared" si="21"/>
        <v>60.314698083843282</v>
      </c>
      <c r="V106" s="1260">
        <f t="shared" si="21"/>
        <v>60.314698083843282</v>
      </c>
      <c r="W106" s="1260">
        <f t="shared" si="21"/>
        <v>60.314698083843282</v>
      </c>
      <c r="X106" s="1260">
        <f t="shared" si="21"/>
        <v>30.157349041921663</v>
      </c>
      <c r="Y106" s="1245">
        <f t="shared" si="21"/>
        <v>0</v>
      </c>
      <c r="Z106" s="1245">
        <f t="shared" si="21"/>
        <v>0</v>
      </c>
      <c r="AA106" s="1245">
        <f t="shared" si="21"/>
        <v>0</v>
      </c>
      <c r="AB106" s="1245">
        <f t="shared" si="21"/>
        <v>0</v>
      </c>
      <c r="AC106" s="1245"/>
      <c r="AD106" s="1245"/>
      <c r="AE106" s="1245"/>
      <c r="AF106" s="1245"/>
      <c r="AG106" s="1245"/>
      <c r="AH106" s="1245"/>
      <c r="AI106" s="1245"/>
      <c r="AJ106" s="1245"/>
      <c r="AK106" s="1245"/>
      <c r="AL106" s="1245"/>
      <c r="AM106" s="1245"/>
      <c r="AN106" s="1245"/>
      <c r="AO106" s="1245"/>
      <c r="AP106" s="1245"/>
      <c r="AQ106" s="1245"/>
      <c r="AR106" s="1245"/>
      <c r="AS106" s="1245"/>
      <c r="AT106" s="1245"/>
      <c r="AU106" s="1245"/>
      <c r="AV106" s="1245"/>
      <c r="AW106" s="1245"/>
      <c r="AX106" s="1245"/>
      <c r="AY106" s="1245"/>
      <c r="AZ106" s="1245"/>
      <c r="BA106" s="1245"/>
      <c r="BB106" s="1245"/>
      <c r="BC106" s="1245"/>
      <c r="BD106" s="1245"/>
      <c r="BE106" s="1245"/>
      <c r="BF106" s="1245"/>
      <c r="BG106" s="757"/>
    </row>
    <row r="107" spans="1:72">
      <c r="B107" s="1242" t="s">
        <v>858</v>
      </c>
      <c r="C107" s="1286"/>
      <c r="D107" s="1285"/>
      <c r="E107" s="1286"/>
      <c r="F107" s="1303"/>
      <c r="G107" s="1286"/>
      <c r="H107" s="1286"/>
      <c r="I107" s="1288"/>
      <c r="J107" s="1288"/>
      <c r="K107" s="1288"/>
      <c r="L107" s="1288"/>
      <c r="M107" s="1288"/>
      <c r="N107" s="1288"/>
      <c r="O107" s="1288"/>
      <c r="P107" s="1288"/>
      <c r="Q107" s="757"/>
      <c r="R107" s="757">
        <v>0</v>
      </c>
      <c r="S107" s="1260">
        <f>S104+S105-S106*0.5</f>
        <v>271.41614137729476</v>
      </c>
      <c r="T107" s="1260">
        <f t="shared" ref="T107:AB107" si="22">T104+T105-T106</f>
        <v>211.1014432934515</v>
      </c>
      <c r="U107" s="1260">
        <f t="shared" si="22"/>
        <v>150.78674520960823</v>
      </c>
      <c r="V107" s="1260">
        <f t="shared" si="22"/>
        <v>90.472047125764945</v>
      </c>
      <c r="W107" s="1260">
        <f t="shared" si="22"/>
        <v>30.157349041921663</v>
      </c>
      <c r="X107" s="1245">
        <f t="shared" si="22"/>
        <v>0</v>
      </c>
      <c r="Y107" s="1245">
        <f t="shared" si="22"/>
        <v>0</v>
      </c>
      <c r="Z107" s="1245">
        <f t="shared" si="22"/>
        <v>0</v>
      </c>
      <c r="AA107" s="1245">
        <f t="shared" si="22"/>
        <v>0</v>
      </c>
      <c r="AB107" s="1245">
        <f t="shared" si="22"/>
        <v>0</v>
      </c>
      <c r="AC107" s="1245"/>
      <c r="AD107" s="1245"/>
      <c r="AE107" s="1245"/>
      <c r="AF107" s="1245"/>
      <c r="AG107" s="1245"/>
      <c r="AH107" s="1245"/>
      <c r="AI107" s="1245"/>
      <c r="AJ107" s="1245"/>
      <c r="AK107" s="1245"/>
      <c r="AL107" s="1245"/>
      <c r="AM107" s="1245"/>
      <c r="AN107" s="1245"/>
      <c r="AO107" s="1245"/>
      <c r="AP107" s="1245"/>
      <c r="AQ107" s="1245"/>
      <c r="AR107" s="1245"/>
      <c r="AS107" s="1245"/>
      <c r="AT107" s="1245"/>
      <c r="AU107" s="1245"/>
      <c r="AV107" s="1245"/>
      <c r="AW107" s="1245"/>
      <c r="AX107" s="1245"/>
      <c r="AY107" s="1245"/>
      <c r="AZ107" s="1245"/>
      <c r="BA107" s="1245"/>
      <c r="BB107" s="1245"/>
      <c r="BC107" s="1245"/>
      <c r="BD107" s="1245"/>
      <c r="BE107" s="1245"/>
      <c r="BF107" s="1245"/>
      <c r="BG107" s="757"/>
    </row>
    <row r="108" spans="1:72" s="1268" customFormat="1">
      <c r="A108" s="1261"/>
      <c r="B108" s="1247" t="s">
        <v>870</v>
      </c>
      <c r="C108" s="1327"/>
      <c r="D108" s="1300"/>
      <c r="E108" s="1299"/>
      <c r="F108" s="1301"/>
      <c r="G108" s="1299"/>
      <c r="H108" s="1299"/>
      <c r="I108" s="1302"/>
      <c r="J108" s="1302"/>
      <c r="K108" s="1302"/>
      <c r="L108" s="1302"/>
      <c r="M108" s="1302"/>
      <c r="N108" s="1302"/>
      <c r="O108" s="1302"/>
      <c r="P108" s="1302"/>
      <c r="Q108" s="1262"/>
      <c r="R108" s="1328">
        <f>F103</f>
        <v>7.8E-2</v>
      </c>
      <c r="S108" s="1308">
        <f>R108</f>
        <v>7.8E-2</v>
      </c>
      <c r="T108" s="1308">
        <f t="shared" ref="T108:AB108" si="23">S108</f>
        <v>7.8E-2</v>
      </c>
      <c r="U108" s="1308">
        <f t="shared" si="23"/>
        <v>7.8E-2</v>
      </c>
      <c r="V108" s="1308">
        <f t="shared" si="23"/>
        <v>7.8E-2</v>
      </c>
      <c r="W108" s="1308">
        <f t="shared" si="23"/>
        <v>7.8E-2</v>
      </c>
      <c r="X108" s="1308">
        <f t="shared" si="23"/>
        <v>7.8E-2</v>
      </c>
      <c r="Y108" s="1308">
        <f t="shared" si="23"/>
        <v>7.8E-2</v>
      </c>
      <c r="Z108" s="1308">
        <f t="shared" si="23"/>
        <v>7.8E-2</v>
      </c>
      <c r="AA108" s="1308">
        <f t="shared" si="23"/>
        <v>7.8E-2</v>
      </c>
      <c r="AB108" s="1308">
        <f t="shared" si="23"/>
        <v>7.8E-2</v>
      </c>
      <c r="AC108" s="1308"/>
      <c r="AD108" s="1309"/>
      <c r="AE108" s="1309"/>
      <c r="AF108" s="1309"/>
      <c r="AG108" s="1309"/>
      <c r="AH108" s="1309"/>
      <c r="AI108" s="1309"/>
      <c r="AJ108" s="1309"/>
      <c r="AK108" s="1309"/>
      <c r="AL108" s="1309"/>
      <c r="AM108" s="1309"/>
      <c r="AN108" s="1309"/>
      <c r="AO108" s="1309"/>
      <c r="AP108" s="1309"/>
      <c r="AQ108" s="1309"/>
      <c r="AR108" s="1309"/>
      <c r="AS108" s="1309"/>
      <c r="AT108" s="1309"/>
      <c r="AU108" s="1309"/>
      <c r="AV108" s="1309"/>
      <c r="AW108" s="1309"/>
      <c r="AX108" s="1309"/>
      <c r="AY108" s="1309"/>
      <c r="AZ108" s="1309"/>
      <c r="BA108" s="1309"/>
      <c r="BB108" s="1309"/>
      <c r="BC108" s="1309"/>
      <c r="BD108" s="1309"/>
      <c r="BE108" s="1309"/>
      <c r="BF108" s="1309"/>
      <c r="BG108" s="1262"/>
    </row>
    <row r="109" spans="1:72">
      <c r="B109" s="1247" t="s">
        <v>859</v>
      </c>
      <c r="C109" s="1390"/>
      <c r="D109" s="1391"/>
      <c r="E109" s="1392"/>
      <c r="F109" s="1393"/>
      <c r="G109" s="1392"/>
      <c r="H109" s="1392"/>
      <c r="I109" s="1394"/>
      <c r="J109" s="1394"/>
      <c r="K109" s="1394"/>
      <c r="L109" s="1394"/>
      <c r="M109" s="1394"/>
      <c r="N109" s="1394"/>
      <c r="O109" s="1394"/>
      <c r="P109" s="1394"/>
      <c r="Q109" s="757"/>
      <c r="R109" s="1262">
        <f>R108*AVERAGE(R104,R107)</f>
        <v>0</v>
      </c>
      <c r="S109" s="1266">
        <f>S108*AVERAGE(S104,S107)</f>
        <v>10.585229513714495</v>
      </c>
      <c r="T109" s="1266">
        <f t="shared" ref="T109:AB109" si="24">T108*AVERAGE(T104,T107)</f>
        <v>18.818185802159103</v>
      </c>
      <c r="U109" s="1266">
        <f t="shared" si="24"/>
        <v>14.113639351619328</v>
      </c>
      <c r="V109" s="1266">
        <f t="shared" si="24"/>
        <v>9.4090929010795534</v>
      </c>
      <c r="W109" s="1266">
        <f t="shared" si="24"/>
        <v>4.7045464505397776</v>
      </c>
      <c r="X109" s="1266">
        <f t="shared" si="24"/>
        <v>1.1761366126349448</v>
      </c>
      <c r="Y109" s="1266">
        <f t="shared" si="24"/>
        <v>0</v>
      </c>
      <c r="Z109" s="1266">
        <f t="shared" si="24"/>
        <v>0</v>
      </c>
      <c r="AA109" s="1266">
        <f t="shared" si="24"/>
        <v>0</v>
      </c>
      <c r="AB109" s="1266">
        <f t="shared" si="24"/>
        <v>0</v>
      </c>
      <c r="AC109" s="1266"/>
      <c r="AD109" s="1267"/>
      <c r="AE109" s="1267"/>
      <c r="AF109" s="1267"/>
      <c r="AG109" s="1267"/>
      <c r="AH109" s="1267"/>
      <c r="AI109" s="1267"/>
      <c r="AJ109" s="1267"/>
      <c r="AK109" s="1267"/>
      <c r="AL109" s="1267"/>
      <c r="AM109" s="1267"/>
      <c r="AN109" s="1267"/>
      <c r="AO109" s="1267"/>
      <c r="AP109" s="1267"/>
      <c r="AQ109" s="1267"/>
      <c r="AR109" s="1267"/>
      <c r="AS109" s="1267"/>
      <c r="AT109" s="1267"/>
      <c r="AU109" s="1267"/>
      <c r="AV109" s="1267"/>
      <c r="AW109" s="1267"/>
      <c r="AX109" s="1267"/>
      <c r="AY109" s="1267"/>
      <c r="AZ109" s="1267"/>
      <c r="BA109" s="1267"/>
      <c r="BB109" s="1267"/>
      <c r="BC109" s="1267"/>
      <c r="BD109" s="1267"/>
      <c r="BE109" s="1267"/>
      <c r="BF109" s="1267"/>
      <c r="BG109" s="757"/>
    </row>
    <row r="110" spans="1:72" ht="49.8" customHeight="1">
      <c r="B110" s="1247"/>
      <c r="C110" s="757"/>
      <c r="D110" s="1240"/>
      <c r="E110" s="757"/>
      <c r="G110" s="757"/>
      <c r="H110" s="757"/>
      <c r="I110" s="757"/>
      <c r="J110" s="757"/>
      <c r="K110" s="757"/>
      <c r="L110" s="757"/>
      <c r="M110" s="757"/>
      <c r="N110" s="757"/>
      <c r="O110" s="757"/>
      <c r="P110" s="757"/>
      <c r="Q110" s="757"/>
      <c r="R110" s="1262"/>
      <c r="S110" s="1262"/>
      <c r="T110" s="1262"/>
      <c r="U110" s="1262"/>
      <c r="V110" s="1262"/>
      <c r="W110" s="1262"/>
      <c r="X110" s="1262"/>
      <c r="Y110" s="1262"/>
      <c r="Z110" s="1262"/>
      <c r="AA110" s="1262"/>
      <c r="AB110" s="1262"/>
      <c r="AC110" s="1262"/>
      <c r="AD110" s="1262"/>
      <c r="AE110" s="1262"/>
      <c r="AF110" s="1262"/>
      <c r="AG110" s="1262"/>
      <c r="AH110" s="1262"/>
      <c r="AI110" s="1262"/>
      <c r="AJ110" s="1262"/>
      <c r="AK110" s="1262"/>
      <c r="AL110" s="1262"/>
      <c r="AM110" s="1262"/>
      <c r="AN110" s="1262"/>
      <c r="AO110" s="1262"/>
      <c r="AP110" s="1262"/>
      <c r="AQ110" s="1262"/>
      <c r="AR110" s="1262"/>
      <c r="AS110" s="1262"/>
      <c r="AT110" s="1262"/>
      <c r="AU110" s="1262"/>
      <c r="AV110" s="1262"/>
      <c r="AW110" s="1262"/>
      <c r="AX110" s="1262"/>
      <c r="AY110" s="1262"/>
      <c r="AZ110" s="1262"/>
      <c r="BA110" s="1262"/>
      <c r="BB110" s="1262"/>
      <c r="BC110" s="1262"/>
      <c r="BD110" s="1262"/>
      <c r="BE110" s="1262"/>
      <c r="BF110" s="1262"/>
      <c r="BG110" s="757"/>
    </row>
    <row r="111" spans="1:72" s="1224" customFormat="1" hidden="1">
      <c r="A111" s="1219" t="s">
        <v>885</v>
      </c>
      <c r="B111" s="1279" t="s">
        <v>873</v>
      </c>
      <c r="C111" s="1336"/>
      <c r="D111" s="1337"/>
      <c r="E111" s="1338"/>
      <c r="F111" s="1339"/>
      <c r="G111" s="1338"/>
      <c r="H111" s="1338"/>
      <c r="I111" s="1395"/>
      <c r="J111" s="1395"/>
      <c r="K111" s="1395"/>
      <c r="L111" s="1395"/>
      <c r="M111" s="1395"/>
      <c r="N111" s="1395"/>
      <c r="O111" s="1395"/>
      <c r="P111" s="1395"/>
      <c r="Q111" s="1274"/>
      <c r="R111" s="1274"/>
      <c r="S111" s="1341"/>
      <c r="T111" s="1341"/>
      <c r="U111" s="1341"/>
      <c r="V111" s="1341"/>
      <c r="W111" s="1341"/>
      <c r="X111" s="1341"/>
      <c r="Y111" s="1341"/>
      <c r="Z111" s="1341"/>
      <c r="AA111" s="1341"/>
      <c r="AB111" s="1341"/>
      <c r="AC111" s="1341"/>
      <c r="AD111" s="1341"/>
      <c r="AE111" s="1341"/>
      <c r="AF111" s="1341"/>
      <c r="AG111" s="1341"/>
      <c r="AH111" s="1341"/>
      <c r="AI111" s="1341"/>
      <c r="AJ111" s="1341"/>
      <c r="AK111" s="1341"/>
      <c r="AL111" s="1341"/>
      <c r="AM111" s="1341"/>
      <c r="AN111" s="1341"/>
      <c r="AO111" s="1341"/>
      <c r="AP111" s="1341"/>
      <c r="AQ111" s="1341"/>
      <c r="AR111" s="1341"/>
      <c r="AS111" s="1341"/>
      <c r="AT111" s="1341"/>
      <c r="AU111" s="1341"/>
      <c r="AV111" s="1341"/>
      <c r="AW111" s="1341"/>
      <c r="AX111" s="1341"/>
      <c r="AY111" s="1341"/>
      <c r="AZ111" s="1341"/>
      <c r="BA111" s="1341"/>
      <c r="BB111" s="1341"/>
      <c r="BC111" s="1341"/>
      <c r="BD111" s="1341"/>
      <c r="BE111" s="1341"/>
      <c r="BF111" s="1341"/>
      <c r="BG111" s="1274"/>
    </row>
    <row r="112" spans="1:72" hidden="1">
      <c r="B112" s="1283" t="s">
        <v>868</v>
      </c>
      <c r="C112" s="1286"/>
      <c r="D112" s="1285"/>
      <c r="E112" s="1286"/>
      <c r="F112" s="1303"/>
      <c r="G112" s="1286"/>
      <c r="H112" s="1286"/>
      <c r="I112" s="1288"/>
      <c r="J112" s="1288"/>
      <c r="K112" s="1288"/>
      <c r="L112" s="1288"/>
      <c r="M112" s="1288"/>
      <c r="N112" s="1288"/>
      <c r="O112" s="1288"/>
      <c r="P112" s="1288"/>
      <c r="Q112" s="757"/>
      <c r="R112" s="757"/>
      <c r="S112" s="1342"/>
      <c r="T112" s="1342"/>
      <c r="U112" s="1342"/>
      <c r="V112" s="1342"/>
      <c r="W112" s="1342"/>
      <c r="X112" s="1342"/>
      <c r="Y112" s="1342"/>
      <c r="Z112" s="1342"/>
      <c r="AA112" s="1342"/>
      <c r="AB112" s="1342"/>
      <c r="AC112" s="1342"/>
      <c r="AD112" s="1342"/>
      <c r="AE112" s="1342"/>
      <c r="AF112" s="1342"/>
      <c r="AG112" s="1342"/>
      <c r="AH112" s="1342"/>
      <c r="AI112" s="1342"/>
      <c r="AJ112" s="1342"/>
      <c r="AK112" s="1342"/>
      <c r="AL112" s="1342"/>
      <c r="AM112" s="1342"/>
      <c r="AN112" s="1342"/>
      <c r="AO112" s="1342"/>
      <c r="AP112" s="1342"/>
      <c r="AQ112" s="1342"/>
      <c r="AR112" s="1342"/>
      <c r="AS112" s="1342"/>
      <c r="AT112" s="1342"/>
      <c r="AU112" s="1342"/>
      <c r="AV112" s="1342"/>
      <c r="AW112" s="1342"/>
      <c r="AX112" s="1342"/>
      <c r="AY112" s="1342"/>
      <c r="AZ112" s="1342"/>
      <c r="BA112" s="1342"/>
      <c r="BB112" s="1342"/>
      <c r="BC112" s="1342"/>
      <c r="BD112" s="1342"/>
      <c r="BE112" s="1342"/>
      <c r="BF112" s="1342"/>
      <c r="BG112" s="757"/>
    </row>
    <row r="113" spans="1:59" hidden="1">
      <c r="B113" s="1242" t="s">
        <v>855</v>
      </c>
      <c r="C113" s="1286"/>
      <c r="D113" s="1285"/>
      <c r="E113" s="1286"/>
      <c r="F113" s="1303"/>
      <c r="G113" s="1286"/>
      <c r="H113" s="1286"/>
      <c r="I113" s="1288"/>
      <c r="J113" s="1288"/>
      <c r="K113" s="1288"/>
      <c r="L113" s="1288"/>
      <c r="M113" s="1288"/>
      <c r="N113" s="1288"/>
      <c r="O113" s="1288"/>
      <c r="P113" s="1288"/>
      <c r="Q113" s="757"/>
      <c r="R113" s="757"/>
      <c r="S113" s="1342"/>
      <c r="T113" s="1342"/>
      <c r="U113" s="1342"/>
      <c r="V113" s="1342"/>
      <c r="W113" s="1342"/>
      <c r="X113" s="1342"/>
      <c r="Y113" s="1342"/>
      <c r="Z113" s="1342"/>
      <c r="AA113" s="1342"/>
      <c r="AB113" s="1342"/>
      <c r="AC113" s="1342"/>
      <c r="AD113" s="1342"/>
      <c r="AE113" s="1342"/>
      <c r="AF113" s="1342"/>
      <c r="AG113" s="1342"/>
      <c r="AH113" s="1342"/>
      <c r="AI113" s="1342"/>
      <c r="AJ113" s="1342"/>
      <c r="AK113" s="1342"/>
      <c r="AL113" s="1342"/>
      <c r="AM113" s="1342"/>
      <c r="AN113" s="1342"/>
      <c r="AO113" s="1342"/>
      <c r="AP113" s="1342"/>
      <c r="AQ113" s="1342"/>
      <c r="AR113" s="1342"/>
      <c r="AS113" s="1342"/>
      <c r="AT113" s="1342"/>
      <c r="AU113" s="1342"/>
      <c r="AV113" s="1342"/>
      <c r="AW113" s="1342"/>
      <c r="AX113" s="1342"/>
      <c r="AY113" s="1342"/>
      <c r="AZ113" s="1342"/>
      <c r="BA113" s="1342"/>
      <c r="BB113" s="1342"/>
      <c r="BC113" s="1342"/>
      <c r="BD113" s="1342"/>
      <c r="BE113" s="1342"/>
      <c r="BF113" s="1342"/>
      <c r="BG113" s="757"/>
    </row>
    <row r="114" spans="1:59" ht="18.600000000000001" customHeight="1">
      <c r="B114" s="1247" t="s">
        <v>856</v>
      </c>
      <c r="C114" s="1286"/>
      <c r="D114" s="1285"/>
      <c r="E114" s="1286"/>
      <c r="F114" s="1303"/>
      <c r="G114" s="1286"/>
      <c r="H114" s="1286"/>
      <c r="I114" s="1288"/>
      <c r="J114" s="1288"/>
      <c r="K114" s="1288"/>
      <c r="L114" s="1288"/>
      <c r="M114" s="1288"/>
      <c r="N114" s="1288"/>
      <c r="O114" s="1288"/>
      <c r="P114" s="1288"/>
      <c r="Q114" s="757"/>
      <c r="R114" s="757"/>
      <c r="S114" s="1342"/>
      <c r="T114" s="1342"/>
      <c r="U114" s="1342"/>
      <c r="V114" s="1342"/>
      <c r="W114" s="1342"/>
      <c r="X114" s="1342"/>
      <c r="Y114" s="1342"/>
      <c r="Z114" s="1342"/>
      <c r="AA114" s="1342"/>
      <c r="AB114" s="1342"/>
      <c r="AC114" s="1342"/>
      <c r="AD114" s="1342"/>
      <c r="AE114" s="1342"/>
      <c r="AF114" s="1342"/>
      <c r="AG114" s="1342"/>
      <c r="AH114" s="1342"/>
      <c r="AI114" s="1342"/>
      <c r="AJ114" s="1342"/>
      <c r="AK114" s="1342"/>
      <c r="AL114" s="1342"/>
      <c r="AM114" s="1342"/>
      <c r="AN114" s="1342"/>
      <c r="AO114" s="1342"/>
      <c r="AP114" s="1342"/>
      <c r="AQ114" s="1342"/>
      <c r="AR114" s="1342"/>
      <c r="AS114" s="1342"/>
      <c r="AT114" s="1342"/>
      <c r="AU114" s="1342"/>
      <c r="AV114" s="1342"/>
      <c r="AW114" s="1342"/>
      <c r="AX114" s="1342"/>
      <c r="AY114" s="1342"/>
      <c r="AZ114" s="1342"/>
      <c r="BA114" s="1342"/>
      <c r="BB114" s="1342"/>
      <c r="BC114" s="1342"/>
      <c r="BD114" s="1342"/>
      <c r="BE114" s="1342"/>
      <c r="BF114" s="1342"/>
      <c r="BG114" s="757"/>
    </row>
    <row r="115" spans="1:59" ht="22.2" customHeight="1">
      <c r="B115" s="1247" t="s">
        <v>857</v>
      </c>
      <c r="C115" s="1286"/>
      <c r="D115" s="1285"/>
      <c r="E115" s="1286"/>
      <c r="F115" s="1303"/>
      <c r="G115" s="1286"/>
      <c r="H115" s="1286"/>
      <c r="I115" s="1288"/>
      <c r="J115" s="1288"/>
      <c r="K115" s="1288"/>
      <c r="L115" s="1288"/>
      <c r="M115" s="1288"/>
      <c r="N115" s="1288"/>
      <c r="O115" s="1288"/>
      <c r="P115" s="1288"/>
      <c r="Q115" s="757"/>
      <c r="R115" s="757"/>
      <c r="S115" s="1342"/>
      <c r="T115" s="1342"/>
      <c r="U115" s="1342"/>
      <c r="V115" s="1342"/>
      <c r="W115" s="1342"/>
      <c r="X115" s="1342"/>
      <c r="Y115" s="1342"/>
      <c r="Z115" s="1342"/>
      <c r="AA115" s="1342"/>
      <c r="AB115" s="1342"/>
      <c r="AC115" s="1342"/>
      <c r="AD115" s="1342"/>
      <c r="AE115" s="1342"/>
      <c r="AF115" s="1342"/>
      <c r="AG115" s="1342"/>
      <c r="AH115" s="1342"/>
      <c r="AI115" s="1342"/>
      <c r="AJ115" s="1342"/>
      <c r="AK115" s="1342"/>
      <c r="AL115" s="1342"/>
      <c r="AM115" s="1342"/>
      <c r="AN115" s="1342"/>
      <c r="AO115" s="1342"/>
      <c r="AP115" s="1342"/>
      <c r="AQ115" s="1342"/>
      <c r="AR115" s="1342"/>
      <c r="AS115" s="1342"/>
      <c r="AT115" s="1342"/>
      <c r="AU115" s="1342"/>
      <c r="AV115" s="1342"/>
      <c r="AW115" s="1342"/>
      <c r="AX115" s="1342"/>
      <c r="AY115" s="1342"/>
      <c r="AZ115" s="1342"/>
      <c r="BA115" s="1342"/>
      <c r="BB115" s="1342"/>
      <c r="BC115" s="1342"/>
      <c r="BD115" s="1342"/>
      <c r="BE115" s="1342"/>
      <c r="BF115" s="1342"/>
      <c r="BG115" s="757"/>
    </row>
    <row r="116" spans="1:59" s="1224" customFormat="1" ht="24" customHeight="1">
      <c r="A116" s="1219"/>
      <c r="B116" s="1242" t="s">
        <v>858</v>
      </c>
      <c r="C116" s="1343"/>
      <c r="D116" s="1344"/>
      <c r="E116" s="1343"/>
      <c r="F116" s="1345"/>
      <c r="G116" s="1343"/>
      <c r="H116" s="1343"/>
      <c r="I116" s="1340"/>
      <c r="J116" s="1340"/>
      <c r="K116" s="1340"/>
      <c r="L116" s="1340"/>
      <c r="M116" s="1340"/>
      <c r="N116" s="1340"/>
      <c r="O116" s="1340"/>
      <c r="P116" s="1340"/>
      <c r="Q116" s="1274"/>
      <c r="R116" s="1274"/>
      <c r="S116" s="1341"/>
      <c r="T116" s="1341"/>
      <c r="U116" s="1341"/>
      <c r="V116" s="1341"/>
      <c r="W116" s="1341"/>
      <c r="X116" s="1341"/>
      <c r="Y116" s="1341"/>
      <c r="Z116" s="1341"/>
      <c r="AA116" s="1341"/>
      <c r="AB116" s="1341"/>
      <c r="AC116" s="1341"/>
      <c r="AD116" s="1341"/>
      <c r="AE116" s="1341"/>
      <c r="AF116" s="1341"/>
      <c r="AG116" s="1341"/>
      <c r="AH116" s="1341"/>
      <c r="AI116" s="1341"/>
      <c r="AJ116" s="1341"/>
      <c r="AK116" s="1341"/>
      <c r="AL116" s="1341"/>
      <c r="AM116" s="1341"/>
      <c r="AN116" s="1341"/>
      <c r="AO116" s="1341"/>
      <c r="AP116" s="1341"/>
      <c r="AQ116" s="1341"/>
      <c r="AR116" s="1341"/>
      <c r="AS116" s="1341"/>
      <c r="AT116" s="1341"/>
      <c r="AU116" s="1341"/>
      <c r="AV116" s="1341"/>
      <c r="AW116" s="1341"/>
      <c r="AX116" s="1341"/>
      <c r="AY116" s="1341"/>
      <c r="AZ116" s="1341"/>
      <c r="BA116" s="1341"/>
      <c r="BB116" s="1341"/>
      <c r="BC116" s="1341"/>
      <c r="BD116" s="1341"/>
      <c r="BE116" s="1341"/>
      <c r="BF116" s="1341"/>
      <c r="BG116" s="1274"/>
    </row>
    <row r="117" spans="1:59" s="1224" customFormat="1" ht="30.6" customHeight="1">
      <c r="A117" s="1219"/>
      <c r="B117" s="1247" t="s">
        <v>859</v>
      </c>
      <c r="C117" s="1343"/>
      <c r="D117" s="1344"/>
      <c r="E117" s="1343"/>
      <c r="F117" s="1345"/>
      <c r="G117" s="1343"/>
      <c r="H117" s="1343"/>
      <c r="I117" s="1340"/>
      <c r="J117" s="1340"/>
      <c r="K117" s="1340"/>
      <c r="L117" s="1340"/>
      <c r="M117" s="1340"/>
      <c r="N117" s="1340"/>
      <c r="O117" s="1340"/>
      <c r="P117" s="1340"/>
      <c r="Q117" s="1274"/>
      <c r="R117" s="1274"/>
      <c r="S117" s="1341"/>
      <c r="T117" s="1341"/>
      <c r="U117" s="1341"/>
      <c r="V117" s="1341"/>
      <c r="W117" s="1341"/>
      <c r="X117" s="1341"/>
      <c r="Y117" s="1341"/>
      <c r="Z117" s="1341"/>
      <c r="AA117" s="1341"/>
      <c r="AB117" s="1341"/>
      <c r="AC117" s="1341"/>
      <c r="AD117" s="1341"/>
      <c r="AE117" s="1341"/>
      <c r="AF117" s="1341"/>
      <c r="AG117" s="1341"/>
      <c r="AH117" s="1341"/>
      <c r="AI117" s="1341"/>
      <c r="AJ117" s="1341"/>
      <c r="AK117" s="1341"/>
      <c r="AL117" s="1341"/>
      <c r="AM117" s="1341"/>
      <c r="AN117" s="1341"/>
      <c r="AO117" s="1341"/>
      <c r="AP117" s="1341"/>
      <c r="AQ117" s="1341"/>
      <c r="AR117" s="1341"/>
      <c r="AS117" s="1341"/>
      <c r="AT117" s="1341"/>
      <c r="AU117" s="1341"/>
      <c r="AV117" s="1341"/>
      <c r="AW117" s="1341"/>
      <c r="AX117" s="1341"/>
      <c r="AY117" s="1341"/>
      <c r="AZ117" s="1341"/>
      <c r="BA117" s="1341"/>
      <c r="BB117" s="1341"/>
      <c r="BC117" s="1341"/>
      <c r="BD117" s="1341"/>
      <c r="BE117" s="1341"/>
      <c r="BF117" s="1341"/>
      <c r="BG117" s="1274"/>
    </row>
    <row r="118" spans="1:59" s="1224" customFormat="1" ht="22.2" customHeight="1">
      <c r="A118" s="1219"/>
      <c r="C118" s="1343"/>
      <c r="D118" s="1344"/>
      <c r="E118" s="1343"/>
      <c r="F118" s="1345"/>
      <c r="G118" s="1343"/>
      <c r="H118" s="1343"/>
      <c r="I118" s="1340"/>
      <c r="J118" s="1340"/>
      <c r="K118" s="1340"/>
      <c r="L118" s="1340"/>
      <c r="M118" s="1340"/>
      <c r="N118" s="1340"/>
      <c r="O118" s="1340"/>
      <c r="P118" s="1340"/>
      <c r="Q118" s="1274"/>
      <c r="R118" s="1274"/>
      <c r="S118" s="1341"/>
      <c r="T118" s="1341"/>
      <c r="U118" s="1341"/>
      <c r="V118" s="1341"/>
      <c r="W118" s="1341"/>
      <c r="X118" s="1341"/>
      <c r="Y118" s="1341"/>
      <c r="Z118" s="1341"/>
      <c r="AA118" s="1341"/>
      <c r="AB118" s="1341"/>
      <c r="AC118" s="1341"/>
      <c r="AD118" s="1341"/>
      <c r="AE118" s="1341"/>
      <c r="AF118" s="1341"/>
      <c r="AG118" s="1341"/>
      <c r="AH118" s="1341"/>
      <c r="AI118" s="1341"/>
      <c r="AJ118" s="1341"/>
      <c r="AK118" s="1341"/>
      <c r="AL118" s="1341"/>
      <c r="AM118" s="1341"/>
      <c r="AN118" s="1341"/>
      <c r="AO118" s="1341"/>
      <c r="AP118" s="1341"/>
      <c r="AQ118" s="1341"/>
      <c r="AR118" s="1341"/>
      <c r="AS118" s="1341"/>
      <c r="AT118" s="1341"/>
      <c r="AU118" s="1341"/>
      <c r="AV118" s="1341"/>
      <c r="AW118" s="1341"/>
      <c r="AX118" s="1341"/>
      <c r="AY118" s="1341"/>
      <c r="AZ118" s="1341"/>
      <c r="BA118" s="1341"/>
      <c r="BB118" s="1341"/>
      <c r="BC118" s="1341"/>
      <c r="BD118" s="1341"/>
      <c r="BE118" s="1341"/>
      <c r="BF118" s="1341"/>
      <c r="BG118" s="1274"/>
    </row>
    <row r="119" spans="1:59" ht="24" customHeight="1">
      <c r="B119" s="1283" t="s">
        <v>874</v>
      </c>
      <c r="C119" s="1286"/>
      <c r="D119" s="1285"/>
      <c r="E119" s="1286"/>
      <c r="F119" s="1303"/>
      <c r="G119" s="1286"/>
      <c r="H119" s="1286"/>
      <c r="I119" s="1288"/>
      <c r="J119" s="1288"/>
      <c r="K119" s="1288"/>
      <c r="L119" s="1288"/>
      <c r="M119" s="1288"/>
      <c r="N119" s="1288"/>
      <c r="O119" s="1288"/>
      <c r="P119" s="1288"/>
      <c r="Q119" s="757"/>
      <c r="R119" s="757"/>
      <c r="S119" s="1342"/>
      <c r="T119" s="1342"/>
      <c r="U119" s="1342"/>
      <c r="V119" s="1342"/>
      <c r="W119" s="1342"/>
      <c r="X119" s="1342"/>
      <c r="Y119" s="1342"/>
      <c r="Z119" s="1342"/>
      <c r="AA119" s="1342"/>
      <c r="AB119" s="1342"/>
      <c r="AC119" s="1342"/>
      <c r="AD119" s="1342"/>
      <c r="AE119" s="1342"/>
      <c r="AF119" s="1342"/>
      <c r="AG119" s="1342"/>
      <c r="AH119" s="1342"/>
      <c r="AI119" s="1342"/>
      <c r="AJ119" s="1342"/>
      <c r="AK119" s="1342"/>
      <c r="AL119" s="1342"/>
      <c r="AM119" s="1342"/>
      <c r="AN119" s="1342"/>
      <c r="AO119" s="1342"/>
      <c r="AP119" s="1342"/>
      <c r="AQ119" s="1342"/>
      <c r="AR119" s="1342"/>
      <c r="AS119" s="1342"/>
      <c r="AT119" s="1342"/>
      <c r="AU119" s="1342"/>
      <c r="AV119" s="1342"/>
      <c r="AW119" s="1342"/>
      <c r="AX119" s="1342"/>
      <c r="AY119" s="1342"/>
      <c r="AZ119" s="1342"/>
      <c r="BA119" s="1342"/>
      <c r="BB119" s="1342"/>
      <c r="BC119" s="1342"/>
      <c r="BD119" s="1342"/>
      <c r="BE119" s="1342"/>
      <c r="BF119" s="1342"/>
      <c r="BG119" s="757"/>
    </row>
    <row r="120" spans="1:59" ht="18" customHeight="1">
      <c r="B120" s="1242" t="s">
        <v>855</v>
      </c>
      <c r="C120" s="1286"/>
      <c r="D120" s="1285"/>
      <c r="E120" s="1286"/>
      <c r="F120" s="1303"/>
      <c r="G120" s="1286"/>
      <c r="H120" s="1286"/>
      <c r="I120" s="1288"/>
      <c r="J120" s="1288"/>
      <c r="K120" s="1288"/>
      <c r="L120" s="1288"/>
      <c r="M120" s="1288"/>
      <c r="N120" s="1288"/>
      <c r="O120" s="1288"/>
      <c r="P120" s="1288"/>
      <c r="Q120" s="757"/>
      <c r="R120" s="757"/>
      <c r="S120" s="1342"/>
      <c r="T120" s="1342"/>
      <c r="U120" s="1342"/>
      <c r="V120" s="1342"/>
      <c r="W120" s="1342"/>
      <c r="X120" s="1342"/>
      <c r="Y120" s="1342"/>
      <c r="Z120" s="1342"/>
      <c r="AA120" s="1342"/>
      <c r="AB120" s="1342"/>
      <c r="AC120" s="1342"/>
      <c r="AD120" s="1342"/>
      <c r="AE120" s="1342"/>
      <c r="AF120" s="1342"/>
      <c r="AG120" s="1342"/>
      <c r="AH120" s="1342"/>
      <c r="AI120" s="1342"/>
      <c r="AJ120" s="1342"/>
      <c r="AK120" s="1342"/>
      <c r="AL120" s="1342"/>
      <c r="AM120" s="1342"/>
      <c r="AN120" s="1342"/>
      <c r="AO120" s="1342"/>
      <c r="AP120" s="1342"/>
      <c r="AQ120" s="1342"/>
      <c r="AR120" s="1342"/>
      <c r="AS120" s="1342"/>
      <c r="AT120" s="1342"/>
      <c r="AU120" s="1342"/>
      <c r="AV120" s="1342"/>
      <c r="AW120" s="1342"/>
      <c r="AX120" s="1342"/>
      <c r="AY120" s="1342"/>
      <c r="AZ120" s="1342"/>
      <c r="BA120" s="1342"/>
      <c r="BB120" s="1342"/>
      <c r="BC120" s="1342"/>
      <c r="BD120" s="1342"/>
      <c r="BE120" s="1342"/>
      <c r="BF120" s="1342"/>
      <c r="BG120" s="757"/>
    </row>
    <row r="121" spans="1:59" ht="12.6" customHeight="1">
      <c r="B121" s="1247" t="s">
        <v>856</v>
      </c>
      <c r="C121" s="1286"/>
      <c r="D121" s="1285"/>
      <c r="E121" s="1286"/>
      <c r="F121" s="1303"/>
      <c r="G121" s="1286"/>
      <c r="H121" s="1286"/>
      <c r="I121" s="1288"/>
      <c r="J121" s="1288"/>
      <c r="K121" s="1288"/>
      <c r="L121" s="1288"/>
      <c r="M121" s="1288"/>
      <c r="N121" s="1288"/>
      <c r="O121" s="1288"/>
      <c r="P121" s="1288"/>
      <c r="Q121" s="757"/>
      <c r="R121" s="757"/>
      <c r="S121" s="1342"/>
      <c r="T121" s="1342"/>
      <c r="U121" s="1342"/>
      <c r="V121" s="1342"/>
      <c r="W121" s="1342"/>
      <c r="X121" s="1342"/>
      <c r="Y121" s="1342"/>
      <c r="Z121" s="1342"/>
      <c r="AA121" s="1342"/>
      <c r="AB121" s="1342"/>
      <c r="AC121" s="1342"/>
      <c r="AD121" s="1342"/>
      <c r="AE121" s="1342"/>
      <c r="AF121" s="1342"/>
      <c r="AG121" s="1342"/>
      <c r="AH121" s="1342"/>
      <c r="AI121" s="1342"/>
      <c r="AJ121" s="1342"/>
      <c r="AK121" s="1342"/>
      <c r="AL121" s="1342"/>
      <c r="AM121" s="1342"/>
      <c r="AN121" s="1342"/>
      <c r="AO121" s="1342"/>
      <c r="AP121" s="1342"/>
      <c r="AQ121" s="1342"/>
      <c r="AR121" s="1342"/>
      <c r="AS121" s="1342"/>
      <c r="AT121" s="1342"/>
      <c r="AU121" s="1342"/>
      <c r="AV121" s="1342"/>
      <c r="AW121" s="1342"/>
      <c r="AX121" s="1342"/>
      <c r="AY121" s="1342"/>
      <c r="AZ121" s="1342"/>
      <c r="BA121" s="1342"/>
      <c r="BB121" s="1342"/>
      <c r="BC121" s="1342"/>
      <c r="BD121" s="1342"/>
      <c r="BE121" s="1342"/>
      <c r="BF121" s="1342"/>
      <c r="BG121" s="757"/>
    </row>
    <row r="122" spans="1:59" ht="19.8" customHeight="1">
      <c r="B122" s="1247" t="s">
        <v>857</v>
      </c>
      <c r="C122" s="1286"/>
      <c r="D122" s="1285"/>
      <c r="E122" s="1286"/>
      <c r="F122" s="1303"/>
      <c r="G122" s="1286"/>
      <c r="H122" s="1286"/>
      <c r="I122" s="1288"/>
      <c r="J122" s="1288"/>
      <c r="K122" s="1288"/>
      <c r="L122" s="1288"/>
      <c r="M122" s="1288"/>
      <c r="N122" s="1288"/>
      <c r="O122" s="1288"/>
      <c r="P122" s="1288"/>
      <c r="Q122" s="757"/>
      <c r="R122" s="757"/>
      <c r="S122" s="1342"/>
      <c r="T122" s="1342"/>
      <c r="U122" s="1342"/>
      <c r="V122" s="1342"/>
      <c r="W122" s="1342"/>
      <c r="X122" s="1342"/>
      <c r="Y122" s="1342"/>
      <c r="Z122" s="1342"/>
      <c r="AA122" s="1342"/>
      <c r="AB122" s="1342"/>
      <c r="AC122" s="1342"/>
      <c r="AD122" s="1342"/>
      <c r="AE122" s="1342"/>
      <c r="AF122" s="1342"/>
      <c r="AG122" s="1342"/>
      <c r="AH122" s="1342"/>
      <c r="AI122" s="1342"/>
      <c r="AJ122" s="1342"/>
      <c r="AK122" s="1342"/>
      <c r="AL122" s="1342"/>
      <c r="AM122" s="1342"/>
      <c r="AN122" s="1342"/>
      <c r="AO122" s="1342"/>
      <c r="AP122" s="1342"/>
      <c r="AQ122" s="1342"/>
      <c r="AR122" s="1342"/>
      <c r="AS122" s="1342"/>
      <c r="AT122" s="1342"/>
      <c r="AU122" s="1342"/>
      <c r="AV122" s="1342"/>
      <c r="AW122" s="1342"/>
      <c r="AX122" s="1342"/>
      <c r="AY122" s="1342"/>
      <c r="AZ122" s="1342"/>
      <c r="BA122" s="1342"/>
      <c r="BB122" s="1342"/>
      <c r="BC122" s="1342"/>
      <c r="BD122" s="1342"/>
      <c r="BE122" s="1342"/>
      <c r="BF122" s="1342"/>
      <c r="BG122" s="757"/>
    </row>
    <row r="123" spans="1:59" s="1224" customFormat="1" ht="18.600000000000001" customHeight="1">
      <c r="A123" s="1219"/>
      <c r="B123" s="1242" t="s">
        <v>858</v>
      </c>
      <c r="C123" s="1343"/>
      <c r="D123" s="1344"/>
      <c r="E123" s="1343"/>
      <c r="F123" s="1345"/>
      <c r="G123" s="1343"/>
      <c r="H123" s="1343"/>
      <c r="I123" s="1340"/>
      <c r="J123" s="1340"/>
      <c r="K123" s="1340"/>
      <c r="L123" s="1340"/>
      <c r="M123" s="1340"/>
      <c r="N123" s="1340"/>
      <c r="O123" s="1340"/>
      <c r="P123" s="1340"/>
      <c r="Q123" s="1274"/>
      <c r="R123" s="1274"/>
      <c r="S123" s="1341"/>
      <c r="T123" s="1341"/>
      <c r="U123" s="1341"/>
      <c r="V123" s="1341"/>
      <c r="W123" s="1341"/>
      <c r="X123" s="1341"/>
      <c r="Y123" s="1341"/>
      <c r="Z123" s="1341"/>
      <c r="AA123" s="1341"/>
      <c r="AB123" s="1341"/>
      <c r="AC123" s="1341"/>
      <c r="AD123" s="1341"/>
      <c r="AE123" s="1341"/>
      <c r="AF123" s="1341"/>
      <c r="AG123" s="1341"/>
      <c r="AH123" s="1341"/>
      <c r="AI123" s="1341"/>
      <c r="AJ123" s="1341"/>
      <c r="AK123" s="1341"/>
      <c r="AL123" s="1341"/>
      <c r="AM123" s="1341"/>
      <c r="AN123" s="1341"/>
      <c r="AO123" s="1341"/>
      <c r="AP123" s="1341"/>
      <c r="AQ123" s="1341"/>
      <c r="AR123" s="1341"/>
      <c r="AS123" s="1341"/>
      <c r="AT123" s="1341"/>
      <c r="AU123" s="1341"/>
      <c r="AV123" s="1341"/>
      <c r="AW123" s="1341"/>
      <c r="AX123" s="1341"/>
      <c r="AY123" s="1341"/>
      <c r="AZ123" s="1341"/>
      <c r="BA123" s="1341"/>
      <c r="BB123" s="1341"/>
      <c r="BC123" s="1341"/>
      <c r="BD123" s="1341"/>
      <c r="BE123" s="1341"/>
      <c r="BF123" s="1341"/>
      <c r="BG123" s="1274"/>
    </row>
    <row r="124" spans="1:59" ht="24.6" customHeight="1">
      <c r="B124" s="1247" t="s">
        <v>859</v>
      </c>
      <c r="C124" s="1346"/>
      <c r="D124" s="1347"/>
      <c r="E124" s="1346"/>
      <c r="F124" s="1348"/>
      <c r="G124" s="1346"/>
      <c r="H124" s="1346"/>
      <c r="I124" s="1349"/>
      <c r="J124" s="1349"/>
      <c r="K124" s="1349"/>
      <c r="L124" s="1349"/>
      <c r="M124" s="1349"/>
      <c r="N124" s="1349"/>
      <c r="O124" s="1349"/>
      <c r="P124" s="1349"/>
      <c r="Q124" s="757"/>
      <c r="R124" s="757"/>
      <c r="S124" s="1342"/>
      <c r="T124" s="1342"/>
      <c r="U124" s="1342"/>
      <c r="V124" s="1342"/>
      <c r="W124" s="1342"/>
      <c r="X124" s="1342"/>
      <c r="Y124" s="1342"/>
      <c r="Z124" s="1342"/>
      <c r="AA124" s="1342"/>
      <c r="AB124" s="1342"/>
      <c r="AC124" s="1342"/>
      <c r="AD124" s="1342"/>
      <c r="AE124" s="1342"/>
      <c r="AF124" s="1342"/>
      <c r="AG124" s="1342"/>
      <c r="AH124" s="1342"/>
      <c r="AI124" s="1342"/>
      <c r="AJ124" s="1342"/>
      <c r="AK124" s="1342"/>
      <c r="AL124" s="1342"/>
      <c r="AM124" s="1342"/>
      <c r="AN124" s="1342"/>
      <c r="AO124" s="1342"/>
      <c r="AP124" s="1342"/>
      <c r="AQ124" s="1342"/>
      <c r="AR124" s="1342"/>
      <c r="AS124" s="1342"/>
      <c r="AT124" s="1342"/>
      <c r="AU124" s="1342"/>
      <c r="AV124" s="1342"/>
      <c r="AW124" s="1342"/>
      <c r="AX124" s="1342"/>
      <c r="AY124" s="1342"/>
      <c r="AZ124" s="1342"/>
      <c r="BA124" s="1342"/>
      <c r="BB124" s="1342"/>
      <c r="BC124" s="1342"/>
      <c r="BD124" s="1342"/>
      <c r="BE124" s="1342"/>
      <c r="BF124" s="1342"/>
      <c r="BG124" s="757"/>
    </row>
    <row r="125" spans="1:59" ht="24" customHeight="1">
      <c r="B125" s="1247"/>
      <c r="C125" s="1350"/>
      <c r="D125" s="1351"/>
      <c r="E125" s="1350"/>
      <c r="F125" s="1352"/>
      <c r="G125" s="1350"/>
      <c r="H125" s="1350"/>
      <c r="I125" s="1353"/>
      <c r="J125" s="1353"/>
      <c r="K125" s="1353"/>
      <c r="L125" s="1353"/>
      <c r="M125" s="1353"/>
      <c r="N125" s="1353"/>
      <c r="O125" s="1353"/>
      <c r="P125" s="1353"/>
      <c r="Q125" s="757"/>
      <c r="R125" s="757"/>
      <c r="S125" s="1342"/>
      <c r="T125" s="1342"/>
      <c r="U125" s="1342"/>
      <c r="V125" s="1342"/>
      <c r="W125" s="1342"/>
      <c r="X125" s="1342"/>
      <c r="Y125" s="1342"/>
      <c r="Z125" s="1342"/>
      <c r="AA125" s="1342"/>
      <c r="AB125" s="1342"/>
      <c r="AC125" s="1342"/>
      <c r="AD125" s="1342"/>
      <c r="AE125" s="1342"/>
      <c r="AF125" s="1342"/>
      <c r="AG125" s="1342"/>
      <c r="AH125" s="1342"/>
      <c r="AI125" s="1342"/>
      <c r="AJ125" s="1342"/>
      <c r="AK125" s="1342"/>
      <c r="AL125" s="1342"/>
      <c r="AM125" s="1342"/>
      <c r="AN125" s="1342"/>
      <c r="AO125" s="1342"/>
      <c r="AP125" s="1342"/>
      <c r="AQ125" s="1342"/>
      <c r="AR125" s="1342"/>
      <c r="AS125" s="1342"/>
      <c r="AT125" s="1342"/>
      <c r="AU125" s="1342"/>
      <c r="AV125" s="1342"/>
      <c r="AW125" s="1342"/>
      <c r="AX125" s="1342"/>
      <c r="AY125" s="1342"/>
      <c r="AZ125" s="1342"/>
      <c r="BA125" s="1342"/>
      <c r="BB125" s="1342"/>
      <c r="BC125" s="1342"/>
      <c r="BD125" s="1342"/>
      <c r="BE125" s="1342"/>
      <c r="BF125" s="1342"/>
      <c r="BG125" s="757"/>
    </row>
    <row r="126" spans="1:59" s="1224" customFormat="1" ht="15.6" customHeight="1" thickBot="1">
      <c r="A126" s="1219" t="s">
        <v>886</v>
      </c>
      <c r="B126" s="1270" t="s">
        <v>876</v>
      </c>
      <c r="C126" s="1354"/>
      <c r="D126" s="1355"/>
      <c r="E126" s="1354"/>
      <c r="F126" s="1356"/>
      <c r="G126" s="1354"/>
      <c r="H126" s="1354"/>
      <c r="I126" s="1357"/>
      <c r="J126" s="1357"/>
      <c r="K126" s="1357"/>
      <c r="L126" s="1357"/>
      <c r="M126" s="1357"/>
      <c r="N126" s="1357"/>
      <c r="O126" s="1357"/>
      <c r="P126" s="1357"/>
      <c r="Q126" s="1271"/>
      <c r="R126" s="1271"/>
      <c r="S126" s="1358"/>
      <c r="T126" s="1358"/>
      <c r="U126" s="1358"/>
      <c r="V126" s="1358"/>
      <c r="W126" s="1358"/>
      <c r="X126" s="1358"/>
      <c r="Y126" s="1358"/>
      <c r="Z126" s="1358"/>
      <c r="AA126" s="1358"/>
      <c r="AB126" s="1358"/>
      <c r="AC126" s="1358"/>
      <c r="AD126" s="1358"/>
      <c r="AE126" s="1358"/>
      <c r="AF126" s="1358"/>
      <c r="AG126" s="1358"/>
      <c r="AH126" s="1358"/>
      <c r="AI126" s="1358"/>
      <c r="AJ126" s="1358"/>
      <c r="AK126" s="1358"/>
      <c r="AL126" s="1358"/>
      <c r="AM126" s="1358"/>
      <c r="AN126" s="1358"/>
      <c r="AO126" s="1358"/>
      <c r="AP126" s="1358"/>
      <c r="AQ126" s="1358"/>
      <c r="AR126" s="1358"/>
      <c r="AS126" s="1358"/>
      <c r="AT126" s="1358"/>
      <c r="AU126" s="1358"/>
      <c r="AV126" s="1358"/>
      <c r="AW126" s="1358"/>
      <c r="AX126" s="1358"/>
      <c r="AY126" s="1358"/>
      <c r="AZ126" s="1358"/>
      <c r="BA126" s="1358"/>
      <c r="BB126" s="1358"/>
      <c r="BC126" s="1358"/>
      <c r="BD126" s="1358"/>
      <c r="BE126" s="1358"/>
      <c r="BF126" s="1358"/>
    </row>
    <row r="127" spans="1:59" ht="17.399999999999999" customHeight="1">
      <c r="B127" s="1220" t="s">
        <v>877</v>
      </c>
      <c r="C127" s="1333"/>
      <c r="D127" s="1332"/>
      <c r="E127" s="1333"/>
      <c r="F127" s="1334"/>
      <c r="G127" s="1333"/>
      <c r="H127" s="1333"/>
      <c r="I127" s="1359"/>
      <c r="J127" s="1359"/>
      <c r="K127" s="1359"/>
      <c r="L127" s="1359"/>
      <c r="M127" s="1359"/>
      <c r="N127" s="1359"/>
      <c r="O127" s="1359"/>
      <c r="P127" s="1359"/>
      <c r="Q127" s="757"/>
      <c r="R127" s="757"/>
      <c r="S127" s="1342"/>
      <c r="T127" s="1342"/>
      <c r="U127" s="1342"/>
      <c r="V127" s="1342"/>
      <c r="W127" s="1342"/>
      <c r="X127" s="1342"/>
      <c r="Y127" s="1342"/>
      <c r="Z127" s="1342"/>
      <c r="AA127" s="1342"/>
      <c r="AB127" s="1342"/>
      <c r="AC127" s="1342"/>
      <c r="AD127" s="1342"/>
      <c r="AE127" s="1342"/>
      <c r="AF127" s="1342"/>
      <c r="AG127" s="1342"/>
      <c r="AH127" s="1342"/>
      <c r="AI127" s="1342"/>
      <c r="AJ127" s="1342"/>
      <c r="AK127" s="1342"/>
      <c r="AL127" s="1342"/>
      <c r="AM127" s="1342"/>
      <c r="AN127" s="1342"/>
      <c r="AO127" s="1342"/>
      <c r="AP127" s="1342"/>
      <c r="AQ127" s="1342"/>
      <c r="AR127" s="1342"/>
      <c r="AS127" s="1342"/>
      <c r="AT127" s="1342"/>
      <c r="AU127" s="1342"/>
      <c r="AV127" s="1342"/>
      <c r="AW127" s="1342"/>
      <c r="AX127" s="1342"/>
      <c r="AY127" s="1342"/>
      <c r="AZ127" s="1342"/>
      <c r="BA127" s="1342"/>
      <c r="BB127" s="1342"/>
      <c r="BC127" s="1342"/>
      <c r="BD127" s="1342"/>
      <c r="BE127" s="1342"/>
      <c r="BF127" s="1342"/>
      <c r="BG127" s="757"/>
    </row>
    <row r="128" spans="1:59" ht="13.8" customHeight="1">
      <c r="C128" s="1286"/>
      <c r="D128" s="1285"/>
      <c r="E128" s="1286"/>
      <c r="F128" s="1303"/>
      <c r="G128" s="1286"/>
      <c r="H128" s="1286"/>
      <c r="I128" s="1288"/>
      <c r="J128" s="1288"/>
      <c r="K128" s="1288"/>
      <c r="L128" s="1288"/>
      <c r="M128" s="1288"/>
      <c r="N128" s="1288"/>
      <c r="O128" s="1288"/>
      <c r="P128" s="1288"/>
      <c r="Q128" s="757"/>
      <c r="R128" s="757"/>
      <c r="S128" s="1342"/>
      <c r="T128" s="1342"/>
      <c r="U128" s="1342"/>
      <c r="V128" s="1342"/>
      <c r="W128" s="1342"/>
      <c r="X128" s="1342"/>
      <c r="Y128" s="1342"/>
      <c r="Z128" s="1342"/>
      <c r="AA128" s="1342"/>
      <c r="AB128" s="1342"/>
      <c r="AC128" s="1342"/>
      <c r="AD128" s="1342"/>
      <c r="AE128" s="1342"/>
      <c r="AF128" s="1342"/>
      <c r="AG128" s="1342"/>
      <c r="AH128" s="1342"/>
      <c r="AI128" s="1342"/>
      <c r="AJ128" s="1342"/>
      <c r="AK128" s="1342"/>
      <c r="AL128" s="1342"/>
      <c r="AM128" s="1342"/>
      <c r="AN128" s="1342"/>
      <c r="AO128" s="1342"/>
      <c r="AP128" s="1342"/>
      <c r="AQ128" s="1342"/>
      <c r="AR128" s="1342"/>
      <c r="AS128" s="1342"/>
      <c r="AT128" s="1342"/>
      <c r="AU128" s="1342"/>
      <c r="AV128" s="1342"/>
      <c r="AW128" s="1342"/>
      <c r="AX128" s="1342"/>
      <c r="AY128" s="1342"/>
      <c r="AZ128" s="1342"/>
      <c r="BA128" s="1342"/>
      <c r="BB128" s="1342"/>
      <c r="BC128" s="1342"/>
      <c r="BD128" s="1342"/>
      <c r="BE128" s="1342"/>
      <c r="BF128" s="1342"/>
      <c r="BG128" s="757"/>
    </row>
    <row r="129" spans="1:59" ht="12" customHeight="1">
      <c r="B129" s="1360"/>
      <c r="C129" s="1286"/>
      <c r="D129" s="1285"/>
      <c r="E129" s="1286"/>
      <c r="F129" s="1303"/>
      <c r="G129" s="1286"/>
      <c r="H129" s="1286"/>
      <c r="I129" s="1288"/>
      <c r="J129" s="1288"/>
      <c r="K129" s="1288"/>
      <c r="L129" s="1288"/>
      <c r="M129" s="1288"/>
      <c r="N129" s="1288"/>
      <c r="O129" s="1288"/>
      <c r="P129" s="1288"/>
      <c r="Q129" s="757"/>
      <c r="R129" s="757"/>
      <c r="S129" s="1342"/>
      <c r="T129" s="1342"/>
      <c r="U129" s="1342"/>
      <c r="V129" s="1342"/>
      <c r="W129" s="1342"/>
      <c r="X129" s="1342"/>
      <c r="Y129" s="1342"/>
      <c r="Z129" s="1342"/>
      <c r="AA129" s="1342"/>
      <c r="AB129" s="1342"/>
      <c r="AC129" s="1342"/>
      <c r="AD129" s="1342"/>
      <c r="AE129" s="1342"/>
      <c r="AF129" s="1342"/>
      <c r="AG129" s="1342"/>
      <c r="AH129" s="1342"/>
      <c r="AI129" s="1342"/>
      <c r="AJ129" s="1342"/>
      <c r="AK129" s="1342"/>
      <c r="AL129" s="1342"/>
      <c r="AM129" s="1342"/>
      <c r="AN129" s="1342"/>
      <c r="AO129" s="1342"/>
      <c r="AP129" s="1342"/>
      <c r="AQ129" s="1342"/>
      <c r="AR129" s="1342"/>
      <c r="AS129" s="1342"/>
      <c r="AT129" s="1342"/>
      <c r="AU129" s="1342"/>
      <c r="AV129" s="1342"/>
      <c r="AW129" s="1342"/>
      <c r="AX129" s="1342"/>
      <c r="AY129" s="1342"/>
      <c r="AZ129" s="1342"/>
      <c r="BA129" s="1342"/>
      <c r="BB129" s="1342"/>
      <c r="BC129" s="1342"/>
      <c r="BD129" s="1342"/>
      <c r="BE129" s="1342"/>
      <c r="BF129" s="1342"/>
      <c r="BG129" s="757"/>
    </row>
    <row r="130" spans="1:59" ht="11.4" customHeight="1">
      <c r="B130" s="1360"/>
      <c r="C130" s="1286"/>
      <c r="D130" s="1285"/>
      <c r="E130" s="1286"/>
      <c r="F130" s="1303"/>
      <c r="G130" s="1286"/>
      <c r="H130" s="1286"/>
      <c r="I130" s="1288"/>
      <c r="J130" s="1288"/>
      <c r="K130" s="1288"/>
      <c r="L130" s="1288"/>
      <c r="M130" s="1288"/>
      <c r="N130" s="1288"/>
      <c r="O130" s="1288"/>
      <c r="P130" s="1288"/>
      <c r="Q130" s="757"/>
      <c r="R130" s="757"/>
      <c r="S130" s="1342"/>
      <c r="T130" s="1342"/>
      <c r="U130" s="1342"/>
      <c r="V130" s="1342"/>
      <c r="W130" s="1342"/>
      <c r="X130" s="1342"/>
      <c r="Y130" s="1342"/>
      <c r="Z130" s="1342"/>
      <c r="AA130" s="1342"/>
      <c r="AB130" s="1342"/>
      <c r="AC130" s="1342"/>
      <c r="AD130" s="1342"/>
      <c r="AE130" s="1342"/>
      <c r="AF130" s="1342"/>
      <c r="AG130" s="1342"/>
      <c r="AH130" s="1342"/>
      <c r="AI130" s="1342"/>
      <c r="AJ130" s="1342"/>
      <c r="AK130" s="1342"/>
      <c r="AL130" s="1342"/>
      <c r="AM130" s="1342"/>
      <c r="AN130" s="1342"/>
      <c r="AO130" s="1342"/>
      <c r="AP130" s="1342"/>
      <c r="AQ130" s="1342"/>
      <c r="AR130" s="1342"/>
      <c r="AS130" s="1342"/>
      <c r="AT130" s="1342"/>
      <c r="AU130" s="1342"/>
      <c r="AV130" s="1342"/>
      <c r="AW130" s="1342"/>
      <c r="AX130" s="1342"/>
      <c r="AY130" s="1342"/>
      <c r="AZ130" s="1342"/>
      <c r="BA130" s="1342"/>
      <c r="BB130" s="1342"/>
      <c r="BC130" s="1342"/>
      <c r="BD130" s="1342"/>
      <c r="BE130" s="1342"/>
      <c r="BF130" s="1342"/>
      <c r="BG130" s="757"/>
    </row>
    <row r="131" spans="1:59" ht="27.6" customHeight="1">
      <c r="B131" s="1360"/>
      <c r="C131" s="1286"/>
      <c r="D131" s="1285"/>
      <c r="E131" s="1286"/>
      <c r="F131" s="1303"/>
      <c r="G131" s="1286"/>
      <c r="H131" s="1286"/>
      <c r="I131" s="1288"/>
      <c r="J131" s="1288"/>
      <c r="K131" s="1288"/>
      <c r="L131" s="1288"/>
      <c r="M131" s="1288"/>
      <c r="N131" s="1288"/>
      <c r="O131" s="1288"/>
      <c r="P131" s="1288"/>
      <c r="Q131" s="757"/>
      <c r="R131" s="757"/>
      <c r="S131" s="1342"/>
      <c r="T131" s="1342"/>
      <c r="U131" s="1342"/>
      <c r="V131" s="1342"/>
      <c r="W131" s="1342"/>
      <c r="X131" s="1342"/>
      <c r="Y131" s="1342"/>
      <c r="Z131" s="1342"/>
      <c r="AA131" s="1342"/>
      <c r="AB131" s="1342"/>
      <c r="AC131" s="1342"/>
      <c r="AD131" s="1342"/>
      <c r="AE131" s="1342"/>
      <c r="AF131" s="1342"/>
      <c r="AG131" s="1342"/>
      <c r="AH131" s="1342"/>
      <c r="AI131" s="1342"/>
      <c r="AJ131" s="1342"/>
      <c r="AK131" s="1342"/>
      <c r="AL131" s="1342"/>
      <c r="AM131" s="1342"/>
      <c r="AN131" s="1342"/>
      <c r="AO131" s="1342"/>
      <c r="AP131" s="1342"/>
      <c r="AQ131" s="1342"/>
      <c r="AR131" s="1342"/>
      <c r="AS131" s="1342"/>
      <c r="AT131" s="1342"/>
      <c r="AU131" s="1342"/>
      <c r="AV131" s="1342"/>
      <c r="AW131" s="1342"/>
      <c r="AX131" s="1342"/>
      <c r="AY131" s="1342"/>
      <c r="AZ131" s="1342"/>
      <c r="BA131" s="1342"/>
      <c r="BB131" s="1342"/>
      <c r="BC131" s="1342"/>
      <c r="BD131" s="1342"/>
      <c r="BE131" s="1342"/>
      <c r="BF131" s="1342"/>
      <c r="BG131" s="757"/>
    </row>
    <row r="132" spans="1:59" ht="28.2" customHeight="1">
      <c r="B132" s="1360"/>
      <c r="C132" s="1346"/>
      <c r="D132" s="1347"/>
      <c r="E132" s="1346"/>
      <c r="F132" s="1348"/>
      <c r="G132" s="1346"/>
      <c r="H132" s="1346"/>
      <c r="I132" s="1349"/>
      <c r="J132" s="1349"/>
      <c r="K132" s="1349"/>
      <c r="L132" s="1349"/>
      <c r="M132" s="1349"/>
      <c r="N132" s="1349"/>
      <c r="O132" s="1349"/>
      <c r="P132" s="1349"/>
      <c r="Q132" s="757"/>
      <c r="R132" s="757"/>
      <c r="S132" s="1342"/>
      <c r="T132" s="1342"/>
      <c r="U132" s="1342"/>
      <c r="V132" s="1342"/>
      <c r="W132" s="1342"/>
      <c r="X132" s="1342"/>
      <c r="Y132" s="1342"/>
      <c r="Z132" s="1342"/>
      <c r="AA132" s="1342"/>
      <c r="AB132" s="1342"/>
      <c r="AC132" s="1342"/>
      <c r="AD132" s="1342"/>
      <c r="AE132" s="1342"/>
      <c r="AF132" s="1342"/>
      <c r="AG132" s="1342"/>
      <c r="AH132" s="1342"/>
      <c r="AI132" s="1342"/>
      <c r="AJ132" s="1342"/>
      <c r="AK132" s="1342"/>
      <c r="AL132" s="1342"/>
      <c r="AM132" s="1342"/>
      <c r="AN132" s="1342"/>
      <c r="AO132" s="1342"/>
      <c r="AP132" s="1342"/>
      <c r="AQ132" s="1342"/>
      <c r="AR132" s="1342"/>
      <c r="AS132" s="1342"/>
      <c r="AT132" s="1342"/>
      <c r="AU132" s="1342"/>
      <c r="AV132" s="1342"/>
      <c r="AW132" s="1342"/>
      <c r="AX132" s="1342"/>
      <c r="AY132" s="1342"/>
      <c r="AZ132" s="1342"/>
      <c r="BA132" s="1342"/>
      <c r="BB132" s="1342"/>
      <c r="BC132" s="1342"/>
      <c r="BD132" s="1342"/>
      <c r="BE132" s="1342"/>
      <c r="BF132" s="1342"/>
      <c r="BG132" s="757"/>
    </row>
    <row r="133" spans="1:59" s="1224" customFormat="1" ht="32.4" customHeight="1" thickBot="1">
      <c r="A133" s="1219" t="s">
        <v>887</v>
      </c>
      <c r="B133" s="1270" t="s">
        <v>879</v>
      </c>
      <c r="C133" s="1361"/>
      <c r="D133" s="1362"/>
      <c r="E133" s="1361"/>
      <c r="F133" s="1363"/>
      <c r="G133" s="1361"/>
      <c r="H133" s="1361"/>
      <c r="I133" s="1364"/>
      <c r="J133" s="1364"/>
      <c r="K133" s="1364"/>
      <c r="L133" s="1364"/>
      <c r="M133" s="1364"/>
      <c r="N133" s="1364"/>
      <c r="O133" s="1364"/>
      <c r="P133" s="1364"/>
      <c r="Q133" s="1271"/>
      <c r="R133" s="1271"/>
      <c r="S133" s="1358"/>
      <c r="T133" s="1358"/>
      <c r="U133" s="1358"/>
      <c r="V133" s="1358"/>
      <c r="W133" s="1358"/>
      <c r="X133" s="1358"/>
      <c r="Y133" s="1358"/>
      <c r="Z133" s="1358"/>
      <c r="AA133" s="1358"/>
      <c r="AB133" s="1358"/>
      <c r="AC133" s="1358"/>
      <c r="AD133" s="1358"/>
      <c r="AE133" s="1358"/>
      <c r="AF133" s="1358"/>
      <c r="AG133" s="1358"/>
      <c r="AH133" s="1358"/>
      <c r="AI133" s="1358"/>
      <c r="AJ133" s="1358"/>
      <c r="AK133" s="1358"/>
      <c r="AL133" s="1358"/>
      <c r="AM133" s="1358"/>
      <c r="AN133" s="1358"/>
      <c r="AO133" s="1358"/>
      <c r="AP133" s="1358"/>
      <c r="AQ133" s="1358"/>
      <c r="AR133" s="1358"/>
      <c r="AS133" s="1358"/>
      <c r="AT133" s="1358"/>
      <c r="AU133" s="1358"/>
      <c r="AV133" s="1358"/>
      <c r="AW133" s="1358"/>
      <c r="AX133" s="1358"/>
      <c r="AY133" s="1358"/>
      <c r="AZ133" s="1358"/>
      <c r="BA133" s="1358"/>
      <c r="BB133" s="1358"/>
      <c r="BC133" s="1358"/>
      <c r="BD133" s="1358"/>
      <c r="BE133" s="1358"/>
      <c r="BF133" s="1358"/>
      <c r="BG133" s="1274"/>
    </row>
    <row r="134" spans="1:59" ht="20.399999999999999" customHeight="1">
      <c r="B134" s="1283" t="s">
        <v>880</v>
      </c>
      <c r="C134" s="1333"/>
      <c r="D134" s="1332"/>
      <c r="E134" s="1333"/>
      <c r="F134" s="1334"/>
      <c r="G134" s="1333"/>
      <c r="H134" s="1333"/>
      <c r="I134" s="1359"/>
      <c r="J134" s="1359"/>
      <c r="K134" s="1359"/>
      <c r="L134" s="1359"/>
      <c r="M134" s="1359"/>
      <c r="N134" s="1359"/>
      <c r="O134" s="1359"/>
      <c r="P134" s="1359"/>
      <c r="Q134" s="757"/>
      <c r="R134" s="757"/>
      <c r="S134" s="1342"/>
      <c r="T134" s="1342"/>
      <c r="U134" s="1342"/>
      <c r="V134" s="1342"/>
      <c r="W134" s="1342"/>
      <c r="X134" s="1342"/>
      <c r="Y134" s="1342"/>
      <c r="Z134" s="1342"/>
      <c r="AA134" s="1342"/>
      <c r="AB134" s="1342"/>
      <c r="AC134" s="1342"/>
      <c r="AD134" s="1342"/>
      <c r="AE134" s="1342"/>
      <c r="AF134" s="1342"/>
      <c r="AG134" s="1342"/>
      <c r="AH134" s="1342"/>
      <c r="AI134" s="1342"/>
      <c r="AJ134" s="1342"/>
      <c r="AK134" s="1342"/>
      <c r="AL134" s="1342"/>
      <c r="AM134" s="1342"/>
      <c r="AN134" s="1342"/>
      <c r="AO134" s="1342"/>
      <c r="AP134" s="1342"/>
      <c r="AQ134" s="1342"/>
      <c r="AR134" s="1342"/>
      <c r="AS134" s="1342"/>
      <c r="AT134" s="1342"/>
      <c r="AU134" s="1342"/>
      <c r="AV134" s="1342"/>
      <c r="AW134" s="1342"/>
      <c r="AX134" s="1342"/>
      <c r="AY134" s="1342"/>
      <c r="AZ134" s="1342"/>
      <c r="BA134" s="1342"/>
      <c r="BB134" s="1342"/>
      <c r="BC134" s="1342"/>
      <c r="BD134" s="1342"/>
      <c r="BE134" s="1342"/>
      <c r="BF134" s="1342"/>
      <c r="BG134" s="757"/>
    </row>
    <row r="135" spans="1:59" ht="23.4" customHeight="1">
      <c r="B135" s="1242"/>
      <c r="C135" s="1286"/>
      <c r="D135" s="1285"/>
      <c r="E135" s="1286"/>
      <c r="F135" s="1303"/>
      <c r="G135" s="1286"/>
      <c r="H135" s="1286"/>
      <c r="I135" s="1288"/>
      <c r="J135" s="1288"/>
      <c r="K135" s="1288"/>
      <c r="L135" s="1288"/>
      <c r="M135" s="1288"/>
      <c r="N135" s="1288"/>
      <c r="O135" s="1288"/>
      <c r="P135" s="1288"/>
      <c r="Q135" s="757"/>
      <c r="R135" s="757"/>
      <c r="S135" s="1342"/>
      <c r="T135" s="1342"/>
      <c r="U135" s="1342"/>
      <c r="V135" s="1342"/>
      <c r="W135" s="1342"/>
      <c r="X135" s="1342"/>
      <c r="Y135" s="1342"/>
      <c r="Z135" s="1342"/>
      <c r="AA135" s="1342"/>
      <c r="AB135" s="1342"/>
      <c r="AC135" s="1342"/>
      <c r="AD135" s="1342"/>
      <c r="AE135" s="1342"/>
      <c r="AF135" s="1342"/>
      <c r="AG135" s="1342"/>
      <c r="AH135" s="1342"/>
      <c r="AI135" s="1342"/>
      <c r="AJ135" s="1342"/>
      <c r="AK135" s="1342"/>
      <c r="AL135" s="1342"/>
      <c r="AM135" s="1342"/>
      <c r="AN135" s="1342"/>
      <c r="AO135" s="1342"/>
      <c r="AP135" s="1342"/>
      <c r="AQ135" s="1342"/>
      <c r="AR135" s="1342"/>
      <c r="AS135" s="1342"/>
      <c r="AT135" s="1342"/>
      <c r="AU135" s="1342"/>
      <c r="AV135" s="1342"/>
      <c r="AW135" s="1342"/>
      <c r="AX135" s="1342"/>
      <c r="AY135" s="1342"/>
      <c r="AZ135" s="1342"/>
      <c r="BA135" s="1342"/>
      <c r="BB135" s="1342"/>
      <c r="BC135" s="1342"/>
      <c r="BD135" s="1342"/>
      <c r="BE135" s="1342"/>
      <c r="BF135" s="1342"/>
      <c r="BG135" s="757"/>
    </row>
    <row r="136" spans="1:59" ht="31.8" customHeight="1">
      <c r="B136" s="1242"/>
      <c r="C136" s="1286"/>
      <c r="D136" s="1285"/>
      <c r="E136" s="1286"/>
      <c r="F136" s="1303"/>
      <c r="G136" s="1286"/>
      <c r="H136" s="1286"/>
      <c r="I136" s="1288"/>
      <c r="J136" s="1288"/>
      <c r="K136" s="1288"/>
      <c r="L136" s="1288"/>
      <c r="M136" s="1288"/>
      <c r="N136" s="1288"/>
      <c r="O136" s="1288"/>
      <c r="P136" s="1288"/>
      <c r="Q136" s="757"/>
      <c r="R136" s="757"/>
      <c r="S136" s="1342"/>
      <c r="T136" s="1342"/>
      <c r="U136" s="1342"/>
      <c r="V136" s="1342"/>
      <c r="W136" s="1342"/>
      <c r="X136" s="1342"/>
      <c r="Y136" s="1342"/>
      <c r="Z136" s="1342"/>
      <c r="AA136" s="1342"/>
      <c r="AB136" s="1342"/>
      <c r="AC136" s="1342"/>
      <c r="AD136" s="1342"/>
      <c r="AE136" s="1342"/>
      <c r="AF136" s="1342"/>
      <c r="AG136" s="1342"/>
      <c r="AH136" s="1342"/>
      <c r="AI136" s="1342"/>
      <c r="AJ136" s="1342"/>
      <c r="AK136" s="1342"/>
      <c r="AL136" s="1342"/>
      <c r="AM136" s="1342"/>
      <c r="AN136" s="1342"/>
      <c r="AO136" s="1342"/>
      <c r="AP136" s="1342"/>
      <c r="AQ136" s="1342"/>
      <c r="AR136" s="1342"/>
      <c r="AS136" s="1342"/>
      <c r="AT136" s="1342"/>
      <c r="AU136" s="1342"/>
      <c r="AV136" s="1342"/>
      <c r="AW136" s="1342"/>
      <c r="AX136" s="1342"/>
      <c r="AY136" s="1342"/>
      <c r="AZ136" s="1342"/>
      <c r="BA136" s="1342"/>
      <c r="BB136" s="1342"/>
      <c r="BC136" s="1342"/>
      <c r="BD136" s="1342"/>
      <c r="BE136" s="1342"/>
      <c r="BF136" s="1342"/>
      <c r="BG136" s="757"/>
    </row>
    <row r="137" spans="1:59" ht="26.4" customHeight="1">
      <c r="B137" s="1242"/>
      <c r="C137" s="1286"/>
      <c r="D137" s="1285"/>
      <c r="E137" s="1286"/>
      <c r="F137" s="1303"/>
      <c r="G137" s="1286"/>
      <c r="H137" s="1286"/>
      <c r="I137" s="1288"/>
      <c r="J137" s="1288"/>
      <c r="K137" s="1288"/>
      <c r="L137" s="1288"/>
      <c r="M137" s="1288"/>
      <c r="N137" s="1288"/>
      <c r="O137" s="1288"/>
      <c r="P137" s="1288"/>
      <c r="Q137" s="757"/>
      <c r="R137" s="757"/>
      <c r="S137" s="1342"/>
      <c r="T137" s="1342"/>
      <c r="U137" s="1342"/>
      <c r="V137" s="1342"/>
      <c r="W137" s="1342"/>
      <c r="X137" s="1342"/>
      <c r="Y137" s="1342"/>
      <c r="Z137" s="1342"/>
      <c r="AA137" s="1342"/>
      <c r="AB137" s="1342"/>
      <c r="AC137" s="1342"/>
      <c r="AD137" s="1342"/>
      <c r="AE137" s="1342"/>
      <c r="AF137" s="1342"/>
      <c r="AG137" s="1342"/>
      <c r="AH137" s="1342"/>
      <c r="AI137" s="1342"/>
      <c r="AJ137" s="1342"/>
      <c r="AK137" s="1342"/>
      <c r="AL137" s="1342"/>
      <c r="AM137" s="1342"/>
      <c r="AN137" s="1342"/>
      <c r="AO137" s="1342"/>
      <c r="AP137" s="1342"/>
      <c r="AQ137" s="1342"/>
      <c r="AR137" s="1342"/>
      <c r="AS137" s="1342"/>
      <c r="AT137" s="1342"/>
      <c r="AU137" s="1342"/>
      <c r="AV137" s="1342"/>
      <c r="AW137" s="1342"/>
      <c r="AX137" s="1342"/>
      <c r="AY137" s="1342"/>
      <c r="AZ137" s="1342"/>
      <c r="BA137" s="1342"/>
      <c r="BB137" s="1342"/>
      <c r="BC137" s="1342"/>
      <c r="BD137" s="1342"/>
      <c r="BE137" s="1342"/>
      <c r="BF137" s="1342"/>
      <c r="BG137" s="757"/>
    </row>
    <row r="138" spans="1:59" ht="24" customHeight="1">
      <c r="B138" s="1283"/>
      <c r="C138" s="1286"/>
      <c r="D138" s="1285"/>
      <c r="E138" s="1286"/>
      <c r="F138" s="1303"/>
      <c r="G138" s="1286"/>
      <c r="H138" s="1286"/>
      <c r="I138" s="1288"/>
      <c r="J138" s="1288"/>
      <c r="K138" s="1288"/>
      <c r="L138" s="1288"/>
      <c r="M138" s="1288"/>
      <c r="N138" s="1288"/>
      <c r="O138" s="1288"/>
      <c r="P138" s="1288"/>
      <c r="Q138" s="757"/>
      <c r="R138" s="757"/>
      <c r="S138" s="1342"/>
      <c r="T138" s="1342"/>
      <c r="U138" s="1342"/>
      <c r="V138" s="1342"/>
      <c r="W138" s="1342"/>
      <c r="X138" s="1342"/>
      <c r="Y138" s="1342"/>
      <c r="Z138" s="1342"/>
      <c r="AA138" s="1342"/>
      <c r="AB138" s="1342"/>
      <c r="AC138" s="1342"/>
      <c r="AD138" s="1342"/>
      <c r="AE138" s="1342"/>
      <c r="AF138" s="1342"/>
      <c r="AG138" s="1342"/>
      <c r="AH138" s="1342"/>
      <c r="AI138" s="1342"/>
      <c r="AJ138" s="1342"/>
      <c r="AK138" s="1342"/>
      <c r="AL138" s="1342"/>
      <c r="AM138" s="1342"/>
      <c r="AN138" s="1342"/>
      <c r="AO138" s="1342"/>
      <c r="AP138" s="1342"/>
      <c r="AQ138" s="1342"/>
      <c r="AR138" s="1342"/>
      <c r="AS138" s="1342"/>
      <c r="AT138" s="1342"/>
      <c r="AU138" s="1342"/>
      <c r="AV138" s="1342"/>
      <c r="AW138" s="1342"/>
      <c r="AX138" s="1342"/>
      <c r="AY138" s="1342"/>
      <c r="AZ138" s="1342"/>
      <c r="BA138" s="1342"/>
      <c r="BB138" s="1342"/>
      <c r="BC138" s="1342"/>
      <c r="BD138" s="1342"/>
      <c r="BE138" s="1342"/>
      <c r="BF138" s="1342"/>
      <c r="BG138" s="757"/>
    </row>
    <row r="139" spans="1:59" ht="36" customHeight="1">
      <c r="B139" s="1242"/>
      <c r="C139" s="1286"/>
      <c r="D139" s="1285"/>
      <c r="E139" s="1286"/>
      <c r="F139" s="1303"/>
      <c r="G139" s="1286"/>
      <c r="H139" s="1286"/>
      <c r="I139" s="1288"/>
      <c r="J139" s="1288"/>
      <c r="K139" s="1288"/>
      <c r="L139" s="1288"/>
      <c r="M139" s="1288"/>
      <c r="N139" s="1288"/>
      <c r="O139" s="1288"/>
      <c r="P139" s="1288"/>
      <c r="Q139" s="757"/>
      <c r="R139" s="757"/>
      <c r="S139" s="1342"/>
      <c r="T139" s="1342"/>
      <c r="U139" s="1342"/>
      <c r="V139" s="1342"/>
      <c r="W139" s="1342"/>
      <c r="X139" s="1342"/>
      <c r="Y139" s="1342"/>
      <c r="Z139" s="1342"/>
      <c r="AA139" s="1342"/>
      <c r="AB139" s="1342"/>
      <c r="AC139" s="1342"/>
      <c r="AD139" s="1342"/>
      <c r="AE139" s="1342"/>
      <c r="AF139" s="1342"/>
      <c r="AG139" s="1342"/>
      <c r="AH139" s="1342"/>
      <c r="AI139" s="1342"/>
      <c r="AJ139" s="1342"/>
      <c r="AK139" s="1342"/>
      <c r="AL139" s="1342"/>
      <c r="AM139" s="1342"/>
      <c r="AN139" s="1342"/>
      <c r="AO139" s="1342"/>
      <c r="AP139" s="1342"/>
      <c r="AQ139" s="1342"/>
      <c r="AR139" s="1342"/>
      <c r="AS139" s="1342"/>
      <c r="AT139" s="1342"/>
      <c r="AU139" s="1342"/>
      <c r="AV139" s="1342"/>
      <c r="AW139" s="1342"/>
      <c r="AX139" s="1342"/>
      <c r="AY139" s="1342"/>
      <c r="AZ139" s="1342"/>
      <c r="BA139" s="1342"/>
      <c r="BB139" s="1342"/>
      <c r="BC139" s="1342"/>
      <c r="BD139" s="1342"/>
      <c r="BE139" s="1342"/>
      <c r="BF139" s="1342"/>
      <c r="BG139" s="757"/>
    </row>
    <row r="140" spans="1:59" ht="48" customHeight="1">
      <c r="B140" s="1283" t="s">
        <v>881</v>
      </c>
      <c r="C140" s="1286"/>
      <c r="D140" s="1285"/>
      <c r="E140" s="1286"/>
      <c r="F140" s="1303"/>
      <c r="G140" s="1286"/>
      <c r="H140" s="1286"/>
      <c r="I140" s="1288"/>
      <c r="J140" s="1288"/>
      <c r="K140" s="1288"/>
      <c r="L140" s="1288"/>
      <c r="M140" s="1288"/>
      <c r="N140" s="1288"/>
      <c r="O140" s="1288"/>
      <c r="P140" s="1288"/>
      <c r="Q140" s="757"/>
      <c r="R140" s="757"/>
      <c r="S140" s="1342"/>
      <c r="T140" s="1342"/>
      <c r="U140" s="1342"/>
      <c r="V140" s="1342"/>
      <c r="W140" s="1342"/>
      <c r="X140" s="1342"/>
      <c r="Y140" s="1342"/>
      <c r="Z140" s="1342"/>
      <c r="AA140" s="1342"/>
      <c r="AB140" s="1342"/>
      <c r="AC140" s="1342"/>
      <c r="AD140" s="1342"/>
      <c r="AE140" s="1342"/>
      <c r="AF140" s="1342"/>
      <c r="AG140" s="1342"/>
      <c r="AH140" s="1342"/>
      <c r="AI140" s="1342"/>
      <c r="AJ140" s="1342"/>
      <c r="AK140" s="1342"/>
      <c r="AL140" s="1342"/>
      <c r="AM140" s="1342"/>
      <c r="AN140" s="1342"/>
      <c r="AO140" s="1342"/>
      <c r="AP140" s="1342"/>
      <c r="AQ140" s="1342"/>
      <c r="AR140" s="1342"/>
      <c r="AS140" s="1342"/>
      <c r="AT140" s="1342"/>
      <c r="AU140" s="1342"/>
      <c r="AV140" s="1342"/>
      <c r="AW140" s="1342"/>
      <c r="AX140" s="1342"/>
      <c r="AY140" s="1342"/>
      <c r="AZ140" s="1342"/>
      <c r="BA140" s="1342"/>
      <c r="BB140" s="1342"/>
      <c r="BC140" s="1342"/>
      <c r="BD140" s="1342"/>
      <c r="BE140" s="1342"/>
      <c r="BF140" s="1342"/>
      <c r="BG140" s="757"/>
    </row>
    <row r="141" spans="1:59" ht="38.4" customHeight="1">
      <c r="B141" s="1360"/>
      <c r="C141" s="1286"/>
      <c r="D141" s="1285"/>
      <c r="E141" s="1286"/>
      <c r="F141" s="1303"/>
      <c r="G141" s="1286"/>
      <c r="H141" s="1286"/>
      <c r="I141" s="1288"/>
      <c r="J141" s="1288"/>
      <c r="K141" s="1288"/>
      <c r="L141" s="1288"/>
      <c r="M141" s="1288"/>
      <c r="N141" s="1288"/>
      <c r="O141" s="1288"/>
      <c r="P141" s="1288"/>
      <c r="Q141" s="757"/>
      <c r="R141" s="757"/>
      <c r="S141" s="1342"/>
      <c r="T141" s="1342"/>
      <c r="U141" s="1342"/>
      <c r="V141" s="1342"/>
      <c r="W141" s="1342"/>
      <c r="X141" s="1342"/>
      <c r="Y141" s="1342"/>
      <c r="Z141" s="1342"/>
      <c r="AA141" s="1342"/>
      <c r="AB141" s="1342"/>
      <c r="AC141" s="1342"/>
      <c r="AD141" s="1342"/>
      <c r="AE141" s="1342"/>
      <c r="AF141" s="1342"/>
      <c r="AG141" s="1342"/>
      <c r="AH141" s="1342"/>
      <c r="AI141" s="1342"/>
      <c r="AJ141" s="1342"/>
      <c r="AK141" s="1342"/>
      <c r="AL141" s="1342"/>
      <c r="AM141" s="1342"/>
      <c r="AN141" s="1342"/>
      <c r="AO141" s="1342"/>
      <c r="AP141" s="1342"/>
      <c r="AQ141" s="1342"/>
      <c r="AR141" s="1342"/>
      <c r="AS141" s="1342"/>
      <c r="AT141" s="1342"/>
      <c r="AU141" s="1342"/>
      <c r="AV141" s="1342"/>
      <c r="AW141" s="1342"/>
      <c r="AX141" s="1342"/>
      <c r="AY141" s="1342"/>
      <c r="AZ141" s="1342"/>
      <c r="BA141" s="1342"/>
      <c r="BB141" s="1342"/>
      <c r="BC141" s="1342"/>
      <c r="BD141" s="1342"/>
      <c r="BE141" s="1342"/>
      <c r="BF141" s="1342"/>
      <c r="BG141" s="757"/>
    </row>
    <row r="142" spans="1:59" s="1366" customFormat="1" ht="25.8" customHeight="1">
      <c r="A142" s="1365"/>
      <c r="C142" s="1284"/>
      <c r="D142" s="1367"/>
      <c r="E142" s="1284"/>
      <c r="F142" s="1368"/>
      <c r="G142" s="1284"/>
      <c r="H142" s="1284"/>
      <c r="I142" s="1369"/>
      <c r="J142" s="1369"/>
      <c r="K142" s="1369"/>
      <c r="L142" s="1369"/>
      <c r="M142" s="1369"/>
      <c r="N142" s="1369"/>
      <c r="O142" s="1369"/>
      <c r="P142" s="1369"/>
      <c r="Q142" s="1370"/>
      <c r="R142" s="1370"/>
      <c r="S142" s="1371"/>
      <c r="T142" s="1371"/>
      <c r="U142" s="1371"/>
      <c r="V142" s="1371"/>
      <c r="W142" s="1371"/>
      <c r="X142" s="1371"/>
      <c r="Y142" s="1371"/>
      <c r="Z142" s="1371"/>
      <c r="AA142" s="1371"/>
      <c r="AB142" s="1371"/>
      <c r="AC142" s="1371"/>
      <c r="AD142" s="1371"/>
      <c r="AE142" s="1371"/>
      <c r="AF142" s="1371"/>
      <c r="AG142" s="1371"/>
      <c r="AH142" s="1371"/>
      <c r="AI142" s="1371"/>
      <c r="AJ142" s="1371"/>
      <c r="AK142" s="1371"/>
      <c r="AL142" s="1371"/>
      <c r="AM142" s="1371"/>
      <c r="AN142" s="1371"/>
      <c r="AO142" s="1371"/>
      <c r="AP142" s="1371"/>
      <c r="AQ142" s="1371"/>
      <c r="AR142" s="1371"/>
      <c r="AS142" s="1371"/>
      <c r="AT142" s="1371"/>
      <c r="AU142" s="1371"/>
      <c r="AV142" s="1371"/>
      <c r="AW142" s="1371"/>
      <c r="AX142" s="1371"/>
      <c r="AY142" s="1371"/>
      <c r="AZ142" s="1371"/>
      <c r="BA142" s="1371"/>
      <c r="BB142" s="1371"/>
      <c r="BC142" s="1371"/>
      <c r="BD142" s="1371"/>
      <c r="BE142" s="1371"/>
      <c r="BF142" s="1371"/>
      <c r="BG142" s="1370"/>
    </row>
    <row r="143" spans="1:59" s="1366" customFormat="1" ht="21.6" customHeight="1">
      <c r="A143" s="1365"/>
      <c r="B143" s="1372"/>
      <c r="C143" s="1284"/>
      <c r="D143" s="1367"/>
      <c r="E143" s="1284"/>
      <c r="F143" s="1368"/>
      <c r="G143" s="1284"/>
      <c r="H143" s="1284"/>
      <c r="I143" s="1369"/>
      <c r="J143" s="1369"/>
      <c r="K143" s="1369"/>
      <c r="L143" s="1369"/>
      <c r="M143" s="1369"/>
      <c r="N143" s="1369"/>
      <c r="O143" s="1369"/>
      <c r="P143" s="1369"/>
      <c r="Q143" s="1370"/>
      <c r="R143" s="1370"/>
      <c r="S143" s="1371"/>
      <c r="T143" s="1371"/>
      <c r="U143" s="1371"/>
      <c r="V143" s="1371"/>
      <c r="W143" s="1371"/>
      <c r="X143" s="1371"/>
      <c r="Y143" s="1371"/>
      <c r="Z143" s="1371"/>
      <c r="AA143" s="1371"/>
      <c r="AB143" s="1371"/>
      <c r="AC143" s="1371"/>
      <c r="AD143" s="1371"/>
      <c r="AE143" s="1371"/>
      <c r="AF143" s="1371"/>
      <c r="AG143" s="1371"/>
      <c r="AH143" s="1371"/>
      <c r="AI143" s="1371"/>
      <c r="AJ143" s="1371"/>
      <c r="AK143" s="1371"/>
      <c r="AL143" s="1371"/>
      <c r="AM143" s="1371"/>
      <c r="AN143" s="1371"/>
      <c r="AO143" s="1371"/>
      <c r="AP143" s="1371"/>
      <c r="AQ143" s="1371"/>
      <c r="AR143" s="1371"/>
      <c r="AS143" s="1371"/>
      <c r="AT143" s="1371"/>
      <c r="AU143" s="1371"/>
      <c r="AV143" s="1371"/>
      <c r="AW143" s="1371"/>
      <c r="AX143" s="1371"/>
      <c r="AY143" s="1371"/>
      <c r="AZ143" s="1371"/>
      <c r="BA143" s="1371"/>
      <c r="BB143" s="1371"/>
      <c r="BC143" s="1371"/>
      <c r="BD143" s="1371"/>
      <c r="BE143" s="1371"/>
      <c r="BF143" s="1371"/>
      <c r="BG143" s="1370"/>
    </row>
    <row r="144" spans="1:59" s="1366" customFormat="1" ht="27.6" customHeight="1">
      <c r="A144" s="1365"/>
      <c r="B144" s="1372"/>
      <c r="C144" s="1284"/>
      <c r="D144" s="1367"/>
      <c r="E144" s="1284"/>
      <c r="F144" s="1368"/>
      <c r="G144" s="1284"/>
      <c r="H144" s="1284"/>
      <c r="I144" s="1369"/>
      <c r="J144" s="1369"/>
      <c r="K144" s="1369"/>
      <c r="L144" s="1369"/>
      <c r="M144" s="1369"/>
      <c r="N144" s="1369"/>
      <c r="O144" s="1369"/>
      <c r="P144" s="1369"/>
      <c r="Q144" s="1370"/>
      <c r="R144" s="1370"/>
      <c r="S144" s="1371"/>
      <c r="T144" s="1371"/>
      <c r="U144" s="1371"/>
      <c r="V144" s="1371"/>
      <c r="W144" s="1371"/>
      <c r="X144" s="1371"/>
      <c r="Y144" s="1371"/>
      <c r="Z144" s="1371"/>
      <c r="AA144" s="1371"/>
      <c r="AB144" s="1371"/>
      <c r="AC144" s="1371"/>
      <c r="AD144" s="1371"/>
      <c r="AE144" s="1371"/>
      <c r="AF144" s="1371"/>
      <c r="AG144" s="1371"/>
      <c r="AH144" s="1371"/>
      <c r="AI144" s="1371"/>
      <c r="AJ144" s="1371"/>
      <c r="AK144" s="1371"/>
      <c r="AL144" s="1371"/>
      <c r="AM144" s="1371"/>
      <c r="AN144" s="1371"/>
      <c r="AO144" s="1371"/>
      <c r="AP144" s="1371"/>
      <c r="AQ144" s="1371"/>
      <c r="AR144" s="1371"/>
      <c r="AS144" s="1371"/>
      <c r="AT144" s="1371"/>
      <c r="AU144" s="1371"/>
      <c r="AV144" s="1371"/>
      <c r="AW144" s="1371"/>
      <c r="AX144" s="1371"/>
      <c r="AY144" s="1371"/>
      <c r="AZ144" s="1371"/>
      <c r="BA144" s="1371"/>
      <c r="BB144" s="1371"/>
      <c r="BC144" s="1371"/>
      <c r="BD144" s="1371"/>
      <c r="BE144" s="1371"/>
      <c r="BF144" s="1371"/>
      <c r="BG144" s="1370"/>
    </row>
    <row r="145" spans="1:59" s="1366" customFormat="1" ht="24" customHeight="1">
      <c r="A145" s="1365"/>
      <c r="B145" s="1372"/>
      <c r="C145" s="1373"/>
      <c r="D145" s="1374"/>
      <c r="E145" s="1373"/>
      <c r="F145" s="1375"/>
      <c r="G145" s="1373"/>
      <c r="H145" s="1373"/>
      <c r="I145" s="1376"/>
      <c r="J145" s="1376"/>
      <c r="K145" s="1376"/>
      <c r="L145" s="1376"/>
      <c r="M145" s="1376"/>
      <c r="N145" s="1376"/>
      <c r="O145" s="1376"/>
      <c r="P145" s="1376"/>
      <c r="Q145" s="1370"/>
      <c r="R145" s="1370"/>
      <c r="S145" s="1371"/>
      <c r="T145" s="1371"/>
      <c r="U145" s="1371"/>
      <c r="V145" s="1371"/>
      <c r="W145" s="1371"/>
      <c r="X145" s="1371"/>
      <c r="Y145" s="1371"/>
      <c r="Z145" s="1371"/>
      <c r="AA145" s="1371"/>
      <c r="AB145" s="1371"/>
      <c r="AC145" s="1371"/>
      <c r="AD145" s="1371"/>
      <c r="AE145" s="1371"/>
      <c r="AF145" s="1371"/>
      <c r="AG145" s="1371"/>
      <c r="AH145" s="1371"/>
      <c r="AI145" s="1371"/>
      <c r="AJ145" s="1371"/>
      <c r="AK145" s="1371"/>
      <c r="AL145" s="1371"/>
      <c r="AM145" s="1371"/>
      <c r="AN145" s="1371"/>
      <c r="AO145" s="1371"/>
      <c r="AP145" s="1371"/>
      <c r="AQ145" s="1371"/>
      <c r="AR145" s="1371"/>
      <c r="AS145" s="1371"/>
      <c r="AT145" s="1371"/>
      <c r="AU145" s="1371"/>
      <c r="AV145" s="1371"/>
      <c r="AW145" s="1371"/>
      <c r="AX145" s="1371"/>
      <c r="AY145" s="1371"/>
      <c r="AZ145" s="1371"/>
      <c r="BA145" s="1371"/>
      <c r="BB145" s="1371"/>
      <c r="BC145" s="1371"/>
      <c r="BD145" s="1371"/>
      <c r="BE145" s="1371"/>
      <c r="BF145" s="1371"/>
      <c r="BG145" s="1370"/>
    </row>
    <row r="147" spans="1:59" ht="14.4" thickBot="1">
      <c r="A147" s="1219">
        <v>2</v>
      </c>
      <c r="B147" s="1270" t="s">
        <v>890</v>
      </c>
      <c r="C147" s="1311"/>
      <c r="D147" s="1312"/>
      <c r="E147" s="1311"/>
      <c r="F147" s="1313"/>
      <c r="G147" s="1311"/>
      <c r="H147" s="1311"/>
      <c r="I147" s="1311"/>
      <c r="J147" s="1311"/>
      <c r="K147" s="1311"/>
      <c r="L147" s="1311"/>
      <c r="M147" s="1311"/>
      <c r="N147" s="1311"/>
      <c r="O147" s="1311"/>
      <c r="P147" s="1311"/>
      <c r="Q147" s="757"/>
      <c r="R147" s="1314"/>
      <c r="S147" s="1311"/>
      <c r="T147" s="1311"/>
      <c r="U147" s="1311"/>
      <c r="V147" s="1311"/>
      <c r="W147" s="1311"/>
      <c r="X147" s="1311"/>
      <c r="Y147" s="1311"/>
      <c r="Z147" s="1311"/>
      <c r="AA147" s="1311"/>
      <c r="AB147" s="1311"/>
      <c r="AC147" s="1311"/>
      <c r="AD147" s="1311"/>
      <c r="AE147" s="1311"/>
      <c r="AF147" s="1311"/>
      <c r="AG147" s="1311"/>
      <c r="AH147" s="1311"/>
      <c r="AI147" s="1311"/>
      <c r="AJ147" s="1311"/>
      <c r="AK147" s="1311"/>
      <c r="AL147" s="1311"/>
      <c r="AM147" s="1311"/>
      <c r="AN147" s="1311"/>
      <c r="AO147" s="1311"/>
      <c r="AP147" s="1311"/>
      <c r="AQ147" s="1311"/>
      <c r="AR147" s="1311"/>
      <c r="AS147" s="1311"/>
      <c r="AT147" s="1311"/>
      <c r="AU147" s="1311"/>
      <c r="AV147" s="1311"/>
      <c r="AW147" s="1311"/>
      <c r="AX147" s="1311"/>
      <c r="AY147" s="1311"/>
      <c r="AZ147" s="1311"/>
      <c r="BA147" s="1311"/>
      <c r="BB147" s="1311"/>
      <c r="BC147" s="1311"/>
      <c r="BD147" s="1311"/>
      <c r="BE147" s="1311"/>
      <c r="BF147" s="1311"/>
      <c r="BG147" s="757"/>
    </row>
    <row r="148" spans="1:59">
      <c r="B148" s="1224"/>
      <c r="C148" s="757"/>
      <c r="D148" s="1240"/>
      <c r="E148" s="757"/>
      <c r="G148" s="757"/>
      <c r="H148" s="757"/>
      <c r="I148" s="757"/>
      <c r="J148" s="757"/>
      <c r="K148" s="757"/>
      <c r="L148" s="757"/>
      <c r="M148" s="757"/>
      <c r="N148" s="757"/>
      <c r="O148" s="757"/>
      <c r="P148" s="757"/>
      <c r="Q148" s="757"/>
      <c r="S148" s="757"/>
      <c r="T148" s="757"/>
      <c r="U148" s="757"/>
      <c r="V148" s="757"/>
      <c r="W148" s="757"/>
      <c r="X148" s="757"/>
      <c r="Y148" s="757"/>
      <c r="Z148" s="757"/>
      <c r="AA148" s="757"/>
      <c r="AB148" s="757"/>
      <c r="AC148" s="757"/>
      <c r="AD148" s="757"/>
      <c r="AE148" s="757"/>
      <c r="AF148" s="757"/>
      <c r="AG148" s="757"/>
      <c r="AH148" s="757"/>
      <c r="AI148" s="757"/>
      <c r="AJ148" s="757"/>
      <c r="AK148" s="757"/>
      <c r="AL148" s="757"/>
      <c r="AM148" s="757"/>
      <c r="AN148" s="757"/>
      <c r="AO148" s="757"/>
      <c r="AP148" s="757"/>
      <c r="AQ148" s="757"/>
      <c r="AR148" s="757"/>
      <c r="AS148" s="757"/>
      <c r="AT148" s="757"/>
      <c r="AU148" s="757"/>
      <c r="AV148" s="757"/>
      <c r="AW148" s="757"/>
      <c r="AX148" s="757"/>
      <c r="AY148" s="757"/>
      <c r="AZ148" s="757"/>
      <c r="BA148" s="757"/>
      <c r="BB148" s="757"/>
      <c r="BC148" s="757"/>
      <c r="BD148" s="757"/>
      <c r="BE148" s="757"/>
      <c r="BF148" s="757"/>
      <c r="BG148" s="757"/>
    </row>
    <row r="149" spans="1:59">
      <c r="A149" s="1219" t="s">
        <v>291</v>
      </c>
      <c r="B149" s="1279" t="s">
        <v>867</v>
      </c>
      <c r="C149" s="1384"/>
      <c r="D149" s="1397"/>
      <c r="E149" s="1384"/>
      <c r="F149" s="1385"/>
      <c r="G149" s="1384"/>
      <c r="H149" s="1384"/>
      <c r="I149" s="1384"/>
      <c r="J149" s="1384"/>
      <c r="K149" s="1384"/>
      <c r="L149" s="1384"/>
      <c r="M149" s="1384"/>
      <c r="N149" s="1384"/>
      <c r="O149" s="1384"/>
      <c r="P149" s="1384"/>
      <c r="Q149" s="757"/>
      <c r="R149" s="757"/>
      <c r="S149" s="757"/>
      <c r="T149" s="757"/>
      <c r="U149" s="757"/>
      <c r="V149" s="757"/>
      <c r="W149" s="757"/>
      <c r="X149" s="757"/>
      <c r="Y149" s="757"/>
      <c r="Z149" s="757"/>
      <c r="AA149" s="757"/>
      <c r="AB149" s="757"/>
      <c r="AC149" s="757"/>
      <c r="AD149" s="757"/>
      <c r="AE149" s="757"/>
      <c r="AF149" s="757"/>
      <c r="AG149" s="757"/>
      <c r="AH149" s="757"/>
      <c r="AI149" s="757"/>
      <c r="AJ149" s="757"/>
      <c r="AK149" s="757"/>
      <c r="AL149" s="757"/>
      <c r="AM149" s="757"/>
      <c r="AN149" s="757"/>
      <c r="AO149" s="757"/>
      <c r="AP149" s="757"/>
      <c r="AQ149" s="757"/>
      <c r="AR149" s="757"/>
      <c r="AS149" s="757"/>
      <c r="AT149" s="757"/>
      <c r="AU149" s="757"/>
      <c r="AV149" s="757"/>
      <c r="AW149" s="757"/>
      <c r="AX149" s="757"/>
      <c r="AY149" s="757"/>
      <c r="AZ149" s="757"/>
      <c r="BA149" s="757"/>
      <c r="BB149" s="757"/>
      <c r="BC149" s="757"/>
      <c r="BD149" s="757"/>
      <c r="BE149" s="757"/>
      <c r="BF149" s="757"/>
      <c r="BG149" s="757"/>
    </row>
    <row r="150" spans="1:59">
      <c r="B150" s="1283" t="s">
        <v>888</v>
      </c>
      <c r="C150" s="1398">
        <f>'LT. Asset'!BE20</f>
        <v>273.40459793569431</v>
      </c>
      <c r="D150" s="1387">
        <v>46174</v>
      </c>
      <c r="E150" s="1388">
        <v>60</v>
      </c>
      <c r="F150" s="1303">
        <f>F103</f>
        <v>7.8E-2</v>
      </c>
      <c r="G150" s="1286" t="s">
        <v>869</v>
      </c>
      <c r="H150" s="1286">
        <v>0.5</v>
      </c>
      <c r="I150" s="1288"/>
      <c r="J150" s="1288"/>
      <c r="K150" s="1288"/>
      <c r="L150" s="1288"/>
      <c r="M150" s="1288"/>
      <c r="N150" s="1288"/>
      <c r="O150" s="1288"/>
      <c r="P150" s="1288"/>
      <c r="Q150" s="757"/>
      <c r="R150" s="757"/>
      <c r="S150" s="757"/>
      <c r="T150" s="757"/>
      <c r="U150" s="757"/>
      <c r="V150" s="757"/>
      <c r="W150" s="757"/>
      <c r="X150" s="757"/>
      <c r="Y150" s="757"/>
      <c r="Z150" s="757"/>
      <c r="AA150" s="757"/>
      <c r="AB150" s="757"/>
      <c r="AC150" s="757"/>
      <c r="AD150" s="757"/>
      <c r="AE150" s="757"/>
      <c r="AF150" s="757"/>
      <c r="AG150" s="757"/>
      <c r="AH150" s="757"/>
      <c r="AI150" s="757"/>
      <c r="AJ150" s="757"/>
      <c r="AK150" s="757"/>
      <c r="AL150" s="757"/>
      <c r="AM150" s="757"/>
      <c r="AN150" s="757"/>
      <c r="AO150" s="757"/>
      <c r="AP150" s="757"/>
      <c r="AQ150" s="757"/>
      <c r="AR150" s="757"/>
      <c r="AS150" s="757"/>
      <c r="AT150" s="757"/>
      <c r="AU150" s="757"/>
      <c r="AV150" s="757"/>
      <c r="AW150" s="757"/>
      <c r="AX150" s="757"/>
      <c r="AY150" s="757"/>
      <c r="AZ150" s="757"/>
      <c r="BA150" s="757"/>
      <c r="BB150" s="757"/>
      <c r="BC150" s="757"/>
      <c r="BD150" s="757"/>
      <c r="BE150" s="757"/>
      <c r="BF150" s="757"/>
      <c r="BG150" s="757"/>
    </row>
    <row r="151" spans="1:59">
      <c r="B151" s="1242" t="s">
        <v>855</v>
      </c>
      <c r="C151" s="1286"/>
      <c r="D151" s="1285"/>
      <c r="E151" s="1286"/>
      <c r="F151" s="1303"/>
      <c r="G151" s="1286"/>
      <c r="H151" s="1286"/>
      <c r="I151" s="1288"/>
      <c r="J151" s="1288"/>
      <c r="K151" s="1288"/>
      <c r="L151" s="1288"/>
      <c r="M151" s="1288"/>
      <c r="N151" s="1288"/>
      <c r="O151" s="1288"/>
      <c r="P151" s="1288"/>
      <c r="Q151" s="757"/>
      <c r="R151" s="757">
        <v>0</v>
      </c>
      <c r="S151" s="1245">
        <v>0</v>
      </c>
      <c r="T151" s="1260">
        <f t="shared" ref="T151:AB151" si="25">S154</f>
        <v>0</v>
      </c>
      <c r="U151" s="1260">
        <f t="shared" si="25"/>
        <v>246.06413814212488</v>
      </c>
      <c r="V151" s="1260">
        <f t="shared" si="25"/>
        <v>191.383218554986</v>
      </c>
      <c r="W151" s="1260">
        <f t="shared" si="25"/>
        <v>136.70229896784713</v>
      </c>
      <c r="X151" s="1260">
        <f t="shared" si="25"/>
        <v>82.021379380708268</v>
      </c>
      <c r="Y151" s="1260">
        <f t="shared" si="25"/>
        <v>27.340459793569408</v>
      </c>
      <c r="Z151" s="1245">
        <f t="shared" si="25"/>
        <v>0</v>
      </c>
      <c r="AA151" s="1245">
        <f t="shared" si="25"/>
        <v>0</v>
      </c>
      <c r="AB151" s="1245">
        <f t="shared" si="25"/>
        <v>0</v>
      </c>
      <c r="AC151" s="1245"/>
      <c r="AD151" s="1245"/>
      <c r="AE151" s="1245"/>
      <c r="AF151" s="1245"/>
      <c r="AG151" s="1245"/>
      <c r="AH151" s="1245"/>
      <c r="AI151" s="1245"/>
      <c r="AJ151" s="1245"/>
      <c r="AK151" s="1245"/>
      <c r="AL151" s="1245"/>
      <c r="AM151" s="1245"/>
      <c r="AN151" s="1245"/>
      <c r="AO151" s="1245"/>
      <c r="AP151" s="1245"/>
      <c r="AQ151" s="1245"/>
      <c r="AR151" s="1245"/>
      <c r="AS151" s="1245"/>
      <c r="AT151" s="1245"/>
      <c r="AU151" s="1245"/>
      <c r="AV151" s="1245"/>
      <c r="AW151" s="1245"/>
      <c r="AX151" s="1245"/>
      <c r="AY151" s="1245"/>
      <c r="AZ151" s="1245"/>
      <c r="BA151" s="1245"/>
      <c r="BB151" s="1245"/>
      <c r="BC151" s="1245"/>
      <c r="BD151" s="1245"/>
      <c r="BE151" s="1245"/>
      <c r="BF151" s="1245"/>
      <c r="BG151" s="757"/>
    </row>
    <row r="152" spans="1:59">
      <c r="B152" s="1247" t="s">
        <v>857</v>
      </c>
      <c r="C152" s="1286"/>
      <c r="D152" s="1285"/>
      <c r="E152" s="1286"/>
      <c r="F152" s="1303"/>
      <c r="G152" s="1286"/>
      <c r="H152" s="1286"/>
      <c r="I152" s="1288"/>
      <c r="J152" s="1288"/>
      <c r="K152" s="1288"/>
      <c r="L152" s="1288"/>
      <c r="M152" s="1288"/>
      <c r="N152" s="1288"/>
      <c r="O152" s="1288"/>
      <c r="P152" s="1288"/>
      <c r="Q152" s="757"/>
      <c r="R152" s="757"/>
      <c r="S152" s="1245">
        <f>IF(YEAR($D150)=YEAR(S$4),$C150,0)</f>
        <v>0</v>
      </c>
      <c r="T152" s="1260">
        <f>IF(YEAR($D150)=YEAR(T$4),$C150,0)</f>
        <v>273.40459793569431</v>
      </c>
      <c r="U152" s="1260">
        <f t="shared" ref="U152:AB152" si="26">IF(YEAR($D150)=YEAR(U$4),$C150,0)</f>
        <v>0</v>
      </c>
      <c r="V152" s="1260">
        <f t="shared" si="26"/>
        <v>0</v>
      </c>
      <c r="W152" s="1260">
        <f t="shared" si="26"/>
        <v>0</v>
      </c>
      <c r="X152" s="1260">
        <f t="shared" si="26"/>
        <v>0</v>
      </c>
      <c r="Y152" s="1245">
        <f t="shared" si="26"/>
        <v>0</v>
      </c>
      <c r="Z152" s="1245">
        <f t="shared" si="26"/>
        <v>0</v>
      </c>
      <c r="AA152" s="1245">
        <f t="shared" si="26"/>
        <v>0</v>
      </c>
      <c r="AB152" s="1245">
        <f t="shared" si="26"/>
        <v>0</v>
      </c>
      <c r="AC152" s="1245"/>
      <c r="AD152" s="1245"/>
      <c r="AE152" s="1245"/>
      <c r="AF152" s="1245"/>
      <c r="AG152" s="1245"/>
      <c r="AH152" s="1245"/>
      <c r="AI152" s="1245"/>
      <c r="AJ152" s="1245"/>
      <c r="AK152" s="1245"/>
      <c r="AL152" s="1245"/>
      <c r="AM152" s="1245"/>
      <c r="AN152" s="1245"/>
      <c r="AO152" s="1245"/>
      <c r="AP152" s="1245"/>
      <c r="AQ152" s="1245"/>
      <c r="AR152" s="1245"/>
      <c r="AS152" s="1245"/>
      <c r="AT152" s="1245"/>
      <c r="AU152" s="1245"/>
      <c r="AV152" s="1245"/>
      <c r="AW152" s="1245"/>
      <c r="AX152" s="1245"/>
      <c r="AY152" s="1245"/>
      <c r="AZ152" s="1245"/>
      <c r="BA152" s="1245"/>
      <c r="BB152" s="1245"/>
      <c r="BC152" s="1245"/>
      <c r="BD152" s="1245"/>
      <c r="BE152" s="1245"/>
      <c r="BF152" s="1245"/>
      <c r="BG152" s="757"/>
    </row>
    <row r="153" spans="1:59">
      <c r="B153" s="1247" t="s">
        <v>856</v>
      </c>
      <c r="C153" s="1286"/>
      <c r="D153" s="1285"/>
      <c r="E153" s="1286"/>
      <c r="F153" s="1303"/>
      <c r="G153" s="1286"/>
      <c r="H153" s="1286"/>
      <c r="I153" s="1288"/>
      <c r="J153" s="1288"/>
      <c r="K153" s="1288"/>
      <c r="L153" s="1288"/>
      <c r="M153" s="1288"/>
      <c r="N153" s="1288"/>
      <c r="O153" s="1288"/>
      <c r="P153" s="1288"/>
      <c r="Q153" s="757"/>
      <c r="R153" s="757"/>
      <c r="S153" s="1245">
        <f>IF($C150=S152,$C150/($E150/12),MIN(R154,R153))</f>
        <v>0</v>
      </c>
      <c r="T153" s="1260">
        <f t="shared" ref="T153:AB153" si="27">IF($C150=T152,$C150/($E150/12),MIN(S154,S153))</f>
        <v>54.68091958713886</v>
      </c>
      <c r="U153" s="1260">
        <f t="shared" si="27"/>
        <v>54.68091958713886</v>
      </c>
      <c r="V153" s="1260">
        <f t="shared" si="27"/>
        <v>54.68091958713886</v>
      </c>
      <c r="W153" s="1260">
        <f t="shared" si="27"/>
        <v>54.68091958713886</v>
      </c>
      <c r="X153" s="1260">
        <f t="shared" si="27"/>
        <v>54.68091958713886</v>
      </c>
      <c r="Y153" s="1260">
        <f t="shared" si="27"/>
        <v>27.340459793569408</v>
      </c>
      <c r="Z153" s="1245">
        <f t="shared" si="27"/>
        <v>0</v>
      </c>
      <c r="AA153" s="1245">
        <f t="shared" si="27"/>
        <v>0</v>
      </c>
      <c r="AB153" s="1245">
        <f t="shared" si="27"/>
        <v>0</v>
      </c>
      <c r="AC153" s="1245"/>
      <c r="AD153" s="1245"/>
      <c r="AE153" s="1245"/>
      <c r="AF153" s="1245"/>
      <c r="AG153" s="1245"/>
      <c r="AH153" s="1245"/>
      <c r="AI153" s="1245"/>
      <c r="AJ153" s="1245"/>
      <c r="AK153" s="1245"/>
      <c r="AL153" s="1245"/>
      <c r="AM153" s="1245"/>
      <c r="AN153" s="1245"/>
      <c r="AO153" s="1245"/>
      <c r="AP153" s="1245"/>
      <c r="AQ153" s="1245"/>
      <c r="AR153" s="1245"/>
      <c r="AS153" s="1245"/>
      <c r="AT153" s="1245"/>
      <c r="AU153" s="1245"/>
      <c r="AV153" s="1245"/>
      <c r="AW153" s="1245"/>
      <c r="AX153" s="1245"/>
      <c r="AY153" s="1245"/>
      <c r="AZ153" s="1245"/>
      <c r="BA153" s="1245"/>
      <c r="BB153" s="1245"/>
      <c r="BC153" s="1245"/>
      <c r="BD153" s="1245"/>
      <c r="BE153" s="1245"/>
      <c r="BF153" s="1245"/>
      <c r="BG153" s="757"/>
    </row>
    <row r="154" spans="1:59">
      <c r="B154" s="1242" t="s">
        <v>858</v>
      </c>
      <c r="C154" s="1286"/>
      <c r="D154" s="1285"/>
      <c r="E154" s="1286"/>
      <c r="F154" s="1303"/>
      <c r="G154" s="1286"/>
      <c r="H154" s="1286"/>
      <c r="I154" s="1288"/>
      <c r="J154" s="1288"/>
      <c r="K154" s="1288"/>
      <c r="L154" s="1288"/>
      <c r="M154" s="1288"/>
      <c r="N154" s="1288"/>
      <c r="O154" s="1288"/>
      <c r="P154" s="1288"/>
      <c r="Q154" s="757"/>
      <c r="R154" s="757">
        <v>0</v>
      </c>
      <c r="S154" s="1245">
        <v>0</v>
      </c>
      <c r="T154" s="1260">
        <f>T151+T152-T153*0.5</f>
        <v>246.06413814212488</v>
      </c>
      <c r="U154" s="1260">
        <f t="shared" ref="U154:AB154" si="28">U151+U152-U153</f>
        <v>191.383218554986</v>
      </c>
      <c r="V154" s="1260">
        <f t="shared" si="28"/>
        <v>136.70229896784713</v>
      </c>
      <c r="W154" s="1260">
        <f t="shared" si="28"/>
        <v>82.021379380708268</v>
      </c>
      <c r="X154" s="1260">
        <f t="shared" si="28"/>
        <v>27.340459793569408</v>
      </c>
      <c r="Y154" s="1245">
        <f t="shared" si="28"/>
        <v>0</v>
      </c>
      <c r="Z154" s="1245">
        <f t="shared" si="28"/>
        <v>0</v>
      </c>
      <c r="AA154" s="1245">
        <f t="shared" si="28"/>
        <v>0</v>
      </c>
      <c r="AB154" s="1245">
        <f t="shared" si="28"/>
        <v>0</v>
      </c>
      <c r="AC154" s="1245"/>
      <c r="AD154" s="1245"/>
      <c r="AE154" s="1245"/>
      <c r="AF154" s="1245"/>
      <c r="AG154" s="1245"/>
      <c r="AH154" s="1245"/>
      <c r="AI154" s="1245"/>
      <c r="AJ154" s="1245"/>
      <c r="AK154" s="1245"/>
      <c r="AL154" s="1245"/>
      <c r="AM154" s="1245"/>
      <c r="AN154" s="1245"/>
      <c r="AO154" s="1245"/>
      <c r="AP154" s="1245"/>
      <c r="AQ154" s="1245"/>
      <c r="AR154" s="1245"/>
      <c r="AS154" s="1245"/>
      <c r="AT154" s="1245"/>
      <c r="AU154" s="1245"/>
      <c r="AV154" s="1245"/>
      <c r="AW154" s="1245"/>
      <c r="AX154" s="1245"/>
      <c r="AY154" s="1245"/>
      <c r="AZ154" s="1245"/>
      <c r="BA154" s="1245"/>
      <c r="BB154" s="1245"/>
      <c r="BC154" s="1245"/>
      <c r="BD154" s="1245"/>
      <c r="BE154" s="1245"/>
      <c r="BF154" s="1245"/>
      <c r="BG154" s="757"/>
    </row>
    <row r="155" spans="1:59" s="1268" customFormat="1">
      <c r="A155" s="1261"/>
      <c r="B155" s="1247" t="s">
        <v>870</v>
      </c>
      <c r="C155" s="1327"/>
      <c r="D155" s="1300"/>
      <c r="E155" s="1299"/>
      <c r="F155" s="1301"/>
      <c r="G155" s="1299"/>
      <c r="H155" s="1299"/>
      <c r="I155" s="1302"/>
      <c r="J155" s="1302"/>
      <c r="K155" s="1302"/>
      <c r="L155" s="1302"/>
      <c r="M155" s="1302"/>
      <c r="N155" s="1302"/>
      <c r="O155" s="1302"/>
      <c r="P155" s="1302"/>
      <c r="Q155" s="1262"/>
      <c r="R155" s="1328">
        <f>F150</f>
        <v>7.8E-2</v>
      </c>
      <c r="S155" s="1308">
        <f>R155</f>
        <v>7.8E-2</v>
      </c>
      <c r="T155" s="1308">
        <f t="shared" ref="T155:AB155" si="29">S155</f>
        <v>7.8E-2</v>
      </c>
      <c r="U155" s="1308">
        <f t="shared" si="29"/>
        <v>7.8E-2</v>
      </c>
      <c r="V155" s="1308">
        <f t="shared" si="29"/>
        <v>7.8E-2</v>
      </c>
      <c r="W155" s="1308">
        <f t="shared" si="29"/>
        <v>7.8E-2</v>
      </c>
      <c r="X155" s="1308">
        <f t="shared" si="29"/>
        <v>7.8E-2</v>
      </c>
      <c r="Y155" s="1308">
        <f t="shared" si="29"/>
        <v>7.8E-2</v>
      </c>
      <c r="Z155" s="1308">
        <f t="shared" si="29"/>
        <v>7.8E-2</v>
      </c>
      <c r="AA155" s="1308">
        <f t="shared" si="29"/>
        <v>7.8E-2</v>
      </c>
      <c r="AB155" s="1308">
        <f t="shared" si="29"/>
        <v>7.8E-2</v>
      </c>
      <c r="AC155" s="1308"/>
      <c r="AD155" s="1309"/>
      <c r="AE155" s="1309"/>
      <c r="AF155" s="1309"/>
      <c r="AG155" s="1309"/>
      <c r="AH155" s="1309"/>
      <c r="AI155" s="1309"/>
      <c r="AJ155" s="1309"/>
      <c r="AK155" s="1309"/>
      <c r="AL155" s="1309"/>
      <c r="AM155" s="1309"/>
      <c r="AN155" s="1309"/>
      <c r="AO155" s="1309"/>
      <c r="AP155" s="1309"/>
      <c r="AQ155" s="1309"/>
      <c r="AR155" s="1309"/>
      <c r="AS155" s="1309"/>
      <c r="AT155" s="1309"/>
      <c r="AU155" s="1309"/>
      <c r="AV155" s="1309"/>
      <c r="AW155" s="1309"/>
      <c r="AX155" s="1309"/>
      <c r="AY155" s="1309"/>
      <c r="AZ155" s="1309"/>
      <c r="BA155" s="1309"/>
      <c r="BB155" s="1309"/>
      <c r="BC155" s="1309"/>
      <c r="BD155" s="1309"/>
      <c r="BE155" s="1309"/>
      <c r="BF155" s="1309"/>
      <c r="BG155" s="1262"/>
    </row>
    <row r="156" spans="1:59">
      <c r="B156" s="1247" t="s">
        <v>859</v>
      </c>
      <c r="C156" s="1329"/>
      <c r="D156" s="1285"/>
      <c r="E156" s="1286"/>
      <c r="F156" s="1303"/>
      <c r="G156" s="1286"/>
      <c r="H156" s="1286"/>
      <c r="I156" s="1288"/>
      <c r="J156" s="1288"/>
      <c r="K156" s="1288"/>
      <c r="L156" s="1288"/>
      <c r="M156" s="1288"/>
      <c r="N156" s="1288"/>
      <c r="O156" s="1288"/>
      <c r="P156" s="1288"/>
      <c r="Q156" s="757"/>
      <c r="R156" s="1262">
        <f>R155*AVERAGE(R151,R154)</f>
        <v>0</v>
      </c>
      <c r="S156" s="1267">
        <f t="shared" ref="S156" si="30">S155*AVERAGE(S151,S154)</f>
        <v>0</v>
      </c>
      <c r="T156" s="1266">
        <f>T155*AVERAGE(T151,T154)</f>
        <v>9.5965013875428706</v>
      </c>
      <c r="U156" s="1266">
        <f t="shared" ref="U156:AB156" si="31">U155*AVERAGE(U151,U154)</f>
        <v>17.060446911187324</v>
      </c>
      <c r="V156" s="1266">
        <f t="shared" si="31"/>
        <v>12.795335183390492</v>
      </c>
      <c r="W156" s="1266">
        <f t="shared" si="31"/>
        <v>8.53022345559366</v>
      </c>
      <c r="X156" s="1266">
        <f t="shared" si="31"/>
        <v>4.2651117277968291</v>
      </c>
      <c r="Y156" s="1266">
        <f t="shared" si="31"/>
        <v>1.0662779319492068</v>
      </c>
      <c r="Z156" s="1267">
        <f t="shared" si="31"/>
        <v>0</v>
      </c>
      <c r="AA156" s="1267">
        <f t="shared" si="31"/>
        <v>0</v>
      </c>
      <c r="AB156" s="1267">
        <f t="shared" si="31"/>
        <v>0</v>
      </c>
      <c r="AC156" s="1267"/>
      <c r="AD156" s="1267"/>
      <c r="AE156" s="1267"/>
      <c r="AF156" s="1267"/>
      <c r="AG156" s="1267"/>
      <c r="AH156" s="1267"/>
      <c r="AI156" s="1267"/>
      <c r="AJ156" s="1267"/>
      <c r="AK156" s="1267"/>
      <c r="AL156" s="1267"/>
      <c r="AM156" s="1267"/>
      <c r="AN156" s="1267"/>
      <c r="AO156" s="1267"/>
      <c r="AP156" s="1267"/>
      <c r="AQ156" s="1267"/>
      <c r="AR156" s="1267"/>
      <c r="AS156" s="1267"/>
      <c r="AT156" s="1267"/>
      <c r="AU156" s="1267"/>
      <c r="AV156" s="1267"/>
      <c r="AW156" s="1267"/>
      <c r="AX156" s="1267"/>
      <c r="AY156" s="1267"/>
      <c r="AZ156" s="1267"/>
      <c r="BA156" s="1267"/>
      <c r="BB156" s="1267"/>
      <c r="BC156" s="1267"/>
      <c r="BD156" s="1267"/>
      <c r="BE156" s="1267"/>
      <c r="BF156" s="1267"/>
      <c r="BG156" s="757"/>
    </row>
    <row r="158" spans="1:59" ht="14.4" thickBot="1">
      <c r="A158" s="1219">
        <v>3</v>
      </c>
      <c r="B158" s="1270" t="s">
        <v>891</v>
      </c>
      <c r="C158" s="1311"/>
      <c r="D158" s="1312"/>
      <c r="E158" s="1311"/>
      <c r="F158" s="1313"/>
      <c r="G158" s="1311"/>
      <c r="H158" s="1311"/>
      <c r="I158" s="1311"/>
      <c r="J158" s="1311"/>
      <c r="K158" s="1311"/>
      <c r="L158" s="1311"/>
      <c r="M158" s="1311"/>
      <c r="N158" s="1311"/>
      <c r="O158" s="1311"/>
      <c r="P158" s="1311"/>
      <c r="Q158" s="757"/>
      <c r="R158" s="1314"/>
      <c r="S158" s="1311"/>
      <c r="T158" s="1311"/>
      <c r="U158" s="1311"/>
      <c r="V158" s="1311"/>
      <c r="W158" s="1311"/>
      <c r="X158" s="1311"/>
      <c r="Y158" s="1311"/>
      <c r="Z158" s="1311"/>
      <c r="AA158" s="1311"/>
      <c r="AB158" s="1311"/>
      <c r="AC158" s="1311"/>
      <c r="AD158" s="1311"/>
      <c r="AE158" s="1311"/>
      <c r="AF158" s="1311"/>
      <c r="AG158" s="1311"/>
      <c r="AH158" s="1311"/>
      <c r="AI158" s="1311"/>
      <c r="AJ158" s="1311"/>
      <c r="AK158" s="1311"/>
      <c r="AL158" s="1311"/>
      <c r="AM158" s="1311"/>
      <c r="AN158" s="1311"/>
      <c r="AO158" s="1311"/>
      <c r="AP158" s="1311"/>
      <c r="AQ158" s="1311"/>
      <c r="AR158" s="1311"/>
      <c r="AS158" s="1311"/>
      <c r="AT158" s="1311"/>
      <c r="AU158" s="1311"/>
      <c r="AV158" s="1311"/>
      <c r="AW158" s="1311"/>
      <c r="AX158" s="1311"/>
      <c r="AY158" s="1311"/>
      <c r="AZ158" s="1311"/>
      <c r="BA158" s="1311"/>
      <c r="BB158" s="1311"/>
      <c r="BC158" s="1311"/>
      <c r="BD158" s="1311"/>
      <c r="BE158" s="1311"/>
      <c r="BF158" s="1311"/>
      <c r="BG158" s="757"/>
    </row>
    <row r="159" spans="1:59">
      <c r="B159" s="1224"/>
      <c r="C159" s="757"/>
      <c r="D159" s="1240"/>
      <c r="E159" s="757"/>
      <c r="G159" s="757"/>
      <c r="H159" s="757"/>
      <c r="I159" s="757"/>
      <c r="J159" s="757"/>
      <c r="K159" s="757"/>
      <c r="L159" s="757"/>
      <c r="M159" s="757"/>
      <c r="N159" s="757"/>
      <c r="O159" s="757"/>
      <c r="P159" s="757"/>
      <c r="Q159" s="757"/>
      <c r="S159" s="757"/>
      <c r="T159" s="757"/>
      <c r="U159" s="757"/>
      <c r="V159" s="757"/>
      <c r="W159" s="757"/>
      <c r="X159" s="757"/>
      <c r="Y159" s="757"/>
      <c r="Z159" s="757"/>
      <c r="AA159" s="757"/>
      <c r="AB159" s="757"/>
      <c r="AC159" s="757"/>
      <c r="AD159" s="757"/>
      <c r="AE159" s="757"/>
      <c r="AF159" s="757"/>
      <c r="AG159" s="757"/>
      <c r="AH159" s="757"/>
      <c r="AI159" s="757"/>
      <c r="AJ159" s="757"/>
      <c r="AK159" s="757"/>
      <c r="AL159" s="757"/>
      <c r="AM159" s="757"/>
      <c r="AN159" s="757"/>
      <c r="AO159" s="757"/>
      <c r="AP159" s="757"/>
      <c r="AQ159" s="757"/>
      <c r="AR159" s="757"/>
      <c r="AS159" s="757"/>
      <c r="AT159" s="757"/>
      <c r="AU159" s="757"/>
      <c r="AV159" s="757"/>
      <c r="AW159" s="757"/>
      <c r="AX159" s="757"/>
      <c r="AY159" s="757"/>
      <c r="AZ159" s="757"/>
      <c r="BA159" s="757"/>
      <c r="BB159" s="757"/>
      <c r="BC159" s="757"/>
      <c r="BD159" s="757"/>
      <c r="BE159" s="757"/>
      <c r="BF159" s="757"/>
      <c r="BG159" s="757"/>
    </row>
    <row r="160" spans="1:59">
      <c r="A160" s="1219" t="s">
        <v>428</v>
      </c>
      <c r="B160" s="1279" t="s">
        <v>867</v>
      </c>
      <c r="C160" s="1384"/>
      <c r="D160" s="1397"/>
      <c r="E160" s="1384"/>
      <c r="F160" s="1385"/>
      <c r="G160" s="1384"/>
      <c r="H160" s="1384"/>
      <c r="I160" s="1384"/>
      <c r="J160" s="1384"/>
      <c r="K160" s="1384"/>
      <c r="L160" s="1384"/>
      <c r="M160" s="1384"/>
      <c r="N160" s="1384"/>
      <c r="O160" s="1384"/>
      <c r="P160" s="1384"/>
      <c r="Q160" s="757"/>
      <c r="R160" s="757"/>
      <c r="S160" s="757"/>
      <c r="T160" s="757"/>
      <c r="U160" s="757"/>
      <c r="V160" s="757"/>
      <c r="W160" s="757"/>
      <c r="X160" s="757"/>
      <c r="Y160" s="757"/>
      <c r="Z160" s="757"/>
      <c r="AA160" s="757"/>
      <c r="AB160" s="757"/>
      <c r="AC160" s="757"/>
      <c r="AD160" s="757"/>
      <c r="AE160" s="757"/>
      <c r="AF160" s="757"/>
      <c r="AG160" s="757"/>
      <c r="AH160" s="757"/>
      <c r="AI160" s="757"/>
      <c r="AJ160" s="757"/>
      <c r="AK160" s="757"/>
      <c r="AL160" s="757"/>
      <c r="AM160" s="757"/>
      <c r="AN160" s="757"/>
      <c r="AO160" s="757"/>
      <c r="AP160" s="757"/>
      <c r="AQ160" s="757"/>
      <c r="AR160" s="757"/>
      <c r="AS160" s="757"/>
      <c r="AT160" s="757"/>
      <c r="AU160" s="757"/>
      <c r="AV160" s="757"/>
      <c r="AW160" s="757"/>
      <c r="AX160" s="757"/>
      <c r="AY160" s="757"/>
      <c r="AZ160" s="757"/>
      <c r="BA160" s="757"/>
      <c r="BB160" s="757"/>
      <c r="BC160" s="757"/>
      <c r="BD160" s="757"/>
      <c r="BE160" s="757"/>
      <c r="BF160" s="757"/>
      <c r="BG160" s="757"/>
    </row>
    <row r="161" spans="1:59">
      <c r="B161" s="1283" t="s">
        <v>888</v>
      </c>
      <c r="C161" s="1398">
        <f>'LT. Asset'!BF20</f>
        <v>268.38360795411148</v>
      </c>
      <c r="D161" s="1387">
        <v>46539</v>
      </c>
      <c r="E161" s="1388">
        <v>60</v>
      </c>
      <c r="F161" s="1303">
        <f>F150</f>
        <v>7.8E-2</v>
      </c>
      <c r="G161" s="1286" t="s">
        <v>869</v>
      </c>
      <c r="H161" s="1286">
        <v>0.5</v>
      </c>
      <c r="I161" s="1288"/>
      <c r="J161" s="1288"/>
      <c r="K161" s="1288"/>
      <c r="L161" s="1288"/>
      <c r="M161" s="1288"/>
      <c r="N161" s="1288"/>
      <c r="O161" s="1288"/>
      <c r="P161" s="1288"/>
      <c r="Q161" s="757"/>
      <c r="R161" s="757"/>
      <c r="S161" s="757"/>
      <c r="T161" s="757"/>
      <c r="U161" s="757"/>
      <c r="V161" s="757"/>
      <c r="W161" s="757"/>
      <c r="X161" s="757"/>
      <c r="Y161" s="757"/>
      <c r="Z161" s="757"/>
      <c r="AA161" s="757"/>
      <c r="AB161" s="757"/>
      <c r="AC161" s="757"/>
      <c r="AD161" s="757"/>
      <c r="AE161" s="757"/>
      <c r="AF161" s="757"/>
      <c r="AG161" s="757"/>
      <c r="AH161" s="757"/>
      <c r="AI161" s="757"/>
      <c r="AJ161" s="757"/>
      <c r="AK161" s="757"/>
      <c r="AL161" s="757"/>
      <c r="AM161" s="757"/>
      <c r="AN161" s="757"/>
      <c r="AO161" s="757"/>
      <c r="AP161" s="757"/>
      <c r="AQ161" s="757"/>
      <c r="AR161" s="757"/>
      <c r="AS161" s="757"/>
      <c r="AT161" s="757"/>
      <c r="AU161" s="757"/>
      <c r="AV161" s="757"/>
      <c r="AW161" s="757"/>
      <c r="AX161" s="757"/>
      <c r="AY161" s="757"/>
      <c r="AZ161" s="757"/>
      <c r="BA161" s="757"/>
      <c r="BB161" s="757"/>
      <c r="BC161" s="757"/>
      <c r="BD161" s="757"/>
      <c r="BE161" s="757"/>
      <c r="BF161" s="757"/>
      <c r="BG161" s="757"/>
    </row>
    <row r="162" spans="1:59">
      <c r="B162" s="1242" t="s">
        <v>855</v>
      </c>
      <c r="C162" s="1286"/>
      <c r="D162" s="1285"/>
      <c r="E162" s="1286"/>
      <c r="F162" s="1303"/>
      <c r="G162" s="1286"/>
      <c r="H162" s="1286"/>
      <c r="I162" s="1288"/>
      <c r="J162" s="1288"/>
      <c r="K162" s="1288"/>
      <c r="L162" s="1288"/>
      <c r="M162" s="1288"/>
      <c r="N162" s="1288"/>
      <c r="O162" s="1288"/>
      <c r="P162" s="1288"/>
      <c r="Q162" s="757"/>
      <c r="R162" s="757">
        <f>0</f>
        <v>0</v>
      </c>
      <c r="S162" s="1245">
        <v>0</v>
      </c>
      <c r="T162" s="1245">
        <f t="shared" ref="T162:AB162" si="32">S165</f>
        <v>0</v>
      </c>
      <c r="U162" s="1260">
        <f t="shared" si="32"/>
        <v>0</v>
      </c>
      <c r="V162" s="1260">
        <f t="shared" si="32"/>
        <v>241.54524715870033</v>
      </c>
      <c r="W162" s="1260">
        <f t="shared" si="32"/>
        <v>187.86852556787804</v>
      </c>
      <c r="X162" s="1260">
        <f t="shared" si="32"/>
        <v>134.19180397705574</v>
      </c>
      <c r="Y162" s="1260">
        <f t="shared" si="32"/>
        <v>80.515082386233445</v>
      </c>
      <c r="Z162" s="1260">
        <f t="shared" si="32"/>
        <v>26.838360795411148</v>
      </c>
      <c r="AA162" s="1260">
        <f t="shared" si="32"/>
        <v>0</v>
      </c>
      <c r="AB162" s="1260">
        <f t="shared" si="32"/>
        <v>0</v>
      </c>
      <c r="AC162" s="1260"/>
      <c r="AD162" s="1245"/>
      <c r="AE162" s="1245"/>
      <c r="AF162" s="1245"/>
      <c r="AG162" s="1245"/>
      <c r="AH162" s="1245"/>
      <c r="AI162" s="1245"/>
      <c r="AJ162" s="1245"/>
      <c r="AK162" s="1245"/>
      <c r="AL162" s="1245"/>
      <c r="AM162" s="1245"/>
      <c r="AN162" s="1245"/>
      <c r="AO162" s="1245"/>
      <c r="AP162" s="1245"/>
      <c r="AQ162" s="1245"/>
      <c r="AR162" s="1245"/>
      <c r="AS162" s="1245"/>
      <c r="AT162" s="1245"/>
      <c r="AU162" s="1245"/>
      <c r="AV162" s="1245"/>
      <c r="AW162" s="1245"/>
      <c r="AX162" s="1245"/>
      <c r="AY162" s="1245"/>
      <c r="AZ162" s="1245"/>
      <c r="BA162" s="1245"/>
      <c r="BB162" s="1245"/>
      <c r="BC162" s="1245"/>
      <c r="BD162" s="1245"/>
      <c r="BE162" s="1245"/>
      <c r="BF162" s="1245"/>
      <c r="BG162" s="757"/>
    </row>
    <row r="163" spans="1:59">
      <c r="B163" s="1247" t="s">
        <v>857</v>
      </c>
      <c r="C163" s="1286"/>
      <c r="D163" s="1285"/>
      <c r="E163" s="1286"/>
      <c r="F163" s="1303"/>
      <c r="G163" s="1286"/>
      <c r="H163" s="1286"/>
      <c r="I163" s="1288"/>
      <c r="J163" s="1288"/>
      <c r="K163" s="1288"/>
      <c r="L163" s="1288"/>
      <c r="M163" s="1288"/>
      <c r="N163" s="1288"/>
      <c r="O163" s="1288"/>
      <c r="P163" s="1288"/>
      <c r="Q163" s="757"/>
      <c r="R163" s="757"/>
      <c r="S163" s="1245">
        <f>IF(YEAR($D161)=YEAR(S$4),$C161,0)</f>
        <v>0</v>
      </c>
      <c r="T163" s="1245">
        <f>IF(YEAR($D161)=YEAR(T$4),$C161,0)</f>
        <v>0</v>
      </c>
      <c r="U163" s="1260">
        <f t="shared" ref="U163:AB163" si="33">IF(YEAR($D161)=YEAR(U$4),$C161,0)</f>
        <v>268.38360795411148</v>
      </c>
      <c r="V163" s="1260">
        <f t="shared" si="33"/>
        <v>0</v>
      </c>
      <c r="W163" s="1260">
        <f t="shared" si="33"/>
        <v>0</v>
      </c>
      <c r="X163" s="1260">
        <f t="shared" si="33"/>
        <v>0</v>
      </c>
      <c r="Y163" s="1260">
        <f t="shared" si="33"/>
        <v>0</v>
      </c>
      <c r="Z163" s="1260">
        <f t="shared" si="33"/>
        <v>0</v>
      </c>
      <c r="AA163" s="1260">
        <f t="shared" si="33"/>
        <v>0</v>
      </c>
      <c r="AB163" s="1260">
        <f t="shared" si="33"/>
        <v>0</v>
      </c>
      <c r="AC163" s="1260"/>
      <c r="AD163" s="1245"/>
      <c r="AE163" s="1245"/>
      <c r="AF163" s="1245"/>
      <c r="AG163" s="1245"/>
      <c r="AH163" s="1245"/>
      <c r="AI163" s="1245"/>
      <c r="AJ163" s="1245"/>
      <c r="AK163" s="1245"/>
      <c r="AL163" s="1245"/>
      <c r="AM163" s="1245"/>
      <c r="AN163" s="1245"/>
      <c r="AO163" s="1245"/>
      <c r="AP163" s="1245"/>
      <c r="AQ163" s="1245"/>
      <c r="AR163" s="1245"/>
      <c r="AS163" s="1245"/>
      <c r="AT163" s="1245"/>
      <c r="AU163" s="1245"/>
      <c r="AV163" s="1245"/>
      <c r="AW163" s="1245"/>
      <c r="AX163" s="1245"/>
      <c r="AY163" s="1245"/>
      <c r="AZ163" s="1245"/>
      <c r="BA163" s="1245"/>
      <c r="BB163" s="1245"/>
      <c r="BC163" s="1245"/>
      <c r="BD163" s="1245"/>
      <c r="BE163" s="1245"/>
      <c r="BF163" s="1245"/>
      <c r="BG163" s="757"/>
    </row>
    <row r="164" spans="1:59">
      <c r="B164" s="1247" t="s">
        <v>856</v>
      </c>
      <c r="C164" s="1286"/>
      <c r="D164" s="1285"/>
      <c r="E164" s="1286"/>
      <c r="F164" s="1303"/>
      <c r="G164" s="1286"/>
      <c r="H164" s="1286"/>
      <c r="I164" s="1288"/>
      <c r="J164" s="1288"/>
      <c r="K164" s="1288"/>
      <c r="L164" s="1288"/>
      <c r="M164" s="1288"/>
      <c r="N164" s="1288"/>
      <c r="O164" s="1288"/>
      <c r="P164" s="1288"/>
      <c r="Q164" s="757"/>
      <c r="R164" s="757"/>
      <c r="S164" s="1245">
        <f>IF($C161=S163,$C161/($E161/12),MIN(R165,R164))</f>
        <v>0</v>
      </c>
      <c r="T164" s="1245">
        <f t="shared" ref="T164:Y164" si="34">IF($C161=T163,$C161/($E161/12),MIN(S165,S164))</f>
        <v>0</v>
      </c>
      <c r="U164" s="1260">
        <f t="shared" si="34"/>
        <v>53.676721590822297</v>
      </c>
      <c r="V164" s="1260">
        <f t="shared" si="34"/>
        <v>53.676721590822297</v>
      </c>
      <c r="W164" s="1260">
        <f t="shared" si="34"/>
        <v>53.676721590822297</v>
      </c>
      <c r="X164" s="1260">
        <f t="shared" si="34"/>
        <v>53.676721590822297</v>
      </c>
      <c r="Y164" s="1260">
        <f t="shared" si="34"/>
        <v>53.676721590822297</v>
      </c>
      <c r="Z164" s="1260">
        <f>IF($C161=Z163,$C161/($E161/12),MIN(Y165,Y164))</f>
        <v>26.838360795411148</v>
      </c>
      <c r="AA164" s="1260">
        <f t="shared" ref="AA164:AB164" si="35">IF($C161=AA163,$C161/($E161/12),MIN(Z165,Z164))</f>
        <v>0</v>
      </c>
      <c r="AB164" s="1260">
        <f t="shared" si="35"/>
        <v>0</v>
      </c>
      <c r="AC164" s="1260"/>
      <c r="AD164" s="1245"/>
      <c r="AE164" s="1245"/>
      <c r="AF164" s="1245"/>
      <c r="AG164" s="1245"/>
      <c r="AH164" s="1245"/>
      <c r="AI164" s="1245"/>
      <c r="AJ164" s="1245"/>
      <c r="AK164" s="1245"/>
      <c r="AL164" s="1245"/>
      <c r="AM164" s="1245"/>
      <c r="AN164" s="1245"/>
      <c r="AO164" s="1245"/>
      <c r="AP164" s="1245"/>
      <c r="AQ164" s="1245"/>
      <c r="AR164" s="1245"/>
      <c r="AS164" s="1245"/>
      <c r="AT164" s="1245"/>
      <c r="AU164" s="1245"/>
      <c r="AV164" s="1245"/>
      <c r="AW164" s="1245"/>
      <c r="AX164" s="1245"/>
      <c r="AY164" s="1245"/>
      <c r="AZ164" s="1245"/>
      <c r="BA164" s="1245"/>
      <c r="BB164" s="1245"/>
      <c r="BC164" s="1245"/>
      <c r="BD164" s="1245"/>
      <c r="BE164" s="1245"/>
      <c r="BF164" s="1245"/>
      <c r="BG164" s="757"/>
    </row>
    <row r="165" spans="1:59">
      <c r="B165" s="1242" t="s">
        <v>858</v>
      </c>
      <c r="C165" s="1286"/>
      <c r="D165" s="1285"/>
      <c r="E165" s="1286"/>
      <c r="F165" s="1303"/>
      <c r="G165" s="1286"/>
      <c r="H165" s="1286"/>
      <c r="I165" s="1288"/>
      <c r="J165" s="1288"/>
      <c r="K165" s="1288"/>
      <c r="L165" s="1288"/>
      <c r="M165" s="1288"/>
      <c r="N165" s="1288"/>
      <c r="O165" s="1288"/>
      <c r="P165" s="1288"/>
      <c r="Q165" s="757"/>
      <c r="R165" s="757">
        <f>0</f>
        <v>0</v>
      </c>
      <c r="S165" s="1245">
        <v>0</v>
      </c>
      <c r="T165" s="1245"/>
      <c r="U165" s="1260">
        <f>U162+U163-U164*0.5</f>
        <v>241.54524715870033</v>
      </c>
      <c r="V165" s="1260">
        <f t="shared" ref="V165:AB165" si="36">V162+V163-V164</f>
        <v>187.86852556787804</v>
      </c>
      <c r="W165" s="1260">
        <f t="shared" si="36"/>
        <v>134.19180397705574</v>
      </c>
      <c r="X165" s="1260">
        <f t="shared" si="36"/>
        <v>80.515082386233445</v>
      </c>
      <c r="Y165" s="1260">
        <f t="shared" si="36"/>
        <v>26.838360795411148</v>
      </c>
      <c r="Z165" s="1260">
        <f t="shared" si="36"/>
        <v>0</v>
      </c>
      <c r="AA165" s="1260">
        <f t="shared" si="36"/>
        <v>0</v>
      </c>
      <c r="AB165" s="1260">
        <f t="shared" si="36"/>
        <v>0</v>
      </c>
      <c r="AC165" s="1260"/>
      <c r="AD165" s="1245"/>
      <c r="AE165" s="1245"/>
      <c r="AF165" s="1245"/>
      <c r="AG165" s="1245"/>
      <c r="AH165" s="1245"/>
      <c r="AI165" s="1245"/>
      <c r="AJ165" s="1245"/>
      <c r="AK165" s="1245"/>
      <c r="AL165" s="1245"/>
      <c r="AM165" s="1245"/>
      <c r="AN165" s="1245"/>
      <c r="AO165" s="1245"/>
      <c r="AP165" s="1245"/>
      <c r="AQ165" s="1245"/>
      <c r="AR165" s="1245"/>
      <c r="AS165" s="1245"/>
      <c r="AT165" s="1245"/>
      <c r="AU165" s="1245"/>
      <c r="AV165" s="1245"/>
      <c r="AW165" s="1245"/>
      <c r="AX165" s="1245"/>
      <c r="AY165" s="1245"/>
      <c r="AZ165" s="1245"/>
      <c r="BA165" s="1245"/>
      <c r="BB165" s="1245"/>
      <c r="BC165" s="1245"/>
      <c r="BD165" s="1245"/>
      <c r="BE165" s="1245"/>
      <c r="BF165" s="1245"/>
      <c r="BG165" s="757"/>
    </row>
    <row r="166" spans="1:59" s="1268" customFormat="1">
      <c r="A166" s="1261"/>
      <c r="B166" s="1247" t="s">
        <v>870</v>
      </c>
      <c r="C166" s="1327"/>
      <c r="D166" s="1300"/>
      <c r="E166" s="1299"/>
      <c r="F166" s="1301"/>
      <c r="G166" s="1299"/>
      <c r="H166" s="1299"/>
      <c r="I166" s="1302"/>
      <c r="J166" s="1302"/>
      <c r="K166" s="1302"/>
      <c r="L166" s="1302"/>
      <c r="M166" s="1302"/>
      <c r="N166" s="1302"/>
      <c r="O166" s="1302"/>
      <c r="P166" s="1302"/>
      <c r="Q166" s="1262"/>
      <c r="R166" s="1328">
        <f>F161</f>
        <v>7.8E-2</v>
      </c>
      <c r="S166" s="1308">
        <f>R166</f>
        <v>7.8E-2</v>
      </c>
      <c r="T166" s="1308">
        <f t="shared" ref="T166:AB166" si="37">S166</f>
        <v>7.8E-2</v>
      </c>
      <c r="U166" s="1308">
        <f t="shared" si="37"/>
        <v>7.8E-2</v>
      </c>
      <c r="V166" s="1308">
        <f t="shared" si="37"/>
        <v>7.8E-2</v>
      </c>
      <c r="W166" s="1308">
        <f t="shared" si="37"/>
        <v>7.8E-2</v>
      </c>
      <c r="X166" s="1308">
        <f t="shared" si="37"/>
        <v>7.8E-2</v>
      </c>
      <c r="Y166" s="1308">
        <f t="shared" si="37"/>
        <v>7.8E-2</v>
      </c>
      <c r="Z166" s="1308">
        <f t="shared" si="37"/>
        <v>7.8E-2</v>
      </c>
      <c r="AA166" s="1308">
        <f t="shared" si="37"/>
        <v>7.8E-2</v>
      </c>
      <c r="AB166" s="1308">
        <f t="shared" si="37"/>
        <v>7.8E-2</v>
      </c>
      <c r="AC166" s="1308"/>
      <c r="AD166" s="1309"/>
      <c r="AE166" s="1309"/>
      <c r="AF166" s="1309"/>
      <c r="AG166" s="1309"/>
      <c r="AH166" s="1309"/>
      <c r="AI166" s="1309"/>
      <c r="AJ166" s="1309"/>
      <c r="AK166" s="1309"/>
      <c r="AL166" s="1309"/>
      <c r="AM166" s="1309"/>
      <c r="AN166" s="1309"/>
      <c r="AO166" s="1309"/>
      <c r="AP166" s="1309"/>
      <c r="AQ166" s="1309"/>
      <c r="AR166" s="1309"/>
      <c r="AS166" s="1309"/>
      <c r="AT166" s="1309"/>
      <c r="AU166" s="1309"/>
      <c r="AV166" s="1309"/>
      <c r="AW166" s="1309"/>
      <c r="AX166" s="1309"/>
      <c r="AY166" s="1309"/>
      <c r="AZ166" s="1309"/>
      <c r="BA166" s="1309"/>
      <c r="BB166" s="1309"/>
      <c r="BC166" s="1309"/>
      <c r="BD166" s="1309"/>
      <c r="BE166" s="1309"/>
      <c r="BF166" s="1309"/>
      <c r="BG166" s="1262"/>
    </row>
    <row r="167" spans="1:59">
      <c r="B167" s="1247" t="s">
        <v>859</v>
      </c>
      <c r="C167" s="1329"/>
      <c r="D167" s="1285"/>
      <c r="E167" s="1286"/>
      <c r="F167" s="1303"/>
      <c r="G167" s="1286"/>
      <c r="H167" s="1286"/>
      <c r="I167" s="1288"/>
      <c r="J167" s="1288"/>
      <c r="K167" s="1288"/>
      <c r="L167" s="1288"/>
      <c r="M167" s="1288"/>
      <c r="N167" s="1288"/>
      <c r="O167" s="1288"/>
      <c r="P167" s="1288"/>
      <c r="Q167" s="757"/>
      <c r="R167" s="1262">
        <f>R166*AVERAGE(R162,R165)</f>
        <v>0</v>
      </c>
      <c r="S167" s="1267">
        <f t="shared" ref="S167:AB167" si="38">S166*AVERAGE(S162,S165)</f>
        <v>0</v>
      </c>
      <c r="T167" s="1267">
        <f t="shared" si="38"/>
        <v>0</v>
      </c>
      <c r="U167" s="1266">
        <f>U166*AVERAGE(U162,U165)</f>
        <v>9.4202646391893126</v>
      </c>
      <c r="V167" s="1266">
        <f t="shared" si="38"/>
        <v>16.747137136336555</v>
      </c>
      <c r="W167" s="1266">
        <f t="shared" si="38"/>
        <v>12.560352852252418</v>
      </c>
      <c r="X167" s="1266">
        <f t="shared" si="38"/>
        <v>8.3735685681682774</v>
      </c>
      <c r="Y167" s="1266">
        <f t="shared" si="38"/>
        <v>4.1867842840841387</v>
      </c>
      <c r="Z167" s="1267">
        <f t="shared" si="38"/>
        <v>1.0466960710210347</v>
      </c>
      <c r="AA167" s="1267">
        <f t="shared" si="38"/>
        <v>0</v>
      </c>
      <c r="AB167" s="1267">
        <f t="shared" si="38"/>
        <v>0</v>
      </c>
      <c r="AC167" s="1267"/>
      <c r="AD167" s="1267"/>
      <c r="AE167" s="1267"/>
      <c r="AF167" s="1267"/>
      <c r="AG167" s="1267"/>
      <c r="AH167" s="1267"/>
      <c r="AI167" s="1267"/>
      <c r="AJ167" s="1267"/>
      <c r="AK167" s="1267"/>
      <c r="AL167" s="1267"/>
      <c r="AM167" s="1267"/>
      <c r="AN167" s="1267"/>
      <c r="AO167" s="1267"/>
      <c r="AP167" s="1267"/>
      <c r="AQ167" s="1267"/>
      <c r="AR167" s="1267"/>
      <c r="AS167" s="1267"/>
      <c r="AT167" s="1267"/>
      <c r="AU167" s="1267"/>
      <c r="AV167" s="1267"/>
      <c r="AW167" s="1267"/>
      <c r="AX167" s="1267"/>
      <c r="AY167" s="1267"/>
      <c r="AZ167" s="1267"/>
      <c r="BA167" s="1267"/>
      <c r="BB167" s="1267"/>
      <c r="BC167" s="1267"/>
      <c r="BD167" s="1267"/>
      <c r="BE167" s="1267"/>
      <c r="BF167" s="1267"/>
      <c r="BG167" s="757"/>
    </row>
    <row r="169" spans="1:59" ht="14.4" thickBot="1">
      <c r="A169" s="1219">
        <v>4</v>
      </c>
      <c r="B169" s="1270" t="s">
        <v>893</v>
      </c>
      <c r="C169" s="1311"/>
      <c r="D169" s="1312"/>
      <c r="E169" s="1311"/>
      <c r="F169" s="1313"/>
      <c r="G169" s="1311"/>
      <c r="H169" s="1311"/>
      <c r="I169" s="1311"/>
      <c r="J169" s="1311"/>
      <c r="K169" s="1311"/>
      <c r="L169" s="1311"/>
      <c r="M169" s="1311"/>
      <c r="N169" s="1311"/>
      <c r="O169" s="1311"/>
      <c r="P169" s="1311"/>
      <c r="Q169" s="757"/>
      <c r="R169" s="1314"/>
      <c r="S169" s="1311"/>
      <c r="T169" s="1311"/>
      <c r="U169" s="1311"/>
      <c r="V169" s="1311"/>
      <c r="W169" s="1311"/>
      <c r="X169" s="1311"/>
      <c r="Y169" s="1311"/>
      <c r="Z169" s="1311"/>
      <c r="AA169" s="1311"/>
      <c r="AB169" s="1311"/>
      <c r="AC169" s="1311"/>
      <c r="AD169" s="1311"/>
      <c r="AE169" s="1311"/>
      <c r="AF169" s="1311"/>
      <c r="AG169" s="1311"/>
      <c r="AH169" s="1311"/>
      <c r="AI169" s="1311"/>
      <c r="AJ169" s="1311"/>
      <c r="AK169" s="1311"/>
      <c r="AL169" s="1311"/>
      <c r="AM169" s="1311"/>
      <c r="AN169" s="1311"/>
      <c r="AO169" s="1311"/>
      <c r="AP169" s="1311"/>
      <c r="AQ169" s="1311"/>
      <c r="AR169" s="1311"/>
      <c r="AS169" s="1311"/>
      <c r="AT169" s="1311"/>
      <c r="AU169" s="1311"/>
      <c r="AV169" s="1311"/>
      <c r="AW169" s="1311"/>
      <c r="AX169" s="1311"/>
      <c r="AY169" s="1311"/>
      <c r="AZ169" s="1311"/>
      <c r="BA169" s="1311"/>
      <c r="BB169" s="1311"/>
      <c r="BC169" s="1311"/>
      <c r="BD169" s="1311"/>
      <c r="BE169" s="1311"/>
      <c r="BF169" s="1311"/>
      <c r="BG169" s="757"/>
    </row>
    <row r="170" spans="1:59">
      <c r="B170" s="1224"/>
      <c r="C170" s="757"/>
      <c r="D170" s="1240"/>
      <c r="E170" s="757"/>
      <c r="G170" s="757"/>
      <c r="H170" s="757"/>
      <c r="I170" s="757"/>
      <c r="J170" s="757"/>
      <c r="K170" s="757"/>
      <c r="L170" s="757"/>
      <c r="M170" s="757"/>
      <c r="N170" s="757"/>
      <c r="O170" s="757"/>
      <c r="P170" s="757"/>
      <c r="Q170" s="757"/>
      <c r="S170" s="757"/>
      <c r="T170" s="757"/>
      <c r="U170" s="757"/>
      <c r="V170" s="757"/>
      <c r="W170" s="757"/>
      <c r="X170" s="757"/>
      <c r="Y170" s="757"/>
      <c r="Z170" s="757"/>
      <c r="AA170" s="757"/>
      <c r="AB170" s="757"/>
      <c r="AC170" s="757"/>
      <c r="AD170" s="757"/>
      <c r="AE170" s="757"/>
      <c r="AF170" s="757"/>
      <c r="AG170" s="757"/>
      <c r="AH170" s="757"/>
      <c r="AI170" s="757"/>
      <c r="AJ170" s="757"/>
      <c r="AK170" s="757"/>
      <c r="AL170" s="757"/>
      <c r="AM170" s="757"/>
      <c r="AN170" s="757"/>
      <c r="AO170" s="757"/>
      <c r="AP170" s="757"/>
      <c r="AQ170" s="757"/>
      <c r="AR170" s="757"/>
      <c r="AS170" s="757"/>
      <c r="AT170" s="757"/>
      <c r="AU170" s="757"/>
      <c r="AV170" s="757"/>
      <c r="AW170" s="757"/>
      <c r="AX170" s="757"/>
      <c r="AY170" s="757"/>
      <c r="AZ170" s="757"/>
      <c r="BA170" s="757"/>
      <c r="BB170" s="757"/>
      <c r="BC170" s="757"/>
      <c r="BD170" s="757"/>
      <c r="BE170" s="757"/>
      <c r="BF170" s="757"/>
      <c r="BG170" s="757"/>
    </row>
    <row r="171" spans="1:59">
      <c r="A171" s="1219" t="s">
        <v>438</v>
      </c>
      <c r="B171" s="1279" t="s">
        <v>867</v>
      </c>
      <c r="C171" s="1384"/>
      <c r="D171" s="1397"/>
      <c r="E171" s="1384"/>
      <c r="F171" s="1385"/>
      <c r="G171" s="1384"/>
      <c r="H171" s="1384"/>
      <c r="I171" s="1384"/>
      <c r="J171" s="1384"/>
      <c r="K171" s="1384"/>
      <c r="L171" s="1384"/>
      <c r="M171" s="1384"/>
      <c r="N171" s="1384"/>
      <c r="O171" s="1384"/>
      <c r="P171" s="1384"/>
      <c r="Q171" s="757"/>
      <c r="R171" s="757"/>
      <c r="S171" s="757"/>
      <c r="T171" s="757"/>
      <c r="U171" s="757"/>
      <c r="V171" s="757"/>
      <c r="W171" s="757"/>
      <c r="X171" s="757"/>
      <c r="Y171" s="757"/>
      <c r="Z171" s="757"/>
      <c r="AA171" s="757"/>
      <c r="AB171" s="757"/>
      <c r="AC171" s="757"/>
      <c r="AD171" s="757"/>
      <c r="AE171" s="757"/>
      <c r="AF171" s="757"/>
      <c r="AG171" s="757"/>
      <c r="AH171" s="757"/>
      <c r="AI171" s="757"/>
      <c r="AJ171" s="757"/>
      <c r="AK171" s="757"/>
      <c r="AL171" s="757"/>
      <c r="AM171" s="757"/>
      <c r="AN171" s="757"/>
      <c r="AO171" s="757"/>
      <c r="AP171" s="757"/>
      <c r="AQ171" s="757"/>
      <c r="AR171" s="757"/>
      <c r="AS171" s="757"/>
      <c r="AT171" s="757"/>
      <c r="AU171" s="757"/>
      <c r="AV171" s="757"/>
      <c r="AW171" s="757"/>
      <c r="AX171" s="757"/>
      <c r="AY171" s="757"/>
      <c r="AZ171" s="757"/>
      <c r="BA171" s="757"/>
      <c r="BB171" s="757"/>
      <c r="BC171" s="757"/>
      <c r="BD171" s="757"/>
      <c r="BE171" s="757"/>
      <c r="BF171" s="757"/>
      <c r="BG171" s="757"/>
    </row>
    <row r="172" spans="1:59">
      <c r="B172" s="1283" t="s">
        <v>888</v>
      </c>
      <c r="C172" s="1388">
        <f>'LT. Asset'!BG20</f>
        <v>443.63826468007079</v>
      </c>
      <c r="D172" s="1387">
        <v>46905</v>
      </c>
      <c r="E172" s="1388">
        <v>60</v>
      </c>
      <c r="F172" s="1303">
        <f>F161</f>
        <v>7.8E-2</v>
      </c>
      <c r="G172" s="1286" t="s">
        <v>869</v>
      </c>
      <c r="H172" s="1286">
        <v>0.5</v>
      </c>
      <c r="I172" s="1288"/>
      <c r="J172" s="1288"/>
      <c r="K172" s="1288"/>
      <c r="L172" s="1288"/>
      <c r="M172" s="1288"/>
      <c r="N172" s="1288"/>
      <c r="O172" s="1288"/>
      <c r="P172" s="1288"/>
      <c r="Q172" s="757"/>
      <c r="R172" s="757"/>
      <c r="S172" s="757"/>
      <c r="T172" s="757"/>
      <c r="U172" s="757"/>
      <c r="V172" s="757"/>
      <c r="W172" s="757"/>
      <c r="X172" s="757"/>
      <c r="Y172" s="757"/>
      <c r="Z172" s="757"/>
      <c r="AA172" s="757"/>
      <c r="AB172" s="757"/>
      <c r="AC172" s="757"/>
      <c r="AD172" s="757"/>
      <c r="AE172" s="757"/>
      <c r="AF172" s="757"/>
      <c r="AG172" s="757"/>
      <c r="AH172" s="757"/>
      <c r="AI172" s="757"/>
      <c r="AJ172" s="757"/>
      <c r="AK172" s="757"/>
      <c r="AL172" s="757"/>
      <c r="AM172" s="757"/>
      <c r="AN172" s="757"/>
      <c r="AO172" s="757"/>
      <c r="AP172" s="757"/>
      <c r="AQ172" s="757"/>
      <c r="AR172" s="757"/>
      <c r="AS172" s="757"/>
      <c r="AT172" s="757"/>
      <c r="AU172" s="757"/>
      <c r="AV172" s="757"/>
      <c r="AW172" s="757"/>
      <c r="AX172" s="757"/>
      <c r="AY172" s="757"/>
      <c r="AZ172" s="757"/>
      <c r="BA172" s="757"/>
      <c r="BB172" s="757"/>
      <c r="BC172" s="757"/>
      <c r="BD172" s="757"/>
      <c r="BE172" s="757"/>
      <c r="BF172" s="757"/>
      <c r="BG172" s="757"/>
    </row>
    <row r="173" spans="1:59">
      <c r="B173" s="1242" t="s">
        <v>855</v>
      </c>
      <c r="C173" s="1286"/>
      <c r="D173" s="1285"/>
      <c r="E173" s="1286"/>
      <c r="F173" s="1303"/>
      <c r="G173" s="1286"/>
      <c r="H173" s="1286"/>
      <c r="I173" s="1288"/>
      <c r="J173" s="1288"/>
      <c r="K173" s="1288"/>
      <c r="L173" s="1288"/>
      <c r="M173" s="1288"/>
      <c r="N173" s="1288"/>
      <c r="O173" s="1288"/>
      <c r="P173" s="1288"/>
      <c r="Q173" s="757"/>
      <c r="R173" s="757">
        <f>0</f>
        <v>0</v>
      </c>
      <c r="S173" s="1245">
        <v>0</v>
      </c>
      <c r="T173" s="1245">
        <f t="shared" ref="T173:AB173" si="39">S176</f>
        <v>0</v>
      </c>
      <c r="U173" s="1245">
        <f t="shared" si="39"/>
        <v>0</v>
      </c>
      <c r="V173" s="1245">
        <f t="shared" si="39"/>
        <v>0</v>
      </c>
      <c r="W173" s="1245">
        <f t="shared" si="39"/>
        <v>399.27443821206373</v>
      </c>
      <c r="X173" s="1245">
        <f t="shared" si="39"/>
        <v>310.5467852760496</v>
      </c>
      <c r="Y173" s="1245">
        <f t="shared" si="39"/>
        <v>221.81913234003545</v>
      </c>
      <c r="Z173" s="1245">
        <f t="shared" si="39"/>
        <v>133.0914794040213</v>
      </c>
      <c r="AA173" s="1260">
        <f t="shared" si="39"/>
        <v>44.363826468007147</v>
      </c>
      <c r="AB173" s="1245">
        <f t="shared" si="39"/>
        <v>0</v>
      </c>
      <c r="AC173" s="1245"/>
      <c r="AD173" s="1245"/>
      <c r="AE173" s="1245"/>
      <c r="AF173" s="1245"/>
      <c r="AG173" s="1245"/>
      <c r="AH173" s="1245"/>
      <c r="AI173" s="1245"/>
      <c r="AJ173" s="1245"/>
      <c r="AK173" s="1245"/>
      <c r="AL173" s="1245"/>
      <c r="AM173" s="1245"/>
      <c r="AN173" s="1245"/>
      <c r="AO173" s="1245"/>
      <c r="AP173" s="1245"/>
      <c r="AQ173" s="1245"/>
      <c r="AR173" s="1245"/>
      <c r="AS173" s="1245"/>
      <c r="AT173" s="1245"/>
      <c r="AU173" s="1245"/>
      <c r="AV173" s="1245"/>
      <c r="AW173" s="1245"/>
      <c r="AX173" s="1245"/>
      <c r="AY173" s="1245"/>
      <c r="AZ173" s="1245"/>
      <c r="BA173" s="1245"/>
      <c r="BB173" s="1245"/>
      <c r="BC173" s="1245"/>
      <c r="BD173" s="1245"/>
      <c r="BE173" s="1245"/>
      <c r="BF173" s="1245"/>
      <c r="BG173" s="757"/>
    </row>
    <row r="174" spans="1:59">
      <c r="B174" s="1247" t="s">
        <v>857</v>
      </c>
      <c r="C174" s="1286"/>
      <c r="D174" s="1285"/>
      <c r="E174" s="1286"/>
      <c r="F174" s="1303"/>
      <c r="G174" s="1286"/>
      <c r="H174" s="1286"/>
      <c r="I174" s="1288"/>
      <c r="J174" s="1288"/>
      <c r="K174" s="1288"/>
      <c r="L174" s="1288"/>
      <c r="M174" s="1288"/>
      <c r="N174" s="1288"/>
      <c r="O174" s="1288"/>
      <c r="P174" s="1288"/>
      <c r="Q174" s="757"/>
      <c r="R174" s="757"/>
      <c r="S174" s="1245">
        <f>IF(YEAR($D172)=YEAR(S$4),$C172,0)</f>
        <v>0</v>
      </c>
      <c r="T174" s="1245">
        <f>IF(YEAR($D172)=YEAR(T$4),$C172,0)</f>
        <v>0</v>
      </c>
      <c r="U174" s="1245">
        <f t="shared" ref="U174:AB174" si="40">IF(YEAR($D172)=YEAR(U$4),$C172,0)</f>
        <v>0</v>
      </c>
      <c r="V174" s="1245">
        <f t="shared" si="40"/>
        <v>443.63826468007079</v>
      </c>
      <c r="W174" s="1245">
        <f t="shared" si="40"/>
        <v>0</v>
      </c>
      <c r="X174" s="1245">
        <f t="shared" si="40"/>
        <v>0</v>
      </c>
      <c r="Y174" s="1245">
        <f t="shared" si="40"/>
        <v>0</v>
      </c>
      <c r="Z174" s="1245">
        <f t="shared" si="40"/>
        <v>0</v>
      </c>
      <c r="AA174" s="1245">
        <f t="shared" si="40"/>
        <v>0</v>
      </c>
      <c r="AB174" s="1245">
        <f t="shared" si="40"/>
        <v>0</v>
      </c>
      <c r="AC174" s="1245"/>
      <c r="AD174" s="1245"/>
      <c r="AE174" s="1245"/>
      <c r="AF174" s="1245"/>
      <c r="AG174" s="1245"/>
      <c r="AH174" s="1245"/>
      <c r="AI174" s="1245"/>
      <c r="AJ174" s="1245"/>
      <c r="AK174" s="1245"/>
      <c r="AL174" s="1245"/>
      <c r="AM174" s="1245"/>
      <c r="AN174" s="1245"/>
      <c r="AO174" s="1245"/>
      <c r="AP174" s="1245"/>
      <c r="AQ174" s="1245"/>
      <c r="AR174" s="1245"/>
      <c r="AS174" s="1245"/>
      <c r="AT174" s="1245"/>
      <c r="AU174" s="1245"/>
      <c r="AV174" s="1245"/>
      <c r="AW174" s="1245"/>
      <c r="AX174" s="1245"/>
      <c r="AY174" s="1245"/>
      <c r="AZ174" s="1245"/>
      <c r="BA174" s="1245"/>
      <c r="BB174" s="1245"/>
      <c r="BC174" s="1245"/>
      <c r="BD174" s="1245"/>
      <c r="BE174" s="1245"/>
      <c r="BF174" s="1245"/>
      <c r="BG174" s="757"/>
    </row>
    <row r="175" spans="1:59">
      <c r="B175" s="1247" t="s">
        <v>856</v>
      </c>
      <c r="C175" s="1286"/>
      <c r="D175" s="1285"/>
      <c r="E175" s="1286"/>
      <c r="F175" s="1303"/>
      <c r="G175" s="1286"/>
      <c r="H175" s="1286"/>
      <c r="I175" s="1288"/>
      <c r="J175" s="1288"/>
      <c r="K175" s="1288"/>
      <c r="L175" s="1288"/>
      <c r="M175" s="1288"/>
      <c r="N175" s="1288"/>
      <c r="O175" s="1288"/>
      <c r="P175" s="1288"/>
      <c r="Q175" s="757"/>
      <c r="R175" s="757"/>
      <c r="S175" s="1245">
        <f>IF($C172=S174,$C172/($E172/12),MIN(R176,R175))</f>
        <v>0</v>
      </c>
      <c r="T175" s="1245">
        <f t="shared" ref="T175:AB175" si="41">IF($C172=T174,$C172/($E172/12),MIN(S176,S175))</f>
        <v>0</v>
      </c>
      <c r="U175" s="1245">
        <f t="shared" si="41"/>
        <v>0</v>
      </c>
      <c r="V175" s="1245">
        <f t="shared" si="41"/>
        <v>88.727652936014152</v>
      </c>
      <c r="W175" s="1245">
        <f t="shared" si="41"/>
        <v>88.727652936014152</v>
      </c>
      <c r="X175" s="1245">
        <f t="shared" si="41"/>
        <v>88.727652936014152</v>
      </c>
      <c r="Y175" s="1245">
        <f t="shared" si="41"/>
        <v>88.727652936014152</v>
      </c>
      <c r="Z175" s="1245">
        <f t="shared" si="41"/>
        <v>88.727652936014152</v>
      </c>
      <c r="AA175" s="1260">
        <f t="shared" si="41"/>
        <v>44.363826468007147</v>
      </c>
      <c r="AB175" s="1245">
        <f t="shared" si="41"/>
        <v>0</v>
      </c>
      <c r="AC175" s="1245"/>
      <c r="AD175" s="1245"/>
      <c r="AE175" s="1245"/>
      <c r="AF175" s="1245"/>
      <c r="AG175" s="1245"/>
      <c r="AH175" s="1245"/>
      <c r="AI175" s="1245"/>
      <c r="AJ175" s="1245"/>
      <c r="AK175" s="1245"/>
      <c r="AL175" s="1245"/>
      <c r="AM175" s="1245"/>
      <c r="AN175" s="1245"/>
      <c r="AO175" s="1245"/>
      <c r="AP175" s="1245"/>
      <c r="AQ175" s="1245"/>
      <c r="AR175" s="1245"/>
      <c r="AS175" s="1245"/>
      <c r="AT175" s="1245"/>
      <c r="AU175" s="1245"/>
      <c r="AV175" s="1245"/>
      <c r="AW175" s="1245"/>
      <c r="AX175" s="1245"/>
      <c r="AY175" s="1245"/>
      <c r="AZ175" s="1245"/>
      <c r="BA175" s="1245"/>
      <c r="BB175" s="1245"/>
      <c r="BC175" s="1245"/>
      <c r="BD175" s="1245"/>
      <c r="BE175" s="1245"/>
      <c r="BF175" s="1245"/>
      <c r="BG175" s="757"/>
    </row>
    <row r="176" spans="1:59">
      <c r="B176" s="1242" t="s">
        <v>858</v>
      </c>
      <c r="C176" s="1286"/>
      <c r="D176" s="1285"/>
      <c r="E176" s="1286"/>
      <c r="F176" s="1303"/>
      <c r="G176" s="1286"/>
      <c r="H176" s="1286"/>
      <c r="I176" s="1288"/>
      <c r="J176" s="1288"/>
      <c r="K176" s="1288"/>
      <c r="L176" s="1288"/>
      <c r="M176" s="1288"/>
      <c r="N176" s="1288"/>
      <c r="O176" s="1288"/>
      <c r="P176" s="1288"/>
      <c r="Q176" s="757"/>
      <c r="R176" s="757">
        <f>0</f>
        <v>0</v>
      </c>
      <c r="S176" s="1245">
        <v>0</v>
      </c>
      <c r="T176" s="1245">
        <f t="shared" ref="T176:AB176" si="42">T173+T174-T175</f>
        <v>0</v>
      </c>
      <c r="U176" s="1245">
        <f t="shared" si="42"/>
        <v>0</v>
      </c>
      <c r="V176" s="1245">
        <f>V173+V174-V175*0.5</f>
        <v>399.27443821206373</v>
      </c>
      <c r="W176" s="1245">
        <f t="shared" si="42"/>
        <v>310.5467852760496</v>
      </c>
      <c r="X176" s="1245">
        <f t="shared" si="42"/>
        <v>221.81913234003545</v>
      </c>
      <c r="Y176" s="1245">
        <f t="shared" si="42"/>
        <v>133.0914794040213</v>
      </c>
      <c r="Z176" s="1245">
        <f t="shared" si="42"/>
        <v>44.363826468007147</v>
      </c>
      <c r="AA176" s="1245">
        <f t="shared" si="42"/>
        <v>0</v>
      </c>
      <c r="AB176" s="1245">
        <f t="shared" si="42"/>
        <v>0</v>
      </c>
      <c r="AC176" s="1245"/>
      <c r="AD176" s="1245"/>
      <c r="AE176" s="1245"/>
      <c r="AF176" s="1245"/>
      <c r="AG176" s="1245"/>
      <c r="AH176" s="1245"/>
      <c r="AI176" s="1245"/>
      <c r="AJ176" s="1245"/>
      <c r="AK176" s="1245"/>
      <c r="AL176" s="1245"/>
      <c r="AM176" s="1245"/>
      <c r="AN176" s="1245"/>
      <c r="AO176" s="1245"/>
      <c r="AP176" s="1245"/>
      <c r="AQ176" s="1245"/>
      <c r="AR176" s="1245"/>
      <c r="AS176" s="1245"/>
      <c r="AT176" s="1245"/>
      <c r="AU176" s="1245"/>
      <c r="AV176" s="1245"/>
      <c r="AW176" s="1245"/>
      <c r="AX176" s="1245"/>
      <c r="AY176" s="1245"/>
      <c r="AZ176" s="1245"/>
      <c r="BA176" s="1245"/>
      <c r="BB176" s="1245"/>
      <c r="BC176" s="1245"/>
      <c r="BD176" s="1245"/>
      <c r="BE176" s="1245"/>
      <c r="BF176" s="1245"/>
      <c r="BG176" s="757"/>
    </row>
    <row r="177" spans="1:59" s="1268" customFormat="1">
      <c r="A177" s="1261"/>
      <c r="B177" s="1247" t="s">
        <v>870</v>
      </c>
      <c r="C177" s="1327"/>
      <c r="D177" s="1300"/>
      <c r="E177" s="1299"/>
      <c r="F177" s="1301"/>
      <c r="G177" s="1299"/>
      <c r="H177" s="1299"/>
      <c r="I177" s="1302"/>
      <c r="J177" s="1302"/>
      <c r="K177" s="1302"/>
      <c r="L177" s="1302"/>
      <c r="M177" s="1302"/>
      <c r="N177" s="1302"/>
      <c r="O177" s="1302"/>
      <c r="P177" s="1302"/>
      <c r="Q177" s="1262"/>
      <c r="R177" s="1264">
        <f>F172</f>
        <v>7.8E-2</v>
      </c>
      <c r="S177" s="1309">
        <f>R177</f>
        <v>7.8E-2</v>
      </c>
      <c r="T177" s="1309">
        <f t="shared" ref="T177:AB177" si="43">S177</f>
        <v>7.8E-2</v>
      </c>
      <c r="U177" s="1309">
        <f t="shared" si="43"/>
        <v>7.8E-2</v>
      </c>
      <c r="V177" s="1309">
        <f t="shared" si="43"/>
        <v>7.8E-2</v>
      </c>
      <c r="W177" s="1309">
        <f t="shared" si="43"/>
        <v>7.8E-2</v>
      </c>
      <c r="X177" s="1309">
        <f t="shared" si="43"/>
        <v>7.8E-2</v>
      </c>
      <c r="Y177" s="1309">
        <f t="shared" si="43"/>
        <v>7.8E-2</v>
      </c>
      <c r="Z177" s="1309">
        <f t="shared" si="43"/>
        <v>7.8E-2</v>
      </c>
      <c r="AA177" s="1309">
        <f t="shared" si="43"/>
        <v>7.8E-2</v>
      </c>
      <c r="AB177" s="1309">
        <f t="shared" si="43"/>
        <v>7.8E-2</v>
      </c>
      <c r="AC177" s="1309"/>
      <c r="AD177" s="1309"/>
      <c r="AE177" s="1309"/>
      <c r="AF177" s="1309"/>
      <c r="AG177" s="1309"/>
      <c r="AH177" s="1309"/>
      <c r="AI177" s="1309"/>
      <c r="AJ177" s="1309"/>
      <c r="AK177" s="1309"/>
      <c r="AL177" s="1309"/>
      <c r="AM177" s="1309"/>
      <c r="AN177" s="1309"/>
      <c r="AO177" s="1309"/>
      <c r="AP177" s="1309"/>
      <c r="AQ177" s="1309"/>
      <c r="AR177" s="1309"/>
      <c r="AS177" s="1309"/>
      <c r="AT177" s="1309"/>
      <c r="AU177" s="1309"/>
      <c r="AV177" s="1309"/>
      <c r="AW177" s="1309"/>
      <c r="AX177" s="1309"/>
      <c r="AY177" s="1309"/>
      <c r="AZ177" s="1309"/>
      <c r="BA177" s="1309"/>
      <c r="BB177" s="1309"/>
      <c r="BC177" s="1309"/>
      <c r="BD177" s="1309"/>
      <c r="BE177" s="1309"/>
      <c r="BF177" s="1309"/>
      <c r="BG177" s="1262"/>
    </row>
    <row r="178" spans="1:59">
      <c r="B178" s="1247" t="s">
        <v>859</v>
      </c>
      <c r="C178" s="1329"/>
      <c r="D178" s="1285"/>
      <c r="E178" s="1286"/>
      <c r="F178" s="1303"/>
      <c r="G178" s="1286"/>
      <c r="H178" s="1286"/>
      <c r="I178" s="1288"/>
      <c r="J178" s="1288"/>
      <c r="K178" s="1288"/>
      <c r="L178" s="1288"/>
      <c r="M178" s="1288"/>
      <c r="N178" s="1288"/>
      <c r="O178" s="1288"/>
      <c r="P178" s="1288"/>
      <c r="Q178" s="757"/>
      <c r="R178" s="1262">
        <f>R177*AVERAGE(R173,R176)</f>
        <v>0</v>
      </c>
      <c r="S178" s="1267">
        <f t="shared" ref="S178:AB178" si="44">S177*AVERAGE(S173,S176)</f>
        <v>0</v>
      </c>
      <c r="T178" s="1267">
        <f t="shared" si="44"/>
        <v>0</v>
      </c>
      <c r="U178" s="1267">
        <f t="shared" si="44"/>
        <v>0</v>
      </c>
      <c r="V178" s="1267">
        <f t="shared" si="44"/>
        <v>15.571703090270486</v>
      </c>
      <c r="W178" s="1267">
        <f t="shared" si="44"/>
        <v>27.68302771603642</v>
      </c>
      <c r="X178" s="1267">
        <f t="shared" si="44"/>
        <v>20.762270787027319</v>
      </c>
      <c r="Y178" s="1267">
        <f t="shared" si="44"/>
        <v>13.841513858018212</v>
      </c>
      <c r="Z178" s="1267">
        <f t="shared" si="44"/>
        <v>6.9207569290091095</v>
      </c>
      <c r="AA178" s="1267">
        <f t="shared" si="44"/>
        <v>1.7301892322522787</v>
      </c>
      <c r="AB178" s="1267">
        <f t="shared" si="44"/>
        <v>0</v>
      </c>
      <c r="AC178" s="1267"/>
      <c r="AD178" s="1267"/>
      <c r="AE178" s="1267"/>
      <c r="AF178" s="1267"/>
      <c r="AG178" s="1267"/>
      <c r="AH178" s="1267"/>
      <c r="AI178" s="1267"/>
      <c r="AJ178" s="1267"/>
      <c r="AK178" s="1267"/>
      <c r="AL178" s="1267"/>
      <c r="AM178" s="1267"/>
      <c r="AN178" s="1267"/>
      <c r="AO178" s="1267"/>
      <c r="AP178" s="1267"/>
      <c r="AQ178" s="1267"/>
      <c r="AR178" s="1267"/>
      <c r="AS178" s="1267"/>
      <c r="AT178" s="1267"/>
      <c r="AU178" s="1267"/>
      <c r="AV178" s="1267"/>
      <c r="AW178" s="1267"/>
      <c r="AX178" s="1267"/>
      <c r="AY178" s="1267"/>
      <c r="AZ178" s="1267"/>
      <c r="BA178" s="1267"/>
      <c r="BB178" s="1267"/>
      <c r="BC178" s="1267"/>
      <c r="BD178" s="1267"/>
      <c r="BE178" s="1267"/>
      <c r="BF178" s="1267"/>
      <c r="BG178" s="757"/>
    </row>
    <row r="180" spans="1:59" ht="14.4" thickBot="1">
      <c r="A180" s="1219">
        <v>5</v>
      </c>
      <c r="B180" s="1270" t="s">
        <v>895</v>
      </c>
      <c r="C180" s="1311"/>
      <c r="D180" s="1312"/>
      <c r="E180" s="1311"/>
      <c r="F180" s="1313"/>
      <c r="G180" s="1311"/>
      <c r="H180" s="1311"/>
      <c r="I180" s="1311"/>
      <c r="J180" s="1311"/>
      <c r="K180" s="1311"/>
      <c r="L180" s="1311"/>
      <c r="M180" s="1311"/>
      <c r="N180" s="1311"/>
      <c r="O180" s="1311"/>
      <c r="P180" s="1311"/>
      <c r="Q180" s="757"/>
      <c r="R180" s="1314"/>
      <c r="S180" s="1311"/>
      <c r="T180" s="1311"/>
      <c r="U180" s="1311"/>
      <c r="V180" s="1311"/>
      <c r="W180" s="1311"/>
      <c r="X180" s="1311"/>
      <c r="Y180" s="1311"/>
      <c r="Z180" s="1311"/>
      <c r="AA180" s="1311"/>
      <c r="AB180" s="1311"/>
      <c r="AC180" s="1311"/>
      <c r="AD180" s="1311"/>
      <c r="AE180" s="1311"/>
      <c r="AF180" s="1311"/>
      <c r="AG180" s="1311"/>
      <c r="AH180" s="1311"/>
      <c r="AI180" s="1311"/>
      <c r="AJ180" s="1311"/>
      <c r="AK180" s="1311"/>
      <c r="AL180" s="1311"/>
      <c r="AM180" s="1311"/>
      <c r="AN180" s="1311"/>
      <c r="AO180" s="1311"/>
      <c r="AP180" s="1311"/>
      <c r="AQ180" s="1311"/>
      <c r="AR180" s="1311"/>
      <c r="AS180" s="1311"/>
      <c r="AT180" s="1311"/>
      <c r="AU180" s="1311"/>
      <c r="AV180" s="1311"/>
      <c r="AW180" s="1311"/>
      <c r="AX180" s="1311"/>
      <c r="AY180" s="1311"/>
      <c r="AZ180" s="1311"/>
      <c r="BA180" s="1311"/>
      <c r="BB180" s="1311"/>
      <c r="BC180" s="1311"/>
      <c r="BD180" s="1311"/>
      <c r="BE180" s="1311"/>
      <c r="BF180" s="1311"/>
      <c r="BG180" s="757"/>
    </row>
    <row r="181" spans="1:59">
      <c r="B181" s="1224"/>
      <c r="C181" s="1274"/>
      <c r="D181" s="1396"/>
      <c r="E181" s="757"/>
      <c r="G181" s="757"/>
      <c r="H181" s="757"/>
      <c r="I181" s="757"/>
      <c r="J181" s="757"/>
      <c r="K181" s="757"/>
      <c r="L181" s="757"/>
      <c r="M181" s="757"/>
      <c r="N181" s="757"/>
      <c r="O181" s="757"/>
      <c r="P181" s="757"/>
      <c r="Q181" s="757"/>
      <c r="R181" s="1224"/>
      <c r="S181" s="757"/>
      <c r="T181" s="757"/>
      <c r="U181" s="1259"/>
      <c r="V181" s="757"/>
      <c r="W181" s="757"/>
      <c r="X181" s="757"/>
      <c r="Y181" s="757"/>
      <c r="Z181" s="757"/>
      <c r="AA181" s="757"/>
      <c r="AB181" s="757"/>
      <c r="AC181" s="757"/>
      <c r="AD181" s="757"/>
      <c r="AE181" s="757"/>
      <c r="AF181" s="757"/>
      <c r="AG181" s="757"/>
      <c r="AH181" s="757"/>
      <c r="AI181" s="757"/>
      <c r="AJ181" s="757"/>
      <c r="AK181" s="757"/>
      <c r="AL181" s="757"/>
      <c r="AM181" s="757"/>
      <c r="AN181" s="757"/>
      <c r="AO181" s="757"/>
      <c r="AP181" s="757"/>
      <c r="AQ181" s="757"/>
      <c r="AR181" s="757"/>
      <c r="AS181" s="757"/>
      <c r="AT181" s="757"/>
      <c r="AU181" s="757"/>
      <c r="AV181" s="757"/>
      <c r="AW181" s="757"/>
      <c r="AX181" s="757"/>
      <c r="AY181" s="757"/>
      <c r="AZ181" s="757"/>
      <c r="BA181" s="757"/>
      <c r="BB181" s="757"/>
      <c r="BC181" s="757"/>
      <c r="BD181" s="757"/>
      <c r="BE181" s="757"/>
      <c r="BF181" s="757"/>
      <c r="BG181" s="757"/>
    </row>
    <row r="182" spans="1:59">
      <c r="A182" s="1219" t="s">
        <v>457</v>
      </c>
      <c r="B182" s="1279" t="s">
        <v>867</v>
      </c>
      <c r="C182" s="1384"/>
      <c r="D182" s="1397"/>
      <c r="E182" s="1384"/>
      <c r="F182" s="1385"/>
      <c r="G182" s="1384"/>
      <c r="H182" s="1384"/>
      <c r="I182" s="1384"/>
      <c r="J182" s="1384"/>
      <c r="K182" s="1384"/>
      <c r="L182" s="1384"/>
      <c r="M182" s="1384"/>
      <c r="N182" s="1384"/>
      <c r="O182" s="1384"/>
      <c r="P182" s="1384"/>
      <c r="Q182" s="757"/>
      <c r="R182" s="757"/>
      <c r="S182" s="757"/>
      <c r="T182" s="757"/>
      <c r="U182" s="757"/>
      <c r="V182" s="757"/>
      <c r="W182" s="757"/>
      <c r="X182" s="757"/>
      <c r="Y182" s="757"/>
      <c r="Z182" s="757"/>
      <c r="AA182" s="757"/>
      <c r="AB182" s="757"/>
      <c r="AC182" s="757"/>
      <c r="AD182" s="757"/>
      <c r="AE182" s="757"/>
      <c r="AF182" s="757"/>
      <c r="AG182" s="757"/>
      <c r="AH182" s="757"/>
      <c r="AI182" s="757"/>
      <c r="AJ182" s="757"/>
      <c r="AK182" s="757"/>
      <c r="AL182" s="757"/>
      <c r="AM182" s="757"/>
      <c r="AN182" s="757"/>
      <c r="AO182" s="757"/>
      <c r="AP182" s="757"/>
      <c r="AQ182" s="757"/>
      <c r="AR182" s="757"/>
      <c r="AS182" s="757"/>
      <c r="AT182" s="757"/>
      <c r="AU182" s="757"/>
      <c r="AV182" s="757"/>
      <c r="AW182" s="757"/>
      <c r="AX182" s="757"/>
      <c r="AY182" s="757"/>
      <c r="AZ182" s="757"/>
      <c r="BA182" s="757"/>
      <c r="BB182" s="757"/>
      <c r="BC182" s="757"/>
      <c r="BD182" s="757"/>
      <c r="BE182" s="757"/>
      <c r="BF182" s="757"/>
      <c r="BG182" s="757"/>
    </row>
    <row r="183" spans="1:59">
      <c r="B183" s="1283" t="s">
        <v>888</v>
      </c>
      <c r="C183" s="1398">
        <f>'LT. Asset'!BH20</f>
        <v>171.78522123775241</v>
      </c>
      <c r="D183" s="1387">
        <v>47270</v>
      </c>
      <c r="E183" s="1388">
        <v>60</v>
      </c>
      <c r="F183" s="1303">
        <f>F172</f>
        <v>7.8E-2</v>
      </c>
      <c r="G183" s="1286" t="s">
        <v>869</v>
      </c>
      <c r="H183" s="1286">
        <v>0.5</v>
      </c>
      <c r="I183" s="1288"/>
      <c r="J183" s="1288"/>
      <c r="K183" s="1288"/>
      <c r="L183" s="1288"/>
      <c r="M183" s="1288"/>
      <c r="N183" s="1288"/>
      <c r="O183" s="1288"/>
      <c r="P183" s="1288"/>
      <c r="Q183" s="757"/>
      <c r="R183" s="757"/>
      <c r="S183" s="757"/>
      <c r="T183" s="757"/>
      <c r="U183" s="757"/>
      <c r="V183" s="757"/>
      <c r="W183" s="757"/>
      <c r="X183" s="757"/>
      <c r="Y183" s="757"/>
      <c r="Z183" s="757"/>
      <c r="AA183" s="757"/>
      <c r="AB183" s="757"/>
      <c r="AC183" s="757"/>
      <c r="AD183" s="757"/>
      <c r="AE183" s="757"/>
      <c r="AF183" s="757"/>
      <c r="AG183" s="757"/>
      <c r="AH183" s="757"/>
      <c r="AI183" s="757"/>
      <c r="AJ183" s="757"/>
      <c r="AK183" s="757"/>
      <c r="AL183" s="757"/>
      <c r="AM183" s="757"/>
      <c r="AN183" s="757"/>
      <c r="AO183" s="757"/>
      <c r="AP183" s="757"/>
      <c r="AQ183" s="757"/>
      <c r="AR183" s="757"/>
      <c r="AS183" s="757"/>
      <c r="AT183" s="757"/>
      <c r="AU183" s="757"/>
      <c r="AV183" s="757"/>
      <c r="AW183" s="757"/>
      <c r="AX183" s="757"/>
      <c r="AY183" s="757"/>
      <c r="AZ183" s="757"/>
      <c r="BA183" s="757"/>
      <c r="BB183" s="757"/>
      <c r="BC183" s="757"/>
      <c r="BD183" s="757"/>
      <c r="BE183" s="757"/>
      <c r="BF183" s="757"/>
      <c r="BG183" s="757"/>
    </row>
    <row r="184" spans="1:59">
      <c r="B184" s="1242" t="s">
        <v>855</v>
      </c>
      <c r="C184" s="1286"/>
      <c r="D184" s="1285"/>
      <c r="E184" s="1286"/>
      <c r="F184" s="1303"/>
      <c r="G184" s="1286"/>
      <c r="H184" s="1286"/>
      <c r="I184" s="1288"/>
      <c r="J184" s="1288"/>
      <c r="K184" s="1288"/>
      <c r="L184" s="1288"/>
      <c r="M184" s="1288"/>
      <c r="N184" s="1288"/>
      <c r="O184" s="1288"/>
      <c r="P184" s="1288"/>
      <c r="Q184" s="757"/>
      <c r="R184" s="757">
        <f>0</f>
        <v>0</v>
      </c>
      <c r="S184" s="1245">
        <v>0</v>
      </c>
      <c r="T184" s="1245">
        <f t="shared" ref="T184:AB184" si="45">S187</f>
        <v>0</v>
      </c>
      <c r="U184" s="1245">
        <f t="shared" si="45"/>
        <v>0</v>
      </c>
      <c r="V184" s="1245">
        <f t="shared" si="45"/>
        <v>0</v>
      </c>
      <c r="W184" s="1260">
        <f t="shared" si="45"/>
        <v>0</v>
      </c>
      <c r="X184" s="1260">
        <f t="shared" si="45"/>
        <v>154.60669911397716</v>
      </c>
      <c r="Y184" s="1260">
        <f t="shared" si="45"/>
        <v>120.24965486642668</v>
      </c>
      <c r="Z184" s="1260">
        <f t="shared" si="45"/>
        <v>85.892610618876205</v>
      </c>
      <c r="AA184" s="1260">
        <f t="shared" si="45"/>
        <v>51.535566371325721</v>
      </c>
      <c r="AB184" s="1260">
        <f t="shared" si="45"/>
        <v>17.178522123775238</v>
      </c>
      <c r="AC184" s="1260"/>
      <c r="AD184" s="1245"/>
      <c r="AE184" s="1245"/>
      <c r="AF184" s="1245"/>
      <c r="AG184" s="1245"/>
      <c r="AH184" s="1245"/>
      <c r="AI184" s="1245"/>
      <c r="AJ184" s="1245"/>
      <c r="AK184" s="1245"/>
      <c r="AL184" s="1245"/>
      <c r="AM184" s="1245"/>
      <c r="AN184" s="1245"/>
      <c r="AO184" s="1245"/>
      <c r="AP184" s="1245"/>
      <c r="AQ184" s="1245"/>
      <c r="AR184" s="1245"/>
      <c r="AS184" s="1245"/>
      <c r="AT184" s="1245"/>
      <c r="AU184" s="1245"/>
      <c r="AV184" s="1245"/>
      <c r="AW184" s="1245"/>
      <c r="AX184" s="1245"/>
      <c r="AY184" s="1245"/>
      <c r="AZ184" s="1245"/>
      <c r="BA184" s="1245"/>
      <c r="BB184" s="1245"/>
      <c r="BC184" s="1245"/>
      <c r="BD184" s="1245"/>
      <c r="BE184" s="1245"/>
      <c r="BF184" s="1245"/>
      <c r="BG184" s="757"/>
    </row>
    <row r="185" spans="1:59">
      <c r="B185" s="1247" t="s">
        <v>857</v>
      </c>
      <c r="C185" s="1286"/>
      <c r="D185" s="1285"/>
      <c r="E185" s="1286"/>
      <c r="F185" s="1303"/>
      <c r="G185" s="1286"/>
      <c r="H185" s="1286"/>
      <c r="I185" s="1288"/>
      <c r="J185" s="1288"/>
      <c r="K185" s="1288"/>
      <c r="L185" s="1288"/>
      <c r="M185" s="1288"/>
      <c r="N185" s="1288"/>
      <c r="O185" s="1288"/>
      <c r="P185" s="1288"/>
      <c r="Q185" s="757"/>
      <c r="R185" s="757"/>
      <c r="S185" s="1245">
        <f>IF(YEAR($D183)=YEAR(S$4),$C183,0)</f>
        <v>0</v>
      </c>
      <c r="T185" s="1245">
        <f>IF(YEAR($D183)=YEAR(T$4),$C183,0)</f>
        <v>0</v>
      </c>
      <c r="U185" s="1245">
        <f t="shared" ref="U185:AB185" si="46">IF(YEAR($D183)=YEAR(U$4),$C183,0)</f>
        <v>0</v>
      </c>
      <c r="V185" s="1245">
        <f t="shared" si="46"/>
        <v>0</v>
      </c>
      <c r="W185" s="1260">
        <f t="shared" si="46"/>
        <v>171.78522123775241</v>
      </c>
      <c r="X185" s="1260">
        <f t="shared" si="46"/>
        <v>0</v>
      </c>
      <c r="Y185" s="1260">
        <f t="shared" si="46"/>
        <v>0</v>
      </c>
      <c r="Z185" s="1260">
        <f t="shared" si="46"/>
        <v>0</v>
      </c>
      <c r="AA185" s="1260">
        <f t="shared" si="46"/>
        <v>0</v>
      </c>
      <c r="AB185" s="1260">
        <f t="shared" si="46"/>
        <v>0</v>
      </c>
      <c r="AC185" s="1260"/>
      <c r="AD185" s="1245"/>
      <c r="AE185" s="1245"/>
      <c r="AF185" s="1245"/>
      <c r="AG185" s="1245"/>
      <c r="AH185" s="1245"/>
      <c r="AI185" s="1245"/>
      <c r="AJ185" s="1245"/>
      <c r="AK185" s="1245"/>
      <c r="AL185" s="1245"/>
      <c r="AM185" s="1245"/>
      <c r="AN185" s="1245"/>
      <c r="AO185" s="1245"/>
      <c r="AP185" s="1245"/>
      <c r="AQ185" s="1245"/>
      <c r="AR185" s="1245"/>
      <c r="AS185" s="1245"/>
      <c r="AT185" s="1245"/>
      <c r="AU185" s="1245"/>
      <c r="AV185" s="1245"/>
      <c r="AW185" s="1245"/>
      <c r="AX185" s="1245"/>
      <c r="AY185" s="1245"/>
      <c r="AZ185" s="1245"/>
      <c r="BA185" s="1245"/>
      <c r="BB185" s="1245"/>
      <c r="BC185" s="1245"/>
      <c r="BD185" s="1245"/>
      <c r="BE185" s="1245"/>
      <c r="BF185" s="1245"/>
      <c r="BG185" s="757"/>
    </row>
    <row r="186" spans="1:59">
      <c r="B186" s="1247" t="s">
        <v>856</v>
      </c>
      <c r="C186" s="1286"/>
      <c r="D186" s="1285"/>
      <c r="E186" s="1286"/>
      <c r="F186" s="1303"/>
      <c r="G186" s="1286"/>
      <c r="H186" s="1286"/>
      <c r="I186" s="1288"/>
      <c r="J186" s="1288"/>
      <c r="K186" s="1288"/>
      <c r="L186" s="1288"/>
      <c r="M186" s="1288"/>
      <c r="N186" s="1288"/>
      <c r="O186" s="1288"/>
      <c r="P186" s="1288"/>
      <c r="Q186" s="757"/>
      <c r="R186" s="757"/>
      <c r="S186" s="1245">
        <f>IF($C183=S185,$C183/($E183/12),MIN(R187,R186))</f>
        <v>0</v>
      </c>
      <c r="T186" s="1245">
        <f t="shared" ref="T186:AB186" si="47">IF($C183=T185,$C183/($E183/12),MIN(S187,S186))</f>
        <v>0</v>
      </c>
      <c r="U186" s="1245">
        <f t="shared" si="47"/>
        <v>0</v>
      </c>
      <c r="V186" s="1245">
        <f t="shared" si="47"/>
        <v>0</v>
      </c>
      <c r="W186" s="1260">
        <f t="shared" si="47"/>
        <v>34.357044247550483</v>
      </c>
      <c r="X186" s="1260">
        <f t="shared" si="47"/>
        <v>34.357044247550483</v>
      </c>
      <c r="Y186" s="1260">
        <f t="shared" si="47"/>
        <v>34.357044247550483</v>
      </c>
      <c r="Z186" s="1260">
        <f t="shared" si="47"/>
        <v>34.357044247550483</v>
      </c>
      <c r="AA186" s="1260">
        <f t="shared" si="47"/>
        <v>34.357044247550483</v>
      </c>
      <c r="AB186" s="1260">
        <f t="shared" si="47"/>
        <v>17.178522123775238</v>
      </c>
      <c r="AC186" s="1260"/>
      <c r="AD186" s="1245"/>
      <c r="AE186" s="1245"/>
      <c r="AF186" s="1245"/>
      <c r="AG186" s="1245"/>
      <c r="AH186" s="1245"/>
      <c r="AI186" s="1245"/>
      <c r="AJ186" s="1245"/>
      <c r="AK186" s="1245"/>
      <c r="AL186" s="1245"/>
      <c r="AM186" s="1245"/>
      <c r="AN186" s="1245"/>
      <c r="AO186" s="1245"/>
      <c r="AP186" s="1245"/>
      <c r="AQ186" s="1245"/>
      <c r="AR186" s="1245"/>
      <c r="AS186" s="1245"/>
      <c r="AT186" s="1245"/>
      <c r="AU186" s="1245"/>
      <c r="AV186" s="1245"/>
      <c r="AW186" s="1245"/>
      <c r="AX186" s="1245"/>
      <c r="AY186" s="1245"/>
      <c r="AZ186" s="1245"/>
      <c r="BA186" s="1245"/>
      <c r="BB186" s="1245"/>
      <c r="BC186" s="1245"/>
      <c r="BD186" s="1245"/>
      <c r="BE186" s="1245"/>
      <c r="BF186" s="1245"/>
      <c r="BG186" s="757"/>
    </row>
    <row r="187" spans="1:59">
      <c r="B187" s="1242" t="s">
        <v>858</v>
      </c>
      <c r="C187" s="1286"/>
      <c r="D187" s="1285"/>
      <c r="E187" s="1286"/>
      <c r="F187" s="1303"/>
      <c r="G187" s="1286"/>
      <c r="H187" s="1286"/>
      <c r="I187" s="1288"/>
      <c r="J187" s="1288"/>
      <c r="K187" s="1288"/>
      <c r="L187" s="1288"/>
      <c r="M187" s="1288"/>
      <c r="N187" s="1288"/>
      <c r="O187" s="1288"/>
      <c r="P187" s="1288"/>
      <c r="Q187" s="757"/>
      <c r="R187" s="757">
        <f>0</f>
        <v>0</v>
      </c>
      <c r="S187" s="1245">
        <v>0</v>
      </c>
      <c r="T187" s="1245">
        <f t="shared" ref="T187:AB187" si="48">T184+T185-T186</f>
        <v>0</v>
      </c>
      <c r="U187" s="1245">
        <f t="shared" si="48"/>
        <v>0</v>
      </c>
      <c r="V187" s="1245">
        <f t="shared" si="48"/>
        <v>0</v>
      </c>
      <c r="W187" s="1260">
        <f>W184+W185-W186*0.5</f>
        <v>154.60669911397716</v>
      </c>
      <c r="X187" s="1260">
        <f t="shared" si="48"/>
        <v>120.24965486642668</v>
      </c>
      <c r="Y187" s="1260">
        <f t="shared" si="48"/>
        <v>85.892610618876205</v>
      </c>
      <c r="Z187" s="1260">
        <f t="shared" si="48"/>
        <v>51.535566371325721</v>
      </c>
      <c r="AA187" s="1260">
        <f t="shared" si="48"/>
        <v>17.178522123775238</v>
      </c>
      <c r="AB187" s="1260">
        <f t="shared" si="48"/>
        <v>0</v>
      </c>
      <c r="AC187" s="1260"/>
      <c r="AD187" s="1245"/>
      <c r="AE187" s="1245"/>
      <c r="AF187" s="1245"/>
      <c r="AG187" s="1245"/>
      <c r="AH187" s="1245"/>
      <c r="AI187" s="1245"/>
      <c r="AJ187" s="1245"/>
      <c r="AK187" s="1245"/>
      <c r="AL187" s="1245"/>
      <c r="AM187" s="1245"/>
      <c r="AN187" s="1245"/>
      <c r="AO187" s="1245"/>
      <c r="AP187" s="1245"/>
      <c r="AQ187" s="1245"/>
      <c r="AR187" s="1245"/>
      <c r="AS187" s="1245"/>
      <c r="AT187" s="1245"/>
      <c r="AU187" s="1245"/>
      <c r="AV187" s="1245"/>
      <c r="AW187" s="1245"/>
      <c r="AX187" s="1245"/>
      <c r="AY187" s="1245"/>
      <c r="AZ187" s="1245"/>
      <c r="BA187" s="1245"/>
      <c r="BB187" s="1245"/>
      <c r="BC187" s="1245"/>
      <c r="BD187" s="1245"/>
      <c r="BE187" s="1245"/>
      <c r="BF187" s="1245"/>
      <c r="BG187" s="757"/>
    </row>
    <row r="188" spans="1:59" s="1268" customFormat="1">
      <c r="A188" s="1261"/>
      <c r="B188" s="1247" t="s">
        <v>870</v>
      </c>
      <c r="C188" s="1327"/>
      <c r="D188" s="1300"/>
      <c r="E188" s="1299"/>
      <c r="F188" s="1301"/>
      <c r="G188" s="1299"/>
      <c r="H188" s="1299"/>
      <c r="I188" s="1302"/>
      <c r="J188" s="1302"/>
      <c r="K188" s="1302"/>
      <c r="L188" s="1302"/>
      <c r="M188" s="1302"/>
      <c r="N188" s="1302"/>
      <c r="O188" s="1302"/>
      <c r="P188" s="1302"/>
      <c r="Q188" s="1262"/>
      <c r="R188" s="1328">
        <f>F183</f>
        <v>7.8E-2</v>
      </c>
      <c r="S188" s="1308">
        <f>R188</f>
        <v>7.8E-2</v>
      </c>
      <c r="T188" s="1308">
        <f t="shared" ref="T188:AB188" si="49">S188</f>
        <v>7.8E-2</v>
      </c>
      <c r="U188" s="1308">
        <f t="shared" si="49"/>
        <v>7.8E-2</v>
      </c>
      <c r="V188" s="1308">
        <f t="shared" si="49"/>
        <v>7.8E-2</v>
      </c>
      <c r="W188" s="1308">
        <f t="shared" si="49"/>
        <v>7.8E-2</v>
      </c>
      <c r="X188" s="1308">
        <f t="shared" si="49"/>
        <v>7.8E-2</v>
      </c>
      <c r="Y188" s="1308">
        <f t="shared" si="49"/>
        <v>7.8E-2</v>
      </c>
      <c r="Z188" s="1308">
        <f t="shared" si="49"/>
        <v>7.8E-2</v>
      </c>
      <c r="AA188" s="1308">
        <f t="shared" si="49"/>
        <v>7.8E-2</v>
      </c>
      <c r="AB188" s="1308">
        <f t="shared" si="49"/>
        <v>7.8E-2</v>
      </c>
      <c r="AC188" s="1308"/>
      <c r="AD188" s="1309"/>
      <c r="AE188" s="1309"/>
      <c r="AF188" s="1309"/>
      <c r="AG188" s="1309"/>
      <c r="AH188" s="1309"/>
      <c r="AI188" s="1309"/>
      <c r="AJ188" s="1309"/>
      <c r="AK188" s="1309"/>
      <c r="AL188" s="1309"/>
      <c r="AM188" s="1309"/>
      <c r="AN188" s="1309"/>
      <c r="AO188" s="1309"/>
      <c r="AP188" s="1309"/>
      <c r="AQ188" s="1309"/>
      <c r="AR188" s="1309"/>
      <c r="AS188" s="1309"/>
      <c r="AT188" s="1309"/>
      <c r="AU188" s="1309"/>
      <c r="AV188" s="1309"/>
      <c r="AW188" s="1309"/>
      <c r="AX188" s="1309"/>
      <c r="AY188" s="1309"/>
      <c r="AZ188" s="1309"/>
      <c r="BA188" s="1309"/>
      <c r="BB188" s="1309"/>
      <c r="BC188" s="1309"/>
      <c r="BD188" s="1309"/>
      <c r="BE188" s="1309"/>
      <c r="BF188" s="1309"/>
      <c r="BG188" s="1262"/>
    </row>
    <row r="189" spans="1:59">
      <c r="B189" s="1247" t="s">
        <v>859</v>
      </c>
      <c r="C189" s="1329"/>
      <c r="D189" s="1285"/>
      <c r="E189" s="1286"/>
      <c r="F189" s="1303"/>
      <c r="G189" s="1286"/>
      <c r="H189" s="1286"/>
      <c r="I189" s="1288"/>
      <c r="J189" s="1288"/>
      <c r="K189" s="1288"/>
      <c r="L189" s="1288"/>
      <c r="M189" s="1288"/>
      <c r="N189" s="1288"/>
      <c r="O189" s="1288"/>
      <c r="P189" s="1288"/>
      <c r="Q189" s="757"/>
      <c r="R189" s="1262">
        <f>R188*AVERAGE(R184,R187)</f>
        <v>0</v>
      </c>
      <c r="S189" s="1267">
        <f t="shared" ref="S189:AB189" si="50">S188*AVERAGE(S184,S187)</f>
        <v>0</v>
      </c>
      <c r="T189" s="1267">
        <f t="shared" si="50"/>
        <v>0</v>
      </c>
      <c r="U189" s="1267">
        <f t="shared" si="50"/>
        <v>0</v>
      </c>
      <c r="V189" s="1267">
        <f t="shared" si="50"/>
        <v>0</v>
      </c>
      <c r="W189" s="1266">
        <f>W188*AVERAGE(W184,W187)</f>
        <v>6.0296612654451094</v>
      </c>
      <c r="X189" s="1266">
        <f t="shared" si="50"/>
        <v>10.719397805235749</v>
      </c>
      <c r="Y189" s="1266">
        <f t="shared" si="50"/>
        <v>8.0395483539268131</v>
      </c>
      <c r="Z189" s="1266">
        <f t="shared" si="50"/>
        <v>5.3596989026178754</v>
      </c>
      <c r="AA189" s="1266">
        <f t="shared" si="50"/>
        <v>2.6798494513089373</v>
      </c>
      <c r="AB189" s="1267">
        <f t="shared" si="50"/>
        <v>0.66996236282723431</v>
      </c>
      <c r="AC189" s="1267"/>
      <c r="AD189" s="1267"/>
      <c r="AE189" s="1267"/>
      <c r="AF189" s="1267"/>
      <c r="AG189" s="1267"/>
      <c r="AH189" s="1267"/>
      <c r="AI189" s="1267"/>
      <c r="AJ189" s="1267"/>
      <c r="AK189" s="1267"/>
      <c r="AL189" s="1267"/>
      <c r="AM189" s="1267"/>
      <c r="AN189" s="1267"/>
      <c r="AO189" s="1267"/>
      <c r="AP189" s="1267"/>
      <c r="AQ189" s="1267"/>
      <c r="AR189" s="1267"/>
      <c r="AS189" s="1267"/>
      <c r="AT189" s="1267"/>
      <c r="AU189" s="1267"/>
      <c r="AV189" s="1267"/>
      <c r="AW189" s="1267"/>
      <c r="AX189" s="1267"/>
      <c r="AY189" s="1267"/>
      <c r="AZ189" s="1267"/>
      <c r="BA189" s="1267"/>
      <c r="BB189" s="1267"/>
      <c r="BC189" s="1267"/>
      <c r="BD189" s="1267"/>
      <c r="BE189" s="1267"/>
      <c r="BF189" s="1267"/>
      <c r="BG189" s="757"/>
    </row>
    <row r="191" spans="1:59" ht="14.4" thickBot="1">
      <c r="A191" s="1219">
        <v>6</v>
      </c>
      <c r="B191" s="1270" t="s">
        <v>897</v>
      </c>
      <c r="C191" s="1311"/>
      <c r="D191" s="1312"/>
      <c r="E191" s="1311"/>
      <c r="F191" s="1313"/>
      <c r="G191" s="1311"/>
      <c r="H191" s="1311"/>
      <c r="I191" s="1311"/>
      <c r="J191" s="1311"/>
      <c r="K191" s="1311"/>
      <c r="L191" s="1311"/>
      <c r="M191" s="1311"/>
      <c r="N191" s="1311"/>
      <c r="O191" s="1311"/>
      <c r="P191" s="1311"/>
      <c r="Q191" s="757"/>
      <c r="R191" s="1314"/>
      <c r="S191" s="1311"/>
      <c r="T191" s="1311"/>
      <c r="U191" s="1311"/>
      <c r="V191" s="1311"/>
      <c r="W191" s="1311"/>
      <c r="X191" s="1311"/>
      <c r="Y191" s="1311"/>
      <c r="Z191" s="1311"/>
      <c r="AA191" s="1311"/>
      <c r="AB191" s="1311"/>
      <c r="AC191" s="1311"/>
      <c r="AD191" s="1311"/>
      <c r="AE191" s="1311"/>
      <c r="AF191" s="1311"/>
      <c r="AG191" s="1311"/>
      <c r="AH191" s="1311"/>
      <c r="AI191" s="1311"/>
      <c r="AJ191" s="1311"/>
      <c r="AK191" s="1311"/>
      <c r="AL191" s="1311"/>
      <c r="AM191" s="1311"/>
      <c r="AN191" s="1311"/>
      <c r="AO191" s="1311"/>
      <c r="AP191" s="1311"/>
      <c r="AQ191" s="1311"/>
      <c r="AR191" s="1311"/>
      <c r="AS191" s="1311"/>
      <c r="AT191" s="1311"/>
      <c r="AU191" s="1311"/>
      <c r="AV191" s="1311"/>
      <c r="AW191" s="1311"/>
      <c r="AX191" s="1311"/>
      <c r="AY191" s="1311"/>
      <c r="AZ191" s="1311"/>
      <c r="BA191" s="1311"/>
      <c r="BB191" s="1311"/>
      <c r="BC191" s="1311"/>
      <c r="BD191" s="1311"/>
      <c r="BE191" s="1311"/>
      <c r="BF191" s="1311"/>
      <c r="BG191" s="757"/>
    </row>
    <row r="192" spans="1:59">
      <c r="B192" s="1224"/>
      <c r="C192" s="757"/>
      <c r="D192" s="1240"/>
      <c r="E192" s="757"/>
      <c r="G192" s="757"/>
      <c r="H192" s="757"/>
      <c r="I192" s="757"/>
      <c r="J192" s="757"/>
      <c r="K192" s="757"/>
      <c r="L192" s="757"/>
      <c r="M192" s="757"/>
      <c r="N192" s="757"/>
      <c r="O192" s="757"/>
      <c r="P192" s="757"/>
      <c r="Q192" s="757"/>
      <c r="S192" s="757"/>
      <c r="T192" s="757"/>
      <c r="U192" s="757"/>
      <c r="V192" s="757"/>
      <c r="W192" s="757"/>
      <c r="X192" s="757"/>
      <c r="Y192" s="757"/>
      <c r="Z192" s="757"/>
      <c r="AA192" s="757"/>
      <c r="AB192" s="757"/>
      <c r="AC192" s="757"/>
      <c r="AD192" s="757"/>
      <c r="AE192" s="757"/>
      <c r="AF192" s="757"/>
      <c r="AG192" s="757"/>
      <c r="AH192" s="757"/>
      <c r="AI192" s="757"/>
      <c r="AJ192" s="757"/>
      <c r="AK192" s="757"/>
      <c r="AL192" s="757"/>
      <c r="AM192" s="757"/>
      <c r="AN192" s="757"/>
      <c r="AO192" s="757"/>
      <c r="AP192" s="757"/>
      <c r="AQ192" s="757"/>
      <c r="AR192" s="757"/>
      <c r="AS192" s="757"/>
      <c r="AT192" s="757"/>
      <c r="AU192" s="757"/>
      <c r="AV192" s="757"/>
      <c r="AW192" s="757"/>
      <c r="AX192" s="757"/>
      <c r="AY192" s="757"/>
      <c r="AZ192" s="757"/>
      <c r="BA192" s="757"/>
      <c r="BB192" s="757"/>
      <c r="BC192" s="757"/>
      <c r="BD192" s="757"/>
      <c r="BE192" s="757"/>
      <c r="BF192" s="757"/>
      <c r="BG192" s="757"/>
    </row>
    <row r="193" spans="1:59">
      <c r="A193" s="1219" t="s">
        <v>892</v>
      </c>
      <c r="B193" s="1279" t="s">
        <v>867</v>
      </c>
      <c r="C193" s="1384"/>
      <c r="D193" s="1397"/>
      <c r="E193" s="1384"/>
      <c r="F193" s="1385"/>
      <c r="G193" s="1384"/>
      <c r="H193" s="1384"/>
      <c r="I193" s="1384"/>
      <c r="J193" s="1384"/>
      <c r="K193" s="1384"/>
      <c r="L193" s="1384"/>
      <c r="M193" s="1384"/>
      <c r="N193" s="1384"/>
      <c r="O193" s="1384"/>
      <c r="P193" s="1384"/>
      <c r="Q193" s="757"/>
      <c r="R193" s="757"/>
      <c r="S193" s="757"/>
      <c r="T193" s="757"/>
      <c r="U193" s="757"/>
      <c r="V193" s="757"/>
      <c r="W193" s="757"/>
      <c r="X193" s="757"/>
      <c r="Y193" s="757"/>
      <c r="Z193" s="757"/>
      <c r="AA193" s="757"/>
      <c r="AB193" s="757"/>
      <c r="AC193" s="757"/>
      <c r="AD193" s="757"/>
      <c r="AE193" s="757"/>
      <c r="AF193" s="757"/>
      <c r="AG193" s="757"/>
      <c r="AH193" s="757"/>
      <c r="AI193" s="757"/>
      <c r="AJ193" s="757"/>
      <c r="AK193" s="757"/>
      <c r="AL193" s="757"/>
      <c r="AM193" s="757"/>
      <c r="AN193" s="757"/>
      <c r="AO193" s="757"/>
      <c r="AP193" s="757"/>
      <c r="AQ193" s="757"/>
      <c r="AR193" s="757"/>
      <c r="AS193" s="757"/>
      <c r="AT193" s="757"/>
      <c r="AU193" s="757"/>
      <c r="AV193" s="757"/>
      <c r="AW193" s="757"/>
      <c r="AX193" s="757"/>
      <c r="AY193" s="757"/>
      <c r="AZ193" s="757"/>
      <c r="BA193" s="757"/>
      <c r="BB193" s="757"/>
      <c r="BC193" s="757"/>
      <c r="BD193" s="757"/>
      <c r="BE193" s="757"/>
      <c r="BF193" s="757"/>
      <c r="BG193" s="757"/>
    </row>
    <row r="194" spans="1:59">
      <c r="B194" s="1283" t="s">
        <v>888</v>
      </c>
      <c r="C194" s="1388">
        <f>'LT. Asset'!BI20</f>
        <v>139.70630620628322</v>
      </c>
      <c r="D194" s="1387">
        <v>47635</v>
      </c>
      <c r="E194" s="1388">
        <v>60</v>
      </c>
      <c r="F194" s="1303">
        <f>F183</f>
        <v>7.8E-2</v>
      </c>
      <c r="G194" s="1286" t="s">
        <v>869</v>
      </c>
      <c r="H194" s="1286">
        <v>0.5</v>
      </c>
      <c r="I194" s="1288"/>
      <c r="J194" s="1288"/>
      <c r="K194" s="1288"/>
      <c r="L194" s="1288"/>
      <c r="M194" s="1288"/>
      <c r="N194" s="1288"/>
      <c r="O194" s="1288"/>
      <c r="P194" s="1288"/>
      <c r="Q194" s="757"/>
      <c r="R194" s="757"/>
      <c r="S194" s="757"/>
      <c r="T194" s="757"/>
      <c r="U194" s="757"/>
      <c r="V194" s="757"/>
      <c r="W194" s="757"/>
      <c r="X194" s="757"/>
      <c r="Y194" s="757"/>
      <c r="Z194" s="757"/>
      <c r="AA194" s="757"/>
      <c r="AB194" s="757"/>
      <c r="AC194" s="757"/>
      <c r="AD194" s="757"/>
      <c r="AE194" s="757"/>
      <c r="AF194" s="757"/>
      <c r="AG194" s="757"/>
      <c r="AH194" s="757"/>
      <c r="AI194" s="757"/>
      <c r="AJ194" s="757"/>
      <c r="AK194" s="757"/>
      <c r="AL194" s="757"/>
      <c r="AM194" s="757"/>
      <c r="AN194" s="757"/>
      <c r="AO194" s="757"/>
      <c r="AP194" s="757"/>
      <c r="AQ194" s="757"/>
      <c r="AR194" s="757"/>
      <c r="AS194" s="757"/>
      <c r="AT194" s="757"/>
      <c r="AU194" s="757"/>
      <c r="AV194" s="757"/>
      <c r="AW194" s="757"/>
      <c r="AX194" s="757"/>
      <c r="AY194" s="757"/>
      <c r="AZ194" s="757"/>
      <c r="BA194" s="757"/>
      <c r="BB194" s="757"/>
      <c r="BC194" s="757"/>
      <c r="BD194" s="757"/>
      <c r="BE194" s="757"/>
      <c r="BF194" s="757"/>
      <c r="BG194" s="757"/>
    </row>
    <row r="195" spans="1:59">
      <c r="B195" s="1242" t="s">
        <v>855</v>
      </c>
      <c r="C195" s="1286"/>
      <c r="D195" s="1285"/>
      <c r="E195" s="1286"/>
      <c r="F195" s="1303"/>
      <c r="G195" s="1286"/>
      <c r="H195" s="1286"/>
      <c r="I195" s="1288"/>
      <c r="J195" s="1288"/>
      <c r="K195" s="1288"/>
      <c r="L195" s="1288"/>
      <c r="M195" s="1288"/>
      <c r="N195" s="1288"/>
      <c r="O195" s="1288"/>
      <c r="P195" s="1288"/>
      <c r="Q195" s="757"/>
      <c r="R195" s="757">
        <f>0</f>
        <v>0</v>
      </c>
      <c r="S195" s="1245">
        <v>0</v>
      </c>
      <c r="T195" s="1245">
        <f t="shared" ref="T195:AB195" si="51">S198</f>
        <v>0</v>
      </c>
      <c r="U195" s="1245">
        <f t="shared" si="51"/>
        <v>0</v>
      </c>
      <c r="V195" s="1245">
        <f t="shared" si="51"/>
        <v>0</v>
      </c>
      <c r="W195" s="1245">
        <f t="shared" si="51"/>
        <v>0</v>
      </c>
      <c r="X195" s="1245">
        <f t="shared" si="51"/>
        <v>0</v>
      </c>
      <c r="Y195" s="1245">
        <f t="shared" si="51"/>
        <v>125.73567558565489</v>
      </c>
      <c r="Z195" s="1245">
        <f t="shared" si="51"/>
        <v>97.794414344398248</v>
      </c>
      <c r="AA195" s="1245">
        <f t="shared" si="51"/>
        <v>69.853153103141608</v>
      </c>
      <c r="AB195" s="1245">
        <f t="shared" si="51"/>
        <v>41.911891861884968</v>
      </c>
      <c r="AC195" s="1245"/>
      <c r="AD195" s="1245"/>
      <c r="AE195" s="1245"/>
      <c r="AF195" s="1245"/>
      <c r="AG195" s="1245"/>
      <c r="AH195" s="1245"/>
      <c r="AI195" s="1245"/>
      <c r="AJ195" s="1245"/>
      <c r="AK195" s="1245"/>
      <c r="AL195" s="1245"/>
      <c r="AM195" s="1245"/>
      <c r="AN195" s="1245"/>
      <c r="AO195" s="1245"/>
      <c r="AP195" s="1245"/>
      <c r="AQ195" s="1245"/>
      <c r="AR195" s="1245"/>
      <c r="AS195" s="1245"/>
      <c r="AT195" s="1245"/>
      <c r="AU195" s="1245"/>
      <c r="AV195" s="1245"/>
      <c r="AW195" s="1245"/>
      <c r="AX195" s="1245"/>
      <c r="AY195" s="1245"/>
      <c r="AZ195" s="1245"/>
      <c r="BA195" s="1245"/>
      <c r="BB195" s="1245"/>
      <c r="BC195" s="1245"/>
      <c r="BD195" s="1245"/>
      <c r="BE195" s="1245"/>
      <c r="BF195" s="1245"/>
      <c r="BG195" s="757"/>
    </row>
    <row r="196" spans="1:59">
      <c r="B196" s="1247" t="s">
        <v>857</v>
      </c>
      <c r="C196" s="1286"/>
      <c r="D196" s="1285"/>
      <c r="E196" s="1286"/>
      <c r="F196" s="1303"/>
      <c r="G196" s="1286"/>
      <c r="H196" s="1286"/>
      <c r="I196" s="1288"/>
      <c r="J196" s="1288"/>
      <c r="K196" s="1288"/>
      <c r="L196" s="1288"/>
      <c r="M196" s="1288"/>
      <c r="N196" s="1288"/>
      <c r="O196" s="1288"/>
      <c r="P196" s="1288"/>
      <c r="Q196" s="757"/>
      <c r="R196" s="757"/>
      <c r="S196" s="1245">
        <f>IF(YEAR($D194)=YEAR(S$4),$C194,0)</f>
        <v>0</v>
      </c>
      <c r="T196" s="1245">
        <f>IF(YEAR($D194)=YEAR(T$4),$C194,0)</f>
        <v>0</v>
      </c>
      <c r="U196" s="1245">
        <f t="shared" ref="U196:AB196" si="52">IF(YEAR($D194)=YEAR(U$4),$C194,0)</f>
        <v>0</v>
      </c>
      <c r="V196" s="1245">
        <f t="shared" si="52"/>
        <v>0</v>
      </c>
      <c r="W196" s="1245">
        <f t="shared" si="52"/>
        <v>0</v>
      </c>
      <c r="X196" s="1245">
        <f t="shared" si="52"/>
        <v>139.70630620628322</v>
      </c>
      <c r="Y196" s="1245">
        <f t="shared" si="52"/>
        <v>0</v>
      </c>
      <c r="Z196" s="1245">
        <f t="shared" si="52"/>
        <v>0</v>
      </c>
      <c r="AA196" s="1245">
        <f t="shared" si="52"/>
        <v>0</v>
      </c>
      <c r="AB196" s="1245">
        <f t="shared" si="52"/>
        <v>0</v>
      </c>
      <c r="AC196" s="1245"/>
      <c r="AD196" s="1245"/>
      <c r="AE196" s="1245"/>
      <c r="AF196" s="1245"/>
      <c r="AG196" s="1245"/>
      <c r="AH196" s="1245"/>
      <c r="AI196" s="1245"/>
      <c r="AJ196" s="1245"/>
      <c r="AK196" s="1245"/>
      <c r="AL196" s="1245"/>
      <c r="AM196" s="1245"/>
      <c r="AN196" s="1245"/>
      <c r="AO196" s="1245"/>
      <c r="AP196" s="1245"/>
      <c r="AQ196" s="1245"/>
      <c r="AR196" s="1245"/>
      <c r="AS196" s="1245"/>
      <c r="AT196" s="1245"/>
      <c r="AU196" s="1245"/>
      <c r="AV196" s="1245"/>
      <c r="AW196" s="1245"/>
      <c r="AX196" s="1245"/>
      <c r="AY196" s="1245"/>
      <c r="AZ196" s="1245"/>
      <c r="BA196" s="1245"/>
      <c r="BB196" s="1245"/>
      <c r="BC196" s="1245"/>
      <c r="BD196" s="1245"/>
      <c r="BE196" s="1245"/>
      <c r="BF196" s="1245"/>
      <c r="BG196" s="757"/>
    </row>
    <row r="197" spans="1:59">
      <c r="B197" s="1247" t="s">
        <v>856</v>
      </c>
      <c r="C197" s="1286"/>
      <c r="D197" s="1285"/>
      <c r="E197" s="1286"/>
      <c r="F197" s="1303"/>
      <c r="G197" s="1286"/>
      <c r="H197" s="1286"/>
      <c r="I197" s="1288"/>
      <c r="J197" s="1288"/>
      <c r="K197" s="1288"/>
      <c r="L197" s="1288"/>
      <c r="M197" s="1288"/>
      <c r="N197" s="1288"/>
      <c r="O197" s="1288"/>
      <c r="P197" s="1288"/>
      <c r="Q197" s="757"/>
      <c r="R197" s="757"/>
      <c r="S197" s="1245">
        <f>IF($C194=S196,$C194/($E194/12),MIN(R198,R197))</f>
        <v>0</v>
      </c>
      <c r="T197" s="1245">
        <f t="shared" ref="T197:AB197" si="53">IF($C194=T196,$C194/($E194/12),MIN(S198,S197))</f>
        <v>0</v>
      </c>
      <c r="U197" s="1245">
        <f t="shared" si="53"/>
        <v>0</v>
      </c>
      <c r="V197" s="1245">
        <f t="shared" si="53"/>
        <v>0</v>
      </c>
      <c r="W197" s="1245">
        <f t="shared" si="53"/>
        <v>0</v>
      </c>
      <c r="X197" s="1245">
        <f t="shared" si="53"/>
        <v>27.941261241256644</v>
      </c>
      <c r="Y197" s="1245">
        <f t="shared" si="53"/>
        <v>27.941261241256644</v>
      </c>
      <c r="Z197" s="1245">
        <f t="shared" si="53"/>
        <v>27.941261241256644</v>
      </c>
      <c r="AA197" s="1245">
        <f t="shared" si="53"/>
        <v>27.941261241256644</v>
      </c>
      <c r="AB197" s="1245">
        <f t="shared" si="53"/>
        <v>27.941261241256644</v>
      </c>
      <c r="AC197" s="1245"/>
      <c r="AD197" s="1245"/>
      <c r="AE197" s="1245"/>
      <c r="AF197" s="1245"/>
      <c r="AG197" s="1245"/>
      <c r="AH197" s="1245"/>
      <c r="AI197" s="1245"/>
      <c r="AJ197" s="1245"/>
      <c r="AK197" s="1245"/>
      <c r="AL197" s="1245"/>
      <c r="AM197" s="1245"/>
      <c r="AN197" s="1245"/>
      <c r="AO197" s="1245"/>
      <c r="AP197" s="1245"/>
      <c r="AQ197" s="1245"/>
      <c r="AR197" s="1245"/>
      <c r="AS197" s="1245"/>
      <c r="AT197" s="1245"/>
      <c r="AU197" s="1245"/>
      <c r="AV197" s="1245"/>
      <c r="AW197" s="1245"/>
      <c r="AX197" s="1245"/>
      <c r="AY197" s="1245"/>
      <c r="AZ197" s="1245"/>
      <c r="BA197" s="1245"/>
      <c r="BB197" s="1245"/>
      <c r="BC197" s="1245"/>
      <c r="BD197" s="1245"/>
      <c r="BE197" s="1245"/>
      <c r="BF197" s="1245"/>
      <c r="BG197" s="757"/>
    </row>
    <row r="198" spans="1:59">
      <c r="B198" s="1242" t="s">
        <v>858</v>
      </c>
      <c r="C198" s="1286"/>
      <c r="D198" s="1285"/>
      <c r="E198" s="1286"/>
      <c r="F198" s="1303"/>
      <c r="G198" s="1286"/>
      <c r="H198" s="1286"/>
      <c r="I198" s="1288"/>
      <c r="J198" s="1288"/>
      <c r="K198" s="1288"/>
      <c r="L198" s="1288"/>
      <c r="M198" s="1288"/>
      <c r="N198" s="1288"/>
      <c r="O198" s="1288"/>
      <c r="P198" s="1288"/>
      <c r="Q198" s="757"/>
      <c r="R198" s="757">
        <f>0</f>
        <v>0</v>
      </c>
      <c r="S198" s="1245">
        <v>0</v>
      </c>
      <c r="T198" s="1245">
        <f t="shared" ref="T198:AB198" si="54">T195+T196-T197</f>
        <v>0</v>
      </c>
      <c r="U198" s="1245">
        <f t="shared" si="54"/>
        <v>0</v>
      </c>
      <c r="V198" s="1245">
        <f t="shared" si="54"/>
        <v>0</v>
      </c>
      <c r="W198" s="1245">
        <f t="shared" si="54"/>
        <v>0</v>
      </c>
      <c r="X198" s="1245">
        <f>X195+X196-X197*0.5</f>
        <v>125.73567558565489</v>
      </c>
      <c r="Y198" s="1245">
        <f t="shared" si="54"/>
        <v>97.794414344398248</v>
      </c>
      <c r="Z198" s="1245">
        <f t="shared" si="54"/>
        <v>69.853153103141608</v>
      </c>
      <c r="AA198" s="1245">
        <f t="shared" si="54"/>
        <v>41.911891861884968</v>
      </c>
      <c r="AB198" s="1245">
        <f t="shared" si="54"/>
        <v>13.970630620628324</v>
      </c>
      <c r="AC198" s="1245"/>
      <c r="AD198" s="1245"/>
      <c r="AE198" s="1245"/>
      <c r="AF198" s="1245"/>
      <c r="AG198" s="1245"/>
      <c r="AH198" s="1245"/>
      <c r="AI198" s="1245"/>
      <c r="AJ198" s="1245"/>
      <c r="AK198" s="1245"/>
      <c r="AL198" s="1245"/>
      <c r="AM198" s="1245"/>
      <c r="AN198" s="1245"/>
      <c r="AO198" s="1245"/>
      <c r="AP198" s="1245"/>
      <c r="AQ198" s="1245"/>
      <c r="AR198" s="1245"/>
      <c r="AS198" s="1245"/>
      <c r="AT198" s="1245"/>
      <c r="AU198" s="1245"/>
      <c r="AV198" s="1245"/>
      <c r="AW198" s="1245"/>
      <c r="AX198" s="1245"/>
      <c r="AY198" s="1245"/>
      <c r="AZ198" s="1245"/>
      <c r="BA198" s="1245"/>
      <c r="BB198" s="1245"/>
      <c r="BC198" s="1245"/>
      <c r="BD198" s="1245"/>
      <c r="BE198" s="1245"/>
      <c r="BF198" s="1245"/>
      <c r="BG198" s="757"/>
    </row>
    <row r="199" spans="1:59" s="1268" customFormat="1">
      <c r="A199" s="1261"/>
      <c r="B199" s="1247" t="s">
        <v>870</v>
      </c>
      <c r="C199" s="1327"/>
      <c r="D199" s="1300"/>
      <c r="E199" s="1299"/>
      <c r="F199" s="1301"/>
      <c r="G199" s="1299"/>
      <c r="H199" s="1299"/>
      <c r="I199" s="1302"/>
      <c r="J199" s="1302"/>
      <c r="K199" s="1302"/>
      <c r="L199" s="1302"/>
      <c r="M199" s="1302"/>
      <c r="N199" s="1302"/>
      <c r="O199" s="1302"/>
      <c r="P199" s="1302"/>
      <c r="Q199" s="1262"/>
      <c r="R199" s="1264">
        <f>F194</f>
        <v>7.8E-2</v>
      </c>
      <c r="S199" s="1309">
        <f>R199</f>
        <v>7.8E-2</v>
      </c>
      <c r="T199" s="1309">
        <f t="shared" ref="T199:AB199" si="55">S199</f>
        <v>7.8E-2</v>
      </c>
      <c r="U199" s="1309">
        <f t="shared" si="55"/>
        <v>7.8E-2</v>
      </c>
      <c r="V199" s="1309">
        <f t="shared" si="55"/>
        <v>7.8E-2</v>
      </c>
      <c r="W199" s="1309">
        <f t="shared" si="55"/>
        <v>7.8E-2</v>
      </c>
      <c r="X199" s="1309">
        <f t="shared" si="55"/>
        <v>7.8E-2</v>
      </c>
      <c r="Y199" s="1309">
        <f t="shared" si="55"/>
        <v>7.8E-2</v>
      </c>
      <c r="Z199" s="1309">
        <f t="shared" si="55"/>
        <v>7.8E-2</v>
      </c>
      <c r="AA199" s="1309">
        <f t="shared" si="55"/>
        <v>7.8E-2</v>
      </c>
      <c r="AB199" s="1309">
        <f t="shared" si="55"/>
        <v>7.8E-2</v>
      </c>
      <c r="AC199" s="1309"/>
      <c r="AD199" s="1309"/>
      <c r="AE199" s="1309"/>
      <c r="AF199" s="1309"/>
      <c r="AG199" s="1309"/>
      <c r="AH199" s="1309"/>
      <c r="AI199" s="1309"/>
      <c r="AJ199" s="1309"/>
      <c r="AK199" s="1309"/>
      <c r="AL199" s="1309"/>
      <c r="AM199" s="1309"/>
      <c r="AN199" s="1309"/>
      <c r="AO199" s="1309"/>
      <c r="AP199" s="1309"/>
      <c r="AQ199" s="1309"/>
      <c r="AR199" s="1309"/>
      <c r="AS199" s="1309"/>
      <c r="AT199" s="1309"/>
      <c r="AU199" s="1309"/>
      <c r="AV199" s="1309"/>
      <c r="AW199" s="1309"/>
      <c r="AX199" s="1309"/>
      <c r="AY199" s="1309"/>
      <c r="AZ199" s="1309"/>
      <c r="BA199" s="1309"/>
      <c r="BB199" s="1309"/>
      <c r="BC199" s="1309"/>
      <c r="BD199" s="1309"/>
      <c r="BE199" s="1309"/>
      <c r="BF199" s="1309"/>
      <c r="BG199" s="1262"/>
    </row>
    <row r="200" spans="1:59">
      <c r="B200" s="1247" t="s">
        <v>859</v>
      </c>
      <c r="C200" s="1329"/>
      <c r="D200" s="1285"/>
      <c r="E200" s="1286"/>
      <c r="F200" s="1303"/>
      <c r="G200" s="1286"/>
      <c r="H200" s="1286"/>
      <c r="I200" s="1288"/>
      <c r="J200" s="1288"/>
      <c r="K200" s="1288"/>
      <c r="L200" s="1288"/>
      <c r="M200" s="1288"/>
      <c r="N200" s="1288"/>
      <c r="O200" s="1288"/>
      <c r="P200" s="1288"/>
      <c r="Q200" s="757"/>
      <c r="R200" s="1262">
        <f>R199*AVERAGE(R195,R198)</f>
        <v>0</v>
      </c>
      <c r="S200" s="1267">
        <f t="shared" ref="S200:AB200" si="56">S199*AVERAGE(S195,S198)</f>
        <v>0</v>
      </c>
      <c r="T200" s="1267">
        <f t="shared" si="56"/>
        <v>0</v>
      </c>
      <c r="U200" s="1267">
        <f t="shared" si="56"/>
        <v>0</v>
      </c>
      <c r="V200" s="1267">
        <f t="shared" si="56"/>
        <v>0</v>
      </c>
      <c r="W200" s="1267">
        <f t="shared" si="56"/>
        <v>0</v>
      </c>
      <c r="X200" s="1267">
        <f t="shared" si="56"/>
        <v>4.9036913478405406</v>
      </c>
      <c r="Y200" s="1267">
        <f t="shared" si="56"/>
        <v>8.717673507272071</v>
      </c>
      <c r="Z200" s="1267">
        <f t="shared" si="56"/>
        <v>6.538255130454055</v>
      </c>
      <c r="AA200" s="1267">
        <f t="shared" si="56"/>
        <v>4.3588367536360364</v>
      </c>
      <c r="AB200" s="1267">
        <f t="shared" si="56"/>
        <v>2.1794183768180186</v>
      </c>
      <c r="AC200" s="1267"/>
      <c r="AD200" s="1267"/>
      <c r="AE200" s="1267"/>
      <c r="AF200" s="1267"/>
      <c r="AG200" s="1267"/>
      <c r="AH200" s="1267"/>
      <c r="AI200" s="1267"/>
      <c r="AJ200" s="1267"/>
      <c r="AK200" s="1267"/>
      <c r="AL200" s="1267"/>
      <c r="AM200" s="1267"/>
      <c r="AN200" s="1267"/>
      <c r="AO200" s="1267"/>
      <c r="AP200" s="1267"/>
      <c r="AQ200" s="1267"/>
      <c r="AR200" s="1267"/>
      <c r="AS200" s="1267"/>
      <c r="AT200" s="1267"/>
      <c r="AU200" s="1267"/>
      <c r="AV200" s="1267"/>
      <c r="AW200" s="1267"/>
      <c r="AX200" s="1267"/>
      <c r="AY200" s="1267"/>
      <c r="AZ200" s="1267"/>
      <c r="BA200" s="1267"/>
      <c r="BB200" s="1267"/>
      <c r="BC200" s="1267"/>
      <c r="BD200" s="1267"/>
      <c r="BE200" s="1267"/>
      <c r="BF200" s="1267"/>
      <c r="BG200" s="757"/>
    </row>
    <row r="202" spans="1:59" ht="14.4" thickBot="1">
      <c r="A202" s="1219">
        <v>7</v>
      </c>
      <c r="B202" s="1270" t="s">
        <v>898</v>
      </c>
      <c r="C202" s="1311"/>
      <c r="D202" s="1312"/>
      <c r="E202" s="1311"/>
      <c r="F202" s="1313"/>
      <c r="G202" s="1311"/>
      <c r="H202" s="1311"/>
      <c r="I202" s="1311"/>
      <c r="J202" s="1311"/>
      <c r="K202" s="1311"/>
      <c r="L202" s="1311"/>
      <c r="M202" s="1311"/>
      <c r="N202" s="1311"/>
      <c r="O202" s="1311"/>
      <c r="P202" s="1311"/>
      <c r="Q202" s="757"/>
      <c r="R202" s="1314"/>
      <c r="S202" s="1311"/>
      <c r="T202" s="1311"/>
      <c r="U202" s="1311"/>
      <c r="V202" s="1311"/>
      <c r="W202" s="1311"/>
      <c r="X202" s="1311"/>
      <c r="Y202" s="1311"/>
      <c r="Z202" s="1311"/>
      <c r="AA202" s="1311"/>
      <c r="AB202" s="1311"/>
      <c r="AC202" s="1311"/>
      <c r="AD202" s="1311"/>
      <c r="AE202" s="1311"/>
      <c r="AF202" s="1311"/>
      <c r="AG202" s="1311"/>
      <c r="AH202" s="1311"/>
      <c r="AI202" s="1311"/>
      <c r="AJ202" s="1311"/>
      <c r="AK202" s="1311"/>
      <c r="AL202" s="1311"/>
      <c r="AM202" s="1311"/>
      <c r="AN202" s="1311"/>
      <c r="AO202" s="1311"/>
      <c r="AP202" s="1311"/>
      <c r="AQ202" s="1311"/>
      <c r="AR202" s="1311"/>
      <c r="AS202" s="1311"/>
      <c r="AT202" s="1311"/>
      <c r="AU202" s="1311"/>
      <c r="AV202" s="1311"/>
      <c r="AW202" s="1311"/>
      <c r="AX202" s="1311"/>
      <c r="AY202" s="1311"/>
      <c r="AZ202" s="1311"/>
      <c r="BA202" s="1311"/>
      <c r="BB202" s="1311"/>
      <c r="BC202" s="1311"/>
      <c r="BD202" s="1311"/>
      <c r="BE202" s="1311"/>
      <c r="BF202" s="1311"/>
      <c r="BG202" s="757"/>
    </row>
    <row r="203" spans="1:59">
      <c r="B203" s="1224"/>
      <c r="C203" s="757"/>
      <c r="D203" s="1240"/>
      <c r="E203" s="757"/>
      <c r="G203" s="757"/>
      <c r="H203" s="757"/>
      <c r="I203" s="757"/>
      <c r="J203" s="757"/>
      <c r="K203" s="757"/>
      <c r="L203" s="757"/>
      <c r="M203" s="757"/>
      <c r="N203" s="757"/>
      <c r="O203" s="757"/>
      <c r="P203" s="757"/>
      <c r="Q203" s="757"/>
      <c r="S203" s="757"/>
      <c r="T203" s="757"/>
      <c r="U203" s="757"/>
      <c r="V203" s="757"/>
      <c r="W203" s="757"/>
      <c r="X203" s="757"/>
      <c r="Y203" s="757"/>
      <c r="Z203" s="757"/>
      <c r="AA203" s="757"/>
      <c r="AB203" s="757"/>
      <c r="AC203" s="757"/>
      <c r="AD203" s="757"/>
      <c r="AE203" s="757"/>
      <c r="AF203" s="757"/>
      <c r="AG203" s="757"/>
      <c r="AH203" s="757"/>
      <c r="AI203" s="757"/>
      <c r="AJ203" s="757"/>
      <c r="AK203" s="757"/>
      <c r="AL203" s="757"/>
      <c r="AM203" s="757"/>
      <c r="AN203" s="757"/>
      <c r="AO203" s="757"/>
      <c r="AP203" s="757"/>
      <c r="AQ203" s="757"/>
      <c r="AR203" s="757"/>
      <c r="AS203" s="757"/>
      <c r="AT203" s="757"/>
      <c r="AU203" s="757"/>
      <c r="AV203" s="757"/>
      <c r="AW203" s="757"/>
      <c r="AX203" s="757"/>
      <c r="AY203" s="757"/>
      <c r="AZ203" s="757"/>
      <c r="BA203" s="757"/>
      <c r="BB203" s="757"/>
      <c r="BC203" s="757"/>
      <c r="BD203" s="757"/>
      <c r="BE203" s="757"/>
      <c r="BF203" s="757"/>
      <c r="BG203" s="757"/>
    </row>
    <row r="204" spans="1:59">
      <c r="A204" s="1219" t="s">
        <v>894</v>
      </c>
      <c r="B204" s="1279" t="s">
        <v>867</v>
      </c>
      <c r="C204" s="1384"/>
      <c r="D204" s="1397"/>
      <c r="E204" s="1384"/>
      <c r="F204" s="1385"/>
      <c r="G204" s="1384"/>
      <c r="H204" s="1384"/>
      <c r="I204" s="1384"/>
      <c r="J204" s="1384"/>
      <c r="K204" s="1384"/>
      <c r="L204" s="1384"/>
      <c r="M204" s="1384"/>
      <c r="N204" s="1384"/>
      <c r="O204" s="1384"/>
      <c r="P204" s="1384"/>
      <c r="Q204" s="757"/>
      <c r="R204" s="757"/>
      <c r="S204" s="757"/>
      <c r="T204" s="757"/>
      <c r="U204" s="757"/>
      <c r="V204" s="757"/>
      <c r="W204" s="757"/>
      <c r="X204" s="757"/>
      <c r="Y204" s="757"/>
      <c r="Z204" s="757"/>
      <c r="AA204" s="757"/>
      <c r="AB204" s="757"/>
      <c r="AC204" s="757"/>
      <c r="AD204" s="757"/>
      <c r="AE204" s="757"/>
      <c r="AF204" s="757"/>
      <c r="AG204" s="757"/>
      <c r="AH204" s="757"/>
      <c r="AI204" s="757"/>
      <c r="AJ204" s="757"/>
      <c r="AK204" s="757"/>
      <c r="AL204" s="757"/>
      <c r="AM204" s="757"/>
      <c r="AN204" s="757"/>
      <c r="AO204" s="757"/>
      <c r="AP204" s="757"/>
      <c r="AQ204" s="757"/>
      <c r="AR204" s="757"/>
      <c r="AS204" s="757"/>
      <c r="AT204" s="757"/>
      <c r="AU204" s="757"/>
      <c r="AV204" s="757"/>
      <c r="AW204" s="757"/>
      <c r="AX204" s="757"/>
      <c r="AY204" s="757"/>
      <c r="AZ204" s="757"/>
      <c r="BA204" s="757"/>
      <c r="BB204" s="757"/>
      <c r="BC204" s="757"/>
      <c r="BD204" s="757"/>
      <c r="BE204" s="757"/>
      <c r="BF204" s="757"/>
      <c r="BG204" s="757"/>
    </row>
    <row r="205" spans="1:59">
      <c r="B205" s="1283" t="s">
        <v>888</v>
      </c>
      <c r="C205" s="1388">
        <f>'LT. Asset'!BJ20</f>
        <v>113.019117993973</v>
      </c>
      <c r="D205" s="1387">
        <v>48000</v>
      </c>
      <c r="E205" s="1388">
        <v>60</v>
      </c>
      <c r="F205" s="1303">
        <f>F194</f>
        <v>7.8E-2</v>
      </c>
      <c r="G205" s="1286" t="s">
        <v>869</v>
      </c>
      <c r="H205" s="1286">
        <v>0.5</v>
      </c>
      <c r="I205" s="1288"/>
      <c r="J205" s="1288"/>
      <c r="K205" s="1288"/>
      <c r="L205" s="1288"/>
      <c r="M205" s="1288"/>
      <c r="N205" s="1288"/>
      <c r="O205" s="1288"/>
      <c r="P205" s="1288"/>
      <c r="Q205" s="757"/>
      <c r="R205" s="757"/>
      <c r="S205" s="757"/>
      <c r="T205" s="757"/>
      <c r="U205" s="757"/>
      <c r="V205" s="757"/>
      <c r="W205" s="757"/>
      <c r="X205" s="757"/>
      <c r="Y205" s="757"/>
      <c r="Z205" s="757"/>
      <c r="AA205" s="757"/>
      <c r="AB205" s="757"/>
      <c r="AC205" s="757"/>
      <c r="AD205" s="757"/>
      <c r="AE205" s="757"/>
      <c r="AF205" s="757"/>
      <c r="AG205" s="757"/>
      <c r="AH205" s="757"/>
      <c r="AI205" s="757"/>
      <c r="AJ205" s="757"/>
      <c r="AK205" s="757"/>
      <c r="AL205" s="757"/>
      <c r="AM205" s="757"/>
      <c r="AN205" s="757"/>
      <c r="AO205" s="757"/>
      <c r="AP205" s="757"/>
      <c r="AQ205" s="757"/>
      <c r="AR205" s="757"/>
      <c r="AS205" s="757"/>
      <c r="AT205" s="757"/>
      <c r="AU205" s="757"/>
      <c r="AV205" s="757"/>
      <c r="AW205" s="757"/>
      <c r="AX205" s="757"/>
      <c r="AY205" s="757"/>
      <c r="AZ205" s="757"/>
      <c r="BA205" s="757"/>
      <c r="BB205" s="757"/>
      <c r="BC205" s="757"/>
      <c r="BD205" s="757"/>
      <c r="BE205" s="757"/>
      <c r="BF205" s="757"/>
      <c r="BG205" s="757"/>
    </row>
    <row r="206" spans="1:59">
      <c r="B206" s="1242" t="s">
        <v>855</v>
      </c>
      <c r="C206" s="1286"/>
      <c r="D206" s="1285"/>
      <c r="E206" s="1286"/>
      <c r="F206" s="1303"/>
      <c r="G206" s="1286"/>
      <c r="H206" s="1286"/>
      <c r="I206" s="1288"/>
      <c r="J206" s="1288"/>
      <c r="K206" s="1288"/>
      <c r="L206" s="1288"/>
      <c r="M206" s="1288"/>
      <c r="N206" s="1288"/>
      <c r="O206" s="1288"/>
      <c r="P206" s="1288"/>
      <c r="Q206" s="757"/>
      <c r="R206" s="757">
        <f>0</f>
        <v>0</v>
      </c>
      <c r="S206" s="1245">
        <v>0</v>
      </c>
      <c r="T206" s="1245">
        <f t="shared" ref="T206:AB206" si="57">S209</f>
        <v>0</v>
      </c>
      <c r="U206" s="1245">
        <f t="shared" si="57"/>
        <v>0</v>
      </c>
      <c r="V206" s="1245">
        <f t="shared" si="57"/>
        <v>0</v>
      </c>
      <c r="W206" s="1245">
        <f t="shared" si="57"/>
        <v>0</v>
      </c>
      <c r="X206" s="1245">
        <f t="shared" si="57"/>
        <v>0</v>
      </c>
      <c r="Y206" s="1245">
        <f t="shared" si="57"/>
        <v>0</v>
      </c>
      <c r="Z206" s="1245">
        <f t="shared" si="57"/>
        <v>101.7172061945757</v>
      </c>
      <c r="AA206" s="1245">
        <f t="shared" si="57"/>
        <v>79.113382595781104</v>
      </c>
      <c r="AB206" s="1245">
        <f t="shared" si="57"/>
        <v>56.509558996986506</v>
      </c>
      <c r="AC206" s="1245"/>
      <c r="AD206" s="1245"/>
      <c r="AE206" s="1245"/>
      <c r="AF206" s="1245"/>
      <c r="AG206" s="1245"/>
      <c r="AH206" s="1245"/>
      <c r="AI206" s="1245"/>
      <c r="AJ206" s="1245"/>
      <c r="AK206" s="1245"/>
      <c r="AL206" s="1245"/>
      <c r="AM206" s="1245"/>
      <c r="AN206" s="1245"/>
      <c r="AO206" s="1245"/>
      <c r="AP206" s="1245"/>
      <c r="AQ206" s="1245"/>
      <c r="AR206" s="1245"/>
      <c r="AS206" s="1245"/>
      <c r="AT206" s="1245"/>
      <c r="AU206" s="1245"/>
      <c r="AV206" s="1245"/>
      <c r="AW206" s="1245"/>
      <c r="AX206" s="1245"/>
      <c r="AY206" s="1245"/>
      <c r="AZ206" s="1245"/>
      <c r="BA206" s="1245"/>
      <c r="BB206" s="1245"/>
      <c r="BC206" s="1245"/>
      <c r="BD206" s="1245"/>
      <c r="BE206" s="1245"/>
      <c r="BF206" s="1245"/>
      <c r="BG206" s="757"/>
    </row>
    <row r="207" spans="1:59">
      <c r="B207" s="1247" t="s">
        <v>857</v>
      </c>
      <c r="C207" s="1286"/>
      <c r="D207" s="1285"/>
      <c r="E207" s="1286"/>
      <c r="F207" s="1303"/>
      <c r="G207" s="1286"/>
      <c r="H207" s="1286"/>
      <c r="I207" s="1288"/>
      <c r="J207" s="1288"/>
      <c r="K207" s="1288"/>
      <c r="L207" s="1288"/>
      <c r="M207" s="1288"/>
      <c r="N207" s="1288"/>
      <c r="O207" s="1288"/>
      <c r="P207" s="1288"/>
      <c r="Q207" s="757"/>
      <c r="R207" s="757"/>
      <c r="S207" s="1245">
        <f>IF(YEAR($D205)=YEAR(S$4),$C205,0)</f>
        <v>0</v>
      </c>
      <c r="T207" s="1245">
        <f>IF(YEAR($D205)=YEAR(T$4),$C205,0)</f>
        <v>0</v>
      </c>
      <c r="U207" s="1245">
        <f t="shared" ref="U207:AB207" si="58">IF(YEAR($D205)=YEAR(U$4),$C205,0)</f>
        <v>0</v>
      </c>
      <c r="V207" s="1245">
        <f t="shared" si="58"/>
        <v>0</v>
      </c>
      <c r="W207" s="1245">
        <f t="shared" si="58"/>
        <v>0</v>
      </c>
      <c r="X207" s="1245">
        <f t="shared" si="58"/>
        <v>0</v>
      </c>
      <c r="Y207" s="1245">
        <f t="shared" si="58"/>
        <v>113.019117993973</v>
      </c>
      <c r="Z207" s="1245">
        <f t="shared" si="58"/>
        <v>0</v>
      </c>
      <c r="AA207" s="1245">
        <f t="shared" si="58"/>
        <v>0</v>
      </c>
      <c r="AB207" s="1245">
        <f t="shared" si="58"/>
        <v>0</v>
      </c>
      <c r="AC207" s="1245"/>
      <c r="AD207" s="1245"/>
      <c r="AE207" s="1245"/>
      <c r="AF207" s="1245"/>
      <c r="AG207" s="1245"/>
      <c r="AH207" s="1245"/>
      <c r="AI207" s="1245"/>
      <c r="AJ207" s="1245"/>
      <c r="AK207" s="1245"/>
      <c r="AL207" s="1245"/>
      <c r="AM207" s="1245"/>
      <c r="AN207" s="1245"/>
      <c r="AO207" s="1245"/>
      <c r="AP207" s="1245"/>
      <c r="AQ207" s="1245"/>
      <c r="AR207" s="1245"/>
      <c r="AS207" s="1245"/>
      <c r="AT207" s="1245"/>
      <c r="AU207" s="1245"/>
      <c r="AV207" s="1245"/>
      <c r="AW207" s="1245"/>
      <c r="AX207" s="1245"/>
      <c r="AY207" s="1245"/>
      <c r="AZ207" s="1245"/>
      <c r="BA207" s="1245"/>
      <c r="BB207" s="1245"/>
      <c r="BC207" s="1245"/>
      <c r="BD207" s="1245"/>
      <c r="BE207" s="1245"/>
      <c r="BF207" s="1245"/>
      <c r="BG207" s="757"/>
    </row>
    <row r="208" spans="1:59">
      <c r="B208" s="1247" t="s">
        <v>856</v>
      </c>
      <c r="C208" s="1286"/>
      <c r="D208" s="1285"/>
      <c r="E208" s="1286"/>
      <c r="F208" s="1303"/>
      <c r="G208" s="1286"/>
      <c r="H208" s="1286"/>
      <c r="I208" s="1288"/>
      <c r="J208" s="1288"/>
      <c r="K208" s="1288"/>
      <c r="L208" s="1288"/>
      <c r="M208" s="1288"/>
      <c r="N208" s="1288"/>
      <c r="O208" s="1288"/>
      <c r="P208" s="1288"/>
      <c r="Q208" s="757"/>
      <c r="R208" s="757"/>
      <c r="S208" s="1245">
        <f>IF($C205=S207,$C205/($E205/12),MIN(R209,R208))</f>
        <v>0</v>
      </c>
      <c r="T208" s="1245"/>
      <c r="U208" s="1245"/>
      <c r="V208" s="1245"/>
      <c r="W208" s="1245"/>
      <c r="X208" s="1245"/>
      <c r="Y208" s="1245">
        <f>IF($C205=Y207,$C205/($E205/12),MIN(X208,X209))</f>
        <v>22.603823598794598</v>
      </c>
      <c r="Z208" s="1245">
        <f>IF($C205=Z207,$C205/($E205/12),MIN(Y209,Y208))</f>
        <v>22.603823598794598</v>
      </c>
      <c r="AA208" s="1245">
        <f>IF($C205=AA207,$C205/($E205/12),MIN(Z209,Z208))</f>
        <v>22.603823598794598</v>
      </c>
      <c r="AB208" s="1245">
        <f>IF($C205=AB207,$C205/($E205/12),MIN(AA209,AA208))</f>
        <v>22.603823598794598</v>
      </c>
      <c r="AC208" s="1245"/>
      <c r="AD208" s="1245"/>
      <c r="AE208" s="1245"/>
      <c r="AF208" s="1245"/>
      <c r="AG208" s="1245"/>
      <c r="AH208" s="1245"/>
      <c r="AI208" s="1245"/>
      <c r="AJ208" s="1245"/>
      <c r="AK208" s="1245"/>
      <c r="AL208" s="1245"/>
      <c r="AM208" s="1245"/>
      <c r="AN208" s="1245"/>
      <c r="AO208" s="1245"/>
      <c r="AP208" s="1245"/>
      <c r="AQ208" s="1245"/>
      <c r="AR208" s="1245"/>
      <c r="AS208" s="1245"/>
      <c r="AT208" s="1245"/>
      <c r="AU208" s="1245"/>
      <c r="AV208" s="1245"/>
      <c r="AW208" s="1245"/>
      <c r="AX208" s="1245"/>
      <c r="AY208" s="1245"/>
      <c r="AZ208" s="1245"/>
      <c r="BA208" s="1245"/>
      <c r="BB208" s="1245"/>
      <c r="BC208" s="1245"/>
      <c r="BD208" s="1245"/>
      <c r="BE208" s="1245"/>
      <c r="BF208" s="1245"/>
      <c r="BG208" s="757"/>
    </row>
    <row r="209" spans="1:59">
      <c r="B209" s="1242" t="s">
        <v>858</v>
      </c>
      <c r="C209" s="1286"/>
      <c r="D209" s="1285"/>
      <c r="E209" s="1286"/>
      <c r="F209" s="1303"/>
      <c r="G209" s="1286"/>
      <c r="H209" s="1286"/>
      <c r="I209" s="1288"/>
      <c r="J209" s="1288"/>
      <c r="K209" s="1288"/>
      <c r="L209" s="1288"/>
      <c r="M209" s="1288"/>
      <c r="N209" s="1288"/>
      <c r="O209" s="1288"/>
      <c r="P209" s="1288"/>
      <c r="Q209" s="757"/>
      <c r="R209" s="757">
        <f>0</f>
        <v>0</v>
      </c>
      <c r="S209" s="1245">
        <v>0</v>
      </c>
      <c r="T209" s="1245">
        <f t="shared" ref="T209:AB209" si="59">T206+T207-T208</f>
        <v>0</v>
      </c>
      <c r="U209" s="1245">
        <f t="shared" si="59"/>
        <v>0</v>
      </c>
      <c r="V209" s="1245">
        <f t="shared" si="59"/>
        <v>0</v>
      </c>
      <c r="W209" s="1245">
        <f t="shared" si="59"/>
        <v>0</v>
      </c>
      <c r="X209" s="1245">
        <f t="shared" si="59"/>
        <v>0</v>
      </c>
      <c r="Y209" s="1245">
        <f>Y206+Y207-Y208*0.5</f>
        <v>101.7172061945757</v>
      </c>
      <c r="Z209" s="1245">
        <f t="shared" si="59"/>
        <v>79.113382595781104</v>
      </c>
      <c r="AA209" s="1245">
        <f t="shared" si="59"/>
        <v>56.509558996986506</v>
      </c>
      <c r="AB209" s="1245">
        <f t="shared" si="59"/>
        <v>33.905735398191908</v>
      </c>
      <c r="AC209" s="1245"/>
      <c r="AD209" s="1245"/>
      <c r="AE209" s="1245"/>
      <c r="AF209" s="1245"/>
      <c r="AG209" s="1245"/>
      <c r="AH209" s="1245"/>
      <c r="AI209" s="1245"/>
      <c r="AJ209" s="1245"/>
      <c r="AK209" s="1245"/>
      <c r="AL209" s="1245"/>
      <c r="AM209" s="1245"/>
      <c r="AN209" s="1245"/>
      <c r="AO209" s="1245"/>
      <c r="AP209" s="1245"/>
      <c r="AQ209" s="1245"/>
      <c r="AR209" s="1245"/>
      <c r="AS209" s="1245"/>
      <c r="AT209" s="1245"/>
      <c r="AU209" s="1245"/>
      <c r="AV209" s="1245"/>
      <c r="AW209" s="1245"/>
      <c r="AX209" s="1245"/>
      <c r="AY209" s="1245"/>
      <c r="AZ209" s="1245"/>
      <c r="BA209" s="1245"/>
      <c r="BB209" s="1245"/>
      <c r="BC209" s="1245"/>
      <c r="BD209" s="1245"/>
      <c r="BE209" s="1245"/>
      <c r="BF209" s="1245"/>
      <c r="BG209" s="757"/>
    </row>
    <row r="210" spans="1:59" s="1268" customFormat="1">
      <c r="A210" s="1261"/>
      <c r="B210" s="1247" t="s">
        <v>870</v>
      </c>
      <c r="C210" s="1327"/>
      <c r="D210" s="1300"/>
      <c r="E210" s="1299"/>
      <c r="F210" s="1301"/>
      <c r="G210" s="1299"/>
      <c r="H210" s="1299"/>
      <c r="I210" s="1302"/>
      <c r="J210" s="1302"/>
      <c r="K210" s="1302"/>
      <c r="L210" s="1302"/>
      <c r="M210" s="1302"/>
      <c r="N210" s="1302"/>
      <c r="O210" s="1302"/>
      <c r="P210" s="1302"/>
      <c r="Q210" s="1262"/>
      <c r="R210" s="1264">
        <f>F205</f>
        <v>7.8E-2</v>
      </c>
      <c r="S210" s="1309">
        <f>R210</f>
        <v>7.8E-2</v>
      </c>
      <c r="T210" s="1309">
        <f t="shared" ref="T210:AB210" si="60">S210</f>
        <v>7.8E-2</v>
      </c>
      <c r="U210" s="1309">
        <f t="shared" si="60"/>
        <v>7.8E-2</v>
      </c>
      <c r="V210" s="1309">
        <f t="shared" si="60"/>
        <v>7.8E-2</v>
      </c>
      <c r="W210" s="1309">
        <f t="shared" si="60"/>
        <v>7.8E-2</v>
      </c>
      <c r="X210" s="1309">
        <f t="shared" si="60"/>
        <v>7.8E-2</v>
      </c>
      <c r="Y210" s="1309">
        <f t="shared" si="60"/>
        <v>7.8E-2</v>
      </c>
      <c r="Z210" s="1309">
        <f t="shared" si="60"/>
        <v>7.8E-2</v>
      </c>
      <c r="AA210" s="1309">
        <f t="shared" si="60"/>
        <v>7.8E-2</v>
      </c>
      <c r="AB210" s="1309">
        <f t="shared" si="60"/>
        <v>7.8E-2</v>
      </c>
      <c r="AC210" s="1309"/>
      <c r="AD210" s="1309"/>
      <c r="AE210" s="1309"/>
      <c r="AF210" s="1309"/>
      <c r="AG210" s="1309"/>
      <c r="AH210" s="1309"/>
      <c r="AI210" s="1309"/>
      <c r="AJ210" s="1309"/>
      <c r="AK210" s="1309"/>
      <c r="AL210" s="1309"/>
      <c r="AM210" s="1309"/>
      <c r="AN210" s="1309"/>
      <c r="AO210" s="1309"/>
      <c r="AP210" s="1309"/>
      <c r="AQ210" s="1309"/>
      <c r="AR210" s="1309"/>
      <c r="AS210" s="1309"/>
      <c r="AT210" s="1309"/>
      <c r="AU210" s="1309"/>
      <c r="AV210" s="1309"/>
      <c r="AW210" s="1309"/>
      <c r="AX210" s="1309"/>
      <c r="AY210" s="1309"/>
      <c r="AZ210" s="1309"/>
      <c r="BA210" s="1309"/>
      <c r="BB210" s="1309"/>
      <c r="BC210" s="1309"/>
      <c r="BD210" s="1309"/>
      <c r="BE210" s="1309"/>
      <c r="BF210" s="1309"/>
      <c r="BG210" s="1262"/>
    </row>
    <row r="211" spans="1:59">
      <c r="B211" s="1247" t="s">
        <v>859</v>
      </c>
      <c r="C211" s="1329"/>
      <c r="D211" s="1285"/>
      <c r="E211" s="1286"/>
      <c r="F211" s="1303"/>
      <c r="G211" s="1286"/>
      <c r="H211" s="1286"/>
      <c r="I211" s="1288"/>
      <c r="J211" s="1288"/>
      <c r="K211" s="1288"/>
      <c r="L211" s="1288"/>
      <c r="M211" s="1288"/>
      <c r="N211" s="1288"/>
      <c r="O211" s="1288"/>
      <c r="P211" s="1288"/>
      <c r="Q211" s="757"/>
      <c r="R211" s="1262">
        <f>R210*AVERAGE(R206,R209)</f>
        <v>0</v>
      </c>
      <c r="S211" s="1267">
        <f t="shared" ref="S211:AB211" si="61">S210*AVERAGE(S206,S209)</f>
        <v>0</v>
      </c>
      <c r="T211" s="1267">
        <f t="shared" si="61"/>
        <v>0</v>
      </c>
      <c r="U211" s="1267">
        <f t="shared" si="61"/>
        <v>0</v>
      </c>
      <c r="V211" s="1267">
        <f t="shared" si="61"/>
        <v>0</v>
      </c>
      <c r="W211" s="1267">
        <f t="shared" si="61"/>
        <v>0</v>
      </c>
      <c r="X211" s="1267">
        <f t="shared" si="61"/>
        <v>0</v>
      </c>
      <c r="Y211" s="1267">
        <f t="shared" si="61"/>
        <v>3.9669710415884523</v>
      </c>
      <c r="Z211" s="1267">
        <f t="shared" si="61"/>
        <v>7.052392962823915</v>
      </c>
      <c r="AA211" s="1267">
        <f t="shared" si="61"/>
        <v>5.2892947221179369</v>
      </c>
      <c r="AB211" s="1267">
        <f t="shared" si="61"/>
        <v>3.5261964814119584</v>
      </c>
      <c r="AC211" s="1267"/>
      <c r="AD211" s="1267"/>
      <c r="AE211" s="1267"/>
      <c r="AF211" s="1267"/>
      <c r="AG211" s="1267"/>
      <c r="AH211" s="1267"/>
      <c r="AI211" s="1267"/>
      <c r="AJ211" s="1267"/>
      <c r="AK211" s="1267"/>
      <c r="AL211" s="1267"/>
      <c r="AM211" s="1267"/>
      <c r="AN211" s="1267"/>
      <c r="AO211" s="1267"/>
      <c r="AP211" s="1267"/>
      <c r="AQ211" s="1267"/>
      <c r="AR211" s="1267"/>
      <c r="AS211" s="1267"/>
      <c r="AT211" s="1267"/>
      <c r="AU211" s="1267"/>
      <c r="AV211" s="1267"/>
      <c r="AW211" s="1267"/>
      <c r="AX211" s="1267"/>
      <c r="AY211" s="1267"/>
      <c r="AZ211" s="1267"/>
      <c r="BA211" s="1267"/>
      <c r="BB211" s="1267"/>
      <c r="BC211" s="1267"/>
      <c r="BD211" s="1267"/>
      <c r="BE211" s="1267"/>
      <c r="BF211" s="1267"/>
      <c r="BG211" s="757"/>
    </row>
    <row r="213" spans="1:59" ht="14.4" thickBot="1">
      <c r="A213" s="1219">
        <v>8</v>
      </c>
      <c r="B213" s="1270" t="s">
        <v>1490</v>
      </c>
      <c r="C213" s="1311"/>
      <c r="D213" s="1312"/>
      <c r="E213" s="1311"/>
      <c r="F213" s="1313"/>
      <c r="G213" s="1311"/>
      <c r="H213" s="1311"/>
      <c r="I213" s="1311"/>
      <c r="J213" s="1311"/>
      <c r="K213" s="1311"/>
      <c r="L213" s="1311"/>
      <c r="M213" s="1311"/>
      <c r="N213" s="1311"/>
      <c r="O213" s="1311"/>
      <c r="P213" s="1311"/>
      <c r="Q213" s="757"/>
      <c r="R213" s="1314"/>
      <c r="S213" s="1311"/>
      <c r="T213" s="1311"/>
      <c r="U213" s="1311"/>
      <c r="V213" s="1311"/>
      <c r="W213" s="1311"/>
      <c r="X213" s="1311"/>
      <c r="Y213" s="1311"/>
      <c r="Z213" s="1311"/>
      <c r="AA213" s="1311"/>
      <c r="AB213" s="1311"/>
      <c r="AC213" s="1311"/>
      <c r="AD213" s="1311"/>
      <c r="AE213" s="1311"/>
      <c r="AF213" s="1311"/>
      <c r="AG213" s="1311"/>
      <c r="AH213" s="1311"/>
      <c r="AI213" s="1311"/>
      <c r="AJ213" s="1311"/>
      <c r="AK213" s="1311"/>
      <c r="AL213" s="1311"/>
      <c r="AM213" s="1311"/>
      <c r="AN213" s="1311"/>
      <c r="AO213" s="1311"/>
      <c r="AP213" s="1311"/>
      <c r="AQ213" s="1311"/>
      <c r="AR213" s="1311"/>
      <c r="AS213" s="1311"/>
      <c r="AT213" s="1311"/>
      <c r="AU213" s="1311"/>
      <c r="AV213" s="1311"/>
      <c r="AW213" s="1311"/>
      <c r="AX213" s="1311"/>
      <c r="AY213" s="1311"/>
      <c r="AZ213" s="1311"/>
      <c r="BA213" s="1311"/>
      <c r="BB213" s="1311"/>
      <c r="BC213" s="1311"/>
      <c r="BD213" s="1311"/>
      <c r="BE213" s="1311"/>
      <c r="BF213" s="1311"/>
      <c r="BG213" s="757"/>
    </row>
    <row r="214" spans="1:59">
      <c r="B214" s="1224"/>
      <c r="C214" s="757"/>
      <c r="D214" s="1240"/>
      <c r="E214" s="757"/>
      <c r="G214" s="757"/>
      <c r="H214" s="757"/>
      <c r="I214" s="757"/>
      <c r="J214" s="757"/>
      <c r="K214" s="757"/>
      <c r="L214" s="757"/>
      <c r="M214" s="757"/>
      <c r="N214" s="757"/>
      <c r="O214" s="757"/>
      <c r="P214" s="757"/>
      <c r="Q214" s="757"/>
      <c r="S214" s="757"/>
      <c r="T214" s="757"/>
      <c r="U214" s="757"/>
      <c r="V214" s="757"/>
      <c r="W214" s="757"/>
      <c r="X214" s="757"/>
      <c r="Y214" s="757"/>
      <c r="Z214" s="757"/>
      <c r="AA214" s="757"/>
      <c r="AB214" s="757"/>
      <c r="AC214" s="757"/>
      <c r="AD214" s="757"/>
      <c r="AE214" s="757"/>
      <c r="AF214" s="757"/>
      <c r="AG214" s="757"/>
      <c r="AH214" s="757"/>
      <c r="AI214" s="757"/>
      <c r="AJ214" s="757"/>
      <c r="AK214" s="757"/>
      <c r="AL214" s="757"/>
      <c r="AM214" s="757"/>
      <c r="AN214" s="757"/>
      <c r="AO214" s="757"/>
      <c r="AP214" s="757"/>
      <c r="AQ214" s="757"/>
      <c r="AR214" s="757"/>
      <c r="AS214" s="757"/>
      <c r="AT214" s="757"/>
      <c r="AU214" s="757"/>
      <c r="AV214" s="757"/>
      <c r="AW214" s="757"/>
      <c r="AX214" s="757"/>
      <c r="AY214" s="757"/>
      <c r="AZ214" s="757"/>
      <c r="BA214" s="757"/>
      <c r="BB214" s="757"/>
      <c r="BC214" s="757"/>
      <c r="BD214" s="757"/>
      <c r="BE214" s="757"/>
      <c r="BF214" s="757"/>
      <c r="BG214" s="757"/>
    </row>
    <row r="215" spans="1:59">
      <c r="A215" s="1219" t="s">
        <v>896</v>
      </c>
      <c r="B215" s="1279" t="s">
        <v>867</v>
      </c>
      <c r="C215" s="1384"/>
      <c r="D215" s="1397"/>
      <c r="E215" s="1384"/>
      <c r="F215" s="1385"/>
      <c r="G215" s="1384"/>
      <c r="H215" s="1384"/>
      <c r="I215" s="1384"/>
      <c r="J215" s="1384"/>
      <c r="K215" s="1384"/>
      <c r="L215" s="1384"/>
      <c r="M215" s="1384"/>
      <c r="N215" s="1384"/>
      <c r="O215" s="1384"/>
      <c r="P215" s="1384"/>
      <c r="Q215" s="757"/>
      <c r="R215" s="757"/>
      <c r="S215" s="757"/>
      <c r="T215" s="757"/>
      <c r="U215" s="757"/>
      <c r="V215" s="757"/>
      <c r="W215" s="757"/>
      <c r="X215" s="757"/>
      <c r="Y215" s="757"/>
      <c r="Z215" s="757"/>
      <c r="AA215" s="757"/>
      <c r="AB215" s="757"/>
      <c r="AC215" s="757"/>
      <c r="AD215" s="757"/>
      <c r="AE215" s="757"/>
      <c r="AF215" s="757"/>
      <c r="AG215" s="757"/>
      <c r="AH215" s="757"/>
      <c r="AI215" s="757"/>
      <c r="AJ215" s="757"/>
      <c r="AK215" s="757"/>
      <c r="AL215" s="757"/>
      <c r="AM215" s="757"/>
      <c r="AN215" s="757"/>
      <c r="AO215" s="757"/>
      <c r="AP215" s="757"/>
      <c r="AQ215" s="757"/>
      <c r="AR215" s="757"/>
      <c r="AS215" s="757"/>
      <c r="AT215" s="757"/>
      <c r="AU215" s="757"/>
      <c r="AV215" s="757"/>
      <c r="AW215" s="757"/>
      <c r="AX215" s="757"/>
      <c r="AY215" s="757"/>
      <c r="AZ215" s="757"/>
      <c r="BA215" s="757"/>
      <c r="BB215" s="757"/>
      <c r="BC215" s="757"/>
      <c r="BD215" s="757"/>
      <c r="BE215" s="757"/>
      <c r="BF215" s="757"/>
      <c r="BG215" s="757"/>
    </row>
    <row r="216" spans="1:59">
      <c r="B216" s="1283" t="s">
        <v>888</v>
      </c>
      <c r="C216" s="1388">
        <f>'LT. Asset'!BK20</f>
        <v>126.43554732003344</v>
      </c>
      <c r="D216" s="1387">
        <v>48366</v>
      </c>
      <c r="E216" s="1388">
        <v>60</v>
      </c>
      <c r="F216" s="1303">
        <f>F205</f>
        <v>7.8E-2</v>
      </c>
      <c r="G216" s="1286" t="s">
        <v>869</v>
      </c>
      <c r="H216" s="1286">
        <v>0.5</v>
      </c>
      <c r="I216" s="1288"/>
      <c r="J216" s="1288"/>
      <c r="K216" s="1288"/>
      <c r="L216" s="1288"/>
      <c r="M216" s="1288"/>
      <c r="N216" s="1288"/>
      <c r="O216" s="1288"/>
      <c r="P216" s="1288"/>
      <c r="Q216" s="757"/>
      <c r="R216" s="757"/>
      <c r="S216" s="757"/>
      <c r="T216" s="757"/>
      <c r="U216" s="757"/>
      <c r="V216" s="757"/>
      <c r="W216" s="757"/>
      <c r="X216" s="757"/>
      <c r="Y216" s="757"/>
      <c r="Z216" s="757"/>
      <c r="AA216" s="757"/>
      <c r="AB216" s="757"/>
      <c r="AC216" s="757"/>
      <c r="AD216" s="757"/>
      <c r="AE216" s="757"/>
      <c r="AF216" s="757"/>
      <c r="AG216" s="757"/>
      <c r="AH216" s="757"/>
      <c r="AI216" s="757"/>
      <c r="AJ216" s="757"/>
      <c r="AK216" s="757"/>
      <c r="AL216" s="757"/>
      <c r="AM216" s="757"/>
      <c r="AN216" s="757"/>
      <c r="AO216" s="757"/>
      <c r="AP216" s="757"/>
      <c r="AQ216" s="757"/>
      <c r="AR216" s="757"/>
      <c r="AS216" s="757"/>
      <c r="AT216" s="757"/>
      <c r="AU216" s="757"/>
      <c r="AV216" s="757"/>
      <c r="AW216" s="757"/>
      <c r="AX216" s="757"/>
      <c r="AY216" s="757"/>
      <c r="AZ216" s="757"/>
      <c r="BA216" s="757"/>
      <c r="BB216" s="757"/>
      <c r="BC216" s="757"/>
      <c r="BD216" s="757"/>
      <c r="BE216" s="757"/>
      <c r="BF216" s="757"/>
      <c r="BG216" s="757"/>
    </row>
    <row r="217" spans="1:59">
      <c r="B217" s="1242" t="s">
        <v>855</v>
      </c>
      <c r="C217" s="1286"/>
      <c r="D217" s="1285"/>
      <c r="E217" s="1286"/>
      <c r="F217" s="1303"/>
      <c r="G217" s="1286"/>
      <c r="H217" s="1286"/>
      <c r="I217" s="1288"/>
      <c r="J217" s="1288"/>
      <c r="K217" s="1288"/>
      <c r="L217" s="1288"/>
      <c r="M217" s="1288"/>
      <c r="N217" s="1288"/>
      <c r="O217" s="1288"/>
      <c r="P217" s="1288"/>
      <c r="Q217" s="757"/>
      <c r="R217" s="757">
        <f>0</f>
        <v>0</v>
      </c>
      <c r="S217" s="1245">
        <v>0</v>
      </c>
      <c r="T217" s="1245">
        <f t="shared" ref="T217:AB217" si="62">S220</f>
        <v>0</v>
      </c>
      <c r="U217" s="1245">
        <f t="shared" si="62"/>
        <v>0</v>
      </c>
      <c r="V217" s="1245">
        <f t="shared" si="62"/>
        <v>0</v>
      </c>
      <c r="W217" s="1245">
        <f t="shared" si="62"/>
        <v>0</v>
      </c>
      <c r="X217" s="1245">
        <f t="shared" si="62"/>
        <v>0</v>
      </c>
      <c r="Y217" s="1245">
        <f t="shared" si="62"/>
        <v>0</v>
      </c>
      <c r="Z217" s="1245">
        <f t="shared" si="62"/>
        <v>0</v>
      </c>
      <c r="AA217" s="1245">
        <f t="shared" si="62"/>
        <v>113.7919925880301</v>
      </c>
      <c r="AB217" s="1245">
        <f t="shared" si="62"/>
        <v>88.504883124023408</v>
      </c>
      <c r="AC217" s="1245"/>
      <c r="AD217" s="1245"/>
      <c r="AE217" s="1245"/>
      <c r="AF217" s="1245"/>
      <c r="AG217" s="1245"/>
      <c r="AH217" s="1245"/>
      <c r="AI217" s="1245"/>
      <c r="AJ217" s="1245"/>
      <c r="AK217" s="1245"/>
      <c r="AL217" s="1245"/>
      <c r="AM217" s="1245"/>
      <c r="AN217" s="1245"/>
      <c r="AO217" s="1245"/>
      <c r="AP217" s="1245"/>
      <c r="AQ217" s="1245"/>
      <c r="AR217" s="1245"/>
      <c r="AS217" s="1245"/>
      <c r="AT217" s="1245"/>
      <c r="AU217" s="1245"/>
      <c r="AV217" s="1245"/>
      <c r="AW217" s="1245"/>
      <c r="AX217" s="1245"/>
      <c r="AY217" s="1245"/>
      <c r="AZ217" s="1245"/>
      <c r="BA217" s="1245"/>
      <c r="BB217" s="1245"/>
      <c r="BC217" s="1245"/>
      <c r="BD217" s="1245"/>
      <c r="BE217" s="1245"/>
      <c r="BF217" s="1245"/>
      <c r="BG217" s="757"/>
    </row>
    <row r="218" spans="1:59">
      <c r="B218" s="1247" t="s">
        <v>857</v>
      </c>
      <c r="C218" s="1286"/>
      <c r="D218" s="1285"/>
      <c r="E218" s="1286"/>
      <c r="F218" s="1303"/>
      <c r="G218" s="1286"/>
      <c r="H218" s="1286"/>
      <c r="I218" s="1288"/>
      <c r="J218" s="1288"/>
      <c r="K218" s="1288"/>
      <c r="L218" s="1288"/>
      <c r="M218" s="1288"/>
      <c r="N218" s="1288"/>
      <c r="O218" s="1288"/>
      <c r="P218" s="1288"/>
      <c r="Q218" s="757"/>
      <c r="R218" s="757"/>
      <c r="S218" s="1245">
        <f>IF(YEAR($D216)=YEAR(S$4),$C216,0)</f>
        <v>0</v>
      </c>
      <c r="T218" s="1245">
        <f>IF(YEAR($D216)=YEAR(T$4),$C216,0)</f>
        <v>0</v>
      </c>
      <c r="U218" s="1245">
        <f t="shared" ref="U218:AB218" si="63">IF(YEAR($D216)=YEAR(U$4),$C216,0)</f>
        <v>0</v>
      </c>
      <c r="V218" s="1245">
        <f t="shared" si="63"/>
        <v>0</v>
      </c>
      <c r="W218" s="1245">
        <f t="shared" si="63"/>
        <v>0</v>
      </c>
      <c r="X218" s="1245">
        <f t="shared" si="63"/>
        <v>0</v>
      </c>
      <c r="Y218" s="1245">
        <f t="shared" si="63"/>
        <v>0</v>
      </c>
      <c r="Z218" s="1245">
        <f t="shared" si="63"/>
        <v>126.43554732003344</v>
      </c>
      <c r="AA218" s="1245">
        <f t="shared" si="63"/>
        <v>0</v>
      </c>
      <c r="AB218" s="1245">
        <f t="shared" si="63"/>
        <v>0</v>
      </c>
      <c r="AC218" s="1245"/>
      <c r="AD218" s="1245"/>
      <c r="AE218" s="1245"/>
      <c r="AF218" s="1245"/>
      <c r="AG218" s="1245"/>
      <c r="AH218" s="1245"/>
      <c r="AI218" s="1245"/>
      <c r="AJ218" s="1245"/>
      <c r="AK218" s="1245"/>
      <c r="AL218" s="1245"/>
      <c r="AM218" s="1245"/>
      <c r="AN218" s="1245"/>
      <c r="AO218" s="1245"/>
      <c r="AP218" s="1245"/>
      <c r="AQ218" s="1245"/>
      <c r="AR218" s="1245"/>
      <c r="AS218" s="1245"/>
      <c r="AT218" s="1245"/>
      <c r="AU218" s="1245"/>
      <c r="AV218" s="1245"/>
      <c r="AW218" s="1245"/>
      <c r="AX218" s="1245"/>
      <c r="AY218" s="1245"/>
      <c r="AZ218" s="1245"/>
      <c r="BA218" s="1245"/>
      <c r="BB218" s="1245"/>
      <c r="BC218" s="1245"/>
      <c r="BD218" s="1245"/>
      <c r="BE218" s="1245"/>
      <c r="BF218" s="1245"/>
      <c r="BG218" s="757"/>
    </row>
    <row r="219" spans="1:59">
      <c r="B219" s="1247" t="s">
        <v>856</v>
      </c>
      <c r="C219" s="1286"/>
      <c r="D219" s="1285"/>
      <c r="E219" s="1286"/>
      <c r="F219" s="1303"/>
      <c r="G219" s="1286"/>
      <c r="H219" s="1286"/>
      <c r="I219" s="1288"/>
      <c r="J219" s="1288"/>
      <c r="K219" s="1288"/>
      <c r="L219" s="1288"/>
      <c r="M219" s="1288"/>
      <c r="N219" s="1288"/>
      <c r="O219" s="1288"/>
      <c r="P219" s="1288"/>
      <c r="Q219" s="757"/>
      <c r="R219" s="757"/>
      <c r="S219" s="1245">
        <f>IF($C216=S218,$C216/($E216/12),MIN(R220,R219))</f>
        <v>0</v>
      </c>
      <c r="T219" s="1245">
        <f t="shared" ref="T219:AB219" si="64">IF($C216=T218,$C216/($E216/12),MIN(S220,S219))</f>
        <v>0</v>
      </c>
      <c r="U219" s="1245">
        <f t="shared" si="64"/>
        <v>0</v>
      </c>
      <c r="V219" s="1245">
        <f t="shared" si="64"/>
        <v>0</v>
      </c>
      <c r="W219" s="1245">
        <f t="shared" si="64"/>
        <v>0</v>
      </c>
      <c r="X219" s="1245">
        <f t="shared" si="64"/>
        <v>0</v>
      </c>
      <c r="Y219" s="1245">
        <f t="shared" si="64"/>
        <v>0</v>
      </c>
      <c r="Z219" s="1245">
        <f t="shared" si="64"/>
        <v>25.287109464006686</v>
      </c>
      <c r="AA219" s="1245">
        <f t="shared" si="64"/>
        <v>25.287109464006686</v>
      </c>
      <c r="AB219" s="1245">
        <f t="shared" si="64"/>
        <v>25.287109464006686</v>
      </c>
      <c r="AC219" s="1245"/>
      <c r="AD219" s="1245"/>
      <c r="AE219" s="1245"/>
      <c r="AF219" s="1245"/>
      <c r="AG219" s="1245"/>
      <c r="AH219" s="1245"/>
      <c r="AI219" s="1245"/>
      <c r="AJ219" s="1245"/>
      <c r="AK219" s="1245"/>
      <c r="AL219" s="1245"/>
      <c r="AM219" s="1245"/>
      <c r="AN219" s="1245"/>
      <c r="AO219" s="1245"/>
      <c r="AP219" s="1245"/>
      <c r="AQ219" s="1245"/>
      <c r="AR219" s="1245"/>
      <c r="AS219" s="1245"/>
      <c r="AT219" s="1245"/>
      <c r="AU219" s="1245"/>
      <c r="AV219" s="1245"/>
      <c r="AW219" s="1245"/>
      <c r="AX219" s="1245"/>
      <c r="AY219" s="1245"/>
      <c r="AZ219" s="1245"/>
      <c r="BA219" s="1245"/>
      <c r="BB219" s="1245"/>
      <c r="BC219" s="1245"/>
      <c r="BD219" s="1245"/>
      <c r="BE219" s="1245"/>
      <c r="BF219" s="1245"/>
      <c r="BG219" s="757"/>
    </row>
    <row r="220" spans="1:59">
      <c r="B220" s="1242" t="s">
        <v>858</v>
      </c>
      <c r="C220" s="1286"/>
      <c r="D220" s="1285"/>
      <c r="E220" s="1286"/>
      <c r="F220" s="1303"/>
      <c r="G220" s="1286"/>
      <c r="H220" s="1286"/>
      <c r="I220" s="1288"/>
      <c r="J220" s="1288"/>
      <c r="K220" s="1288"/>
      <c r="L220" s="1288"/>
      <c r="M220" s="1288"/>
      <c r="N220" s="1288"/>
      <c r="O220" s="1288"/>
      <c r="P220" s="1288"/>
      <c r="Q220" s="757"/>
      <c r="R220" s="757">
        <f>0</f>
        <v>0</v>
      </c>
      <c r="S220" s="1245">
        <v>0</v>
      </c>
      <c r="T220" s="1245">
        <f t="shared" ref="T220:AB220" si="65">T217+T218-T219</f>
        <v>0</v>
      </c>
      <c r="U220" s="1245">
        <f t="shared" si="65"/>
        <v>0</v>
      </c>
      <c r="V220" s="1245">
        <f t="shared" si="65"/>
        <v>0</v>
      </c>
      <c r="W220" s="1245">
        <f t="shared" si="65"/>
        <v>0</v>
      </c>
      <c r="X220" s="1245">
        <f t="shared" si="65"/>
        <v>0</v>
      </c>
      <c r="Y220" s="1245">
        <f t="shared" si="65"/>
        <v>0</v>
      </c>
      <c r="Z220" s="1245">
        <f>Z217+Z218-Z219*0.5</f>
        <v>113.7919925880301</v>
      </c>
      <c r="AA220" s="1245">
        <f t="shared" si="65"/>
        <v>88.504883124023408</v>
      </c>
      <c r="AB220" s="1245">
        <f t="shared" si="65"/>
        <v>63.217773660016718</v>
      </c>
      <c r="AC220" s="1245"/>
      <c r="AD220" s="1245"/>
      <c r="AE220" s="1245"/>
      <c r="AF220" s="1245"/>
      <c r="AG220" s="1245"/>
      <c r="AH220" s="1245"/>
      <c r="AI220" s="1245"/>
      <c r="AJ220" s="1245"/>
      <c r="AK220" s="1245"/>
      <c r="AL220" s="1245"/>
      <c r="AM220" s="1245"/>
      <c r="AN220" s="1245"/>
      <c r="AO220" s="1245"/>
      <c r="AP220" s="1245"/>
      <c r="AQ220" s="1245"/>
      <c r="AR220" s="1245"/>
      <c r="AS220" s="1245"/>
      <c r="AT220" s="1245"/>
      <c r="AU220" s="1245"/>
      <c r="AV220" s="1245"/>
      <c r="AW220" s="1245"/>
      <c r="AX220" s="1245"/>
      <c r="AY220" s="1245"/>
      <c r="AZ220" s="1245"/>
      <c r="BA220" s="1245"/>
      <c r="BB220" s="1245"/>
      <c r="BC220" s="1245"/>
      <c r="BD220" s="1245"/>
      <c r="BE220" s="1245"/>
      <c r="BF220" s="1245"/>
      <c r="BG220" s="757"/>
    </row>
    <row r="221" spans="1:59" s="1268" customFormat="1">
      <c r="A221" s="1261"/>
      <c r="B221" s="1247" t="s">
        <v>870</v>
      </c>
      <c r="C221" s="1327"/>
      <c r="D221" s="1300"/>
      <c r="E221" s="1299"/>
      <c r="F221" s="1301"/>
      <c r="G221" s="1299"/>
      <c r="H221" s="1299"/>
      <c r="I221" s="1302"/>
      <c r="J221" s="1302"/>
      <c r="K221" s="1302"/>
      <c r="L221" s="1302"/>
      <c r="M221" s="1302"/>
      <c r="N221" s="1302"/>
      <c r="O221" s="1302"/>
      <c r="P221" s="1302"/>
      <c r="Q221" s="1262"/>
      <c r="R221" s="1264">
        <f>F216</f>
        <v>7.8E-2</v>
      </c>
      <c r="S221" s="1309">
        <f>R221</f>
        <v>7.8E-2</v>
      </c>
      <c r="T221" s="1309">
        <f t="shared" ref="T221:AB221" si="66">S221</f>
        <v>7.8E-2</v>
      </c>
      <c r="U221" s="1309">
        <f t="shared" si="66"/>
        <v>7.8E-2</v>
      </c>
      <c r="V221" s="1309">
        <f t="shared" si="66"/>
        <v>7.8E-2</v>
      </c>
      <c r="W221" s="1309">
        <f t="shared" si="66"/>
        <v>7.8E-2</v>
      </c>
      <c r="X221" s="1309">
        <f t="shared" si="66"/>
        <v>7.8E-2</v>
      </c>
      <c r="Y221" s="1309">
        <f t="shared" si="66"/>
        <v>7.8E-2</v>
      </c>
      <c r="Z221" s="1309">
        <f t="shared" si="66"/>
        <v>7.8E-2</v>
      </c>
      <c r="AA221" s="1309">
        <f t="shared" si="66"/>
        <v>7.8E-2</v>
      </c>
      <c r="AB221" s="1309">
        <f t="shared" si="66"/>
        <v>7.8E-2</v>
      </c>
      <c r="AC221" s="1309"/>
      <c r="AD221" s="1309"/>
      <c r="AE221" s="1309"/>
      <c r="AF221" s="1309"/>
      <c r="AG221" s="1309"/>
      <c r="AH221" s="1309"/>
      <c r="AI221" s="1309"/>
      <c r="AJ221" s="1309"/>
      <c r="AK221" s="1309"/>
      <c r="AL221" s="1309"/>
      <c r="AM221" s="1309"/>
      <c r="AN221" s="1309"/>
      <c r="AO221" s="1309"/>
      <c r="AP221" s="1309"/>
      <c r="AQ221" s="1309"/>
      <c r="AR221" s="1309"/>
      <c r="AS221" s="1309"/>
      <c r="AT221" s="1309"/>
      <c r="AU221" s="1309"/>
      <c r="AV221" s="1309"/>
      <c r="AW221" s="1309"/>
      <c r="AX221" s="1309"/>
      <c r="AY221" s="1309"/>
      <c r="AZ221" s="1309"/>
      <c r="BA221" s="1309"/>
      <c r="BB221" s="1309"/>
      <c r="BC221" s="1309"/>
      <c r="BD221" s="1309"/>
      <c r="BE221" s="1309"/>
      <c r="BF221" s="1309"/>
      <c r="BG221" s="1262"/>
    </row>
    <row r="222" spans="1:59">
      <c r="B222" s="1247" t="s">
        <v>859</v>
      </c>
      <c r="C222" s="1329"/>
      <c r="D222" s="1285"/>
      <c r="E222" s="1286"/>
      <c r="F222" s="1303"/>
      <c r="G222" s="1286"/>
      <c r="H222" s="1286"/>
      <c r="I222" s="1288"/>
      <c r="J222" s="1288"/>
      <c r="K222" s="1288"/>
      <c r="L222" s="1288"/>
      <c r="M222" s="1288"/>
      <c r="N222" s="1288"/>
      <c r="O222" s="1288"/>
      <c r="P222" s="1288"/>
      <c r="Q222" s="757"/>
      <c r="R222" s="1262">
        <f>R221*AVERAGE(R217,R220)</f>
        <v>0</v>
      </c>
      <c r="S222" s="1267">
        <f t="shared" ref="S222:AB222" si="67">S221*AVERAGE(S217,S220)</f>
        <v>0</v>
      </c>
      <c r="T222" s="1267">
        <f t="shared" si="67"/>
        <v>0</v>
      </c>
      <c r="U222" s="1267">
        <f t="shared" si="67"/>
        <v>0</v>
      </c>
      <c r="V222" s="1267">
        <f t="shared" si="67"/>
        <v>0</v>
      </c>
      <c r="W222" s="1267">
        <f t="shared" si="67"/>
        <v>0</v>
      </c>
      <c r="X222" s="1267">
        <f t="shared" si="67"/>
        <v>0</v>
      </c>
      <c r="Y222" s="1267">
        <f t="shared" si="67"/>
        <v>0</v>
      </c>
      <c r="Z222" s="1267">
        <f t="shared" si="67"/>
        <v>4.4378877109331736</v>
      </c>
      <c r="AA222" s="1267">
        <f t="shared" si="67"/>
        <v>7.8895781527700874</v>
      </c>
      <c r="AB222" s="1267">
        <f t="shared" si="67"/>
        <v>5.9171836145775645</v>
      </c>
      <c r="AC222" s="1267"/>
      <c r="AD222" s="1267"/>
      <c r="AE222" s="1267"/>
      <c r="AF222" s="1267"/>
      <c r="AG222" s="1267"/>
      <c r="AH222" s="1267"/>
      <c r="AI222" s="1267"/>
      <c r="AJ222" s="1267"/>
      <c r="AK222" s="1267"/>
      <c r="AL222" s="1267"/>
      <c r="AM222" s="1267"/>
      <c r="AN222" s="1267"/>
      <c r="AO222" s="1267"/>
      <c r="AP222" s="1267"/>
      <c r="AQ222" s="1267"/>
      <c r="AR222" s="1267"/>
      <c r="AS222" s="1267"/>
      <c r="AT222" s="1267"/>
      <c r="AU222" s="1267"/>
      <c r="AV222" s="1267"/>
      <c r="AW222" s="1267"/>
      <c r="AX222" s="1267"/>
      <c r="AY222" s="1267"/>
      <c r="AZ222" s="1267"/>
      <c r="BA222" s="1267"/>
      <c r="BB222" s="1267"/>
      <c r="BC222" s="1267"/>
      <c r="BD222" s="1267"/>
      <c r="BE222" s="1267"/>
      <c r="BF222" s="1267"/>
      <c r="BG222" s="757"/>
    </row>
    <row r="224" spans="1:59" ht="14.4" thickBot="1">
      <c r="A224" s="1219">
        <v>9</v>
      </c>
      <c r="B224" s="1270" t="s">
        <v>1491</v>
      </c>
      <c r="C224" s="1311"/>
      <c r="D224" s="1312"/>
      <c r="E224" s="1311"/>
      <c r="F224" s="1313"/>
      <c r="G224" s="1311"/>
      <c r="H224" s="1311"/>
      <c r="I224" s="1311"/>
      <c r="J224" s="1311"/>
      <c r="K224" s="1311"/>
      <c r="L224" s="1311"/>
      <c r="M224" s="1311"/>
      <c r="N224" s="1311"/>
      <c r="O224" s="1311"/>
      <c r="P224" s="1311"/>
      <c r="Q224" s="757"/>
      <c r="R224" s="1314"/>
      <c r="S224" s="1311"/>
      <c r="T224" s="1311"/>
      <c r="U224" s="1311"/>
      <c r="V224" s="1311"/>
      <c r="W224" s="1311"/>
      <c r="X224" s="1311"/>
      <c r="Y224" s="1311"/>
      <c r="Z224" s="1311"/>
      <c r="AA224" s="1311"/>
      <c r="AB224" s="1311"/>
      <c r="AC224" s="1311"/>
      <c r="AD224" s="1311"/>
      <c r="AE224" s="1311"/>
      <c r="AF224" s="1311"/>
      <c r="AG224" s="1311"/>
      <c r="AH224" s="1311"/>
      <c r="AI224" s="1311"/>
      <c r="AJ224" s="1311"/>
      <c r="AK224" s="1311"/>
      <c r="AL224" s="1311"/>
      <c r="AM224" s="1311"/>
      <c r="AN224" s="1311"/>
      <c r="AO224" s="1311"/>
      <c r="AP224" s="1311"/>
      <c r="AQ224" s="1311"/>
      <c r="AR224" s="1311"/>
      <c r="AS224" s="1311"/>
      <c r="AT224" s="1311"/>
      <c r="AU224" s="1311"/>
      <c r="AV224" s="1311"/>
      <c r="AW224" s="1311"/>
      <c r="AX224" s="1311"/>
      <c r="AY224" s="1311"/>
      <c r="AZ224" s="1311"/>
      <c r="BA224" s="1311"/>
      <c r="BB224" s="1311"/>
      <c r="BC224" s="1311"/>
      <c r="BD224" s="1311"/>
      <c r="BE224" s="1311"/>
      <c r="BF224" s="1311"/>
      <c r="BG224" s="757"/>
    </row>
    <row r="225" spans="1:59">
      <c r="B225" s="1224"/>
      <c r="C225" s="757"/>
      <c r="D225" s="1240"/>
      <c r="E225" s="757"/>
      <c r="G225" s="757"/>
      <c r="H225" s="757"/>
      <c r="I225" s="757"/>
      <c r="J225" s="757"/>
      <c r="K225" s="757"/>
      <c r="L225" s="757"/>
      <c r="M225" s="757"/>
      <c r="N225" s="757"/>
      <c r="O225" s="757"/>
      <c r="P225" s="757"/>
      <c r="Q225" s="757"/>
      <c r="S225" s="757"/>
      <c r="T225" s="757"/>
      <c r="U225" s="757"/>
      <c r="V225" s="757"/>
      <c r="W225" s="757"/>
      <c r="X225" s="757"/>
      <c r="Y225" s="757"/>
      <c r="Z225" s="757"/>
      <c r="AA225" s="757"/>
      <c r="AB225" s="757"/>
      <c r="AC225" s="757"/>
      <c r="AD225" s="757"/>
      <c r="AE225" s="757"/>
      <c r="AF225" s="757"/>
      <c r="AG225" s="757"/>
      <c r="AH225" s="757"/>
      <c r="AI225" s="757"/>
      <c r="AJ225" s="757"/>
      <c r="AK225" s="757"/>
      <c r="AL225" s="757"/>
      <c r="AM225" s="757"/>
      <c r="AN225" s="757"/>
      <c r="AO225" s="757"/>
      <c r="AP225" s="757"/>
      <c r="AQ225" s="757"/>
      <c r="AR225" s="757"/>
      <c r="AS225" s="757"/>
      <c r="AT225" s="757"/>
      <c r="AU225" s="757"/>
      <c r="AV225" s="757"/>
      <c r="AW225" s="757"/>
      <c r="AX225" s="757"/>
      <c r="AY225" s="757"/>
      <c r="AZ225" s="757"/>
      <c r="BA225" s="757"/>
      <c r="BB225" s="757"/>
      <c r="BC225" s="757"/>
      <c r="BD225" s="757"/>
      <c r="BE225" s="757"/>
      <c r="BF225" s="757"/>
      <c r="BG225" s="757"/>
    </row>
    <row r="226" spans="1:59">
      <c r="A226" s="1219" t="s">
        <v>358</v>
      </c>
      <c r="B226" s="1279" t="s">
        <v>867</v>
      </c>
      <c r="C226" s="1384"/>
      <c r="D226" s="1397"/>
      <c r="E226" s="1384"/>
      <c r="F226" s="1385"/>
      <c r="G226" s="1384"/>
      <c r="H226" s="1384"/>
      <c r="I226" s="1384"/>
      <c r="J226" s="1384"/>
      <c r="K226" s="1384"/>
      <c r="L226" s="1384"/>
      <c r="M226" s="1384"/>
      <c r="N226" s="1384"/>
      <c r="O226" s="1384"/>
      <c r="P226" s="1384"/>
      <c r="Q226" s="757"/>
      <c r="R226" s="757"/>
      <c r="S226" s="757"/>
      <c r="T226" s="757"/>
      <c r="U226" s="757"/>
      <c r="V226" s="757"/>
      <c r="W226" s="757"/>
      <c r="X226" s="757"/>
      <c r="Y226" s="757"/>
      <c r="Z226" s="757"/>
      <c r="AA226" s="757"/>
      <c r="AB226" s="757"/>
      <c r="AC226" s="757"/>
      <c r="AD226" s="757"/>
      <c r="AE226" s="757"/>
      <c r="AF226" s="757"/>
      <c r="AG226" s="757"/>
      <c r="AH226" s="757"/>
      <c r="AI226" s="757"/>
      <c r="AJ226" s="757"/>
      <c r="AK226" s="757"/>
      <c r="AL226" s="757"/>
      <c r="AM226" s="757"/>
      <c r="AN226" s="757"/>
      <c r="AO226" s="757"/>
      <c r="AP226" s="757"/>
      <c r="AQ226" s="757"/>
      <c r="AR226" s="757"/>
      <c r="AS226" s="757"/>
      <c r="AT226" s="757"/>
      <c r="AU226" s="757"/>
      <c r="AV226" s="757"/>
      <c r="AW226" s="757"/>
      <c r="AX226" s="757"/>
      <c r="AY226" s="757"/>
      <c r="AZ226" s="757"/>
      <c r="BA226" s="757"/>
      <c r="BB226" s="757"/>
      <c r="BC226" s="757"/>
      <c r="BD226" s="757"/>
      <c r="BE226" s="757"/>
      <c r="BF226" s="757"/>
      <c r="BG226" s="757"/>
    </row>
    <row r="227" spans="1:59">
      <c r="B227" s="1283" t="s">
        <v>888</v>
      </c>
      <c r="C227" s="1388">
        <f>'LT. Asset'!BL20</f>
        <v>148.61852740568943</v>
      </c>
      <c r="D227" s="1387">
        <v>48731</v>
      </c>
      <c r="E227" s="1388">
        <v>60</v>
      </c>
      <c r="F227" s="1303">
        <f>F216</f>
        <v>7.8E-2</v>
      </c>
      <c r="G227" s="1286" t="s">
        <v>869</v>
      </c>
      <c r="H227" s="1286">
        <v>0.5</v>
      </c>
      <c r="I227" s="1288"/>
      <c r="J227" s="1288"/>
      <c r="K227" s="1288"/>
      <c r="L227" s="1288"/>
      <c r="M227" s="1288"/>
      <c r="N227" s="1288"/>
      <c r="O227" s="1288"/>
      <c r="P227" s="1288"/>
      <c r="Q227" s="757"/>
      <c r="R227" s="757"/>
      <c r="S227" s="757"/>
      <c r="T227" s="757"/>
      <c r="U227" s="757"/>
      <c r="V227" s="757"/>
      <c r="W227" s="757"/>
      <c r="X227" s="757"/>
      <c r="Y227" s="757"/>
      <c r="Z227" s="757"/>
      <c r="AA227" s="757"/>
      <c r="AB227" s="757"/>
      <c r="AC227" s="757"/>
      <c r="AD227" s="757"/>
      <c r="AE227" s="757"/>
      <c r="AF227" s="757"/>
      <c r="AG227" s="757"/>
      <c r="AH227" s="757"/>
      <c r="AI227" s="757"/>
      <c r="AJ227" s="757"/>
      <c r="AK227" s="757"/>
      <c r="AL227" s="757"/>
      <c r="AM227" s="757"/>
      <c r="AN227" s="757"/>
      <c r="AO227" s="757"/>
      <c r="AP227" s="757"/>
      <c r="AQ227" s="757"/>
      <c r="AR227" s="757"/>
      <c r="AS227" s="757"/>
      <c r="AT227" s="757"/>
      <c r="AU227" s="757"/>
      <c r="AV227" s="757"/>
      <c r="AW227" s="757"/>
      <c r="AX227" s="757"/>
      <c r="AY227" s="757"/>
      <c r="AZ227" s="757"/>
      <c r="BA227" s="757"/>
      <c r="BB227" s="757"/>
      <c r="BC227" s="757"/>
      <c r="BD227" s="757"/>
      <c r="BE227" s="757"/>
      <c r="BF227" s="757"/>
      <c r="BG227" s="757"/>
    </row>
    <row r="228" spans="1:59">
      <c r="B228" s="1242" t="s">
        <v>855</v>
      </c>
      <c r="C228" s="1286"/>
      <c r="D228" s="1285"/>
      <c r="E228" s="1286"/>
      <c r="F228" s="1303"/>
      <c r="G228" s="1286"/>
      <c r="H228" s="1286"/>
      <c r="I228" s="1288"/>
      <c r="J228" s="1288"/>
      <c r="K228" s="1288"/>
      <c r="L228" s="1288"/>
      <c r="M228" s="1288"/>
      <c r="N228" s="1288"/>
      <c r="O228" s="1288"/>
      <c r="P228" s="1288"/>
      <c r="Q228" s="757"/>
      <c r="R228" s="757">
        <f>0</f>
        <v>0</v>
      </c>
      <c r="S228" s="1245">
        <v>0</v>
      </c>
      <c r="T228" s="1245">
        <f t="shared" ref="T228:AB228" si="68">S231</f>
        <v>0</v>
      </c>
      <c r="U228" s="1245">
        <f t="shared" si="68"/>
        <v>0</v>
      </c>
      <c r="V228" s="1245">
        <f t="shared" si="68"/>
        <v>0</v>
      </c>
      <c r="W228" s="1245">
        <f t="shared" si="68"/>
        <v>0</v>
      </c>
      <c r="X228" s="1245">
        <f t="shared" si="68"/>
        <v>0</v>
      </c>
      <c r="Y228" s="1245">
        <f t="shared" si="68"/>
        <v>0</v>
      </c>
      <c r="Z228" s="1245">
        <f t="shared" si="68"/>
        <v>0</v>
      </c>
      <c r="AA228" s="1245">
        <f t="shared" si="68"/>
        <v>0</v>
      </c>
      <c r="AB228" s="1245">
        <f t="shared" si="68"/>
        <v>133.7566746651205</v>
      </c>
      <c r="AC228" s="1245"/>
      <c r="AD228" s="1245"/>
      <c r="AE228" s="1245"/>
      <c r="AF228" s="1245"/>
      <c r="AG228" s="1245"/>
      <c r="AH228" s="1245"/>
      <c r="AI228" s="1245"/>
      <c r="AJ228" s="1245"/>
      <c r="AK228" s="1245"/>
      <c r="AL228" s="1245"/>
      <c r="AM228" s="1245"/>
      <c r="AN228" s="1245"/>
      <c r="AO228" s="1245"/>
      <c r="AP228" s="1245"/>
      <c r="AQ228" s="1245"/>
      <c r="AR228" s="1245"/>
      <c r="AS228" s="1245"/>
      <c r="AT228" s="1245"/>
      <c r="AU228" s="1245"/>
      <c r="AV228" s="1245"/>
      <c r="AW228" s="1245"/>
      <c r="AX228" s="1245"/>
      <c r="AY228" s="1245"/>
      <c r="AZ228" s="1245"/>
      <c r="BA228" s="1245"/>
      <c r="BB228" s="1245"/>
      <c r="BC228" s="1245"/>
      <c r="BD228" s="1245"/>
      <c r="BE228" s="1245"/>
      <c r="BF228" s="1245"/>
      <c r="BG228" s="757"/>
    </row>
    <row r="229" spans="1:59">
      <c r="B229" s="1247" t="s">
        <v>857</v>
      </c>
      <c r="C229" s="1286"/>
      <c r="D229" s="1285"/>
      <c r="E229" s="1286"/>
      <c r="F229" s="1303"/>
      <c r="G229" s="1286"/>
      <c r="H229" s="1286"/>
      <c r="I229" s="1288"/>
      <c r="J229" s="1288"/>
      <c r="K229" s="1288"/>
      <c r="L229" s="1288"/>
      <c r="M229" s="1288"/>
      <c r="N229" s="1288"/>
      <c r="O229" s="1288"/>
      <c r="P229" s="1288"/>
      <c r="Q229" s="757"/>
      <c r="R229" s="757"/>
      <c r="S229" s="1245">
        <f>IF(YEAR($D227)=YEAR(S$4),$C227,0)</f>
        <v>0</v>
      </c>
      <c r="T229" s="1245">
        <f>IF(YEAR($D227)=YEAR(T$4),$C227,0)</f>
        <v>0</v>
      </c>
      <c r="U229" s="1245">
        <f t="shared" ref="U229:AB229" si="69">IF(YEAR($D227)=YEAR(U$4),$C227,0)</f>
        <v>0</v>
      </c>
      <c r="V229" s="1245">
        <f t="shared" si="69"/>
        <v>0</v>
      </c>
      <c r="W229" s="1245">
        <f t="shared" si="69"/>
        <v>0</v>
      </c>
      <c r="X229" s="1245">
        <f t="shared" si="69"/>
        <v>0</v>
      </c>
      <c r="Y229" s="1245">
        <f t="shared" si="69"/>
        <v>0</v>
      </c>
      <c r="Z229" s="1245">
        <f t="shared" si="69"/>
        <v>0</v>
      </c>
      <c r="AA229" s="1245">
        <f t="shared" si="69"/>
        <v>148.61852740568943</v>
      </c>
      <c r="AB229" s="1245">
        <f t="shared" si="69"/>
        <v>0</v>
      </c>
      <c r="AC229" s="1245"/>
      <c r="AD229" s="1245"/>
      <c r="AE229" s="1245"/>
      <c r="AF229" s="1245"/>
      <c r="AG229" s="1245"/>
      <c r="AH229" s="1245"/>
      <c r="AI229" s="1245"/>
      <c r="AJ229" s="1245"/>
      <c r="AK229" s="1245"/>
      <c r="AL229" s="1245"/>
      <c r="AM229" s="1245"/>
      <c r="AN229" s="1245"/>
      <c r="AO229" s="1245"/>
      <c r="AP229" s="1245"/>
      <c r="AQ229" s="1245"/>
      <c r="AR229" s="1245"/>
      <c r="AS229" s="1245"/>
      <c r="AT229" s="1245"/>
      <c r="AU229" s="1245"/>
      <c r="AV229" s="1245"/>
      <c r="AW229" s="1245"/>
      <c r="AX229" s="1245"/>
      <c r="AY229" s="1245"/>
      <c r="AZ229" s="1245"/>
      <c r="BA229" s="1245"/>
      <c r="BB229" s="1245"/>
      <c r="BC229" s="1245"/>
      <c r="BD229" s="1245"/>
      <c r="BE229" s="1245"/>
      <c r="BF229" s="1245"/>
      <c r="BG229" s="757"/>
    </row>
    <row r="230" spans="1:59">
      <c r="B230" s="1247" t="s">
        <v>856</v>
      </c>
      <c r="C230" s="1286"/>
      <c r="D230" s="1285"/>
      <c r="E230" s="1286"/>
      <c r="F230" s="1303"/>
      <c r="G230" s="1286"/>
      <c r="H230" s="1286"/>
      <c r="I230" s="1288"/>
      <c r="J230" s="1288"/>
      <c r="K230" s="1288"/>
      <c r="L230" s="1288"/>
      <c r="M230" s="1288"/>
      <c r="N230" s="1288"/>
      <c r="O230" s="1288"/>
      <c r="P230" s="1288"/>
      <c r="Q230" s="757"/>
      <c r="R230" s="757"/>
      <c r="S230" s="1245">
        <f>IF($C227=S229,$C227/($E227/12),MIN(R231,R230))</f>
        <v>0</v>
      </c>
      <c r="T230" s="1245">
        <f t="shared" ref="T230:AB230" si="70">IF($C227=T229,$C227/($E227/12),MIN(S231,S230))</f>
        <v>0</v>
      </c>
      <c r="U230" s="1245">
        <f t="shared" si="70"/>
        <v>0</v>
      </c>
      <c r="V230" s="1245">
        <f t="shared" si="70"/>
        <v>0</v>
      </c>
      <c r="W230" s="1245">
        <f t="shared" si="70"/>
        <v>0</v>
      </c>
      <c r="X230" s="1245">
        <f t="shared" si="70"/>
        <v>0</v>
      </c>
      <c r="Y230" s="1245">
        <f t="shared" si="70"/>
        <v>0</v>
      </c>
      <c r="Z230" s="1245">
        <f t="shared" si="70"/>
        <v>0</v>
      </c>
      <c r="AA230" s="1245">
        <f t="shared" si="70"/>
        <v>29.723705481137888</v>
      </c>
      <c r="AB230" s="1245">
        <f t="shared" si="70"/>
        <v>29.723705481137888</v>
      </c>
      <c r="AC230" s="1245"/>
      <c r="AD230" s="1245"/>
      <c r="AE230" s="1245"/>
      <c r="AF230" s="1245"/>
      <c r="AG230" s="1245"/>
      <c r="AH230" s="1245"/>
      <c r="AI230" s="1245"/>
      <c r="AJ230" s="1245"/>
      <c r="AK230" s="1245"/>
      <c r="AL230" s="1245"/>
      <c r="AM230" s="1245"/>
      <c r="AN230" s="1245"/>
      <c r="AO230" s="1245"/>
      <c r="AP230" s="1245"/>
      <c r="AQ230" s="1245"/>
      <c r="AR230" s="1245"/>
      <c r="AS230" s="1245"/>
      <c r="AT230" s="1245"/>
      <c r="AU230" s="1245"/>
      <c r="AV230" s="1245"/>
      <c r="AW230" s="1245"/>
      <c r="AX230" s="1245"/>
      <c r="AY230" s="1245"/>
      <c r="AZ230" s="1245"/>
      <c r="BA230" s="1245"/>
      <c r="BB230" s="1245"/>
      <c r="BC230" s="1245"/>
      <c r="BD230" s="1245"/>
      <c r="BE230" s="1245"/>
      <c r="BF230" s="1245"/>
      <c r="BG230" s="757"/>
    </row>
    <row r="231" spans="1:59">
      <c r="B231" s="1242" t="s">
        <v>858</v>
      </c>
      <c r="C231" s="1286"/>
      <c r="D231" s="1285"/>
      <c r="E231" s="1286"/>
      <c r="F231" s="1303"/>
      <c r="G231" s="1286"/>
      <c r="H231" s="1286"/>
      <c r="I231" s="1288"/>
      <c r="J231" s="1288"/>
      <c r="K231" s="1288"/>
      <c r="L231" s="1288"/>
      <c r="M231" s="1288"/>
      <c r="N231" s="1288"/>
      <c r="O231" s="1288"/>
      <c r="P231" s="1288"/>
      <c r="Q231" s="757"/>
      <c r="R231" s="757">
        <f>0</f>
        <v>0</v>
      </c>
      <c r="S231" s="1245">
        <v>0</v>
      </c>
      <c r="T231" s="1245">
        <f t="shared" ref="T231:AB231" si="71">T228+T229-T230</f>
        <v>0</v>
      </c>
      <c r="U231" s="1245">
        <f t="shared" si="71"/>
        <v>0</v>
      </c>
      <c r="V231" s="1245">
        <f t="shared" si="71"/>
        <v>0</v>
      </c>
      <c r="W231" s="1245">
        <f t="shared" si="71"/>
        <v>0</v>
      </c>
      <c r="X231" s="1245">
        <f t="shared" si="71"/>
        <v>0</v>
      </c>
      <c r="Y231" s="1245">
        <f t="shared" si="71"/>
        <v>0</v>
      </c>
      <c r="Z231" s="1245">
        <f t="shared" si="71"/>
        <v>0</v>
      </c>
      <c r="AA231" s="1245">
        <f>AA228+AA229-AA230*0.5</f>
        <v>133.7566746651205</v>
      </c>
      <c r="AB231" s="1245">
        <f t="shared" si="71"/>
        <v>104.03296918398262</v>
      </c>
      <c r="AC231" s="1245"/>
      <c r="AD231" s="1245"/>
      <c r="AE231" s="1245"/>
      <c r="AF231" s="1245"/>
      <c r="AG231" s="1245"/>
      <c r="AH231" s="1245"/>
      <c r="AI231" s="1245"/>
      <c r="AJ231" s="1245"/>
      <c r="AK231" s="1245"/>
      <c r="AL231" s="1245"/>
      <c r="AM231" s="1245"/>
      <c r="AN231" s="1245"/>
      <c r="AO231" s="1245"/>
      <c r="AP231" s="1245"/>
      <c r="AQ231" s="1245"/>
      <c r="AR231" s="1245"/>
      <c r="AS231" s="1245"/>
      <c r="AT231" s="1245"/>
      <c r="AU231" s="1245"/>
      <c r="AV231" s="1245"/>
      <c r="AW231" s="1245"/>
      <c r="AX231" s="1245"/>
      <c r="AY231" s="1245"/>
      <c r="AZ231" s="1245"/>
      <c r="BA231" s="1245"/>
      <c r="BB231" s="1245"/>
      <c r="BC231" s="1245"/>
      <c r="BD231" s="1245"/>
      <c r="BE231" s="1245"/>
      <c r="BF231" s="1245"/>
      <c r="BG231" s="757"/>
    </row>
    <row r="232" spans="1:59" s="1268" customFormat="1">
      <c r="A232" s="1261"/>
      <c r="B232" s="1247" t="s">
        <v>870</v>
      </c>
      <c r="C232" s="1327"/>
      <c r="D232" s="1300"/>
      <c r="E232" s="1299"/>
      <c r="F232" s="1301"/>
      <c r="G232" s="1299"/>
      <c r="H232" s="1299"/>
      <c r="I232" s="1302"/>
      <c r="J232" s="1302"/>
      <c r="K232" s="1302"/>
      <c r="L232" s="1302"/>
      <c r="M232" s="1302"/>
      <c r="N232" s="1302"/>
      <c r="O232" s="1302"/>
      <c r="P232" s="1302"/>
      <c r="Q232" s="1262"/>
      <c r="R232" s="1264">
        <f>F227</f>
        <v>7.8E-2</v>
      </c>
      <c r="S232" s="1309">
        <f>R232</f>
        <v>7.8E-2</v>
      </c>
      <c r="T232" s="1309">
        <f t="shared" ref="T232:AB232" si="72">S232</f>
        <v>7.8E-2</v>
      </c>
      <c r="U232" s="1309">
        <f t="shared" si="72"/>
        <v>7.8E-2</v>
      </c>
      <c r="V232" s="1309">
        <f t="shared" si="72"/>
        <v>7.8E-2</v>
      </c>
      <c r="W232" s="1309">
        <f t="shared" si="72"/>
        <v>7.8E-2</v>
      </c>
      <c r="X232" s="1309">
        <f t="shared" si="72"/>
        <v>7.8E-2</v>
      </c>
      <c r="Y232" s="1309">
        <f t="shared" si="72"/>
        <v>7.8E-2</v>
      </c>
      <c r="Z232" s="1309">
        <f t="shared" si="72"/>
        <v>7.8E-2</v>
      </c>
      <c r="AA232" s="1309">
        <f t="shared" si="72"/>
        <v>7.8E-2</v>
      </c>
      <c r="AB232" s="1309">
        <f t="shared" si="72"/>
        <v>7.8E-2</v>
      </c>
      <c r="AC232" s="1309"/>
      <c r="AD232" s="1309"/>
      <c r="AE232" s="1309"/>
      <c r="AF232" s="1309"/>
      <c r="AG232" s="1309"/>
      <c r="AH232" s="1309"/>
      <c r="AI232" s="1309"/>
      <c r="AJ232" s="1309"/>
      <c r="AK232" s="1309"/>
      <c r="AL232" s="1309"/>
      <c r="AM232" s="1309"/>
      <c r="AN232" s="1309"/>
      <c r="AO232" s="1309"/>
      <c r="AP232" s="1309"/>
      <c r="AQ232" s="1309"/>
      <c r="AR232" s="1309"/>
      <c r="AS232" s="1309"/>
      <c r="AT232" s="1309"/>
      <c r="AU232" s="1309"/>
      <c r="AV232" s="1309"/>
      <c r="AW232" s="1309"/>
      <c r="AX232" s="1309"/>
      <c r="AY232" s="1309"/>
      <c r="AZ232" s="1309"/>
      <c r="BA232" s="1309"/>
      <c r="BB232" s="1309"/>
      <c r="BC232" s="1309"/>
      <c r="BD232" s="1309"/>
      <c r="BE232" s="1309"/>
      <c r="BF232" s="1309"/>
      <c r="BG232" s="1262"/>
    </row>
    <row r="233" spans="1:59">
      <c r="B233" s="1247" t="s">
        <v>859</v>
      </c>
      <c r="C233" s="1329"/>
      <c r="D233" s="1285"/>
      <c r="E233" s="1286"/>
      <c r="F233" s="1303"/>
      <c r="G233" s="1286"/>
      <c r="H233" s="1286"/>
      <c r="I233" s="1288"/>
      <c r="J233" s="1288"/>
      <c r="K233" s="1288"/>
      <c r="L233" s="1288"/>
      <c r="M233" s="1288"/>
      <c r="N233" s="1288"/>
      <c r="O233" s="1288"/>
      <c r="P233" s="1288"/>
      <c r="Q233" s="757"/>
      <c r="R233" s="1262">
        <f>R232*AVERAGE(R228,R231)</f>
        <v>0</v>
      </c>
      <c r="S233" s="1267">
        <f t="shared" ref="S233:AB233" si="73">S232*AVERAGE(S228,S231)</f>
        <v>0</v>
      </c>
      <c r="T233" s="1267">
        <f t="shared" si="73"/>
        <v>0</v>
      </c>
      <c r="U233" s="1267">
        <f t="shared" si="73"/>
        <v>0</v>
      </c>
      <c r="V233" s="1267">
        <f t="shared" si="73"/>
        <v>0</v>
      </c>
      <c r="W233" s="1267">
        <f t="shared" si="73"/>
        <v>0</v>
      </c>
      <c r="X233" s="1267">
        <f t="shared" si="73"/>
        <v>0</v>
      </c>
      <c r="Y233" s="1267">
        <f t="shared" si="73"/>
        <v>0</v>
      </c>
      <c r="Z233" s="1267">
        <f t="shared" si="73"/>
        <v>0</v>
      </c>
      <c r="AA233" s="1267">
        <f t="shared" si="73"/>
        <v>5.2165103119396994</v>
      </c>
      <c r="AB233" s="1267">
        <f t="shared" si="73"/>
        <v>9.2737961101150219</v>
      </c>
      <c r="AC233" s="1267"/>
      <c r="AD233" s="1267"/>
      <c r="AE233" s="1267"/>
      <c r="AF233" s="1267"/>
      <c r="AG233" s="1267"/>
      <c r="AH233" s="1267"/>
      <c r="AI233" s="1267"/>
      <c r="AJ233" s="1267"/>
      <c r="AK233" s="1267"/>
      <c r="AL233" s="1267"/>
      <c r="AM233" s="1267"/>
      <c r="AN233" s="1267"/>
      <c r="AO233" s="1267"/>
      <c r="AP233" s="1267"/>
      <c r="AQ233" s="1267"/>
      <c r="AR233" s="1267"/>
      <c r="AS233" s="1267"/>
      <c r="AT233" s="1267"/>
      <c r="AU233" s="1267"/>
      <c r="AV233" s="1267"/>
      <c r="AW233" s="1267"/>
      <c r="AX233" s="1267"/>
      <c r="AY233" s="1267"/>
      <c r="AZ233" s="1267"/>
      <c r="BA233" s="1267"/>
      <c r="BB233" s="1267"/>
      <c r="BC233" s="1267"/>
      <c r="BD233" s="1267"/>
      <c r="BE233" s="1267"/>
      <c r="BF233" s="1267"/>
      <c r="BG233" s="757"/>
    </row>
    <row r="235" spans="1:59" ht="14.4" thickBot="1">
      <c r="A235" s="1219">
        <v>10</v>
      </c>
      <c r="B235" s="1270" t="s">
        <v>1492</v>
      </c>
      <c r="C235" s="1311"/>
      <c r="D235" s="1312"/>
      <c r="E235" s="1311"/>
      <c r="F235" s="1313"/>
      <c r="G235" s="1311"/>
      <c r="H235" s="1311"/>
      <c r="I235" s="1311"/>
      <c r="J235" s="1311"/>
      <c r="K235" s="1311"/>
      <c r="L235" s="1311"/>
      <c r="M235" s="1311"/>
      <c r="N235" s="1311"/>
      <c r="O235" s="1311"/>
      <c r="P235" s="1311"/>
      <c r="Q235" s="757"/>
      <c r="R235" s="1314"/>
      <c r="S235" s="1311"/>
      <c r="T235" s="1311"/>
      <c r="U235" s="1311"/>
      <c r="V235" s="1311"/>
      <c r="W235" s="1311"/>
      <c r="X235" s="1311"/>
      <c r="Y235" s="1311"/>
      <c r="Z235" s="1311"/>
      <c r="AA235" s="1311"/>
      <c r="AB235" s="1311"/>
      <c r="AC235" s="1311"/>
      <c r="AD235" s="1311"/>
      <c r="AE235" s="1311"/>
      <c r="AF235" s="1311"/>
      <c r="AG235" s="1311"/>
      <c r="AH235" s="1311"/>
      <c r="AI235" s="1311"/>
      <c r="AJ235" s="1311"/>
      <c r="AK235" s="1311"/>
      <c r="AL235" s="1311"/>
      <c r="AM235" s="1311"/>
      <c r="AN235" s="1311"/>
      <c r="AO235" s="1311"/>
      <c r="AP235" s="1311"/>
      <c r="AQ235" s="1311"/>
      <c r="AR235" s="1311"/>
      <c r="AS235" s="1311"/>
      <c r="AT235" s="1311"/>
      <c r="AU235" s="1311"/>
      <c r="AV235" s="1311"/>
      <c r="AW235" s="1311"/>
      <c r="AX235" s="1311"/>
      <c r="AY235" s="1311"/>
      <c r="AZ235" s="1311"/>
      <c r="BA235" s="1311"/>
      <c r="BB235" s="1311"/>
      <c r="BC235" s="1311"/>
      <c r="BD235" s="1311"/>
      <c r="BE235" s="1311"/>
      <c r="BF235" s="1311"/>
      <c r="BG235" s="757"/>
    </row>
    <row r="236" spans="1:59">
      <c r="B236" s="1224"/>
      <c r="C236" s="757"/>
      <c r="D236" s="1240"/>
      <c r="E236" s="757"/>
      <c r="G236" s="757"/>
      <c r="H236" s="757"/>
      <c r="I236" s="757"/>
      <c r="J236" s="757"/>
      <c r="K236" s="757"/>
      <c r="L236" s="757"/>
      <c r="M236" s="757"/>
      <c r="N236" s="757"/>
      <c r="O236" s="757"/>
      <c r="P236" s="757"/>
      <c r="Q236" s="757"/>
      <c r="S236" s="757"/>
      <c r="T236" s="757"/>
      <c r="U236" s="757"/>
      <c r="V236" s="757"/>
      <c r="W236" s="757"/>
      <c r="X236" s="757"/>
      <c r="Y236" s="757"/>
      <c r="Z236" s="757"/>
      <c r="AA236" s="757"/>
      <c r="AB236" s="757"/>
      <c r="AC236" s="757"/>
      <c r="AD236" s="757"/>
      <c r="AE236" s="757"/>
      <c r="AF236" s="757"/>
      <c r="AG236" s="757"/>
      <c r="AH236" s="757"/>
      <c r="AI236" s="757"/>
      <c r="AJ236" s="757"/>
      <c r="AK236" s="757"/>
      <c r="AL236" s="757"/>
      <c r="AM236" s="757"/>
      <c r="AN236" s="757"/>
      <c r="AO236" s="757"/>
      <c r="AP236" s="757"/>
      <c r="AQ236" s="757"/>
      <c r="AR236" s="757"/>
      <c r="AS236" s="757"/>
      <c r="AT236" s="757"/>
      <c r="AU236" s="757"/>
      <c r="AV236" s="757"/>
      <c r="AW236" s="757"/>
      <c r="AX236" s="757"/>
      <c r="AY236" s="757"/>
      <c r="AZ236" s="757"/>
      <c r="BA236" s="757"/>
      <c r="BB236" s="757"/>
      <c r="BC236" s="757"/>
      <c r="BD236" s="757"/>
      <c r="BE236" s="757"/>
      <c r="BF236" s="757"/>
      <c r="BG236" s="757"/>
    </row>
    <row r="237" spans="1:59">
      <c r="A237" s="1219" t="s">
        <v>899</v>
      </c>
      <c r="B237" s="1279" t="s">
        <v>867</v>
      </c>
      <c r="C237" s="1384"/>
      <c r="D237" s="1397"/>
      <c r="E237" s="1384"/>
      <c r="F237" s="1385"/>
      <c r="G237" s="1384"/>
      <c r="H237" s="1384"/>
      <c r="I237" s="1384"/>
      <c r="J237" s="1384"/>
      <c r="K237" s="1384"/>
      <c r="L237" s="1384"/>
      <c r="M237" s="1384"/>
      <c r="N237" s="1384"/>
      <c r="O237" s="1384"/>
      <c r="P237" s="1384"/>
      <c r="Q237" s="757"/>
      <c r="R237" s="757"/>
      <c r="S237" s="757"/>
      <c r="T237" s="757"/>
      <c r="U237" s="757"/>
      <c r="V237" s="757"/>
      <c r="W237" s="757"/>
      <c r="X237" s="757"/>
      <c r="Y237" s="757"/>
      <c r="Z237" s="757"/>
      <c r="AA237" s="757"/>
      <c r="AB237" s="757"/>
      <c r="AC237" s="757"/>
      <c r="AD237" s="757"/>
      <c r="AE237" s="757"/>
      <c r="AF237" s="757"/>
      <c r="AG237" s="757"/>
      <c r="AH237" s="757"/>
      <c r="AI237" s="757"/>
      <c r="AJ237" s="757"/>
      <c r="AK237" s="757"/>
      <c r="AL237" s="757"/>
      <c r="AM237" s="757"/>
      <c r="AN237" s="757"/>
      <c r="AO237" s="757"/>
      <c r="AP237" s="757"/>
      <c r="AQ237" s="757"/>
      <c r="AR237" s="757"/>
      <c r="AS237" s="757"/>
      <c r="AT237" s="757"/>
      <c r="AU237" s="757"/>
      <c r="AV237" s="757"/>
      <c r="AW237" s="757"/>
      <c r="AX237" s="757"/>
      <c r="AY237" s="757"/>
      <c r="AZ237" s="757"/>
      <c r="BA237" s="757"/>
      <c r="BB237" s="757"/>
      <c r="BC237" s="757"/>
      <c r="BD237" s="757"/>
      <c r="BE237" s="757"/>
      <c r="BF237" s="757"/>
      <c r="BG237" s="757"/>
    </row>
    <row r="238" spans="1:59">
      <c r="B238" s="1283" t="s">
        <v>888</v>
      </c>
      <c r="C238" s="1388">
        <f>'LT. Asset'!BM20</f>
        <v>144.05464842571143</v>
      </c>
      <c r="D238" s="1387">
        <v>49096</v>
      </c>
      <c r="E238" s="1388">
        <v>60</v>
      </c>
      <c r="F238" s="1303">
        <f>F227</f>
        <v>7.8E-2</v>
      </c>
      <c r="G238" s="1286" t="s">
        <v>869</v>
      </c>
      <c r="H238" s="1286">
        <v>0.5</v>
      </c>
      <c r="I238" s="1288"/>
      <c r="J238" s="1288"/>
      <c r="K238" s="1288"/>
      <c r="L238" s="1288"/>
      <c r="M238" s="1288"/>
      <c r="N238" s="1288"/>
      <c r="O238" s="1288"/>
      <c r="P238" s="1288"/>
      <c r="Q238" s="757"/>
      <c r="R238" s="757"/>
      <c r="S238" s="757"/>
      <c r="T238" s="757"/>
      <c r="U238" s="757"/>
      <c r="V238" s="757"/>
      <c r="W238" s="757"/>
      <c r="X238" s="757"/>
      <c r="Y238" s="757"/>
      <c r="Z238" s="757"/>
      <c r="AA238" s="757"/>
      <c r="AB238" s="757"/>
      <c r="AC238" s="757"/>
      <c r="AD238" s="757"/>
      <c r="AE238" s="757"/>
      <c r="AF238" s="757"/>
      <c r="AG238" s="757"/>
      <c r="AH238" s="757"/>
      <c r="AI238" s="757"/>
      <c r="AJ238" s="757"/>
      <c r="AK238" s="757"/>
      <c r="AL238" s="757"/>
      <c r="AM238" s="757"/>
      <c r="AN238" s="757"/>
      <c r="AO238" s="757"/>
      <c r="AP238" s="757"/>
      <c r="AQ238" s="757"/>
      <c r="AR238" s="757"/>
      <c r="AS238" s="757"/>
      <c r="AT238" s="757"/>
      <c r="AU238" s="757"/>
      <c r="AV238" s="757"/>
      <c r="AW238" s="757"/>
      <c r="AX238" s="757"/>
      <c r="AY238" s="757"/>
      <c r="AZ238" s="757"/>
      <c r="BA238" s="757"/>
      <c r="BB238" s="757"/>
      <c r="BC238" s="757"/>
      <c r="BD238" s="757"/>
      <c r="BE238" s="757"/>
      <c r="BF238" s="757"/>
      <c r="BG238" s="757"/>
    </row>
    <row r="239" spans="1:59">
      <c r="B239" s="1242" t="s">
        <v>855</v>
      </c>
      <c r="C239" s="1286"/>
      <c r="D239" s="1285"/>
      <c r="E239" s="1286"/>
      <c r="F239" s="1303"/>
      <c r="G239" s="1286"/>
      <c r="H239" s="1286"/>
      <c r="I239" s="1288"/>
      <c r="J239" s="1288"/>
      <c r="K239" s="1288"/>
      <c r="L239" s="1288"/>
      <c r="M239" s="1288"/>
      <c r="N239" s="1288"/>
      <c r="O239" s="1288"/>
      <c r="P239" s="1288"/>
      <c r="Q239" s="757"/>
      <c r="R239" s="757">
        <f>0</f>
        <v>0</v>
      </c>
      <c r="S239" s="1245">
        <v>0</v>
      </c>
      <c r="T239" s="1245">
        <f t="shared" ref="T239:AB239" si="74">S242</f>
        <v>0</v>
      </c>
      <c r="U239" s="1245">
        <f t="shared" si="74"/>
        <v>0</v>
      </c>
      <c r="V239" s="1245">
        <f t="shared" si="74"/>
        <v>0</v>
      </c>
      <c r="W239" s="1245">
        <f t="shared" si="74"/>
        <v>0</v>
      </c>
      <c r="X239" s="1245">
        <f t="shared" si="74"/>
        <v>0</v>
      </c>
      <c r="Y239" s="1245">
        <f t="shared" si="74"/>
        <v>0</v>
      </c>
      <c r="Z239" s="1245">
        <f t="shared" si="74"/>
        <v>0</v>
      </c>
      <c r="AA239" s="1245">
        <f t="shared" si="74"/>
        <v>0</v>
      </c>
      <c r="AB239" s="1245">
        <f t="shared" si="74"/>
        <v>0</v>
      </c>
      <c r="AC239" s="1245"/>
      <c r="AD239" s="1245"/>
      <c r="AE239" s="1245"/>
      <c r="AF239" s="1245"/>
      <c r="AG239" s="1245"/>
      <c r="AH239" s="1245"/>
      <c r="AI239" s="1245"/>
      <c r="AJ239" s="1245"/>
      <c r="AK239" s="1245"/>
      <c r="AL239" s="1245"/>
      <c r="AM239" s="1245"/>
      <c r="AN239" s="1245"/>
      <c r="AO239" s="1245"/>
      <c r="AP239" s="1245"/>
      <c r="AQ239" s="1245"/>
      <c r="AR239" s="1245"/>
      <c r="AS239" s="1245"/>
      <c r="AT239" s="1245"/>
      <c r="AU239" s="1245"/>
      <c r="AV239" s="1245"/>
      <c r="AW239" s="1245"/>
      <c r="AX239" s="1245"/>
      <c r="AY239" s="1245"/>
      <c r="AZ239" s="1245"/>
      <c r="BA239" s="1245"/>
      <c r="BB239" s="1245"/>
      <c r="BC239" s="1245"/>
      <c r="BD239" s="1245"/>
      <c r="BE239" s="1245"/>
      <c r="BF239" s="1245"/>
      <c r="BG239" s="757"/>
    </row>
    <row r="240" spans="1:59">
      <c r="B240" s="1247" t="s">
        <v>857</v>
      </c>
      <c r="C240" s="1286"/>
      <c r="D240" s="1285"/>
      <c r="E240" s="1286"/>
      <c r="F240" s="1303"/>
      <c r="G240" s="1286"/>
      <c r="H240" s="1286"/>
      <c r="I240" s="1288"/>
      <c r="J240" s="1288"/>
      <c r="K240" s="1288"/>
      <c r="L240" s="1288"/>
      <c r="M240" s="1288"/>
      <c r="N240" s="1288"/>
      <c r="O240" s="1288"/>
      <c r="P240" s="1288"/>
      <c r="Q240" s="757"/>
      <c r="R240" s="757"/>
      <c r="S240" s="1245">
        <f>IF(YEAR($D238)=YEAR(S$4),$C238,0)</f>
        <v>0</v>
      </c>
      <c r="T240" s="1245">
        <f>IF(YEAR($D238)=YEAR(T$4),$C238,0)</f>
        <v>0</v>
      </c>
      <c r="U240" s="1245">
        <f t="shared" ref="U240:AB240" si="75">IF(YEAR($D238)=YEAR(U$4),$C238,0)</f>
        <v>0</v>
      </c>
      <c r="V240" s="1245">
        <f t="shared" si="75"/>
        <v>0</v>
      </c>
      <c r="W240" s="1245">
        <f t="shared" si="75"/>
        <v>0</v>
      </c>
      <c r="X240" s="1245">
        <f t="shared" si="75"/>
        <v>0</v>
      </c>
      <c r="Y240" s="1245">
        <f t="shared" si="75"/>
        <v>0</v>
      </c>
      <c r="Z240" s="1245">
        <f t="shared" si="75"/>
        <v>0</v>
      </c>
      <c r="AA240" s="1245">
        <f t="shared" si="75"/>
        <v>0</v>
      </c>
      <c r="AB240" s="1245">
        <f t="shared" si="75"/>
        <v>144.05464842571143</v>
      </c>
      <c r="AC240" s="1245"/>
      <c r="AD240" s="1245"/>
      <c r="AE240" s="1245"/>
      <c r="AF240" s="1245"/>
      <c r="AG240" s="1245"/>
      <c r="AH240" s="1245"/>
      <c r="AI240" s="1245"/>
      <c r="AJ240" s="1245"/>
      <c r="AK240" s="1245"/>
      <c r="AL240" s="1245"/>
      <c r="AM240" s="1245"/>
      <c r="AN240" s="1245"/>
      <c r="AO240" s="1245"/>
      <c r="AP240" s="1245"/>
      <c r="AQ240" s="1245"/>
      <c r="AR240" s="1245"/>
      <c r="AS240" s="1245"/>
      <c r="AT240" s="1245"/>
      <c r="AU240" s="1245"/>
      <c r="AV240" s="1245"/>
      <c r="AW240" s="1245"/>
      <c r="AX240" s="1245"/>
      <c r="AY240" s="1245"/>
      <c r="AZ240" s="1245"/>
      <c r="BA240" s="1245"/>
      <c r="BB240" s="1245"/>
      <c r="BC240" s="1245"/>
      <c r="BD240" s="1245"/>
      <c r="BE240" s="1245"/>
      <c r="BF240" s="1245"/>
      <c r="BG240" s="757"/>
    </row>
    <row r="241" spans="1:59">
      <c r="B241" s="1247" t="s">
        <v>856</v>
      </c>
      <c r="C241" s="1286"/>
      <c r="D241" s="1285"/>
      <c r="E241" s="1286"/>
      <c r="F241" s="1303"/>
      <c r="G241" s="1286"/>
      <c r="H241" s="1286"/>
      <c r="I241" s="1288"/>
      <c r="J241" s="1288"/>
      <c r="K241" s="1288"/>
      <c r="L241" s="1288"/>
      <c r="M241" s="1288"/>
      <c r="N241" s="1288"/>
      <c r="O241" s="1288"/>
      <c r="P241" s="1288"/>
      <c r="Q241" s="757"/>
      <c r="R241" s="757"/>
      <c r="S241" s="1245">
        <f>IF($C238=S240,$C238/($E238/12),MIN(R242,R241))</f>
        <v>0</v>
      </c>
      <c r="T241" s="1245">
        <f t="shared" ref="T241:AB241" si="76">IF($C238=T240,$C238/($E238/12),MIN(S242,S241))</f>
        <v>0</v>
      </c>
      <c r="U241" s="1245">
        <f t="shared" si="76"/>
        <v>0</v>
      </c>
      <c r="V241" s="1245">
        <f t="shared" si="76"/>
        <v>0</v>
      </c>
      <c r="W241" s="1245">
        <f t="shared" si="76"/>
        <v>0</v>
      </c>
      <c r="X241" s="1245">
        <f t="shared" si="76"/>
        <v>0</v>
      </c>
      <c r="Y241" s="1245">
        <f t="shared" si="76"/>
        <v>0</v>
      </c>
      <c r="Z241" s="1245">
        <f t="shared" si="76"/>
        <v>0</v>
      </c>
      <c r="AA241" s="1245">
        <f t="shared" si="76"/>
        <v>0</v>
      </c>
      <c r="AB241" s="1245">
        <f t="shared" si="76"/>
        <v>28.810929685142288</v>
      </c>
      <c r="AC241" s="1245"/>
      <c r="AD241" s="1245"/>
      <c r="AE241" s="1245"/>
      <c r="AF241" s="1245"/>
      <c r="AG241" s="1245"/>
      <c r="AH241" s="1245"/>
      <c r="AI241" s="1245"/>
      <c r="AJ241" s="1245"/>
      <c r="AK241" s="1245"/>
      <c r="AL241" s="1245"/>
      <c r="AM241" s="1245"/>
      <c r="AN241" s="1245"/>
      <c r="AO241" s="1245"/>
      <c r="AP241" s="1245"/>
      <c r="AQ241" s="1245"/>
      <c r="AR241" s="1245"/>
      <c r="AS241" s="1245"/>
      <c r="AT241" s="1245"/>
      <c r="AU241" s="1245"/>
      <c r="AV241" s="1245"/>
      <c r="AW241" s="1245"/>
      <c r="AX241" s="1245"/>
      <c r="AY241" s="1245"/>
      <c r="AZ241" s="1245"/>
      <c r="BA241" s="1245"/>
      <c r="BB241" s="1245"/>
      <c r="BC241" s="1245"/>
      <c r="BD241" s="1245"/>
      <c r="BE241" s="1245"/>
      <c r="BF241" s="1245"/>
      <c r="BG241" s="757"/>
    </row>
    <row r="242" spans="1:59">
      <c r="B242" s="1242" t="s">
        <v>858</v>
      </c>
      <c r="C242" s="1286"/>
      <c r="D242" s="1285"/>
      <c r="E242" s="1286"/>
      <c r="F242" s="1303"/>
      <c r="G242" s="1286"/>
      <c r="H242" s="1286"/>
      <c r="I242" s="1288"/>
      <c r="J242" s="1288"/>
      <c r="K242" s="1288"/>
      <c r="L242" s="1288"/>
      <c r="M242" s="1288"/>
      <c r="N242" s="1288"/>
      <c r="O242" s="1288"/>
      <c r="P242" s="1288"/>
      <c r="Q242" s="757"/>
      <c r="R242" s="757">
        <f>0</f>
        <v>0</v>
      </c>
      <c r="S242" s="1245">
        <v>0</v>
      </c>
      <c r="T242" s="1245">
        <f t="shared" ref="T242:AA242" si="77">T239+T240-T241</f>
        <v>0</v>
      </c>
      <c r="U242" s="1245">
        <f t="shared" si="77"/>
        <v>0</v>
      </c>
      <c r="V242" s="1245">
        <f t="shared" si="77"/>
        <v>0</v>
      </c>
      <c r="W242" s="1245">
        <f t="shared" si="77"/>
        <v>0</v>
      </c>
      <c r="X242" s="1245">
        <f t="shared" si="77"/>
        <v>0</v>
      </c>
      <c r="Y242" s="1245">
        <f t="shared" si="77"/>
        <v>0</v>
      </c>
      <c r="Z242" s="1245">
        <f t="shared" si="77"/>
        <v>0</v>
      </c>
      <c r="AA242" s="1245">
        <f t="shared" si="77"/>
        <v>0</v>
      </c>
      <c r="AB242" s="1245">
        <f>AB239+AB240-AB241*0.5</f>
        <v>129.64918358314029</v>
      </c>
      <c r="AC242" s="1245"/>
      <c r="AD242" s="1245"/>
      <c r="AE242" s="1245"/>
      <c r="AF242" s="1245"/>
      <c r="AG242" s="1245"/>
      <c r="AH242" s="1245"/>
      <c r="AI242" s="1245"/>
      <c r="AJ242" s="1245"/>
      <c r="AK242" s="1245"/>
      <c r="AL242" s="1245"/>
      <c r="AM242" s="1245"/>
      <c r="AN242" s="1245"/>
      <c r="AO242" s="1245"/>
      <c r="AP242" s="1245"/>
      <c r="AQ242" s="1245"/>
      <c r="AR242" s="1245"/>
      <c r="AS242" s="1245"/>
      <c r="AT242" s="1245"/>
      <c r="AU242" s="1245"/>
      <c r="AV242" s="1245"/>
      <c r="AW242" s="1245"/>
      <c r="AX242" s="1245"/>
      <c r="AY242" s="1245"/>
      <c r="AZ242" s="1245"/>
      <c r="BA242" s="1245"/>
      <c r="BB242" s="1245"/>
      <c r="BC242" s="1245"/>
      <c r="BD242" s="1245"/>
      <c r="BE242" s="1245"/>
      <c r="BF242" s="1245"/>
      <c r="BG242" s="757"/>
    </row>
    <row r="243" spans="1:59" s="1268" customFormat="1">
      <c r="A243" s="1261"/>
      <c r="B243" s="1247" t="s">
        <v>870</v>
      </c>
      <c r="C243" s="1327"/>
      <c r="D243" s="1300"/>
      <c r="E243" s="1299"/>
      <c r="F243" s="1301"/>
      <c r="G243" s="1299"/>
      <c r="H243" s="1299"/>
      <c r="I243" s="1302"/>
      <c r="J243" s="1302"/>
      <c r="K243" s="1302"/>
      <c r="L243" s="1302"/>
      <c r="M243" s="1302"/>
      <c r="N243" s="1302"/>
      <c r="O243" s="1302"/>
      <c r="P243" s="1302"/>
      <c r="Q243" s="1262"/>
      <c r="R243" s="1264">
        <f>F238</f>
        <v>7.8E-2</v>
      </c>
      <c r="S243" s="1309">
        <f>R243</f>
        <v>7.8E-2</v>
      </c>
      <c r="T243" s="1309">
        <f t="shared" ref="T243:AB243" si="78">S243</f>
        <v>7.8E-2</v>
      </c>
      <c r="U243" s="1309">
        <f t="shared" si="78"/>
        <v>7.8E-2</v>
      </c>
      <c r="V243" s="1309">
        <f t="shared" si="78"/>
        <v>7.8E-2</v>
      </c>
      <c r="W243" s="1309">
        <f t="shared" si="78"/>
        <v>7.8E-2</v>
      </c>
      <c r="X243" s="1309">
        <f t="shared" si="78"/>
        <v>7.8E-2</v>
      </c>
      <c r="Y243" s="1309">
        <f t="shared" si="78"/>
        <v>7.8E-2</v>
      </c>
      <c r="Z243" s="1309">
        <f t="shared" si="78"/>
        <v>7.8E-2</v>
      </c>
      <c r="AA243" s="1309">
        <f t="shared" si="78"/>
        <v>7.8E-2</v>
      </c>
      <c r="AB243" s="1309">
        <f t="shared" si="78"/>
        <v>7.8E-2</v>
      </c>
      <c r="AC243" s="1309"/>
      <c r="AD243" s="1309"/>
      <c r="AE243" s="1309"/>
      <c r="AF243" s="1309"/>
      <c r="AG243" s="1309"/>
      <c r="AH243" s="1309"/>
      <c r="AI243" s="1309"/>
      <c r="AJ243" s="1309"/>
      <c r="AK243" s="1309"/>
      <c r="AL243" s="1309"/>
      <c r="AM243" s="1309"/>
      <c r="AN243" s="1309"/>
      <c r="AO243" s="1309"/>
      <c r="AP243" s="1309"/>
      <c r="AQ243" s="1309"/>
      <c r="AR243" s="1309"/>
      <c r="AS243" s="1309"/>
      <c r="AT243" s="1309"/>
      <c r="AU243" s="1309"/>
      <c r="AV243" s="1309"/>
      <c r="AW243" s="1309"/>
      <c r="AX243" s="1309"/>
      <c r="AY243" s="1309"/>
      <c r="AZ243" s="1309"/>
      <c r="BA243" s="1309"/>
      <c r="BB243" s="1309"/>
      <c r="BC243" s="1309"/>
      <c r="BD243" s="1309"/>
      <c r="BE243" s="1309"/>
      <c r="BF243" s="1309"/>
      <c r="BG243" s="1262"/>
    </row>
    <row r="244" spans="1:59">
      <c r="B244" s="1247" t="s">
        <v>859</v>
      </c>
      <c r="C244" s="1329"/>
      <c r="D244" s="1285"/>
      <c r="E244" s="1286"/>
      <c r="F244" s="1303"/>
      <c r="G244" s="1286"/>
      <c r="H244" s="1286"/>
      <c r="I244" s="1288"/>
      <c r="J244" s="1288"/>
      <c r="K244" s="1288"/>
      <c r="L244" s="1288"/>
      <c r="M244" s="1288"/>
      <c r="N244" s="1288"/>
      <c r="O244" s="1288"/>
      <c r="P244" s="1288"/>
      <c r="Q244" s="757"/>
      <c r="R244" s="1262">
        <f>R243*AVERAGE(R239,R242)</f>
        <v>0</v>
      </c>
      <c r="S244" s="1267">
        <f t="shared" ref="S244:AB244" si="79">S243*AVERAGE(S239,S242)</f>
        <v>0</v>
      </c>
      <c r="T244" s="1267">
        <f t="shared" si="79"/>
        <v>0</v>
      </c>
      <c r="U244" s="1267">
        <f t="shared" si="79"/>
        <v>0</v>
      </c>
      <c r="V244" s="1267">
        <f t="shared" si="79"/>
        <v>0</v>
      </c>
      <c r="W244" s="1267">
        <f t="shared" si="79"/>
        <v>0</v>
      </c>
      <c r="X244" s="1267">
        <f t="shared" si="79"/>
        <v>0</v>
      </c>
      <c r="Y244" s="1267">
        <f t="shared" si="79"/>
        <v>0</v>
      </c>
      <c r="Z244" s="1267">
        <f t="shared" si="79"/>
        <v>0</v>
      </c>
      <c r="AA244" s="1267">
        <f t="shared" si="79"/>
        <v>0</v>
      </c>
      <c r="AB244" s="1267">
        <f t="shared" si="79"/>
        <v>5.0563181597424709</v>
      </c>
      <c r="AC244" s="1267"/>
      <c r="AD244" s="1267"/>
      <c r="AE244" s="1267"/>
      <c r="AF244" s="1267"/>
      <c r="AG244" s="1267"/>
      <c r="AH244" s="1267"/>
      <c r="AI244" s="1267"/>
      <c r="AJ244" s="1267"/>
      <c r="AK244" s="1267"/>
      <c r="AL244" s="1267"/>
      <c r="AM244" s="1267"/>
      <c r="AN244" s="1267"/>
      <c r="AO244" s="1267"/>
      <c r="AP244" s="1267"/>
      <c r="AQ244" s="1267"/>
      <c r="AR244" s="1267"/>
      <c r="AS244" s="1267"/>
      <c r="AT244" s="1267"/>
      <c r="AU244" s="1267"/>
      <c r="AV244" s="1267"/>
      <c r="AW244" s="1267"/>
      <c r="AX244" s="1267"/>
      <c r="AY244" s="1267"/>
      <c r="AZ244" s="1267"/>
      <c r="BA244" s="1267"/>
      <c r="BB244" s="1267"/>
      <c r="BC244" s="1267"/>
      <c r="BD244" s="1267"/>
      <c r="BE244" s="1267"/>
      <c r="BF244" s="1267"/>
      <c r="BG244" s="757"/>
    </row>
  </sheetData>
  <mergeCells count="5">
    <mergeCell ref="C1:H1"/>
    <mergeCell ref="R1:X1"/>
    <mergeCell ref="I2:P2"/>
    <mergeCell ref="C3:H3"/>
    <mergeCell ref="I3:P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BD7B7-8575-4CCC-A277-6B1691FB58A1}">
  <dimension ref="B1:BN327"/>
  <sheetViews>
    <sheetView topLeftCell="G1" zoomScale="70" zoomScaleNormal="70" workbookViewId="0">
      <selection activeCell="BC9" sqref="BC9"/>
    </sheetView>
  </sheetViews>
  <sheetFormatPr defaultColWidth="9.109375" defaultRowHeight="13.2"/>
  <cols>
    <col min="1" max="1" width="4.5546875" style="1006" customWidth="1"/>
    <col min="2" max="2" width="50" style="1006" customWidth="1"/>
    <col min="3" max="4" width="8.5546875" style="1006" customWidth="1"/>
    <col min="5" max="5" width="18.6640625" style="1006" customWidth="1"/>
    <col min="6" max="6" width="17.6640625" style="1006" customWidth="1"/>
    <col min="7" max="7" width="13.109375" style="1006" customWidth="1"/>
    <col min="8" max="8" width="16.109375" style="1007" customWidth="1"/>
    <col min="9" max="9" width="9.5546875" style="1007" customWidth="1"/>
    <col min="10" max="10" width="12.21875" style="1007" customWidth="1"/>
    <col min="11" max="11" width="14.77734375" style="1007" customWidth="1"/>
    <col min="12" max="12" width="9.5546875" style="1007" customWidth="1"/>
    <col min="13" max="13" width="9.5546875" style="1186" customWidth="1"/>
    <col min="14" max="16" width="9.5546875" style="1006" customWidth="1"/>
    <col min="17" max="17" width="12.6640625" style="1006" customWidth="1"/>
    <col min="18" max="25" width="9.5546875" style="1006" customWidth="1"/>
    <col min="26" max="26" width="10.88671875" style="1006" customWidth="1"/>
    <col min="27" max="27" width="0.109375" style="1006" customWidth="1"/>
    <col min="28" max="28" width="0.44140625" style="1006" hidden="1" customWidth="1"/>
    <col min="29" max="29" width="0.33203125" style="1006" hidden="1" customWidth="1"/>
    <col min="30" max="30" width="0.6640625" style="1006" hidden="1" customWidth="1"/>
    <col min="31" max="31" width="15.33203125" style="1006" hidden="1" customWidth="1"/>
    <col min="32" max="32" width="13.33203125" style="1006" hidden="1" customWidth="1"/>
    <col min="33" max="33" width="15.88671875" style="1006" hidden="1" customWidth="1"/>
    <col min="34" max="34" width="0.21875" style="1006" customWidth="1"/>
    <col min="35" max="35" width="15.44140625" style="1006" hidden="1" customWidth="1"/>
    <col min="36" max="36" width="0.21875" style="1006" hidden="1" customWidth="1"/>
    <col min="37" max="37" width="12.6640625" style="1006" hidden="1" customWidth="1"/>
    <col min="38" max="38" width="16.6640625" style="1006" hidden="1" customWidth="1"/>
    <col min="39" max="39" width="0.109375" style="1006" hidden="1" customWidth="1"/>
    <col min="40" max="40" width="39.33203125" style="1006" hidden="1" customWidth="1"/>
    <col min="41" max="41" width="0.33203125" style="1006" customWidth="1"/>
    <col min="42" max="43" width="0.109375" style="1006" hidden="1" customWidth="1"/>
    <col min="44" max="44" width="24.5546875" style="1006" hidden="1" customWidth="1"/>
    <col min="45" max="47" width="0.21875" style="1006" hidden="1" customWidth="1"/>
    <col min="48" max="48" width="13.77734375" style="1006" hidden="1" customWidth="1"/>
    <col min="49" max="49" width="22.6640625" style="1006" hidden="1" customWidth="1"/>
    <col min="50" max="50" width="0.109375" style="1006" customWidth="1"/>
    <col min="51" max="51" width="0.21875" style="1006" customWidth="1"/>
    <col min="52" max="52" width="0.109375" style="1006" hidden="1" customWidth="1"/>
    <col min="53" max="53" width="19" style="1006" hidden="1" customWidth="1"/>
    <col min="54" max="54" width="0.33203125" style="1006" customWidth="1"/>
    <col min="55" max="55" width="31.109375" style="1006" customWidth="1"/>
    <col min="56" max="56" width="28.5546875" style="1006" customWidth="1"/>
    <col min="57" max="57" width="21.88671875" style="1006" customWidth="1"/>
    <col min="58" max="58" width="15.33203125" style="1006" customWidth="1"/>
    <col min="59" max="59" width="16.21875" style="1006" customWidth="1"/>
    <col min="60" max="60" width="19.44140625" style="1006" customWidth="1"/>
    <col min="61" max="61" width="17.109375" style="1006" customWidth="1"/>
    <col min="62" max="62" width="15.109375" style="1006" customWidth="1"/>
    <col min="63" max="63" width="18.6640625" style="1006" customWidth="1"/>
    <col min="64" max="64" width="15.77734375" style="1006" customWidth="1"/>
    <col min="65" max="65" width="11.44140625" style="1006" customWidth="1"/>
    <col min="66" max="16384" width="9.109375" style="1006"/>
  </cols>
  <sheetData>
    <row r="1" spans="2:57">
      <c r="B1" s="3">
        <f>1</f>
        <v>1</v>
      </c>
      <c r="J1" s="424"/>
      <c r="K1" s="424"/>
      <c r="L1" s="424"/>
      <c r="M1" s="480"/>
      <c r="N1" s="480">
        <v>1</v>
      </c>
      <c r="O1" s="480">
        <v>2</v>
      </c>
      <c r="P1" s="1008">
        <v>3</v>
      </c>
      <c r="Q1" s="1009">
        <v>1</v>
      </c>
      <c r="R1" s="1009">
        <v>2</v>
      </c>
      <c r="S1" s="1009">
        <v>3</v>
      </c>
      <c r="T1" s="1009">
        <v>4</v>
      </c>
      <c r="U1" s="1009">
        <v>5</v>
      </c>
      <c r="V1" s="1009">
        <v>6</v>
      </c>
      <c r="W1" s="1009">
        <v>7</v>
      </c>
      <c r="X1" s="1009">
        <v>8</v>
      </c>
      <c r="Y1" s="1009">
        <v>9</v>
      </c>
      <c r="Z1" s="1009">
        <v>10</v>
      </c>
      <c r="AA1" s="1009">
        <v>11</v>
      </c>
      <c r="AB1" s="1009">
        <v>12</v>
      </c>
      <c r="AC1" s="1009">
        <v>13</v>
      </c>
      <c r="AD1" s="1009">
        <v>14</v>
      </c>
      <c r="AE1" s="1009">
        <v>15</v>
      </c>
      <c r="AF1" s="1009">
        <v>16</v>
      </c>
      <c r="AG1" s="1009">
        <v>17</v>
      </c>
      <c r="AH1" s="1009">
        <v>18</v>
      </c>
      <c r="AI1" s="1009">
        <v>19</v>
      </c>
      <c r="AJ1" s="1009">
        <v>1</v>
      </c>
      <c r="AK1" s="1009">
        <v>2</v>
      </c>
      <c r="AL1" s="1009">
        <v>3</v>
      </c>
      <c r="AM1" s="1009">
        <v>4</v>
      </c>
      <c r="AN1" s="1009">
        <v>5</v>
      </c>
      <c r="AO1" s="1009">
        <v>6</v>
      </c>
      <c r="AP1" s="1009">
        <v>7</v>
      </c>
      <c r="AQ1" s="1009">
        <v>8</v>
      </c>
      <c r="AR1" s="1009">
        <v>9</v>
      </c>
      <c r="AS1" s="1009">
        <v>10</v>
      </c>
      <c r="AT1" s="1009">
        <v>11</v>
      </c>
      <c r="AU1" s="1009">
        <v>12</v>
      </c>
      <c r="AV1" s="1009">
        <v>13</v>
      </c>
      <c r="AW1" s="1009">
        <v>14</v>
      </c>
      <c r="AX1" s="1009">
        <v>15</v>
      </c>
      <c r="AY1" s="1009">
        <v>16</v>
      </c>
      <c r="AZ1" s="1009">
        <v>17</v>
      </c>
      <c r="BA1" s="1009">
        <v>18</v>
      </c>
    </row>
    <row r="2" spans="2:57">
      <c r="B2" s="1010"/>
      <c r="C2" s="1010"/>
      <c r="D2" s="1010"/>
      <c r="E2" s="1011" t="str">
        <f t="shared" ref="E2:K2" ca="1" si="0">IF(TODAY()&lt;E3,"Proj","")</f>
        <v/>
      </c>
      <c r="F2" s="1011" t="str">
        <f t="shared" ca="1" si="0"/>
        <v/>
      </c>
      <c r="G2" s="1011"/>
      <c r="H2" s="1012" t="str">
        <f t="shared" ca="1" si="0"/>
        <v/>
      </c>
      <c r="I2" s="1012" t="str">
        <f t="shared" ca="1" si="0"/>
        <v/>
      </c>
      <c r="J2" s="1013" t="str">
        <f t="shared" ca="1" si="0"/>
        <v/>
      </c>
      <c r="K2" s="1013" t="str">
        <f t="shared" ca="1" si="0"/>
        <v/>
      </c>
      <c r="L2" s="1013" t="str">
        <f ca="1">IF(TODAY()&lt;L3,"Proj","")</f>
        <v/>
      </c>
      <c r="M2" s="1014" t="str">
        <f t="shared" ref="M2:BA2" ca="1" si="1">IF(TODAY()&lt;M3,"Proj","")</f>
        <v/>
      </c>
      <c r="N2" s="1014" t="str">
        <f t="shared" ca="1" si="1"/>
        <v/>
      </c>
      <c r="O2" s="1014" t="str">
        <f t="shared" ca="1" si="1"/>
        <v/>
      </c>
      <c r="P2" s="1015" t="str">
        <f t="shared" ca="1" si="1"/>
        <v/>
      </c>
      <c r="Q2" s="1016" t="str">
        <f t="shared" ca="1" si="1"/>
        <v>Proj</v>
      </c>
      <c r="R2" s="1016" t="str">
        <f t="shared" ca="1" si="1"/>
        <v>Proj</v>
      </c>
      <c r="S2" s="1016" t="str">
        <f t="shared" ca="1" si="1"/>
        <v>Proj</v>
      </c>
      <c r="T2" s="1016" t="str">
        <f t="shared" ca="1" si="1"/>
        <v>Proj</v>
      </c>
      <c r="U2" s="1016" t="str">
        <f t="shared" ca="1" si="1"/>
        <v>Proj</v>
      </c>
      <c r="V2" s="1016" t="str">
        <f t="shared" ca="1" si="1"/>
        <v>Proj</v>
      </c>
      <c r="W2" s="1016" t="str">
        <f t="shared" ca="1" si="1"/>
        <v>Proj</v>
      </c>
      <c r="X2" s="1016" t="str">
        <f t="shared" ca="1" si="1"/>
        <v>Proj</v>
      </c>
      <c r="Y2" s="1016" t="str">
        <f t="shared" ca="1" si="1"/>
        <v>Proj</v>
      </c>
      <c r="Z2" s="1016" t="str">
        <f t="shared" ca="1" si="1"/>
        <v>Proj</v>
      </c>
      <c r="AA2" s="1016" t="str">
        <f t="shared" ca="1" si="1"/>
        <v>Proj</v>
      </c>
      <c r="AB2" s="1016" t="str">
        <f t="shared" ca="1" si="1"/>
        <v>Proj</v>
      </c>
      <c r="AC2" s="1016" t="str">
        <f t="shared" ca="1" si="1"/>
        <v>Proj</v>
      </c>
      <c r="AD2" s="1016" t="str">
        <f t="shared" ca="1" si="1"/>
        <v>Proj</v>
      </c>
      <c r="AE2" s="1016" t="str">
        <f t="shared" ca="1" si="1"/>
        <v>Proj</v>
      </c>
      <c r="AF2" s="1016" t="str">
        <f t="shared" ca="1" si="1"/>
        <v>Proj</v>
      </c>
      <c r="AG2" s="1016" t="str">
        <f t="shared" ca="1" si="1"/>
        <v>Proj</v>
      </c>
      <c r="AH2" s="1016" t="str">
        <f t="shared" ca="1" si="1"/>
        <v>Proj</v>
      </c>
      <c r="AI2" s="1016" t="str">
        <f t="shared" ca="1" si="1"/>
        <v>Proj</v>
      </c>
      <c r="AJ2" s="1016" t="str">
        <f t="shared" ca="1" si="1"/>
        <v>Proj</v>
      </c>
      <c r="AK2" s="1016" t="str">
        <f t="shared" ca="1" si="1"/>
        <v>Proj</v>
      </c>
      <c r="AL2" s="1016" t="str">
        <f t="shared" ca="1" si="1"/>
        <v>Proj</v>
      </c>
      <c r="AM2" s="1016" t="str">
        <f t="shared" ca="1" si="1"/>
        <v>Proj</v>
      </c>
      <c r="AN2" s="1016" t="str">
        <f t="shared" ca="1" si="1"/>
        <v>Proj</v>
      </c>
      <c r="AO2" s="1016" t="str">
        <f t="shared" ca="1" si="1"/>
        <v>Proj</v>
      </c>
      <c r="AP2" s="1016" t="str">
        <f t="shared" ca="1" si="1"/>
        <v>Proj</v>
      </c>
      <c r="AQ2" s="1016" t="str">
        <f t="shared" ca="1" si="1"/>
        <v>Proj</v>
      </c>
      <c r="AR2" s="1016" t="str">
        <f t="shared" ca="1" si="1"/>
        <v>Proj</v>
      </c>
      <c r="AS2" s="1016" t="str">
        <f t="shared" ca="1" si="1"/>
        <v>Proj</v>
      </c>
      <c r="AT2" s="1016" t="str">
        <f t="shared" ca="1" si="1"/>
        <v>Proj</v>
      </c>
      <c r="AU2" s="1016" t="str">
        <f t="shared" ca="1" si="1"/>
        <v>Proj</v>
      </c>
      <c r="AV2" s="1016" t="str">
        <f t="shared" ca="1" si="1"/>
        <v>Proj</v>
      </c>
      <c r="AW2" s="1016" t="str">
        <f t="shared" ca="1" si="1"/>
        <v>Proj</v>
      </c>
      <c r="AX2" s="1016" t="str">
        <f t="shared" ca="1" si="1"/>
        <v>Proj</v>
      </c>
      <c r="AY2" s="1016" t="str">
        <f t="shared" ca="1" si="1"/>
        <v>Proj</v>
      </c>
      <c r="AZ2" s="1016" t="str">
        <f t="shared" ca="1" si="1"/>
        <v>Proj</v>
      </c>
      <c r="BA2" s="1016" t="str">
        <f t="shared" ca="1" si="1"/>
        <v>Proj</v>
      </c>
      <c r="BB2" s="1011"/>
      <c r="BC2" s="2719"/>
    </row>
    <row r="3" spans="2:57" ht="13.8" thickBot="1">
      <c r="B3" s="1017" t="s">
        <v>784</v>
      </c>
      <c r="C3" s="1018"/>
      <c r="D3" s="1019">
        <v>41274</v>
      </c>
      <c r="E3" s="1018">
        <f>DATE(YEAR(D3),MONTH(D3)+13,0)</f>
        <v>41639</v>
      </c>
      <c r="F3" s="1018">
        <f t="shared" ref="F3:BA3" si="2">DATE(YEAR(E3),MONTH(E3)+13,0)</f>
        <v>42004</v>
      </c>
      <c r="G3" s="1018">
        <f t="shared" si="2"/>
        <v>42369</v>
      </c>
      <c r="H3" s="1018">
        <f t="shared" si="2"/>
        <v>42735</v>
      </c>
      <c r="I3" s="1018">
        <f t="shared" si="2"/>
        <v>43100</v>
      </c>
      <c r="J3" s="1020">
        <f t="shared" si="2"/>
        <v>43465</v>
      </c>
      <c r="K3" s="1020">
        <f t="shared" si="2"/>
        <v>43830</v>
      </c>
      <c r="L3" s="1020">
        <f t="shared" si="2"/>
        <v>44196</v>
      </c>
      <c r="M3" s="1020">
        <f t="shared" si="2"/>
        <v>44561</v>
      </c>
      <c r="N3" s="1020">
        <f t="shared" si="2"/>
        <v>44926</v>
      </c>
      <c r="O3" s="1020">
        <f t="shared" si="2"/>
        <v>45291</v>
      </c>
      <c r="P3" s="1021">
        <f t="shared" si="2"/>
        <v>45657</v>
      </c>
      <c r="Q3" s="1022">
        <f t="shared" si="2"/>
        <v>46022</v>
      </c>
      <c r="R3" s="1022">
        <f t="shared" si="2"/>
        <v>46387</v>
      </c>
      <c r="S3" s="1022">
        <f t="shared" si="2"/>
        <v>46752</v>
      </c>
      <c r="T3" s="1022">
        <f t="shared" si="2"/>
        <v>47118</v>
      </c>
      <c r="U3" s="1022">
        <f t="shared" si="2"/>
        <v>47483</v>
      </c>
      <c r="V3" s="1022">
        <f t="shared" si="2"/>
        <v>47848</v>
      </c>
      <c r="W3" s="1022">
        <f t="shared" si="2"/>
        <v>48213</v>
      </c>
      <c r="X3" s="1022">
        <f t="shared" si="2"/>
        <v>48579</v>
      </c>
      <c r="Y3" s="1022">
        <f t="shared" si="2"/>
        <v>48944</v>
      </c>
      <c r="Z3" s="1022">
        <f t="shared" si="2"/>
        <v>49309</v>
      </c>
      <c r="AA3" s="1022">
        <f t="shared" si="2"/>
        <v>49674</v>
      </c>
      <c r="AB3" s="1022">
        <f t="shared" si="2"/>
        <v>50040</v>
      </c>
      <c r="AC3" s="1022">
        <f t="shared" si="2"/>
        <v>50405</v>
      </c>
      <c r="AD3" s="1022">
        <f t="shared" si="2"/>
        <v>50770</v>
      </c>
      <c r="AE3" s="1022">
        <f t="shared" si="2"/>
        <v>51135</v>
      </c>
      <c r="AF3" s="1022">
        <f t="shared" si="2"/>
        <v>51501</v>
      </c>
      <c r="AG3" s="1022">
        <f t="shared" si="2"/>
        <v>51866</v>
      </c>
      <c r="AH3" s="1022">
        <f t="shared" si="2"/>
        <v>52231</v>
      </c>
      <c r="AI3" s="1022">
        <f t="shared" si="2"/>
        <v>52596</v>
      </c>
      <c r="AJ3" s="1022">
        <f t="shared" si="2"/>
        <v>52962</v>
      </c>
      <c r="AK3" s="1022">
        <f t="shared" si="2"/>
        <v>53327</v>
      </c>
      <c r="AL3" s="1022">
        <f t="shared" si="2"/>
        <v>53692</v>
      </c>
      <c r="AM3" s="1022">
        <f t="shared" si="2"/>
        <v>54057</v>
      </c>
      <c r="AN3" s="1022">
        <f t="shared" si="2"/>
        <v>54423</v>
      </c>
      <c r="AO3" s="1022">
        <f t="shared" si="2"/>
        <v>54788</v>
      </c>
      <c r="AP3" s="1022">
        <f t="shared" si="2"/>
        <v>55153</v>
      </c>
      <c r="AQ3" s="1022">
        <f t="shared" si="2"/>
        <v>55518</v>
      </c>
      <c r="AR3" s="1022">
        <f t="shared" si="2"/>
        <v>55884</v>
      </c>
      <c r="AS3" s="1022">
        <f t="shared" si="2"/>
        <v>56249</v>
      </c>
      <c r="AT3" s="1022">
        <f t="shared" si="2"/>
        <v>56614</v>
      </c>
      <c r="AU3" s="1022">
        <f t="shared" si="2"/>
        <v>56979</v>
      </c>
      <c r="AV3" s="1022">
        <f t="shared" si="2"/>
        <v>57345</v>
      </c>
      <c r="AW3" s="1022">
        <f t="shared" si="2"/>
        <v>57710</v>
      </c>
      <c r="AX3" s="1022">
        <f t="shared" si="2"/>
        <v>58075</v>
      </c>
      <c r="AY3" s="1022">
        <f t="shared" si="2"/>
        <v>58440</v>
      </c>
      <c r="AZ3" s="1022">
        <f t="shared" si="2"/>
        <v>58806</v>
      </c>
      <c r="BA3" s="1022">
        <f t="shared" si="2"/>
        <v>59171</v>
      </c>
      <c r="BB3" s="1023"/>
      <c r="BC3" s="2719"/>
    </row>
    <row r="4" spans="2:57" s="480" customFormat="1" ht="13.8" thickTop="1">
      <c r="B4" s="1024"/>
      <c r="C4" s="1024"/>
      <c r="D4" s="1025"/>
      <c r="E4" s="1024"/>
      <c r="F4" s="1024"/>
      <c r="G4" s="1024"/>
      <c r="H4" s="1026"/>
      <c r="I4" s="1026"/>
      <c r="J4" s="1026"/>
      <c r="K4" s="2501">
        <f>'Consol. Rev.'!K4</f>
        <v>0</v>
      </c>
      <c r="L4" s="2501">
        <f>'Consol. Rev.'!L4</f>
        <v>7.3592304982240009E-2</v>
      </c>
      <c r="M4" s="2501">
        <f>'Consol. Rev.'!M4</f>
        <v>0.30530403583535581</v>
      </c>
      <c r="N4" s="2501">
        <f>'Consol. Rev.'!N4</f>
        <v>0.61346599997020768</v>
      </c>
      <c r="O4" s="2501">
        <f>'Consol. Rev.'!O4</f>
        <v>-0.21061754682099965</v>
      </c>
      <c r="P4" s="2526">
        <f>'Consol. Rev.'!P4</f>
        <v>0.16053712285367405</v>
      </c>
      <c r="Q4" s="2501">
        <f>'Consol. Rev.'!Q4</f>
        <v>0.21581151028155654</v>
      </c>
      <c r="R4" s="2501">
        <f>'Consol. Rev.'!R4</f>
        <v>4.8080581095734543E-2</v>
      </c>
      <c r="S4" s="2501">
        <f>'Consol. Rev.'!S4</f>
        <v>2.8293767027980588E-2</v>
      </c>
      <c r="T4" s="2501">
        <f>'Consol. Rev.'!T4</f>
        <v>0.17853788685403615</v>
      </c>
      <c r="U4" s="2501">
        <f>'Consol. Rev.'!U4</f>
        <v>-3.0890592581832466E-2</v>
      </c>
      <c r="V4" s="2501">
        <f>'Consol. Rev.'!V4</f>
        <v>-6.4212469634901237E-2</v>
      </c>
      <c r="W4" s="2501">
        <f>'Consol. Rev.'!W4</f>
        <v>2.5780405052106881E-2</v>
      </c>
      <c r="X4" s="2501">
        <f>'Consol. Rev.'!X4</f>
        <v>2.1888374128678167E-2</v>
      </c>
      <c r="Y4" s="2501">
        <f>'Consol. Rev.'!Y4</f>
        <v>5.185198752811182E-2</v>
      </c>
      <c r="Z4" s="2501">
        <f>'Consol. Rev.'!Z4</f>
        <v>1.3457614331405798E-2</v>
      </c>
    </row>
    <row r="5" spans="2:57" s="480" customFormat="1" ht="15.75" customHeight="1">
      <c r="B5" s="1027" t="s">
        <v>785</v>
      </c>
      <c r="C5" s="1028"/>
      <c r="D5" s="1028"/>
      <c r="E5" s="1029"/>
      <c r="F5" s="1029"/>
      <c r="H5" s="1030"/>
      <c r="I5" s="2504" t="s">
        <v>1467</v>
      </c>
      <c r="J5" s="1030"/>
      <c r="K5" s="2502">
        <v>334.78</v>
      </c>
      <c r="L5" s="2502">
        <v>122.89</v>
      </c>
      <c r="M5" s="2502">
        <v>72.58</v>
      </c>
      <c r="N5" s="2502">
        <v>85.78</v>
      </c>
      <c r="O5" s="2502">
        <v>404.72</v>
      </c>
      <c r="P5" s="2503">
        <v>1173.2</v>
      </c>
      <c r="Q5" s="1031"/>
      <c r="R5" s="1031"/>
      <c r="S5" s="1031"/>
      <c r="T5" s="1031"/>
      <c r="U5" s="1031"/>
      <c r="V5" s="1031"/>
      <c r="W5" s="1031"/>
      <c r="X5" s="1031"/>
      <c r="Y5" s="1031"/>
      <c r="Z5" s="1031"/>
      <c r="AA5" s="1031"/>
      <c r="AB5" s="1031"/>
      <c r="AC5" s="1031"/>
      <c r="AD5" s="1031"/>
      <c r="AE5" s="1031"/>
      <c r="AF5" s="1031"/>
      <c r="AG5" s="1031"/>
      <c r="AH5" s="1031"/>
      <c r="AI5" s="1031"/>
      <c r="AJ5" s="1031"/>
      <c r="AK5" s="1031"/>
      <c r="AL5" s="1031"/>
      <c r="AM5" s="1031"/>
      <c r="AN5" s="1031"/>
      <c r="AO5" s="1031"/>
      <c r="AP5" s="1031"/>
      <c r="AQ5" s="1031"/>
      <c r="AR5" s="1031"/>
      <c r="AS5" s="1031"/>
      <c r="AT5" s="1031"/>
      <c r="AU5" s="1031"/>
      <c r="AV5" s="1031"/>
      <c r="AW5" s="1031"/>
      <c r="AX5" s="1031"/>
      <c r="AY5" s="1031"/>
      <c r="AZ5" s="1031"/>
      <c r="BA5" s="1031"/>
      <c r="BB5" s="1031"/>
      <c r="BC5" s="424"/>
      <c r="BD5" s="424"/>
      <c r="BE5" s="424"/>
    </row>
    <row r="6" spans="2:57" s="480" customFormat="1">
      <c r="B6" s="1032" t="s">
        <v>786</v>
      </c>
      <c r="E6" s="1031"/>
      <c r="F6" s="1031"/>
      <c r="G6" s="1031"/>
      <c r="H6" s="1033"/>
      <c r="I6" s="1034"/>
      <c r="J6" s="1034"/>
      <c r="K6" s="1034">
        <f>SUM(K28,K63,K96,K130)</f>
        <v>14332.143265471999</v>
      </c>
      <c r="L6" s="1034">
        <f t="shared" ref="L6:P6" si="3">SUM(L28,L63,L96,L130)</f>
        <v>14419.172057600001</v>
      </c>
      <c r="M6" s="1034">
        <f t="shared" si="3"/>
        <v>15257.151570123</v>
      </c>
      <c r="N6" s="1034">
        <f t="shared" si="3"/>
        <v>15449.403528183999</v>
      </c>
      <c r="O6" s="1034">
        <f t="shared" si="3"/>
        <v>15930.494608039</v>
      </c>
      <c r="P6" s="2527">
        <f t="shared" si="3"/>
        <v>17036.285262714002</v>
      </c>
      <c r="Q6" s="1035">
        <f>SUM(Q28,Q63,Q96,Q130)</f>
        <v>17775.325863156126</v>
      </c>
      <c r="R6" s="1035">
        <f t="shared" ref="R6:Z6" si="4">SUM(R28,R63,R96,R130)</f>
        <v>18445.335345558422</v>
      </c>
      <c r="S6" s="1035">
        <f t="shared" si="4"/>
        <v>19103.040313244772</v>
      </c>
      <c r="T6" s="1035">
        <f t="shared" si="4"/>
        <v>20190.227018722417</v>
      </c>
      <c r="U6" s="1035">
        <f t="shared" si="4"/>
        <v>20611.206504930407</v>
      </c>
      <c r="V6" s="1035">
        <f t="shared" si="4"/>
        <v>20953.572912139203</v>
      </c>
      <c r="W6" s="1035">
        <f t="shared" si="4"/>
        <v>21230.539288419812</v>
      </c>
      <c r="X6" s="1035">
        <f t="shared" si="4"/>
        <v>21540.38417126656</v>
      </c>
      <c r="Y6" s="1035">
        <f t="shared" si="4"/>
        <v>21904.591003830134</v>
      </c>
      <c r="Z6" s="1035">
        <f t="shared" si="4"/>
        <v>22257.61352487807</v>
      </c>
      <c r="AA6" s="1035"/>
      <c r="AB6" s="1035"/>
      <c r="AC6" s="1035"/>
      <c r="AD6" s="1035"/>
      <c r="AE6" s="1035"/>
      <c r="AF6" s="1035"/>
      <c r="AG6" s="1035"/>
      <c r="AH6" s="1035"/>
      <c r="AI6" s="1035"/>
      <c r="AJ6" s="1035"/>
      <c r="AK6" s="1035"/>
      <c r="AL6" s="1035"/>
      <c r="AM6" s="1035"/>
      <c r="AN6" s="1035"/>
      <c r="AO6" s="1035"/>
      <c r="AP6" s="1035"/>
      <c r="AQ6" s="1035"/>
      <c r="AR6" s="1035"/>
      <c r="AS6" s="1035"/>
      <c r="AT6" s="1035"/>
      <c r="AU6" s="1035"/>
      <c r="AV6" s="1035"/>
      <c r="AW6" s="1035"/>
      <c r="AX6" s="1035"/>
      <c r="AY6" s="1035"/>
      <c r="AZ6" s="1035"/>
      <c r="BA6" s="1035"/>
      <c r="BB6" s="1031"/>
      <c r="BC6" s="424"/>
      <c r="BD6" s="424"/>
      <c r="BE6" s="424"/>
    </row>
    <row r="7" spans="2:57" s="480" customFormat="1">
      <c r="B7" s="1032" t="s">
        <v>787</v>
      </c>
      <c r="E7" s="1031"/>
      <c r="F7" s="1031"/>
      <c r="G7" s="1031"/>
      <c r="H7" s="1033"/>
      <c r="I7" s="1034"/>
      <c r="J7" s="1034"/>
      <c r="K7" s="1034">
        <f>SUM(K41,K75,K108,K142)</f>
        <v>5187.6362446180001</v>
      </c>
      <c r="L7" s="1034">
        <f t="shared" ref="L7:P7" si="5">SUM(L41,L75,L108,L142)</f>
        <v>3955.4285967230016</v>
      </c>
      <c r="M7" s="1034">
        <f t="shared" si="5"/>
        <v>3405.6232899449997</v>
      </c>
      <c r="N7" s="1034">
        <f t="shared" si="5"/>
        <v>2206.8525786489995</v>
      </c>
      <c r="O7" s="1034">
        <f t="shared" si="5"/>
        <v>1600.1754400819993</v>
      </c>
      <c r="P7" s="2527">
        <f t="shared" si="5"/>
        <v>1946.1944642860026</v>
      </c>
      <c r="Q7" s="1035">
        <f>SUM(Q41,Q75,Q108,Q142)</f>
        <v>1819.0390902190743</v>
      </c>
      <c r="R7" s="1035">
        <f t="shared" ref="R7:Z7" si="6">SUM(R41,R75,R108,R142)</f>
        <v>1530.9702101064054</v>
      </c>
      <c r="S7" s="1035">
        <f t="shared" si="6"/>
        <v>1788.6094856584459</v>
      </c>
      <c r="T7" s="1035">
        <f t="shared" si="6"/>
        <v>2471.1394511420422</v>
      </c>
      <c r="U7" s="1035">
        <f t="shared" si="6"/>
        <v>2500.2998123958087</v>
      </c>
      <c r="V7" s="1035">
        <f t="shared" si="6"/>
        <v>2450.9811950742096</v>
      </c>
      <c r="W7" s="1035">
        <f t="shared" si="6"/>
        <v>2376.274967628171</v>
      </c>
      <c r="X7" s="1035">
        <f t="shared" si="6"/>
        <v>2292.1043244056045</v>
      </c>
      <c r="Y7" s="1035">
        <f t="shared" si="6"/>
        <v>2237.0048920638055</v>
      </c>
      <c r="Z7" s="1035">
        <f t="shared" si="6"/>
        <v>2142.3770552759515</v>
      </c>
      <c r="AA7" s="1035"/>
      <c r="AB7" s="1035"/>
      <c r="AC7" s="1035"/>
      <c r="AD7" s="1035"/>
      <c r="AE7" s="1035"/>
      <c r="AF7" s="1035"/>
      <c r="AG7" s="1035"/>
      <c r="AH7" s="1035"/>
      <c r="AI7" s="1035"/>
      <c r="AJ7" s="1035"/>
      <c r="AK7" s="1035"/>
      <c r="AL7" s="1035"/>
      <c r="AM7" s="1035"/>
      <c r="AN7" s="1035"/>
      <c r="AO7" s="1035"/>
      <c r="AP7" s="1035"/>
      <c r="AQ7" s="1035"/>
      <c r="AR7" s="1035"/>
      <c r="AS7" s="1035"/>
      <c r="AT7" s="1035"/>
      <c r="AU7" s="1035"/>
      <c r="AV7" s="1035"/>
      <c r="AW7" s="1035"/>
      <c r="AX7" s="1035"/>
      <c r="AY7" s="1035"/>
      <c r="AZ7" s="1035"/>
      <c r="BA7" s="1035"/>
      <c r="BB7" s="1031"/>
      <c r="BC7" s="424"/>
      <c r="BD7" s="424"/>
      <c r="BE7" s="424"/>
    </row>
    <row r="8" spans="2:57" s="480" customFormat="1">
      <c r="B8" s="1032" t="s">
        <v>788</v>
      </c>
      <c r="E8" s="1031"/>
      <c r="F8" s="1031"/>
      <c r="G8" s="1031"/>
      <c r="H8" s="1033"/>
      <c r="I8" s="1034"/>
      <c r="J8" s="1036"/>
      <c r="K8" s="1036">
        <f>SUM(K37,K71,K104,K138)</f>
        <v>1322.2267394990001</v>
      </c>
      <c r="L8" s="1036">
        <f t="shared" ref="L8:P8" si="7">SUM(L37,L71,L104,L138)</f>
        <v>1319.2364400229999</v>
      </c>
      <c r="M8" s="1036">
        <f t="shared" si="7"/>
        <v>1387.784819301</v>
      </c>
      <c r="N8" s="1036">
        <f t="shared" si="7"/>
        <v>1400.190238912</v>
      </c>
      <c r="O8" s="1036">
        <f t="shared" si="7"/>
        <v>1087.768218422</v>
      </c>
      <c r="P8" s="2528">
        <f t="shared" si="7"/>
        <v>764.84693843500008</v>
      </c>
      <c r="Q8" s="1037">
        <f>SUM(Q37,Q71,Q104,Q138)</f>
        <v>866.19597450905121</v>
      </c>
      <c r="R8" s="1037">
        <f t="shared" ref="R8:Z8" si="8">SUM(R37,R71,R104,R138)</f>
        <v>958.07836251496497</v>
      </c>
      <c r="S8" s="1037">
        <f t="shared" si="8"/>
        <v>400.06569213431158</v>
      </c>
      <c r="T8" s="1037">
        <f t="shared" si="8"/>
        <v>404.65673999404856</v>
      </c>
      <c r="U8" s="1037">
        <f t="shared" si="8"/>
        <v>391.81912495422546</v>
      </c>
      <c r="V8" s="1037">
        <f t="shared" si="8"/>
        <v>391.68502453039241</v>
      </c>
      <c r="W8" s="1037">
        <f t="shared" si="8"/>
        <v>351.67260372664737</v>
      </c>
      <c r="X8" s="1037">
        <f t="shared" si="8"/>
        <v>394.01552606931426</v>
      </c>
      <c r="Y8" s="1037">
        <f t="shared" si="8"/>
        <v>419.30626490537486</v>
      </c>
      <c r="Z8" s="1037">
        <f t="shared" si="8"/>
        <v>447.65035783578924</v>
      </c>
      <c r="AA8" s="1037"/>
      <c r="AB8" s="1037"/>
      <c r="AC8" s="1037"/>
      <c r="AD8" s="1037"/>
      <c r="AE8" s="1037"/>
      <c r="AF8" s="1037"/>
      <c r="AG8" s="1037"/>
      <c r="AH8" s="1037"/>
      <c r="AI8" s="1037"/>
      <c r="AJ8" s="1037"/>
      <c r="AK8" s="1037"/>
      <c r="AL8" s="1037"/>
      <c r="AM8" s="1037"/>
      <c r="AN8" s="1037"/>
      <c r="AO8" s="1037"/>
      <c r="AP8" s="1037"/>
      <c r="AQ8" s="1037"/>
      <c r="AR8" s="1037"/>
      <c r="AS8" s="1035"/>
      <c r="AT8" s="1035"/>
      <c r="AU8" s="1035"/>
      <c r="AV8" s="1035"/>
      <c r="AW8" s="1035"/>
      <c r="AX8" s="1035"/>
      <c r="AY8" s="1035"/>
      <c r="AZ8" s="1035"/>
      <c r="BA8" s="1035"/>
      <c r="BB8" s="1031"/>
      <c r="BC8" s="2518" t="s">
        <v>1472</v>
      </c>
      <c r="BD8" s="2518" t="s">
        <v>1470</v>
      </c>
      <c r="BE8" s="2518" t="s">
        <v>1471</v>
      </c>
    </row>
    <row r="9" spans="2:57" s="480" customFormat="1" ht="15" customHeight="1">
      <c r="B9" s="1032" t="s">
        <v>686</v>
      </c>
      <c r="E9" s="1031"/>
      <c r="F9" s="1031"/>
      <c r="G9" s="1031"/>
      <c r="H9" s="1038"/>
      <c r="I9" s="1034"/>
      <c r="J9" s="1036"/>
      <c r="K9" s="1036">
        <f>(K26+K27)+(K61+K62)+(K94+K95)+(K128)+(K216-K215)</f>
        <v>525.57927712399987</v>
      </c>
      <c r="L9" s="1036">
        <f t="shared" ref="L9:P9" si="9">(L26+L27)+(L61+L62)+(L94+L95)+(L128)+(L216-L215)</f>
        <v>149.47800251600009</v>
      </c>
      <c r="M9" s="1036">
        <f t="shared" si="9"/>
        <v>143.14214198499985</v>
      </c>
      <c r="N9" s="1036">
        <f t="shared" si="9"/>
        <v>159.310219722</v>
      </c>
      <c r="O9" s="1036">
        <f t="shared" si="9"/>
        <v>536.10483310699999</v>
      </c>
      <c r="P9" s="2528">
        <f t="shared" si="9"/>
        <v>1618.7662871250002</v>
      </c>
      <c r="Q9" s="1037">
        <f>Q10*Input!Q45</f>
        <v>793.61444847162204</v>
      </c>
      <c r="R9" s="1037">
        <f>R10*Input!R45</f>
        <v>719.4857840413008</v>
      </c>
      <c r="S9" s="1037">
        <f>S10*Input!S45</f>
        <v>706.27265251081963</v>
      </c>
      <c r="T9" s="1037">
        <f>T10*Input!T45</f>
        <v>1167.4691175791336</v>
      </c>
      <c r="U9" s="1037">
        <f>U10*Input!U45</f>
        <v>452.06637167829581</v>
      </c>
      <c r="V9" s="1037">
        <f>V10*Input!V45</f>
        <v>367.64817422706108</v>
      </c>
      <c r="W9" s="1037">
        <f>W10*Input!W45</f>
        <v>297.41873156308685</v>
      </c>
      <c r="X9" s="1037">
        <f>X10*Input!X45</f>
        <v>332.72512452640376</v>
      </c>
      <c r="Y9" s="1037">
        <f>Y10*Input!Y45</f>
        <v>391.10138790970905</v>
      </c>
      <c r="Z9" s="1037">
        <f>Z10*Input!Z45</f>
        <v>379.0911800676617</v>
      </c>
      <c r="AA9" s="1037"/>
      <c r="AB9" s="1035"/>
      <c r="AC9" s="1035"/>
      <c r="AD9" s="1035"/>
      <c r="AE9" s="1035"/>
      <c r="AF9" s="1035"/>
      <c r="AG9" s="1035"/>
      <c r="AH9" s="1035"/>
      <c r="AI9" s="1035"/>
      <c r="AJ9" s="1035"/>
      <c r="AK9" s="1035"/>
      <c r="AL9" s="1035"/>
      <c r="AM9" s="1035"/>
      <c r="AN9" s="1035"/>
      <c r="AO9" s="1035"/>
      <c r="AP9" s="1035"/>
      <c r="AQ9" s="1035"/>
      <c r="AR9" s="1035"/>
      <c r="AS9" s="1035"/>
      <c r="AT9" s="1035"/>
      <c r="AU9" s="1035"/>
      <c r="AV9" s="1035"/>
      <c r="AW9" s="1035"/>
      <c r="AX9" s="1035"/>
      <c r="AY9" s="1035"/>
      <c r="AZ9" s="1035"/>
      <c r="BA9" s="1035"/>
      <c r="BB9" s="1033"/>
      <c r="BC9" s="2511">
        <f>SUM(Q9:Z9)</f>
        <v>5606.8929725750932</v>
      </c>
      <c r="BD9" s="2511">
        <v>768</v>
      </c>
      <c r="BE9" s="2511">
        <f>900000000*16000/10^9</f>
        <v>14400</v>
      </c>
    </row>
    <row r="10" spans="2:57" s="1040" customFormat="1" ht="26.4">
      <c r="B10" s="1039" t="s">
        <v>789</v>
      </c>
      <c r="E10" s="1041"/>
      <c r="F10" s="1041"/>
      <c r="G10" s="1041"/>
      <c r="H10" s="1042"/>
      <c r="I10" s="1043"/>
      <c r="J10" s="1044"/>
      <c r="K10" s="1044">
        <f>K9/Input!K47</f>
        <v>1.3345865805483481</v>
      </c>
      <c r="L10" s="1044">
        <f>L9/Input!L47</f>
        <v>0.23231041219149304</v>
      </c>
      <c r="M10" s="1044">
        <f>M9/Input!M47</f>
        <v>7.8132483255439936E-2</v>
      </c>
      <c r="N10" s="1044">
        <f>N9/Input!N47</f>
        <v>3.6601664405491723E-2</v>
      </c>
      <c r="O10" s="1044">
        <f>O9/Input!O47</f>
        <v>0.78537347095303855</v>
      </c>
      <c r="P10" s="2529">
        <f>P9/Input!P47</f>
        <v>1.5900383441501897</v>
      </c>
      <c r="Q10" s="1045">
        <v>0.379</v>
      </c>
      <c r="R10" s="1045">
        <v>0.3</v>
      </c>
      <c r="S10" s="1045">
        <v>0.25</v>
      </c>
      <c r="T10" s="1045">
        <v>0.25</v>
      </c>
      <c r="U10" s="1045">
        <v>0.12</v>
      </c>
      <c r="V10" s="1045">
        <v>0.12</v>
      </c>
      <c r="W10" s="1045">
        <v>0.1</v>
      </c>
      <c r="X10" s="1045">
        <v>0.1</v>
      </c>
      <c r="Y10" s="1045">
        <v>0.1</v>
      </c>
      <c r="Z10" s="1045">
        <v>0.1</v>
      </c>
      <c r="AA10" s="1045"/>
      <c r="AB10" s="1045"/>
      <c r="AC10" s="1045"/>
      <c r="AD10" s="1045"/>
      <c r="AE10" s="1045"/>
      <c r="AF10" s="1045"/>
      <c r="AG10" s="1045"/>
      <c r="AH10" s="1045"/>
      <c r="AI10" s="1045"/>
      <c r="AJ10" s="1045"/>
      <c r="AK10" s="1045"/>
      <c r="AL10" s="1045"/>
      <c r="AM10" s="1045"/>
      <c r="AN10" s="1045"/>
      <c r="AO10" s="1045"/>
      <c r="AP10" s="1045"/>
      <c r="AQ10" s="1045"/>
      <c r="AR10" s="1045"/>
      <c r="AS10" s="1045"/>
      <c r="AT10" s="1045"/>
      <c r="AU10" s="1045"/>
      <c r="AV10" s="1045"/>
      <c r="AW10" s="1045"/>
      <c r="AX10" s="1045"/>
      <c r="AY10" s="1045"/>
      <c r="AZ10" s="1045"/>
      <c r="BA10" s="1045"/>
      <c r="BB10" s="1046"/>
      <c r="BC10" s="2500" t="s">
        <v>1466</v>
      </c>
      <c r="BD10" s="2514">
        <f>BC9/BD9</f>
        <v>7.3006418913738189</v>
      </c>
      <c r="BE10" s="2514">
        <f>BC9/BE9</f>
        <v>0.38936756753993701</v>
      </c>
    </row>
    <row r="11" spans="2:57" s="1040" customFormat="1">
      <c r="B11" s="1039"/>
      <c r="E11" s="1041"/>
      <c r="F11" s="1041"/>
      <c r="G11" s="2720"/>
      <c r="H11" s="2721"/>
      <c r="I11" s="2721"/>
      <c r="J11" s="2721"/>
      <c r="K11" s="2721"/>
      <c r="L11" s="2721"/>
      <c r="M11" s="2721"/>
      <c r="N11" s="2721"/>
      <c r="O11" s="2721"/>
      <c r="P11" s="2721"/>
      <c r="Q11" s="2721"/>
      <c r="R11" s="2721"/>
      <c r="S11" s="2721"/>
      <c r="T11" s="2721"/>
      <c r="U11" s="2721"/>
      <c r="V11" s="2721"/>
      <c r="W11" s="2721"/>
      <c r="X11" s="2721"/>
      <c r="Y11" s="2721"/>
      <c r="Z11" s="2721"/>
      <c r="AA11" s="2722"/>
      <c r="AB11" s="1048"/>
      <c r="AC11" s="1048"/>
      <c r="AD11" s="1048"/>
      <c r="AE11" s="1048"/>
      <c r="AF11" s="1048"/>
      <c r="AG11" s="1048"/>
      <c r="AH11" s="1048"/>
      <c r="AI11" s="1048"/>
      <c r="AJ11" s="1048"/>
      <c r="AK11" s="1048"/>
      <c r="AL11" s="1048"/>
      <c r="AM11" s="1048"/>
      <c r="AN11" s="1048"/>
      <c r="AO11" s="1048"/>
      <c r="AP11" s="1048"/>
      <c r="AQ11" s="1048"/>
      <c r="AR11" s="1048"/>
      <c r="AS11" s="1048"/>
      <c r="AT11" s="1048"/>
      <c r="AU11" s="1048"/>
      <c r="AV11" s="1048"/>
      <c r="AW11" s="1048"/>
      <c r="AX11" s="1048"/>
      <c r="AY11" s="1048"/>
      <c r="AZ11" s="1048"/>
      <c r="BA11" s="1048"/>
      <c r="BB11" s="1046"/>
      <c r="BC11" s="2472"/>
      <c r="BD11" s="1047"/>
      <c r="BE11" s="1047"/>
    </row>
    <row r="12" spans="2:57" s="480" customFormat="1">
      <c r="B12" s="1049" t="s">
        <v>790</v>
      </c>
      <c r="C12" s="1050"/>
      <c r="D12" s="1050"/>
      <c r="E12" s="1051"/>
      <c r="F12" s="1051"/>
      <c r="G12" s="1051"/>
      <c r="H12" s="1033"/>
      <c r="I12" s="1034"/>
      <c r="J12" s="1034"/>
      <c r="K12" s="1034"/>
      <c r="L12" s="1034"/>
      <c r="M12" s="1034"/>
      <c r="N12" s="2530"/>
      <c r="O12" s="2530"/>
      <c r="P12" s="2531"/>
      <c r="Q12" s="1054"/>
      <c r="R12" s="1054"/>
      <c r="S12" s="1054"/>
      <c r="T12" s="1054"/>
      <c r="U12" s="1054"/>
      <c r="V12" s="1054"/>
      <c r="W12" s="1054"/>
      <c r="X12" s="1054"/>
      <c r="Y12" s="1054"/>
      <c r="Z12" s="1054"/>
      <c r="AA12" s="1054"/>
      <c r="AB12" s="1054"/>
      <c r="AC12" s="1054"/>
      <c r="AD12" s="1054"/>
      <c r="AE12" s="1054"/>
      <c r="AF12" s="1054"/>
      <c r="AG12" s="1054"/>
      <c r="AH12" s="1054"/>
      <c r="AI12" s="1054"/>
      <c r="AJ12" s="1054"/>
      <c r="AK12" s="1054"/>
      <c r="AL12" s="1054"/>
      <c r="AM12" s="1054"/>
      <c r="AN12" s="1054"/>
      <c r="AO12" s="1054"/>
      <c r="AP12" s="1054"/>
      <c r="AQ12" s="1054"/>
      <c r="AR12" s="1054"/>
      <c r="AS12" s="1054"/>
      <c r="AT12" s="1054"/>
      <c r="AU12" s="1054"/>
      <c r="AV12" s="1054"/>
      <c r="AW12" s="1054"/>
      <c r="AX12" s="1054"/>
      <c r="AY12" s="1054"/>
      <c r="AZ12" s="1054"/>
      <c r="BA12" s="1054"/>
      <c r="BB12" s="1033"/>
      <c r="BC12" s="2718" t="s">
        <v>1475</v>
      </c>
      <c r="BD12" s="2718"/>
      <c r="BE12" s="2542"/>
    </row>
    <row r="13" spans="2:57" s="480" customFormat="1">
      <c r="B13" s="1055" t="s">
        <v>791</v>
      </c>
      <c r="C13" s="1050"/>
      <c r="D13" s="1050"/>
      <c r="E13" s="1051"/>
      <c r="F13" s="1051"/>
      <c r="G13" s="1051"/>
      <c r="H13" s="334"/>
      <c r="I13" s="333"/>
      <c r="J13" s="334"/>
      <c r="K13" s="334">
        <f>(K26+K27)/K9</f>
        <v>0.28517387957752083</v>
      </c>
      <c r="L13" s="334">
        <f t="shared" ref="L13:P13" si="10">(L26+L27)/L9</f>
        <v>0.46677901151061674</v>
      </c>
      <c r="M13" s="334">
        <f t="shared" si="10"/>
        <v>5.8095386853659337</v>
      </c>
      <c r="N13" s="334">
        <f t="shared" si="10"/>
        <v>1.0475611923655745</v>
      </c>
      <c r="O13" s="334">
        <f t="shared" si="10"/>
        <v>0.2970296437380146</v>
      </c>
      <c r="P13" s="2532">
        <f t="shared" si="10"/>
        <v>0.65244428767032037</v>
      </c>
      <c r="Q13" s="1056">
        <f>73%</f>
        <v>0.73</v>
      </c>
      <c r="R13" s="1056">
        <f t="shared" ref="R13:Z13" si="11">Q13</f>
        <v>0.73</v>
      </c>
      <c r="S13" s="1056">
        <f t="shared" si="11"/>
        <v>0.73</v>
      </c>
      <c r="T13" s="1056">
        <f t="shared" si="11"/>
        <v>0.73</v>
      </c>
      <c r="U13" s="1056">
        <f t="shared" si="11"/>
        <v>0.73</v>
      </c>
      <c r="V13" s="1056">
        <f t="shared" si="11"/>
        <v>0.73</v>
      </c>
      <c r="W13" s="1056">
        <f t="shared" si="11"/>
        <v>0.73</v>
      </c>
      <c r="X13" s="1056">
        <f t="shared" si="11"/>
        <v>0.73</v>
      </c>
      <c r="Y13" s="1056">
        <f t="shared" si="11"/>
        <v>0.73</v>
      </c>
      <c r="Z13" s="1056">
        <f t="shared" si="11"/>
        <v>0.73</v>
      </c>
      <c r="AA13" s="1056"/>
      <c r="AB13" s="1056"/>
      <c r="AC13" s="1056"/>
      <c r="AD13" s="1056"/>
      <c r="AE13" s="1056"/>
      <c r="AF13" s="1056"/>
      <c r="AG13" s="1056"/>
      <c r="AH13" s="1056"/>
      <c r="AI13" s="1056"/>
      <c r="AJ13" s="1056"/>
      <c r="AK13" s="1056"/>
      <c r="AL13" s="1056"/>
      <c r="AM13" s="1056"/>
      <c r="AN13" s="1056"/>
      <c r="AO13" s="1056"/>
      <c r="AP13" s="1056"/>
      <c r="AQ13" s="1056"/>
      <c r="AR13" s="1056"/>
      <c r="AS13" s="1056"/>
      <c r="AT13" s="1056"/>
      <c r="AU13" s="1056"/>
      <c r="AV13" s="1056"/>
      <c r="AW13" s="1056"/>
      <c r="AX13" s="1056"/>
      <c r="AY13" s="1056"/>
      <c r="AZ13" s="1056"/>
      <c r="BA13" s="1056"/>
      <c r="BB13" s="1033"/>
      <c r="BC13" s="2511" t="s">
        <v>241</v>
      </c>
      <c r="BD13" s="2511" t="s">
        <v>1476</v>
      </c>
      <c r="BE13" s="424"/>
    </row>
    <row r="14" spans="2:57" s="480" customFormat="1">
      <c r="B14" s="1055" t="s">
        <v>792</v>
      </c>
      <c r="C14" s="1050"/>
      <c r="D14" s="1050"/>
      <c r="E14" s="1051"/>
      <c r="F14" s="1051"/>
      <c r="G14" s="1051"/>
      <c r="H14" s="1033"/>
      <c r="I14" s="333"/>
      <c r="J14" s="334"/>
      <c r="K14" s="334">
        <f>(K61+K62)/K9</f>
        <v>0</v>
      </c>
      <c r="L14" s="334">
        <f t="shared" ref="L14:P14" si="12">(L61+L62)/L9</f>
        <v>0</v>
      </c>
      <c r="M14" s="334">
        <f t="shared" si="12"/>
        <v>0</v>
      </c>
      <c r="N14" s="334">
        <f t="shared" si="12"/>
        <v>0</v>
      </c>
      <c r="O14" s="334">
        <f t="shared" si="12"/>
        <v>0</v>
      </c>
      <c r="P14" s="1210">
        <f t="shared" si="12"/>
        <v>7.4028140395010879E-3</v>
      </c>
      <c r="Q14" s="1056">
        <f>AVERAGE(K14:P14)</f>
        <v>1.2338023399168479E-3</v>
      </c>
      <c r="R14" s="1056">
        <f>Q14</f>
        <v>1.2338023399168479E-3</v>
      </c>
      <c r="S14" s="1056">
        <f t="shared" ref="S14:Z15" si="13">R14</f>
        <v>1.2338023399168479E-3</v>
      </c>
      <c r="T14" s="1056">
        <f t="shared" si="13"/>
        <v>1.2338023399168479E-3</v>
      </c>
      <c r="U14" s="1056">
        <f t="shared" si="13"/>
        <v>1.2338023399168479E-3</v>
      </c>
      <c r="V14" s="1056">
        <f t="shared" si="13"/>
        <v>1.2338023399168479E-3</v>
      </c>
      <c r="W14" s="1056">
        <f t="shared" si="13"/>
        <v>1.2338023399168479E-3</v>
      </c>
      <c r="X14" s="1056">
        <f t="shared" si="13"/>
        <v>1.2338023399168479E-3</v>
      </c>
      <c r="Y14" s="1056">
        <f t="shared" si="13"/>
        <v>1.2338023399168479E-3</v>
      </c>
      <c r="Z14" s="1056">
        <f t="shared" si="13"/>
        <v>1.2338023399168479E-3</v>
      </c>
      <c r="AA14" s="1057"/>
      <c r="AB14" s="1057">
        <f t="shared" ref="AB14:BA14" si="14">AA14</f>
        <v>0</v>
      </c>
      <c r="AC14" s="1057">
        <f t="shared" si="14"/>
        <v>0</v>
      </c>
      <c r="AD14" s="1057">
        <f t="shared" si="14"/>
        <v>0</v>
      </c>
      <c r="AE14" s="1057">
        <f t="shared" si="14"/>
        <v>0</v>
      </c>
      <c r="AF14" s="1057">
        <f t="shared" si="14"/>
        <v>0</v>
      </c>
      <c r="AG14" s="1057">
        <f t="shared" si="14"/>
        <v>0</v>
      </c>
      <c r="AH14" s="1057">
        <f t="shared" si="14"/>
        <v>0</v>
      </c>
      <c r="AI14" s="1057">
        <f t="shared" si="14"/>
        <v>0</v>
      </c>
      <c r="AJ14" s="1057">
        <f t="shared" si="14"/>
        <v>0</v>
      </c>
      <c r="AK14" s="1057">
        <f t="shared" si="14"/>
        <v>0</v>
      </c>
      <c r="AL14" s="1057">
        <f t="shared" si="14"/>
        <v>0</v>
      </c>
      <c r="AM14" s="1057">
        <f t="shared" si="14"/>
        <v>0</v>
      </c>
      <c r="AN14" s="1057">
        <f t="shared" si="14"/>
        <v>0</v>
      </c>
      <c r="AO14" s="1057">
        <f t="shared" si="14"/>
        <v>0</v>
      </c>
      <c r="AP14" s="1057">
        <f t="shared" si="14"/>
        <v>0</v>
      </c>
      <c r="AQ14" s="1057">
        <f t="shared" si="14"/>
        <v>0</v>
      </c>
      <c r="AR14" s="1057">
        <f t="shared" si="14"/>
        <v>0</v>
      </c>
      <c r="AS14" s="1057">
        <f t="shared" si="14"/>
        <v>0</v>
      </c>
      <c r="AT14" s="1057">
        <f t="shared" si="14"/>
        <v>0</v>
      </c>
      <c r="AU14" s="1057">
        <f t="shared" si="14"/>
        <v>0</v>
      </c>
      <c r="AV14" s="1057">
        <f t="shared" si="14"/>
        <v>0</v>
      </c>
      <c r="AW14" s="1057">
        <f t="shared" si="14"/>
        <v>0</v>
      </c>
      <c r="AX14" s="1057">
        <f t="shared" si="14"/>
        <v>0</v>
      </c>
      <c r="AY14" s="1057">
        <f t="shared" si="14"/>
        <v>0</v>
      </c>
      <c r="AZ14" s="1057">
        <f t="shared" si="14"/>
        <v>0</v>
      </c>
      <c r="BA14" s="1057">
        <f t="shared" si="14"/>
        <v>0</v>
      </c>
      <c r="BB14" s="1033"/>
      <c r="BC14" s="2543">
        <v>0.62</v>
      </c>
      <c r="BD14" s="2543">
        <v>0.38</v>
      </c>
      <c r="BE14" s="424"/>
    </row>
    <row r="15" spans="2:57" s="480" customFormat="1">
      <c r="B15" s="1055" t="s">
        <v>793</v>
      </c>
      <c r="C15" s="1050"/>
      <c r="D15" s="1050"/>
      <c r="E15" s="1051"/>
      <c r="F15" s="1051"/>
      <c r="G15" s="1051"/>
      <c r="H15" s="1033"/>
      <c r="I15" s="333"/>
      <c r="J15" s="334"/>
      <c r="K15" s="334">
        <f>(K94+K95)/K9</f>
        <v>4.4838260391381571E-2</v>
      </c>
      <c r="L15" s="334">
        <f t="shared" ref="L15:P15" si="15">(L94+L95)/L9</f>
        <v>0.11543904508058277</v>
      </c>
      <c r="M15" s="334">
        <f t="shared" si="15"/>
        <v>4.4638853844101267E-2</v>
      </c>
      <c r="N15" s="334">
        <f t="shared" si="15"/>
        <v>0.15921611543353642</v>
      </c>
      <c r="O15" s="334">
        <f t="shared" si="15"/>
        <v>0.60035282727391914</v>
      </c>
      <c r="P15" s="1210">
        <f t="shared" si="15"/>
        <v>2.3259943124261832E-2</v>
      </c>
      <c r="Q15" s="1056">
        <f>20%</f>
        <v>0.2</v>
      </c>
      <c r="R15" s="1056">
        <f>Q15</f>
        <v>0.2</v>
      </c>
      <c r="S15" s="1056">
        <f t="shared" si="13"/>
        <v>0.2</v>
      </c>
      <c r="T15" s="1056">
        <f t="shared" si="13"/>
        <v>0.2</v>
      </c>
      <c r="U15" s="1056">
        <f t="shared" si="13"/>
        <v>0.2</v>
      </c>
      <c r="V15" s="1056">
        <f t="shared" si="13"/>
        <v>0.2</v>
      </c>
      <c r="W15" s="1056">
        <f t="shared" si="13"/>
        <v>0.2</v>
      </c>
      <c r="X15" s="1056">
        <f t="shared" si="13"/>
        <v>0.2</v>
      </c>
      <c r="Y15" s="1056">
        <f t="shared" si="13"/>
        <v>0.2</v>
      </c>
      <c r="Z15" s="1056">
        <f t="shared" si="13"/>
        <v>0.2</v>
      </c>
      <c r="AA15" s="1056"/>
      <c r="AB15" s="1056"/>
      <c r="AC15" s="1056"/>
      <c r="AD15" s="1056"/>
      <c r="AE15" s="1056"/>
      <c r="AF15" s="1056"/>
      <c r="AG15" s="1056"/>
      <c r="AH15" s="1056"/>
      <c r="AI15" s="1056"/>
      <c r="AJ15" s="1056"/>
      <c r="AK15" s="1056"/>
      <c r="AL15" s="1056"/>
      <c r="AM15" s="1056"/>
      <c r="AN15" s="1056"/>
      <c r="AO15" s="1056"/>
      <c r="AP15" s="1056"/>
      <c r="AQ15" s="1056"/>
      <c r="AR15" s="1056"/>
      <c r="AS15" s="1056"/>
      <c r="AT15" s="1056"/>
      <c r="AU15" s="1056"/>
      <c r="AV15" s="1056"/>
      <c r="AW15" s="1056"/>
      <c r="AX15" s="1056"/>
      <c r="AY15" s="1056"/>
      <c r="AZ15" s="1056"/>
      <c r="BA15" s="1056"/>
      <c r="BB15" s="1033"/>
      <c r="BC15" s="424">
        <f>BC9*BC14</f>
        <v>3476.2736429965576</v>
      </c>
      <c r="BD15" s="424">
        <f>BC9*BD14</f>
        <v>2130.6193295785356</v>
      </c>
      <c r="BE15" s="424"/>
    </row>
    <row r="16" spans="2:57" s="480" customFormat="1">
      <c r="B16" s="1055" t="s">
        <v>794</v>
      </c>
      <c r="C16" s="1050"/>
      <c r="D16" s="1050"/>
      <c r="E16" s="1051"/>
      <c r="F16" s="1051"/>
      <c r="G16" s="1051"/>
      <c r="H16" s="1033"/>
      <c r="I16" s="333"/>
      <c r="J16" s="334"/>
      <c r="K16" s="334">
        <f>K128/K9</f>
        <v>0</v>
      </c>
      <c r="L16" s="334">
        <f t="shared" ref="L16:P16" si="16">L128/L9</f>
        <v>0</v>
      </c>
      <c r="M16" s="334">
        <f t="shared" si="16"/>
        <v>0</v>
      </c>
      <c r="N16" s="334">
        <f t="shared" si="16"/>
        <v>0</v>
      </c>
      <c r="O16" s="334">
        <f t="shared" si="16"/>
        <v>0</v>
      </c>
      <c r="P16" s="1210">
        <f t="shared" si="16"/>
        <v>0</v>
      </c>
      <c r="Q16" s="1056">
        <f>AVERAGE(K16:P16)</f>
        <v>0</v>
      </c>
      <c r="R16" s="1056">
        <f>Q16</f>
        <v>0</v>
      </c>
      <c r="S16" s="1056">
        <f t="shared" ref="S16:Z16" si="17">R16</f>
        <v>0</v>
      </c>
      <c r="T16" s="1056">
        <f t="shared" si="17"/>
        <v>0</v>
      </c>
      <c r="U16" s="1056">
        <f t="shared" si="17"/>
        <v>0</v>
      </c>
      <c r="V16" s="1056">
        <f t="shared" si="17"/>
        <v>0</v>
      </c>
      <c r="W16" s="1056">
        <f t="shared" si="17"/>
        <v>0</v>
      </c>
      <c r="X16" s="1056">
        <f t="shared" si="17"/>
        <v>0</v>
      </c>
      <c r="Y16" s="1056">
        <f t="shared" si="17"/>
        <v>0</v>
      </c>
      <c r="Z16" s="1056">
        <f t="shared" si="17"/>
        <v>0</v>
      </c>
      <c r="AA16" s="1057"/>
      <c r="AB16" s="1057"/>
      <c r="AC16" s="1057"/>
      <c r="AD16" s="1057"/>
      <c r="AE16" s="1057"/>
      <c r="AF16" s="1057"/>
      <c r="AG16" s="1057"/>
      <c r="AH16" s="1057"/>
      <c r="AI16" s="1057"/>
      <c r="AJ16" s="1057"/>
      <c r="AK16" s="1057"/>
      <c r="AL16" s="1057"/>
      <c r="AM16" s="1057"/>
      <c r="AN16" s="1057"/>
      <c r="AO16" s="1057"/>
      <c r="AP16" s="1057"/>
      <c r="AQ16" s="1057"/>
      <c r="AR16" s="1057"/>
      <c r="AS16" s="1057"/>
      <c r="AT16" s="1057"/>
      <c r="AU16" s="1057"/>
      <c r="AV16" s="1057"/>
      <c r="AW16" s="1057"/>
      <c r="AX16" s="1057"/>
      <c r="AY16" s="1057"/>
      <c r="AZ16" s="1057"/>
      <c r="BA16" s="1057"/>
      <c r="BB16" s="1033"/>
      <c r="BC16" s="424"/>
      <c r="BD16" s="424"/>
      <c r="BE16" s="424"/>
    </row>
    <row r="17" spans="2:66" s="480" customFormat="1" ht="14.4" customHeight="1">
      <c r="B17" s="1055" t="s">
        <v>795</v>
      </c>
      <c r="C17" s="1050"/>
      <c r="D17" s="1050"/>
      <c r="E17" s="1051"/>
      <c r="F17" s="1051"/>
      <c r="G17" s="1051"/>
      <c r="H17" s="1033"/>
      <c r="I17" s="333"/>
      <c r="J17" s="334"/>
      <c r="K17" s="334">
        <f>(K216-K215)/K9</f>
        <v>0.66998786003109767</v>
      </c>
      <c r="L17" s="334">
        <f t="shared" ref="L17:P17" si="18">(L216-L215)/L9</f>
        <v>0.41778194340880054</v>
      </c>
      <c r="M17" s="334">
        <f t="shared" si="18"/>
        <v>-4.8541775392100357</v>
      </c>
      <c r="N17" s="334">
        <f t="shared" si="18"/>
        <v>-0.20677730779911099</v>
      </c>
      <c r="O17" s="334">
        <f t="shared" si="18"/>
        <v>0.10261752898806627</v>
      </c>
      <c r="P17" s="1210">
        <f t="shared" si="18"/>
        <v>0.31689295516591659</v>
      </c>
      <c r="Q17" s="1056">
        <f>100%-SUM(Q13:Q16)</f>
        <v>6.8766197660083073E-2</v>
      </c>
      <c r="R17" s="1056">
        <f t="shared" ref="R17:Z17" si="19">100%-SUM(R13:R16)</f>
        <v>6.8766197660083073E-2</v>
      </c>
      <c r="S17" s="1056">
        <f t="shared" si="19"/>
        <v>6.8766197660083073E-2</v>
      </c>
      <c r="T17" s="1056">
        <f t="shared" si="19"/>
        <v>6.8766197660083073E-2</v>
      </c>
      <c r="U17" s="1056">
        <f t="shared" si="19"/>
        <v>6.8766197660083073E-2</v>
      </c>
      <c r="V17" s="1056">
        <f t="shared" si="19"/>
        <v>6.8766197660083073E-2</v>
      </c>
      <c r="W17" s="1056">
        <f t="shared" si="19"/>
        <v>6.8766197660083073E-2</v>
      </c>
      <c r="X17" s="1056">
        <f t="shared" si="19"/>
        <v>6.8766197660083073E-2</v>
      </c>
      <c r="Y17" s="1056">
        <f t="shared" si="19"/>
        <v>6.8766197660083073E-2</v>
      </c>
      <c r="Z17" s="1056">
        <f t="shared" si="19"/>
        <v>6.8766197660083073E-2</v>
      </c>
      <c r="AA17" s="1056"/>
      <c r="AB17" s="1056"/>
      <c r="AC17" s="1056"/>
      <c r="AD17" s="1056"/>
      <c r="AE17" s="1056"/>
      <c r="AF17" s="1056"/>
      <c r="AG17" s="1056"/>
      <c r="AH17" s="1056"/>
      <c r="AI17" s="1056"/>
      <c r="AJ17" s="1056"/>
      <c r="AK17" s="1056"/>
      <c r="AL17" s="1056"/>
      <c r="AM17" s="1056"/>
      <c r="AN17" s="1056"/>
      <c r="AO17" s="1056"/>
      <c r="AP17" s="1056"/>
      <c r="AQ17" s="1056"/>
      <c r="AR17" s="1056"/>
      <c r="AS17" s="1056"/>
      <c r="AT17" s="1056"/>
      <c r="AU17" s="1056"/>
      <c r="AV17" s="1056"/>
      <c r="AW17" s="1056"/>
      <c r="AX17" s="1056"/>
      <c r="AY17" s="1056"/>
      <c r="AZ17" s="1056"/>
      <c r="BA17" s="1056"/>
      <c r="BB17" s="1058"/>
      <c r="BC17" s="2718" t="s">
        <v>1477</v>
      </c>
      <c r="BD17" s="2718"/>
      <c r="BE17" s="2718"/>
      <c r="BF17" s="2718"/>
      <c r="BG17" s="2718"/>
      <c r="BH17" s="2718"/>
      <c r="BI17" s="2718"/>
      <c r="BJ17" s="2718"/>
      <c r="BK17" s="2718"/>
      <c r="BL17" s="2718"/>
      <c r="BM17" s="2718"/>
    </row>
    <row r="18" spans="2:66" s="480" customFormat="1">
      <c r="B18" s="1028"/>
      <c r="C18" s="1028"/>
      <c r="D18" s="1028"/>
      <c r="E18" s="1029"/>
      <c r="F18" s="1029"/>
      <c r="G18" s="1029"/>
      <c r="H18" s="1030"/>
      <c r="I18" s="1030"/>
      <c r="J18" s="1059"/>
      <c r="K18" s="2512">
        <f>SUM(K13:K17)</f>
        <v>1</v>
      </c>
      <c r="L18" s="2512">
        <f t="shared" ref="L18:Q18" si="20">SUM(L13:L17)</f>
        <v>1</v>
      </c>
      <c r="M18" s="2512">
        <f t="shared" si="20"/>
        <v>0.99999999999999911</v>
      </c>
      <c r="N18" s="2512">
        <f t="shared" si="20"/>
        <v>0.99999999999999989</v>
      </c>
      <c r="O18" s="2512">
        <f t="shared" si="20"/>
        <v>1</v>
      </c>
      <c r="P18" s="2533">
        <f t="shared" si="20"/>
        <v>0.99999999999999978</v>
      </c>
      <c r="Q18" s="2513">
        <f t="shared" si="20"/>
        <v>1</v>
      </c>
      <c r="R18" s="2513">
        <f t="shared" ref="R18" si="21">SUM(R13:R17)</f>
        <v>1</v>
      </c>
      <c r="S18" s="2513">
        <f t="shared" ref="S18" si="22">SUM(S13:S17)</f>
        <v>1</v>
      </c>
      <c r="T18" s="2513">
        <f t="shared" ref="T18" si="23">SUM(T13:T17)</f>
        <v>1</v>
      </c>
      <c r="U18" s="2513">
        <f t="shared" ref="U18" si="24">SUM(U13:U17)</f>
        <v>1</v>
      </c>
      <c r="V18" s="2513">
        <f t="shared" ref="V18:W18" si="25">SUM(V13:V17)</f>
        <v>1</v>
      </c>
      <c r="W18" s="2513">
        <f t="shared" si="25"/>
        <v>1</v>
      </c>
      <c r="X18" s="2513">
        <f t="shared" ref="X18" si="26">SUM(X13:X17)</f>
        <v>1</v>
      </c>
      <c r="Y18" s="2513">
        <f t="shared" ref="Y18" si="27">SUM(Y13:Y17)</f>
        <v>1</v>
      </c>
      <c r="Z18" s="2513">
        <f t="shared" ref="Z18" si="28">SUM(Z13:Z17)</f>
        <v>1</v>
      </c>
      <c r="AA18" s="1060"/>
      <c r="AB18" s="1031"/>
      <c r="AC18" s="1031"/>
      <c r="AD18" s="1031"/>
      <c r="AE18" s="1031"/>
      <c r="AF18" s="1031"/>
      <c r="AG18" s="1031"/>
      <c r="AH18" s="1031"/>
      <c r="AI18" s="1031"/>
      <c r="AJ18" s="1031"/>
      <c r="AK18" s="1031"/>
      <c r="AL18" s="1031"/>
      <c r="AM18" s="1031"/>
      <c r="AN18" s="1031"/>
      <c r="AO18" s="1031"/>
      <c r="AP18" s="1031"/>
      <c r="AQ18" s="1031"/>
      <c r="AR18" s="1031"/>
      <c r="AS18" s="1031"/>
      <c r="AT18" s="1031"/>
      <c r="AU18" s="1031"/>
      <c r="AV18" s="1031"/>
      <c r="AW18" s="1031"/>
      <c r="AX18" s="1031"/>
      <c r="AY18" s="1031"/>
      <c r="AZ18" s="1031"/>
      <c r="BA18" s="1031"/>
      <c r="BB18" s="1031"/>
      <c r="BC18" s="2544"/>
      <c r="BD18" s="2545">
        <f t="shared" ref="BD18:BM18" si="29">Q3</f>
        <v>46022</v>
      </c>
      <c r="BE18" s="2545">
        <f t="shared" si="29"/>
        <v>46387</v>
      </c>
      <c r="BF18" s="2545">
        <f t="shared" si="29"/>
        <v>46752</v>
      </c>
      <c r="BG18" s="2545">
        <f t="shared" si="29"/>
        <v>47118</v>
      </c>
      <c r="BH18" s="2545">
        <f t="shared" si="29"/>
        <v>47483</v>
      </c>
      <c r="BI18" s="2545">
        <f t="shared" si="29"/>
        <v>47848</v>
      </c>
      <c r="BJ18" s="2545">
        <f t="shared" si="29"/>
        <v>48213</v>
      </c>
      <c r="BK18" s="2545">
        <f t="shared" si="29"/>
        <v>48579</v>
      </c>
      <c r="BL18" s="2545">
        <f t="shared" si="29"/>
        <v>48944</v>
      </c>
      <c r="BM18" s="2545">
        <f t="shared" si="29"/>
        <v>49309</v>
      </c>
    </row>
    <row r="19" spans="2:66" s="480" customFormat="1">
      <c r="B19" s="1061" t="s">
        <v>796</v>
      </c>
      <c r="C19" s="1061"/>
      <c r="D19" s="1061"/>
      <c r="E19" s="1062"/>
      <c r="F19" s="1062"/>
      <c r="G19" s="1062"/>
      <c r="H19" s="1063"/>
      <c r="I19" s="1063"/>
      <c r="J19" s="1063"/>
      <c r="K19" s="1063"/>
      <c r="L19" s="1063"/>
      <c r="M19" s="1064"/>
      <c r="N19" s="1064"/>
      <c r="O19" s="1064"/>
      <c r="P19" s="1065"/>
      <c r="Q19" s="1064"/>
      <c r="R19" s="1064"/>
      <c r="S19" s="1064"/>
      <c r="T19" s="1064"/>
      <c r="U19" s="1064"/>
      <c r="V19" s="1064"/>
      <c r="W19" s="1064"/>
      <c r="X19" s="1066"/>
      <c r="Y19" s="1067"/>
      <c r="Z19" s="1064"/>
      <c r="AA19" s="1064"/>
      <c r="AB19" s="1064"/>
      <c r="AC19" s="1064"/>
      <c r="AD19" s="1064"/>
      <c r="AE19" s="1064"/>
      <c r="AF19" s="1064"/>
      <c r="AG19" s="1064"/>
      <c r="AH19" s="1064"/>
      <c r="AI19" s="1064"/>
      <c r="AJ19" s="1064"/>
      <c r="AK19" s="1064"/>
      <c r="AL19" s="1064"/>
      <c r="AM19" s="1064"/>
      <c r="AN19" s="1064"/>
      <c r="AO19" s="1064"/>
      <c r="AP19" s="1064"/>
      <c r="AQ19" s="1064"/>
      <c r="AR19" s="1064"/>
      <c r="AS19" s="1064"/>
      <c r="AT19" s="1064"/>
      <c r="AU19" s="1064"/>
      <c r="AV19" s="1064"/>
      <c r="AW19" s="1064"/>
      <c r="AX19" s="1064"/>
      <c r="AY19" s="1064"/>
      <c r="AZ19" s="1064"/>
      <c r="BA19" s="1064"/>
      <c r="BB19" s="1031"/>
      <c r="BC19" s="2511" t="s">
        <v>241</v>
      </c>
      <c r="BD19" s="2549">
        <f>Q9*$BC$14</f>
        <v>492.04095805240564</v>
      </c>
      <c r="BE19" s="2549">
        <f t="shared" ref="BE19:BM19" si="30">R9*$BC$14</f>
        <v>446.08118610560649</v>
      </c>
      <c r="BF19" s="2549">
        <f t="shared" si="30"/>
        <v>437.88904455670814</v>
      </c>
      <c r="BG19" s="2549">
        <f t="shared" si="30"/>
        <v>723.83085289906285</v>
      </c>
      <c r="BH19" s="2549">
        <f t="shared" si="30"/>
        <v>280.2811504405434</v>
      </c>
      <c r="BI19" s="2549">
        <f t="shared" si="30"/>
        <v>227.94186802077786</v>
      </c>
      <c r="BJ19" s="2549">
        <f t="shared" si="30"/>
        <v>184.39961356911385</v>
      </c>
      <c r="BK19" s="2549">
        <f t="shared" si="30"/>
        <v>206.28957720637032</v>
      </c>
      <c r="BL19" s="2549">
        <f t="shared" si="30"/>
        <v>242.48286050401961</v>
      </c>
      <c r="BM19" s="2549">
        <f t="shared" si="30"/>
        <v>235.03653164195026</v>
      </c>
      <c r="BN19" s="424">
        <f>SUM(BD19:BM19)</f>
        <v>3476.2736429965585</v>
      </c>
    </row>
    <row r="20" spans="2:66" s="480" customFormat="1">
      <c r="B20" s="1068"/>
      <c r="C20" s="1068"/>
      <c r="D20" s="1068"/>
      <c r="E20" s="1069"/>
      <c r="F20" s="1069"/>
      <c r="G20" s="1069"/>
      <c r="H20" s="1058"/>
      <c r="I20" s="1058"/>
      <c r="J20" s="1058"/>
      <c r="K20" s="1058"/>
      <c r="L20" s="1058"/>
      <c r="M20" s="1058"/>
      <c r="N20" s="1070"/>
      <c r="O20" s="1070"/>
      <c r="P20" s="1071"/>
      <c r="Q20" s="1031"/>
      <c r="R20" s="1031"/>
      <c r="S20" s="1031"/>
      <c r="T20" s="1031"/>
      <c r="U20" s="1031"/>
      <c r="V20" s="1031"/>
      <c r="W20" s="1031"/>
      <c r="X20" s="1031"/>
      <c r="Y20" s="1031"/>
      <c r="Z20" s="1031"/>
      <c r="AA20" s="1031"/>
      <c r="AB20" s="1031"/>
      <c r="AC20" s="1031"/>
      <c r="AD20" s="1031"/>
      <c r="AE20" s="1031"/>
      <c r="AF20" s="1031"/>
      <c r="AG20" s="1031"/>
      <c r="AH20" s="1031"/>
      <c r="AI20" s="1031"/>
      <c r="AJ20" s="1031"/>
      <c r="AK20" s="1031"/>
      <c r="AL20" s="1031"/>
      <c r="AM20" s="1031"/>
      <c r="AN20" s="1031"/>
      <c r="AO20" s="1031"/>
      <c r="AP20" s="1031"/>
      <c r="AQ20" s="1031"/>
      <c r="AR20" s="1031"/>
      <c r="AS20" s="1031"/>
      <c r="AT20" s="1031"/>
      <c r="AU20" s="1031"/>
      <c r="AV20" s="1031"/>
      <c r="AW20" s="1031"/>
      <c r="AX20" s="1031"/>
      <c r="AY20" s="1031"/>
      <c r="AZ20" s="1031"/>
      <c r="BA20" s="1031"/>
      <c r="BB20" s="1031"/>
      <c r="BC20" s="2511" t="s">
        <v>1476</v>
      </c>
      <c r="BD20" s="2549">
        <f>Q9*$BD$14</f>
        <v>301.5734904192164</v>
      </c>
      <c r="BE20" s="2549">
        <f t="shared" ref="BE20:BM20" si="31">R9*$BD$14</f>
        <v>273.40459793569431</v>
      </c>
      <c r="BF20" s="2549">
        <f t="shared" si="31"/>
        <v>268.38360795411148</v>
      </c>
      <c r="BG20" s="2549">
        <f t="shared" si="31"/>
        <v>443.63826468007079</v>
      </c>
      <c r="BH20" s="2549">
        <f t="shared" si="31"/>
        <v>171.78522123775241</v>
      </c>
      <c r="BI20" s="2549">
        <f t="shared" si="31"/>
        <v>139.70630620628322</v>
      </c>
      <c r="BJ20" s="2549">
        <f t="shared" si="31"/>
        <v>113.019117993973</v>
      </c>
      <c r="BK20" s="2549">
        <f t="shared" si="31"/>
        <v>126.43554732003344</v>
      </c>
      <c r="BL20" s="2549">
        <f t="shared" si="31"/>
        <v>148.61852740568943</v>
      </c>
      <c r="BM20" s="2549">
        <f t="shared" si="31"/>
        <v>144.05464842571143</v>
      </c>
      <c r="BN20" s="424">
        <f>SUM(BD20:BM20)</f>
        <v>2130.6193295785361</v>
      </c>
    </row>
    <row r="21" spans="2:66" s="480" customFormat="1" ht="13.8">
      <c r="B21" s="1072" t="s">
        <v>797</v>
      </c>
      <c r="C21" s="1050"/>
      <c r="D21" s="1050"/>
      <c r="E21" s="1051"/>
      <c r="F21" s="1051"/>
      <c r="G21" s="1051"/>
      <c r="H21" s="1058"/>
      <c r="I21" s="1058"/>
      <c r="J21" s="1073"/>
      <c r="K21" s="1058"/>
      <c r="L21" s="1058"/>
      <c r="M21" s="1031"/>
      <c r="N21" s="1074"/>
      <c r="O21" s="1074"/>
      <c r="P21" s="1075"/>
      <c r="Q21" s="1031"/>
      <c r="R21" s="1031"/>
      <c r="S21" s="1031"/>
      <c r="T21" s="1031"/>
      <c r="U21" s="1031"/>
      <c r="V21" s="1031"/>
      <c r="W21" s="1031"/>
      <c r="X21" s="1031"/>
      <c r="Y21" s="1031"/>
      <c r="Z21" s="1031"/>
      <c r="AA21" s="1031"/>
      <c r="AB21" s="1031"/>
      <c r="AC21" s="1031"/>
      <c r="AD21" s="1031"/>
      <c r="AE21" s="1031"/>
      <c r="AF21" s="1031"/>
      <c r="AG21" s="1031"/>
      <c r="AH21" s="1031"/>
      <c r="AI21" s="1031"/>
      <c r="AJ21" s="1031"/>
      <c r="AK21" s="1031"/>
      <c r="AL21" s="1031"/>
      <c r="AM21" s="1031"/>
      <c r="AN21" s="1031"/>
      <c r="AO21" s="1031"/>
      <c r="AP21" s="1031"/>
      <c r="AQ21" s="1031"/>
      <c r="AR21" s="1031"/>
      <c r="AS21" s="1031"/>
      <c r="AT21" s="1031"/>
      <c r="AU21" s="1031"/>
      <c r="AV21" s="1031"/>
      <c r="AW21" s="1031"/>
      <c r="AX21" s="1031"/>
      <c r="AY21" s="1031"/>
      <c r="AZ21" s="1031"/>
      <c r="BA21" s="1031"/>
      <c r="BB21" s="1031"/>
      <c r="BC21" s="424"/>
      <c r="BD21" s="424"/>
      <c r="BE21" s="424"/>
      <c r="BF21" s="424"/>
      <c r="BG21" s="424"/>
      <c r="BH21" s="424"/>
      <c r="BI21" s="424"/>
      <c r="BJ21" s="424"/>
      <c r="BK21" s="424"/>
      <c r="BL21" s="424"/>
      <c r="BM21" s="424"/>
      <c r="BN21" s="424">
        <f>SUM(BN19:BN20)</f>
        <v>5606.892972575095</v>
      </c>
    </row>
    <row r="22" spans="2:66" s="480" customFormat="1">
      <c r="B22" s="1068" t="s">
        <v>798</v>
      </c>
      <c r="C22" s="1068"/>
      <c r="D22" s="1068"/>
      <c r="E22" s="1076"/>
      <c r="F22" s="1076"/>
      <c r="G22" s="1076"/>
      <c r="H22" s="93"/>
      <c r="I22" s="93"/>
      <c r="J22" s="93"/>
      <c r="K22" s="93"/>
      <c r="L22" s="93"/>
      <c r="M22" s="93"/>
      <c r="N22" s="1077"/>
      <c r="O22" s="1077"/>
      <c r="P22" s="1078"/>
      <c r="Q22" s="93"/>
      <c r="R22" s="93"/>
      <c r="S22" s="93"/>
      <c r="T22" s="93"/>
      <c r="U22" s="93"/>
      <c r="V22" s="93"/>
      <c r="W22" s="93"/>
      <c r="X22" s="93"/>
      <c r="Y22" s="93"/>
      <c r="Z22" s="93"/>
      <c r="AA22" s="93"/>
      <c r="AB22" s="93"/>
      <c r="AC22" s="93"/>
      <c r="AD22" s="93"/>
      <c r="AE22" s="93"/>
      <c r="AF22" s="93"/>
      <c r="AG22" s="93"/>
      <c r="AH22" s="93"/>
      <c r="AI22" s="93"/>
      <c r="AJ22" s="93"/>
      <c r="AK22" s="93"/>
      <c r="AL22" s="93"/>
      <c r="AM22" s="93"/>
      <c r="AN22" s="93"/>
      <c r="AO22" s="93"/>
      <c r="AP22" s="93"/>
      <c r="AQ22" s="93"/>
      <c r="AR22" s="93"/>
      <c r="AS22" s="93"/>
      <c r="AT22" s="93"/>
      <c r="AU22" s="93"/>
      <c r="AV22" s="93"/>
      <c r="AW22" s="93"/>
      <c r="AX22" s="93"/>
      <c r="AY22" s="93"/>
      <c r="AZ22" s="93"/>
      <c r="BA22" s="93"/>
      <c r="BB22" s="1031"/>
      <c r="BC22" s="424"/>
      <c r="BD22" s="424"/>
      <c r="BE22" s="424"/>
    </row>
    <row r="23" spans="2:66" s="480" customFormat="1">
      <c r="B23" s="1079" t="s">
        <v>799</v>
      </c>
      <c r="C23" s="1080"/>
      <c r="D23" s="1080"/>
      <c r="E23" s="1081"/>
      <c r="F23" s="1081"/>
      <c r="G23" s="1081"/>
      <c r="H23" s="93"/>
      <c r="I23" s="1082"/>
      <c r="J23" s="1083"/>
      <c r="K23" s="1083">
        <f>Notes!F53</f>
        <v>14052.806119487999</v>
      </c>
      <c r="L23" s="1083">
        <f>Notes!G53</f>
        <v>14202.687600970999</v>
      </c>
      <c r="M23" s="1083">
        <f>Notes!H53</f>
        <v>14272.460795228</v>
      </c>
      <c r="N23" s="1083">
        <f>Notes!I53</f>
        <v>15104.050606596</v>
      </c>
      <c r="O23" s="1083">
        <f>Notes!J53</f>
        <v>15270.937810324</v>
      </c>
      <c r="P23" s="2534">
        <f>Notes!K53</f>
        <v>15430.176837908</v>
      </c>
      <c r="Q23" s="1084">
        <f>P28</f>
        <v>16486.331655016002</v>
      </c>
      <c r="R23" s="1084">
        <f t="shared" ref="R23:Z23" si="32">Q28</f>
        <v>17065.670202400284</v>
      </c>
      <c r="S23" s="1084">
        <f t="shared" si="32"/>
        <v>17590.894824750434</v>
      </c>
      <c r="T23" s="1084">
        <f t="shared" si="32"/>
        <v>18106.473861083334</v>
      </c>
      <c r="U23" s="1084">
        <f t="shared" si="32"/>
        <v>18958.726316916101</v>
      </c>
      <c r="V23" s="1084">
        <f t="shared" si="32"/>
        <v>19288.734768241258</v>
      </c>
      <c r="W23" s="1084">
        <f t="shared" si="32"/>
        <v>19557.117935427013</v>
      </c>
      <c r="X23" s="1084">
        <f t="shared" si="32"/>
        <v>19774.233609468069</v>
      </c>
      <c r="Y23" s="1084">
        <f t="shared" si="32"/>
        <v>20017.122950372344</v>
      </c>
      <c r="Z23" s="1084">
        <f t="shared" si="32"/>
        <v>20302.62696354643</v>
      </c>
      <c r="AA23" s="1084"/>
      <c r="AB23" s="1054"/>
      <c r="AC23" s="1054"/>
      <c r="AD23" s="1054"/>
      <c r="AE23" s="1054"/>
      <c r="AF23" s="1054"/>
      <c r="AG23" s="1054"/>
      <c r="AH23" s="1054"/>
      <c r="AI23" s="1054"/>
      <c r="AJ23" s="1054"/>
      <c r="AK23" s="1054"/>
      <c r="AL23" s="1054"/>
      <c r="AM23" s="1054"/>
      <c r="AN23" s="1054"/>
      <c r="AO23" s="1054"/>
      <c r="AP23" s="1054"/>
      <c r="AQ23" s="1054"/>
      <c r="AR23" s="1054"/>
      <c r="AS23" s="1054"/>
      <c r="AT23" s="1054"/>
      <c r="AU23" s="1054"/>
      <c r="AV23" s="1054"/>
      <c r="AW23" s="1054"/>
      <c r="AX23" s="1054"/>
      <c r="AY23" s="1054"/>
      <c r="AZ23" s="1054"/>
      <c r="BA23" s="1054"/>
      <c r="BB23" s="1031"/>
      <c r="BC23" s="2520" t="s">
        <v>1473</v>
      </c>
      <c r="BD23" s="424"/>
      <c r="BE23" s="424"/>
    </row>
    <row r="24" spans="2:66" s="480" customFormat="1">
      <c r="B24" s="1079" t="s">
        <v>800</v>
      </c>
      <c r="C24" s="1080"/>
      <c r="D24" s="1080"/>
      <c r="E24" s="1081"/>
      <c r="F24" s="1081"/>
      <c r="G24" s="1081"/>
      <c r="H24" s="93"/>
      <c r="I24" s="1082"/>
      <c r="J24" s="1082"/>
      <c r="K24" s="1082"/>
      <c r="L24" s="1082"/>
      <c r="M24" s="1082"/>
      <c r="N24" s="1052"/>
      <c r="O24" s="1052"/>
      <c r="P24" s="1053"/>
      <c r="Q24" s="1084">
        <f>Q9*Q13</f>
        <v>579.33854738428408</v>
      </c>
      <c r="R24" s="1084">
        <f t="shared" ref="R24:Z24" si="33">R9*R13</f>
        <v>525.22462235014962</v>
      </c>
      <c r="S24" s="1084">
        <f t="shared" si="33"/>
        <v>515.57903633289834</v>
      </c>
      <c r="T24" s="1084">
        <f t="shared" si="33"/>
        <v>852.25245583276751</v>
      </c>
      <c r="U24" s="1084">
        <f t="shared" si="33"/>
        <v>330.00845132515593</v>
      </c>
      <c r="V24" s="1084">
        <f t="shared" si="33"/>
        <v>268.38316718575459</v>
      </c>
      <c r="W24" s="1084">
        <f t="shared" si="33"/>
        <v>217.11567404105341</v>
      </c>
      <c r="X24" s="1084">
        <f t="shared" si="33"/>
        <v>242.88934090427475</v>
      </c>
      <c r="Y24" s="1084">
        <f t="shared" si="33"/>
        <v>285.50401317408762</v>
      </c>
      <c r="Z24" s="1084">
        <f t="shared" si="33"/>
        <v>276.73656144939304</v>
      </c>
      <c r="AA24" s="1084"/>
      <c r="AB24" s="1054"/>
      <c r="AC24" s="1054"/>
      <c r="AD24" s="1054"/>
      <c r="AE24" s="1054"/>
      <c r="AF24" s="1054"/>
      <c r="AG24" s="1054"/>
      <c r="AH24" s="1054"/>
      <c r="AI24" s="1054"/>
      <c r="AJ24" s="1054"/>
      <c r="AK24" s="1054"/>
      <c r="AL24" s="1054"/>
      <c r="AM24" s="1054"/>
      <c r="AN24" s="1054"/>
      <c r="AO24" s="1054"/>
      <c r="AP24" s="1054"/>
      <c r="AQ24" s="1054"/>
      <c r="AR24" s="1054"/>
      <c r="AS24" s="1054"/>
      <c r="AT24" s="1054"/>
      <c r="AU24" s="1054"/>
      <c r="AV24" s="1054"/>
      <c r="AW24" s="1054"/>
      <c r="AX24" s="1054"/>
      <c r="AY24" s="1054"/>
      <c r="AZ24" s="1054"/>
      <c r="BA24" s="1054"/>
      <c r="BB24" s="1031"/>
      <c r="BC24" s="2519">
        <f>SUM(Q24:Z24)</f>
        <v>4093.031869979819</v>
      </c>
      <c r="BD24" s="424"/>
      <c r="BE24" s="424"/>
    </row>
    <row r="25" spans="2:66" s="480" customFormat="1">
      <c r="B25" s="1086" t="s">
        <v>801</v>
      </c>
      <c r="C25" s="1087"/>
      <c r="D25" s="1087"/>
      <c r="E25" s="1088"/>
      <c r="F25" s="1088"/>
      <c r="G25" s="1088"/>
      <c r="H25" s="1089"/>
      <c r="I25" s="1090"/>
      <c r="J25" s="1090"/>
      <c r="K25" s="1090"/>
      <c r="L25" s="1090"/>
      <c r="M25" s="1090"/>
      <c r="N25" s="1091"/>
      <c r="O25" s="1091"/>
      <c r="P25" s="1092"/>
      <c r="Q25" s="1093">
        <v>0</v>
      </c>
      <c r="R25" s="1093">
        <v>0</v>
      </c>
      <c r="S25" s="1093">
        <v>0</v>
      </c>
      <c r="T25" s="1093">
        <v>0</v>
      </c>
      <c r="U25" s="1093">
        <v>0</v>
      </c>
      <c r="V25" s="1093">
        <v>0</v>
      </c>
      <c r="W25" s="1093">
        <v>0</v>
      </c>
      <c r="X25" s="1093">
        <v>0</v>
      </c>
      <c r="Y25" s="1093">
        <v>0</v>
      </c>
      <c r="Z25" s="1093">
        <v>0</v>
      </c>
      <c r="AA25" s="1093"/>
      <c r="AB25" s="1093"/>
      <c r="AC25" s="1093"/>
      <c r="AD25" s="1093"/>
      <c r="AE25" s="1093"/>
      <c r="AF25" s="1093"/>
      <c r="AG25" s="1093"/>
      <c r="AH25" s="1093"/>
      <c r="AI25" s="1093"/>
      <c r="AJ25" s="1093"/>
      <c r="AK25" s="1093"/>
      <c r="AL25" s="1093"/>
      <c r="AM25" s="1093"/>
      <c r="AN25" s="1093"/>
      <c r="AO25" s="1093"/>
      <c r="AP25" s="1093"/>
      <c r="AQ25" s="1093"/>
      <c r="AR25" s="1093"/>
      <c r="AS25" s="1093"/>
      <c r="AT25" s="1093"/>
      <c r="AU25" s="1093"/>
      <c r="AV25" s="1093"/>
      <c r="AW25" s="1093"/>
      <c r="AX25" s="1093"/>
      <c r="AY25" s="1093"/>
      <c r="AZ25" s="1093"/>
      <c r="BA25" s="1093"/>
      <c r="BB25" s="1031"/>
      <c r="BC25" s="2472"/>
      <c r="BD25" s="424"/>
      <c r="BE25" s="424"/>
    </row>
    <row r="26" spans="2:66" s="480" customFormat="1">
      <c r="B26" s="1079" t="s">
        <v>802</v>
      </c>
      <c r="C26" s="1080"/>
      <c r="D26" s="1080"/>
      <c r="E26" s="1081"/>
      <c r="F26" s="1081"/>
      <c r="G26" s="1081"/>
      <c r="H26" s="93"/>
      <c r="I26" s="1082"/>
      <c r="J26" s="1083"/>
      <c r="K26" s="1083">
        <f>Notes!F54</f>
        <v>149.88148148299999</v>
      </c>
      <c r="L26" s="1083">
        <f>Notes!G54</f>
        <v>69.773194257</v>
      </c>
      <c r="M26" s="1083">
        <f>Notes!H54</f>
        <v>837.37984273899997</v>
      </c>
      <c r="N26" s="1083">
        <f>Notes!I54</f>
        <v>176.054773283</v>
      </c>
      <c r="O26" s="1083">
        <f>Notes!J54</f>
        <v>159.25419975599999</v>
      </c>
      <c r="P26" s="2534">
        <f>Notes!K54</f>
        <v>1064.6370947380001</v>
      </c>
      <c r="Q26" s="1084">
        <f>Q24</f>
        <v>579.33854738428408</v>
      </c>
      <c r="R26" s="1084">
        <f t="shared" ref="R26:Z26" si="34">R24</f>
        <v>525.22462235014962</v>
      </c>
      <c r="S26" s="1084">
        <f t="shared" si="34"/>
        <v>515.57903633289834</v>
      </c>
      <c r="T26" s="1084">
        <f t="shared" si="34"/>
        <v>852.25245583276751</v>
      </c>
      <c r="U26" s="1084">
        <f t="shared" si="34"/>
        <v>330.00845132515593</v>
      </c>
      <c r="V26" s="1084">
        <f t="shared" si="34"/>
        <v>268.38316718575459</v>
      </c>
      <c r="W26" s="1084">
        <f t="shared" si="34"/>
        <v>217.11567404105341</v>
      </c>
      <c r="X26" s="1084">
        <f t="shared" si="34"/>
        <v>242.88934090427475</v>
      </c>
      <c r="Y26" s="1084">
        <f t="shared" si="34"/>
        <v>285.50401317408762</v>
      </c>
      <c r="Z26" s="1084">
        <f t="shared" si="34"/>
        <v>276.73656144939304</v>
      </c>
      <c r="AA26" s="1084"/>
      <c r="AB26" s="1054"/>
      <c r="AC26" s="1054"/>
      <c r="AD26" s="1054"/>
      <c r="AE26" s="1054"/>
      <c r="AF26" s="1054"/>
      <c r="AG26" s="1054"/>
      <c r="AH26" s="1054"/>
      <c r="AI26" s="1054"/>
      <c r="AJ26" s="1054"/>
      <c r="AK26" s="1054"/>
      <c r="AL26" s="1054"/>
      <c r="AM26" s="1054"/>
      <c r="AN26" s="1054"/>
      <c r="AO26" s="1054"/>
      <c r="AP26" s="1054"/>
      <c r="AQ26" s="1054"/>
      <c r="AR26" s="1054"/>
      <c r="AS26" s="1054"/>
      <c r="AT26" s="1054"/>
      <c r="AU26" s="1054"/>
      <c r="AV26" s="1054"/>
      <c r="AW26" s="1054"/>
      <c r="AX26" s="1054"/>
      <c r="AY26" s="1054"/>
      <c r="AZ26" s="1054"/>
      <c r="BA26" s="1054"/>
      <c r="BB26" s="1031"/>
      <c r="BC26" s="2472"/>
      <c r="BD26" s="424"/>
      <c r="BE26" s="424"/>
    </row>
    <row r="27" spans="2:66" s="480" customFormat="1" ht="13.8" thickBot="1">
      <c r="B27" s="1079" t="s">
        <v>803</v>
      </c>
      <c r="C27" s="1080"/>
      <c r="D27" s="1080"/>
      <c r="E27" s="1081"/>
      <c r="F27" s="1081"/>
      <c r="G27" s="1081"/>
      <c r="H27" s="93"/>
      <c r="I27" s="1082"/>
      <c r="J27" s="1083"/>
      <c r="K27" s="1083">
        <f>Notes!F55</f>
        <v>0</v>
      </c>
      <c r="L27" s="1083">
        <f>Notes!G55</f>
        <v>0</v>
      </c>
      <c r="M27" s="1083">
        <f>Notes!H55</f>
        <v>-5.7900313710000004</v>
      </c>
      <c r="N27" s="1083">
        <f>Notes!I55</f>
        <v>-9.167569555</v>
      </c>
      <c r="O27" s="1083">
        <f>Notes!J55</f>
        <v>-1.5172171999999999E-2</v>
      </c>
      <c r="P27" s="2534">
        <f>Notes!K55</f>
        <v>-8.4822776300000005</v>
      </c>
      <c r="Q27" s="1084">
        <f>Q25</f>
        <v>0</v>
      </c>
      <c r="R27" s="1084">
        <f t="shared" ref="R27:Z27" si="35">R25</f>
        <v>0</v>
      </c>
      <c r="S27" s="1084">
        <f t="shared" si="35"/>
        <v>0</v>
      </c>
      <c r="T27" s="1084">
        <f t="shared" si="35"/>
        <v>0</v>
      </c>
      <c r="U27" s="1084">
        <f t="shared" si="35"/>
        <v>0</v>
      </c>
      <c r="V27" s="1084">
        <f t="shared" si="35"/>
        <v>0</v>
      </c>
      <c r="W27" s="1084">
        <f t="shared" si="35"/>
        <v>0</v>
      </c>
      <c r="X27" s="1084">
        <f t="shared" si="35"/>
        <v>0</v>
      </c>
      <c r="Y27" s="1084">
        <f t="shared" si="35"/>
        <v>0</v>
      </c>
      <c r="Z27" s="1084">
        <f t="shared" si="35"/>
        <v>0</v>
      </c>
      <c r="AA27" s="1084"/>
      <c r="AB27" s="1054"/>
      <c r="AC27" s="1054"/>
      <c r="AD27" s="1054"/>
      <c r="AE27" s="1054"/>
      <c r="AF27" s="1054"/>
      <c r="AG27" s="1054"/>
      <c r="AH27" s="1054"/>
      <c r="AI27" s="1054"/>
      <c r="AJ27" s="1054"/>
      <c r="AK27" s="1054"/>
      <c r="AL27" s="1054"/>
      <c r="AM27" s="1054"/>
      <c r="AN27" s="1054"/>
      <c r="AO27" s="1054"/>
      <c r="AP27" s="1054"/>
      <c r="AQ27" s="1054"/>
      <c r="AR27" s="1054"/>
      <c r="AS27" s="1054"/>
      <c r="AT27" s="1054"/>
      <c r="AU27" s="1054"/>
      <c r="AV27" s="1054"/>
      <c r="AW27" s="1054"/>
      <c r="AX27" s="1054"/>
      <c r="AY27" s="1054"/>
      <c r="AZ27" s="1054"/>
      <c r="BA27" s="1054"/>
      <c r="BB27" s="1031"/>
      <c r="BC27" s="2472"/>
      <c r="BD27" s="424"/>
      <c r="BE27" s="424"/>
    </row>
    <row r="28" spans="2:66" s="480" customFormat="1" ht="13.8" thickBot="1">
      <c r="B28" s="1094" t="s">
        <v>786</v>
      </c>
      <c r="C28" s="1095"/>
      <c r="D28" s="1095"/>
      <c r="E28" s="110"/>
      <c r="F28" s="110"/>
      <c r="G28" s="110"/>
      <c r="H28" s="110"/>
      <c r="I28" s="1096"/>
      <c r="J28" s="1097"/>
      <c r="K28" s="1097">
        <f>SUM(K23,K26,K27)</f>
        <v>14202.687600970999</v>
      </c>
      <c r="L28" s="1097">
        <f t="shared" ref="L28:Z28" si="36">SUM(L23,L26,L27)</f>
        <v>14272.460795228</v>
      </c>
      <c r="M28" s="1097">
        <f t="shared" si="36"/>
        <v>15104.050606596</v>
      </c>
      <c r="N28" s="1097">
        <f t="shared" si="36"/>
        <v>15270.937810324</v>
      </c>
      <c r="O28" s="1097">
        <f t="shared" si="36"/>
        <v>15430.176837908</v>
      </c>
      <c r="P28" s="2535">
        <f t="shared" si="36"/>
        <v>16486.331655016002</v>
      </c>
      <c r="Q28" s="1098">
        <f t="shared" si="36"/>
        <v>17065.670202400284</v>
      </c>
      <c r="R28" s="1098">
        <f t="shared" si="36"/>
        <v>17590.894824750434</v>
      </c>
      <c r="S28" s="1098">
        <f t="shared" si="36"/>
        <v>18106.473861083334</v>
      </c>
      <c r="T28" s="1098">
        <f t="shared" si="36"/>
        <v>18958.726316916101</v>
      </c>
      <c r="U28" s="1098">
        <f t="shared" si="36"/>
        <v>19288.734768241258</v>
      </c>
      <c r="V28" s="1098">
        <f t="shared" si="36"/>
        <v>19557.117935427013</v>
      </c>
      <c r="W28" s="1098">
        <f t="shared" si="36"/>
        <v>19774.233609468069</v>
      </c>
      <c r="X28" s="1098">
        <f t="shared" si="36"/>
        <v>20017.122950372344</v>
      </c>
      <c r="Y28" s="1098">
        <f t="shared" si="36"/>
        <v>20302.62696354643</v>
      </c>
      <c r="Z28" s="1098">
        <f t="shared" si="36"/>
        <v>20579.363524995824</v>
      </c>
      <c r="AA28" s="1098"/>
      <c r="AB28" s="1099"/>
      <c r="AC28" s="1099"/>
      <c r="AD28" s="1099"/>
      <c r="AE28" s="1099"/>
      <c r="AF28" s="1099"/>
      <c r="AG28" s="1099"/>
      <c r="AH28" s="1099"/>
      <c r="AI28" s="1099"/>
      <c r="AJ28" s="1099"/>
      <c r="AK28" s="1099"/>
      <c r="AL28" s="1099"/>
      <c r="AM28" s="1099"/>
      <c r="AN28" s="1099"/>
      <c r="AO28" s="1099"/>
      <c r="AP28" s="1099"/>
      <c r="AQ28" s="1099"/>
      <c r="AR28" s="1099"/>
      <c r="AS28" s="1099"/>
      <c r="AT28" s="1099"/>
      <c r="AU28" s="1099"/>
      <c r="AV28" s="1099"/>
      <c r="AW28" s="1099"/>
      <c r="AX28" s="1099"/>
      <c r="AY28" s="1099"/>
      <c r="AZ28" s="1099"/>
      <c r="BA28" s="1099"/>
      <c r="BB28" s="1051"/>
      <c r="BC28" s="2472"/>
      <c r="BD28" s="424"/>
      <c r="BE28" s="424"/>
    </row>
    <row r="29" spans="2:66" s="1100" customFormat="1">
      <c r="C29" s="1101"/>
      <c r="D29" s="1101"/>
      <c r="E29" s="1102"/>
      <c r="F29" s="1102"/>
      <c r="G29" s="1102"/>
      <c r="H29" s="1102"/>
      <c r="I29" s="1103"/>
      <c r="J29" s="1103"/>
      <c r="K29" s="1104"/>
      <c r="L29" s="1104">
        <f>L28/K28-1</f>
        <v>4.9126754187165389E-3</v>
      </c>
      <c r="M29" s="1104">
        <f t="shared" ref="M29:P29" si="37">M28/L28-1</f>
        <v>5.8265342136798237E-2</v>
      </c>
      <c r="N29" s="1104">
        <f t="shared" si="37"/>
        <v>1.1049168734585724E-2</v>
      </c>
      <c r="O29" s="1104">
        <f t="shared" si="37"/>
        <v>1.0427586672270062E-2</v>
      </c>
      <c r="P29" s="1211">
        <f t="shared" si="37"/>
        <v>6.8447356644241397E-2</v>
      </c>
      <c r="Q29" s="1202">
        <f t="shared" ref="Q29" si="38">Q28/P28-1</f>
        <v>3.5140536991927984E-2</v>
      </c>
      <c r="R29" s="1202">
        <f t="shared" ref="R29" si="39">R28/Q28-1</f>
        <v>3.0776677160694099E-2</v>
      </c>
      <c r="S29" s="1202">
        <f t="shared" ref="S29" si="40">S28/R28-1</f>
        <v>2.9309426352062573E-2</v>
      </c>
      <c r="T29" s="1202">
        <f t="shared" ref="T29" si="41">T28/S28-1</f>
        <v>4.7068935805581358E-2</v>
      </c>
      <c r="U29" s="1202">
        <f t="shared" ref="U29" si="42">U28/T28-1</f>
        <v>1.7406678371146844E-2</v>
      </c>
      <c r="V29" s="1202">
        <f t="shared" ref="V29" si="43">V28/U28-1</f>
        <v>1.3913985049327726E-2</v>
      </c>
      <c r="W29" s="1202">
        <f t="shared" ref="W29" si="44">W28/V28-1</f>
        <v>1.1101619101440141E-2</v>
      </c>
      <c r="X29" s="1202">
        <f t="shared" ref="X29" si="45">X28/W28-1</f>
        <v>1.2283122860851536E-2</v>
      </c>
      <c r="Y29" s="1202">
        <f t="shared" ref="Y29" si="46">Y28/X28-1</f>
        <v>1.4262989435690931E-2</v>
      </c>
      <c r="Z29" s="1202">
        <f t="shared" ref="Z29" si="47">Z28/Y28-1</f>
        <v>1.3630579035229129E-2</v>
      </c>
      <c r="AA29" s="1105"/>
      <c r="AB29" s="1106"/>
      <c r="AC29" s="1106"/>
      <c r="AD29" s="1106"/>
      <c r="AE29" s="1106"/>
      <c r="AF29" s="1106"/>
      <c r="AG29" s="1106"/>
      <c r="AH29" s="1106"/>
      <c r="AI29" s="1106"/>
      <c r="AJ29" s="1106"/>
      <c r="AK29" s="1106"/>
      <c r="AL29" s="1106"/>
      <c r="AM29" s="1106"/>
      <c r="AN29" s="1106"/>
      <c r="AO29" s="1106"/>
      <c r="AP29" s="1106"/>
      <c r="AQ29" s="1106"/>
      <c r="AR29" s="1106"/>
      <c r="AS29" s="1106"/>
      <c r="AT29" s="1106"/>
      <c r="AU29" s="1106"/>
      <c r="AV29" s="1106"/>
      <c r="AW29" s="1106"/>
      <c r="AX29" s="1106"/>
      <c r="AY29" s="1106"/>
      <c r="AZ29" s="1106"/>
      <c r="BA29" s="1106"/>
      <c r="BB29" s="1107"/>
      <c r="BC29" s="2472"/>
      <c r="BD29" s="1108"/>
      <c r="BE29" s="1108"/>
    </row>
    <row r="30" spans="2:66" s="1100" customFormat="1">
      <c r="B30" s="1101" t="s">
        <v>804</v>
      </c>
      <c r="C30" s="1101"/>
      <c r="D30" s="1101"/>
      <c r="E30" s="1102"/>
      <c r="F30" s="1102"/>
      <c r="G30" s="1102"/>
      <c r="H30" s="1102"/>
      <c r="I30" s="1103"/>
      <c r="J30" s="1103"/>
      <c r="K30" s="1104"/>
      <c r="L30" s="1104"/>
      <c r="M30" s="1104"/>
      <c r="N30" s="1104"/>
      <c r="O30" s="1104"/>
      <c r="P30" s="1211"/>
      <c r="Q30" s="1105"/>
      <c r="R30" s="1105"/>
      <c r="S30" s="1105"/>
      <c r="T30" s="1105"/>
      <c r="U30" s="1105"/>
      <c r="V30" s="1105"/>
      <c r="W30" s="1105"/>
      <c r="X30" s="1105"/>
      <c r="Y30" s="1105"/>
      <c r="Z30" s="1105"/>
      <c r="AA30" s="1105"/>
      <c r="AB30" s="1106"/>
      <c r="AC30" s="1106"/>
      <c r="AD30" s="1106"/>
      <c r="AE30" s="1106"/>
      <c r="AF30" s="1106"/>
      <c r="AG30" s="1106"/>
      <c r="AH30" s="1106"/>
      <c r="AI30" s="1106"/>
      <c r="AJ30" s="1106"/>
      <c r="AK30" s="1106"/>
      <c r="AL30" s="1106"/>
      <c r="AM30" s="1106"/>
      <c r="AN30" s="1106"/>
      <c r="AO30" s="1106"/>
      <c r="AP30" s="1106"/>
      <c r="AQ30" s="1106"/>
      <c r="AR30" s="1106"/>
      <c r="AS30" s="1106"/>
      <c r="AT30" s="1106"/>
      <c r="AU30" s="1106"/>
      <c r="AV30" s="1106"/>
      <c r="AW30" s="1106"/>
      <c r="AX30" s="1106"/>
      <c r="AY30" s="1106"/>
      <c r="AZ30" s="1106"/>
      <c r="BA30" s="1106"/>
      <c r="BB30" s="1107"/>
      <c r="BC30" s="2472"/>
      <c r="BD30" s="1108"/>
      <c r="BE30" s="1108"/>
    </row>
    <row r="31" spans="2:66" s="1110" customFormat="1">
      <c r="B31" s="1109" t="s">
        <v>805</v>
      </c>
      <c r="C31" s="1109"/>
      <c r="D31" s="1109"/>
      <c r="I31" s="1111"/>
      <c r="J31" s="1112"/>
      <c r="K31" s="1112">
        <f>IF(ISTEXT(Notes!F11),K28-'BS Raw'!F52/$B$1,"Chưa có BCTC")</f>
        <v>0</v>
      </c>
      <c r="L31" s="1112">
        <f>IF(ISTEXT(Notes!G11),L28-'BS Raw'!G52/$B$1,"Chưa có BCTC")</f>
        <v>0</v>
      </c>
      <c r="M31" s="1112">
        <f>IF(ISTEXT(Notes!H11),M28-'BS Raw'!H52/$B$1,"Chưa có BCTC")</f>
        <v>0</v>
      </c>
      <c r="N31" s="1112">
        <f>IF(ISTEXT(Notes!I11),N28-'BS Raw'!I52/$B$1,"Chưa có BCTC")</f>
        <v>0</v>
      </c>
      <c r="O31" s="1112">
        <f>IF(ISTEXT(Notes!J11),O28-'BS Raw'!J52/$B$1,"Chưa có BCTC")</f>
        <v>0</v>
      </c>
      <c r="P31" s="2536">
        <f>IF(ISTEXT(Notes!K11),P28-'BS Raw'!K52/$B$1,"Chưa có BCTC")</f>
        <v>0</v>
      </c>
      <c r="Q31" s="2515" t="str">
        <f>IF(ISTEXT(Notes!L11),Q28-'BS Raw'!L52/$B$1,"Chưa có BCTC")</f>
        <v>Chưa có BCTC</v>
      </c>
      <c r="R31" s="2515" t="str">
        <f>IF(ISTEXT(Notes!M11),R28-'BS Raw'!M52/$B$1,"Chưa có BCTC")</f>
        <v>Chưa có BCTC</v>
      </c>
      <c r="S31" s="2515" t="str">
        <f>IF(ISTEXT(Notes!N11),S28-'BS Raw'!N52/$B$1,"Chưa có BCTC")</f>
        <v>Chưa có BCTC</v>
      </c>
      <c r="T31" s="2515" t="str">
        <f>IF(ISTEXT(Notes!O11),T28-'BS Raw'!O52/$B$1,"Chưa có BCTC")</f>
        <v>Chưa có BCTC</v>
      </c>
      <c r="U31" s="2515" t="str">
        <f>IF(ISTEXT(Notes!P11),U28-'BS Raw'!P52/$B$1,"Chưa có BCTC")</f>
        <v>Chưa có BCTC</v>
      </c>
      <c r="V31" s="2515" t="str">
        <f>IF(ISTEXT(Notes!Q11),V28-'BS Raw'!Q52/$B$1,"Chưa có BCTC")</f>
        <v>Chưa có BCTC</v>
      </c>
      <c r="W31" s="2515" t="str">
        <f>IF(ISTEXT(Notes!R11),W28-'BS Raw'!R52/$B$1,"Chưa có BCTC")</f>
        <v>Chưa có BCTC</v>
      </c>
      <c r="X31" s="2515" t="str">
        <f>IF(ISTEXT(Notes!S11),X28-'BS Raw'!S52/$B$1,"Chưa có BCTC")</f>
        <v>Chưa có BCTC</v>
      </c>
      <c r="Y31" s="2515" t="str">
        <f>IF(ISTEXT(Notes!T11),Y28-'BS Raw'!T52/$B$1,"Chưa có BCTC")</f>
        <v>Chưa có BCTC</v>
      </c>
      <c r="Z31" s="2515" t="str">
        <f>IF(ISTEXT(Notes!U11),Z28-'BS Raw'!U52/$B$1,"Chưa có BCTC")</f>
        <v>Chưa có BCTC</v>
      </c>
      <c r="AA31" s="1120"/>
      <c r="AB31" s="1120"/>
      <c r="AC31" s="1120"/>
      <c r="AD31" s="1120"/>
      <c r="AE31" s="1120"/>
      <c r="AF31" s="1120"/>
      <c r="AG31" s="1120"/>
      <c r="AH31" s="1120"/>
      <c r="AI31" s="1120"/>
      <c r="AJ31" s="1120"/>
      <c r="AK31" s="1120"/>
      <c r="AL31" s="1120"/>
      <c r="AM31" s="1120"/>
      <c r="AN31" s="1120"/>
      <c r="AO31" s="1120"/>
      <c r="AP31" s="1120"/>
      <c r="AQ31" s="1120"/>
      <c r="AR31" s="1120"/>
      <c r="AS31" s="1120"/>
      <c r="AT31" s="1120"/>
      <c r="AU31" s="1120"/>
      <c r="AV31" s="1120"/>
      <c r="AW31" s="1120"/>
      <c r="AX31" s="1120"/>
      <c r="AY31" s="1120"/>
      <c r="AZ31" s="1111"/>
      <c r="BA31" s="1111"/>
      <c r="BC31" s="2472"/>
    </row>
    <row r="32" spans="2:66" s="1100" customFormat="1" ht="13.8">
      <c r="B32" s="1101"/>
      <c r="C32" s="1101"/>
      <c r="D32" s="1101"/>
      <c r="E32" s="1102"/>
      <c r="F32" s="1102"/>
      <c r="G32" s="1102"/>
      <c r="H32" s="1102"/>
      <c r="I32" s="1103"/>
      <c r="J32" s="1103"/>
      <c r="K32" s="1103"/>
      <c r="L32" s="1103"/>
      <c r="M32" s="1103"/>
      <c r="N32" s="1113"/>
      <c r="O32" s="1113"/>
      <c r="P32" s="1114"/>
      <c r="Q32" s="1103"/>
      <c r="R32" s="1103"/>
      <c r="S32" s="1103"/>
      <c r="T32" s="1103"/>
      <c r="U32" s="1103"/>
      <c r="V32" s="1103"/>
      <c r="W32" s="1103"/>
      <c r="X32" s="1103"/>
      <c r="Y32" s="1103"/>
      <c r="Z32" s="1103"/>
      <c r="AA32" s="1103"/>
      <c r="AB32" s="1103"/>
      <c r="AC32" s="1103"/>
      <c r="AD32" s="1103"/>
      <c r="AE32" s="1103"/>
      <c r="AF32" s="1103"/>
      <c r="AG32" s="1103"/>
      <c r="AH32" s="1103"/>
      <c r="AI32" s="1103"/>
      <c r="AJ32" s="1103"/>
      <c r="AK32" s="1103"/>
      <c r="AL32" s="1103"/>
      <c r="AM32" s="1103"/>
      <c r="AN32" s="1103"/>
      <c r="AO32" s="1103"/>
      <c r="AP32" s="1103"/>
      <c r="AQ32" s="1103"/>
      <c r="AR32" s="1103"/>
      <c r="AS32" s="1103"/>
      <c r="AT32" s="1103"/>
      <c r="AU32" s="1103"/>
      <c r="AV32" s="1103"/>
      <c r="AW32" s="1103"/>
      <c r="AX32" s="1103"/>
      <c r="AY32" s="1103"/>
      <c r="AZ32" s="1103"/>
      <c r="BA32" s="1103"/>
      <c r="BB32" s="1107"/>
      <c r="BC32" s="2472"/>
      <c r="BD32" s="1108"/>
      <c r="BE32" s="1108"/>
    </row>
    <row r="33" spans="2:57" s="480" customFormat="1">
      <c r="B33" s="1068" t="s">
        <v>806</v>
      </c>
      <c r="C33" s="1068"/>
      <c r="D33" s="1068"/>
      <c r="E33" s="1076"/>
      <c r="F33" s="1076"/>
      <c r="G33" s="1076"/>
      <c r="H33" s="93"/>
      <c r="I33" s="1082"/>
      <c r="J33" s="1082"/>
      <c r="K33" s="1082"/>
      <c r="L33" s="1082"/>
      <c r="M33" s="1082"/>
      <c r="N33" s="1082"/>
      <c r="O33" s="1082"/>
      <c r="P33" s="1115"/>
      <c r="Q33" s="1082"/>
      <c r="R33" s="1082"/>
      <c r="S33" s="1082"/>
      <c r="T33" s="1082"/>
      <c r="U33" s="1082"/>
      <c r="V33" s="1082"/>
      <c r="W33" s="1082"/>
      <c r="X33" s="1082"/>
      <c r="Y33" s="1082"/>
      <c r="Z33" s="1082"/>
      <c r="AA33" s="1082"/>
      <c r="AB33" s="1082"/>
      <c r="AC33" s="1082"/>
      <c r="AD33" s="1082"/>
      <c r="AE33" s="1082"/>
      <c r="AF33" s="1082"/>
      <c r="AG33" s="1082"/>
      <c r="AH33" s="1082"/>
      <c r="AI33" s="1082"/>
      <c r="AJ33" s="1082"/>
      <c r="AK33" s="1082"/>
      <c r="AL33" s="1082"/>
      <c r="AM33" s="1082"/>
      <c r="AN33" s="1082"/>
      <c r="AO33" s="1082"/>
      <c r="AP33" s="1082"/>
      <c r="AQ33" s="1082"/>
      <c r="AR33" s="1082"/>
      <c r="AS33" s="1082"/>
      <c r="AT33" s="1082"/>
      <c r="AU33" s="1082"/>
      <c r="AV33" s="1082"/>
      <c r="AW33" s="1082"/>
      <c r="AX33" s="1082"/>
      <c r="AY33" s="1082"/>
      <c r="AZ33" s="1082"/>
      <c r="BA33" s="1082"/>
      <c r="BB33" s="1031"/>
      <c r="BC33" s="2472"/>
      <c r="BD33" s="424"/>
      <c r="BE33" s="424"/>
    </row>
    <row r="34" spans="2:57" s="480" customFormat="1">
      <c r="B34" s="1079" t="s">
        <v>799</v>
      </c>
      <c r="C34" s="1080"/>
      <c r="D34" s="1080"/>
      <c r="E34" s="1081"/>
      <c r="F34" s="1081"/>
      <c r="G34" s="1081"/>
      <c r="H34" s="93"/>
      <c r="I34" s="1082"/>
      <c r="J34" s="1083"/>
      <c r="K34" s="1083">
        <f>Notes!F57</f>
        <v>7755.1696823250004</v>
      </c>
      <c r="L34" s="1083">
        <f>Notes!G57</f>
        <v>9068.2000337139998</v>
      </c>
      <c r="M34" s="1083">
        <f>Notes!H57</f>
        <v>10372.829770701001</v>
      </c>
      <c r="N34" s="1083">
        <f>Notes!I57</f>
        <v>11737.36251979</v>
      </c>
      <c r="O34" s="1083">
        <f>Notes!J57</f>
        <v>13111.292862147</v>
      </c>
      <c r="P34" s="2534">
        <f>Notes!K57</f>
        <v>14180.409138806999</v>
      </c>
      <c r="Q34" s="1084">
        <f>P39</f>
        <v>14915.135203648999</v>
      </c>
      <c r="R34" s="1084">
        <f t="shared" ref="R34:Z34" si="48">Q39</f>
        <v>15703.214788737023</v>
      </c>
      <c r="S34" s="1084">
        <f t="shared" si="48"/>
        <v>16535.063092354227</v>
      </c>
      <c r="T34" s="1084">
        <f t="shared" si="48"/>
        <v>16761.668648614839</v>
      </c>
      <c r="U34" s="1084">
        <f t="shared" si="48"/>
        <v>16967.701537106514</v>
      </c>
      <c r="V34" s="1084">
        <f t="shared" si="48"/>
        <v>17201.235129875284</v>
      </c>
      <c r="W34" s="1084">
        <f t="shared" si="48"/>
        <v>17457.133986576202</v>
      </c>
      <c r="X34" s="1084">
        <f t="shared" si="48"/>
        <v>17731.125816113876</v>
      </c>
      <c r="Y34" s="1084">
        <f t="shared" si="48"/>
        <v>18025.358424060236</v>
      </c>
      <c r="Z34" s="1084">
        <f t="shared" si="48"/>
        <v>18343.383033104437</v>
      </c>
      <c r="AA34" s="1054"/>
      <c r="AB34" s="1054"/>
      <c r="AC34" s="1054"/>
      <c r="AD34" s="1054"/>
      <c r="AE34" s="1054"/>
      <c r="AF34" s="1054"/>
      <c r="AG34" s="1054"/>
      <c r="AH34" s="1054"/>
      <c r="AI34" s="1054"/>
      <c r="AJ34" s="1054"/>
      <c r="AK34" s="1054"/>
      <c r="AL34" s="1054"/>
      <c r="AM34" s="1054"/>
      <c r="AN34" s="1054"/>
      <c r="AO34" s="1054"/>
      <c r="AP34" s="1054"/>
      <c r="AQ34" s="1054"/>
      <c r="AR34" s="1054"/>
      <c r="AS34" s="1054"/>
      <c r="AT34" s="1054"/>
      <c r="AU34" s="1054"/>
      <c r="AV34" s="1054"/>
      <c r="AW34" s="1054"/>
      <c r="AX34" s="1054"/>
      <c r="AY34" s="1054"/>
      <c r="AZ34" s="1054"/>
      <c r="BA34" s="1054"/>
      <c r="BB34" s="1031"/>
      <c r="BC34" s="2472"/>
      <c r="BD34" s="424"/>
      <c r="BE34" s="424"/>
    </row>
    <row r="35" spans="2:57" s="480" customFormat="1">
      <c r="B35" s="1079" t="s">
        <v>800</v>
      </c>
      <c r="C35" s="1080"/>
      <c r="D35" s="1080"/>
      <c r="E35" s="1081"/>
      <c r="F35" s="1081"/>
      <c r="G35" s="1081"/>
      <c r="H35" s="93"/>
      <c r="I35" s="1082"/>
      <c r="J35" s="1082"/>
      <c r="K35" s="1082"/>
      <c r="L35" s="1082"/>
      <c r="M35" s="1082"/>
      <c r="N35" s="1052"/>
      <c r="O35" s="1052"/>
      <c r="P35" s="1053"/>
      <c r="Q35" s="1084">
        <f>Q242</f>
        <v>788.07958508802369</v>
      </c>
      <c r="R35" s="1084">
        <f t="shared" ref="R35:Z35" si="49">R242</f>
        <v>831.84830361720287</v>
      </c>
      <c r="S35" s="1084">
        <f t="shared" si="49"/>
        <v>226.6055562606137</v>
      </c>
      <c r="T35" s="1084">
        <f t="shared" si="49"/>
        <v>206.03288849167495</v>
      </c>
      <c r="U35" s="1084">
        <f t="shared" si="49"/>
        <v>233.53359276877129</v>
      </c>
      <c r="V35" s="1084">
        <f t="shared" si="49"/>
        <v>255.89885670091749</v>
      </c>
      <c r="W35" s="1084">
        <f t="shared" si="49"/>
        <v>273.99182953767195</v>
      </c>
      <c r="X35" s="1084">
        <f t="shared" si="49"/>
        <v>294.2326079463615</v>
      </c>
      <c r="Y35" s="1084">
        <f t="shared" si="49"/>
        <v>318.02460904420212</v>
      </c>
      <c r="Z35" s="1084">
        <f t="shared" si="49"/>
        <v>341.08598916498488</v>
      </c>
      <c r="AA35" s="1084"/>
      <c r="AB35" s="1084">
        <f t="shared" ref="AB35:AH35" si="50">AB242</f>
        <v>0</v>
      </c>
      <c r="AC35" s="1084">
        <f t="shared" si="50"/>
        <v>0</v>
      </c>
      <c r="AD35" s="1084">
        <f t="shared" si="50"/>
        <v>0</v>
      </c>
      <c r="AE35" s="1084">
        <f t="shared" si="50"/>
        <v>0</v>
      </c>
      <c r="AF35" s="1084">
        <f t="shared" si="50"/>
        <v>0</v>
      </c>
      <c r="AG35" s="1084">
        <f t="shared" si="50"/>
        <v>0</v>
      </c>
      <c r="AH35" s="1084">
        <f t="shared" si="50"/>
        <v>0</v>
      </c>
      <c r="AI35" s="1084"/>
      <c r="AJ35" s="1084"/>
      <c r="AK35" s="1084"/>
      <c r="AL35" s="1084"/>
      <c r="AM35" s="1084"/>
      <c r="AN35" s="1084"/>
      <c r="AO35" s="1084"/>
      <c r="AP35" s="1084"/>
      <c r="AQ35" s="1084"/>
      <c r="AR35" s="1084"/>
      <c r="AS35" s="1084"/>
      <c r="AT35" s="1084"/>
      <c r="AU35" s="1084"/>
      <c r="AV35" s="1084"/>
      <c r="AW35" s="1054"/>
      <c r="AX35" s="1054"/>
      <c r="AY35" s="1054"/>
      <c r="AZ35" s="1054"/>
      <c r="BA35" s="1054"/>
      <c r="BB35" s="1031"/>
      <c r="BC35" s="2472"/>
      <c r="BD35" s="424"/>
      <c r="BE35" s="424"/>
    </row>
    <row r="36" spans="2:57" s="480" customFormat="1">
      <c r="B36" s="1086" t="s">
        <v>801</v>
      </c>
      <c r="C36" s="1087"/>
      <c r="D36" s="1087"/>
      <c r="E36" s="1088"/>
      <c r="F36" s="1088"/>
      <c r="G36" s="1088"/>
      <c r="H36" s="1089"/>
      <c r="I36" s="1090"/>
      <c r="J36" s="1090"/>
      <c r="K36" s="1090"/>
      <c r="L36" s="1090"/>
      <c r="M36" s="1090"/>
      <c r="N36" s="1091"/>
      <c r="O36" s="1091"/>
      <c r="P36" s="1092"/>
      <c r="Q36" s="1093">
        <v>0</v>
      </c>
      <c r="R36" s="1093">
        <v>0</v>
      </c>
      <c r="S36" s="1093">
        <v>0</v>
      </c>
      <c r="T36" s="1093">
        <v>0</v>
      </c>
      <c r="U36" s="1093">
        <v>0</v>
      </c>
      <c r="V36" s="1093">
        <v>0</v>
      </c>
      <c r="W36" s="1093">
        <v>0</v>
      </c>
      <c r="X36" s="1093">
        <v>0</v>
      </c>
      <c r="Y36" s="1093">
        <v>0</v>
      </c>
      <c r="Z36" s="1093">
        <v>0</v>
      </c>
      <c r="AA36" s="1093"/>
      <c r="AB36" s="1093"/>
      <c r="AC36" s="1093"/>
      <c r="AD36" s="1093"/>
      <c r="AE36" s="1093"/>
      <c r="AF36" s="1093"/>
      <c r="AG36" s="1093"/>
      <c r="AH36" s="1093"/>
      <c r="AI36" s="1093"/>
      <c r="AJ36" s="1093"/>
      <c r="AK36" s="1093"/>
      <c r="AL36" s="1093"/>
      <c r="AM36" s="1093"/>
      <c r="AN36" s="1093"/>
      <c r="AO36" s="1093"/>
      <c r="AP36" s="1093"/>
      <c r="AQ36" s="1093"/>
      <c r="AR36" s="1093"/>
      <c r="AS36" s="1093"/>
      <c r="AT36" s="1093"/>
      <c r="AU36" s="1093"/>
      <c r="AV36" s="1093"/>
      <c r="AW36" s="1093"/>
      <c r="AX36" s="1093"/>
      <c r="AY36" s="1093"/>
      <c r="AZ36" s="1093"/>
      <c r="BA36" s="1093"/>
      <c r="BB36" s="1031"/>
      <c r="BC36" s="2472"/>
      <c r="BD36" s="424"/>
      <c r="BE36" s="424"/>
    </row>
    <row r="37" spans="2:57" s="480" customFormat="1">
      <c r="B37" s="1079" t="s">
        <v>802</v>
      </c>
      <c r="C37" s="1080"/>
      <c r="D37" s="1080"/>
      <c r="E37" s="1081"/>
      <c r="F37" s="1081"/>
      <c r="G37" s="1081"/>
      <c r="H37" s="93"/>
      <c r="I37" s="1082"/>
      <c r="J37" s="1083"/>
      <c r="K37" s="1083">
        <f>Notes!F58</f>
        <v>1313.0303513890001</v>
      </c>
      <c r="L37" s="1083">
        <f>Notes!G58</f>
        <v>1304.6297369869999</v>
      </c>
      <c r="M37" s="1083">
        <f>Notes!H58</f>
        <v>1364.5327490889999</v>
      </c>
      <c r="N37" s="1083">
        <f>Notes!I58</f>
        <v>1383.097911912</v>
      </c>
      <c r="O37" s="1083">
        <f>Notes!J58</f>
        <v>1069.11627666</v>
      </c>
      <c r="P37" s="2534">
        <f>Notes!K58</f>
        <v>739.80137280600002</v>
      </c>
      <c r="Q37" s="1084">
        <f>Q35</f>
        <v>788.07958508802369</v>
      </c>
      <c r="R37" s="1084">
        <f t="shared" ref="R37:Z37" si="51">R35</f>
        <v>831.84830361720287</v>
      </c>
      <c r="S37" s="1084">
        <f t="shared" si="51"/>
        <v>226.6055562606137</v>
      </c>
      <c r="T37" s="1084">
        <f t="shared" si="51"/>
        <v>206.03288849167495</v>
      </c>
      <c r="U37" s="1084">
        <f t="shared" si="51"/>
        <v>233.53359276877129</v>
      </c>
      <c r="V37" s="1084">
        <f t="shared" si="51"/>
        <v>255.89885670091749</v>
      </c>
      <c r="W37" s="1084">
        <f t="shared" si="51"/>
        <v>273.99182953767195</v>
      </c>
      <c r="X37" s="1084">
        <f t="shared" si="51"/>
        <v>294.2326079463615</v>
      </c>
      <c r="Y37" s="1084">
        <f t="shared" si="51"/>
        <v>318.02460904420212</v>
      </c>
      <c r="Z37" s="1084">
        <f t="shared" si="51"/>
        <v>341.08598916498488</v>
      </c>
      <c r="AA37" s="1084"/>
      <c r="AB37" s="1054"/>
      <c r="AC37" s="1054"/>
      <c r="AD37" s="1054"/>
      <c r="AE37" s="1054"/>
      <c r="AF37" s="1054"/>
      <c r="AG37" s="1054"/>
      <c r="AH37" s="1054"/>
      <c r="AI37" s="1054"/>
      <c r="AJ37" s="1054"/>
      <c r="AK37" s="1054"/>
      <c r="AL37" s="1054"/>
      <c r="AM37" s="1054"/>
      <c r="AN37" s="1054"/>
      <c r="AO37" s="1054"/>
      <c r="AP37" s="1054"/>
      <c r="AQ37" s="1054"/>
      <c r="AR37" s="1054"/>
      <c r="AS37" s="1054"/>
      <c r="AT37" s="1054"/>
      <c r="AU37" s="1054"/>
      <c r="AV37" s="1054"/>
      <c r="AW37" s="1054"/>
      <c r="AX37" s="1054"/>
      <c r="AY37" s="1054"/>
      <c r="AZ37" s="1054"/>
      <c r="BA37" s="1054"/>
      <c r="BB37" s="1031"/>
      <c r="BC37" s="2472"/>
      <c r="BD37" s="424"/>
      <c r="BE37" s="424"/>
    </row>
    <row r="38" spans="2:57" s="480" customFormat="1">
      <c r="B38" s="1079" t="s">
        <v>803</v>
      </c>
      <c r="C38" s="1080"/>
      <c r="D38" s="1080"/>
      <c r="E38" s="1081"/>
      <c r="F38" s="1081"/>
      <c r="G38" s="1081"/>
      <c r="H38" s="93"/>
      <c r="I38" s="1082"/>
      <c r="J38" s="1083"/>
      <c r="K38" s="1083">
        <f>Notes!F59</f>
        <v>0</v>
      </c>
      <c r="L38" s="1083">
        <f>Notes!G59</f>
        <v>0</v>
      </c>
      <c r="M38" s="1083">
        <f>Notes!H59</f>
        <v>0</v>
      </c>
      <c r="N38" s="1083">
        <f>Notes!I59</f>
        <v>-9.167569555</v>
      </c>
      <c r="O38" s="1083">
        <f>Notes!J59</f>
        <v>0</v>
      </c>
      <c r="P38" s="2534">
        <f>Notes!K59</f>
        <v>-5.0753079640000003</v>
      </c>
      <c r="Q38" s="1054">
        <f>Q36</f>
        <v>0</v>
      </c>
      <c r="R38" s="1054">
        <f t="shared" ref="R38:Z38" si="52">R36</f>
        <v>0</v>
      </c>
      <c r="S38" s="1054">
        <f t="shared" si="52"/>
        <v>0</v>
      </c>
      <c r="T38" s="1054">
        <f t="shared" si="52"/>
        <v>0</v>
      </c>
      <c r="U38" s="1054">
        <f t="shared" si="52"/>
        <v>0</v>
      </c>
      <c r="V38" s="1054">
        <f t="shared" si="52"/>
        <v>0</v>
      </c>
      <c r="W38" s="1054">
        <f t="shared" si="52"/>
        <v>0</v>
      </c>
      <c r="X38" s="1054">
        <f t="shared" si="52"/>
        <v>0</v>
      </c>
      <c r="Y38" s="1054">
        <f t="shared" si="52"/>
        <v>0</v>
      </c>
      <c r="Z38" s="1054">
        <f t="shared" si="52"/>
        <v>0</v>
      </c>
      <c r="AA38" s="1054"/>
      <c r="AB38" s="1054"/>
      <c r="AC38" s="1054"/>
      <c r="AD38" s="1054"/>
      <c r="AE38" s="1054"/>
      <c r="AF38" s="1054"/>
      <c r="AG38" s="1054"/>
      <c r="AH38" s="1054"/>
      <c r="AI38" s="1054"/>
      <c r="AJ38" s="1054"/>
      <c r="AK38" s="1054"/>
      <c r="AL38" s="1054"/>
      <c r="AM38" s="1054"/>
      <c r="AN38" s="1054"/>
      <c r="AO38" s="1054"/>
      <c r="AP38" s="1054"/>
      <c r="AQ38" s="1054"/>
      <c r="AR38" s="1054"/>
      <c r="AS38" s="1054"/>
      <c r="AT38" s="1054"/>
      <c r="AU38" s="1054"/>
      <c r="AV38" s="1054"/>
      <c r="AW38" s="1054"/>
      <c r="AX38" s="1054"/>
      <c r="AY38" s="1054"/>
      <c r="AZ38" s="1054"/>
      <c r="BA38" s="1054"/>
      <c r="BB38" s="1031"/>
      <c r="BC38" s="1085"/>
      <c r="BD38" s="424"/>
      <c r="BE38" s="424"/>
    </row>
    <row r="39" spans="2:57" s="480" customFormat="1">
      <c r="B39" s="1116" t="s">
        <v>807</v>
      </c>
      <c r="C39" s="1095"/>
      <c r="D39" s="1095"/>
      <c r="E39" s="110"/>
      <c r="F39" s="110"/>
      <c r="G39" s="110"/>
      <c r="H39" s="110"/>
      <c r="I39" s="1096"/>
      <c r="J39" s="1097"/>
      <c r="K39" s="1097">
        <f>SUM(K34,K37,K38)</f>
        <v>9068.2000337139998</v>
      </c>
      <c r="L39" s="1097">
        <f t="shared" ref="L39:Z39" si="53">SUM(L34,L37,L38)</f>
        <v>10372.829770700999</v>
      </c>
      <c r="M39" s="1097">
        <f t="shared" si="53"/>
        <v>11737.36251979</v>
      </c>
      <c r="N39" s="1097">
        <f t="shared" si="53"/>
        <v>13111.292862147</v>
      </c>
      <c r="O39" s="1097">
        <f t="shared" si="53"/>
        <v>14180.409138807001</v>
      </c>
      <c r="P39" s="2535">
        <f t="shared" si="53"/>
        <v>14915.135203648999</v>
      </c>
      <c r="Q39" s="1098">
        <f t="shared" si="53"/>
        <v>15703.214788737023</v>
      </c>
      <c r="R39" s="1098">
        <f t="shared" si="53"/>
        <v>16535.063092354227</v>
      </c>
      <c r="S39" s="1098">
        <f t="shared" si="53"/>
        <v>16761.668648614839</v>
      </c>
      <c r="T39" s="1098">
        <f t="shared" si="53"/>
        <v>16967.701537106514</v>
      </c>
      <c r="U39" s="1098">
        <f t="shared" si="53"/>
        <v>17201.235129875284</v>
      </c>
      <c r="V39" s="1098">
        <f t="shared" si="53"/>
        <v>17457.133986576202</v>
      </c>
      <c r="W39" s="1098">
        <f t="shared" si="53"/>
        <v>17731.125816113876</v>
      </c>
      <c r="X39" s="1098">
        <f t="shared" si="53"/>
        <v>18025.358424060236</v>
      </c>
      <c r="Y39" s="1098">
        <f t="shared" si="53"/>
        <v>18343.383033104437</v>
      </c>
      <c r="Z39" s="1098">
        <f t="shared" si="53"/>
        <v>18684.469022269423</v>
      </c>
      <c r="AA39" s="1099"/>
      <c r="AB39" s="1099"/>
      <c r="AC39" s="1099"/>
      <c r="AD39" s="1099"/>
      <c r="AE39" s="1099"/>
      <c r="AF39" s="1099"/>
      <c r="AG39" s="1099"/>
      <c r="AH39" s="1099"/>
      <c r="AI39" s="1099"/>
      <c r="AJ39" s="1099"/>
      <c r="AK39" s="1099"/>
      <c r="AL39" s="1099"/>
      <c r="AM39" s="1099"/>
      <c r="AN39" s="1099"/>
      <c r="AO39" s="1099"/>
      <c r="AP39" s="1099"/>
      <c r="AQ39" s="1099"/>
      <c r="AR39" s="1099"/>
      <c r="AS39" s="1099"/>
      <c r="AT39" s="1099"/>
      <c r="AU39" s="1099"/>
      <c r="AV39" s="1099"/>
      <c r="AW39" s="1099"/>
      <c r="AX39" s="1099"/>
      <c r="AY39" s="1099"/>
      <c r="AZ39" s="1099"/>
      <c r="BA39" s="1099"/>
      <c r="BB39" s="1051"/>
      <c r="BC39" s="424"/>
      <c r="BD39" s="424"/>
      <c r="BE39" s="424"/>
    </row>
    <row r="40" spans="2:57" s="480" customFormat="1">
      <c r="B40" s="1117" t="s">
        <v>808</v>
      </c>
      <c r="C40" s="1080"/>
      <c r="D40" s="1080"/>
      <c r="E40" s="93"/>
      <c r="F40" s="93"/>
      <c r="G40" s="93"/>
      <c r="H40" s="93"/>
      <c r="I40" s="1082"/>
      <c r="J40" s="1083"/>
      <c r="K40" s="1083">
        <f>K23-K34</f>
        <v>6297.6364371629988</v>
      </c>
      <c r="L40" s="1083">
        <f t="shared" ref="L40:Z40" si="54">L23-L34</f>
        <v>5134.4875672569997</v>
      </c>
      <c r="M40" s="1083">
        <f t="shared" si="54"/>
        <v>3899.6310245269997</v>
      </c>
      <c r="N40" s="1083">
        <f t="shared" si="54"/>
        <v>3366.6880868059998</v>
      </c>
      <c r="O40" s="1083">
        <f t="shared" si="54"/>
        <v>2159.6449481769996</v>
      </c>
      <c r="P40" s="2534">
        <f t="shared" si="54"/>
        <v>1249.7676991010012</v>
      </c>
      <c r="Q40" s="1084">
        <f t="shared" si="54"/>
        <v>1571.1964513670027</v>
      </c>
      <c r="R40" s="1084">
        <f t="shared" si="54"/>
        <v>1362.4554136632614</v>
      </c>
      <c r="S40" s="1084">
        <f t="shared" si="54"/>
        <v>1055.8317323962074</v>
      </c>
      <c r="T40" s="1084">
        <f t="shared" si="54"/>
        <v>1344.8052124684946</v>
      </c>
      <c r="U40" s="1084">
        <f t="shared" si="54"/>
        <v>1991.0247798095879</v>
      </c>
      <c r="V40" s="1084">
        <f t="shared" si="54"/>
        <v>2087.4996383659745</v>
      </c>
      <c r="W40" s="1084">
        <f t="shared" si="54"/>
        <v>2099.9839488508114</v>
      </c>
      <c r="X40" s="1084">
        <f t="shared" si="54"/>
        <v>2043.1077933541928</v>
      </c>
      <c r="Y40" s="1084">
        <f t="shared" si="54"/>
        <v>1991.7645263121085</v>
      </c>
      <c r="Z40" s="1084">
        <f t="shared" si="54"/>
        <v>1959.2439304419931</v>
      </c>
      <c r="AA40" s="1054"/>
      <c r="AB40" s="1054"/>
      <c r="AC40" s="1054"/>
      <c r="AD40" s="1054"/>
      <c r="AE40" s="1054"/>
      <c r="AF40" s="1054"/>
      <c r="AG40" s="1054"/>
      <c r="AH40" s="1054"/>
      <c r="AI40" s="1054"/>
      <c r="AJ40" s="1054"/>
      <c r="AK40" s="1054"/>
      <c r="AL40" s="1054"/>
      <c r="AM40" s="1054"/>
      <c r="AN40" s="1054"/>
      <c r="AO40" s="1054"/>
      <c r="AP40" s="1054"/>
      <c r="AQ40" s="1054"/>
      <c r="AR40" s="1054"/>
      <c r="AS40" s="1054"/>
      <c r="AT40" s="1054"/>
      <c r="AU40" s="1054"/>
      <c r="AV40" s="1054"/>
      <c r="AW40" s="1054"/>
      <c r="AX40" s="1054"/>
      <c r="AY40" s="1054"/>
      <c r="AZ40" s="1054"/>
      <c r="BA40" s="1054"/>
      <c r="BB40" s="1064"/>
      <c r="BC40" s="424"/>
      <c r="BD40" s="424"/>
      <c r="BE40" s="424"/>
    </row>
    <row r="41" spans="2:57" s="480" customFormat="1">
      <c r="B41" s="1117" t="s">
        <v>787</v>
      </c>
      <c r="C41" s="1080"/>
      <c r="D41" s="1080"/>
      <c r="E41" s="93"/>
      <c r="F41" s="93"/>
      <c r="G41" s="93"/>
      <c r="H41" s="93"/>
      <c r="I41" s="1082"/>
      <c r="J41" s="1083"/>
      <c r="K41" s="1083">
        <f>K28-K39</f>
        <v>5134.4875672569997</v>
      </c>
      <c r="L41" s="1083">
        <f t="shared" ref="L41:Z41" si="55">L28-L39</f>
        <v>3899.6310245270015</v>
      </c>
      <c r="M41" s="1083">
        <f t="shared" si="55"/>
        <v>3366.6880868059998</v>
      </c>
      <c r="N41" s="1083">
        <f t="shared" si="55"/>
        <v>2159.6449481769996</v>
      </c>
      <c r="O41" s="1083">
        <f t="shared" si="55"/>
        <v>1249.7676991009994</v>
      </c>
      <c r="P41" s="2534">
        <f t="shared" si="55"/>
        <v>1571.1964513670027</v>
      </c>
      <c r="Q41" s="1084">
        <f t="shared" si="55"/>
        <v>1362.4554136632614</v>
      </c>
      <c r="R41" s="1084">
        <f t="shared" si="55"/>
        <v>1055.8317323962074</v>
      </c>
      <c r="S41" s="1084">
        <f t="shared" si="55"/>
        <v>1344.8052124684946</v>
      </c>
      <c r="T41" s="1084">
        <f t="shared" si="55"/>
        <v>1991.0247798095879</v>
      </c>
      <c r="U41" s="1084">
        <f t="shared" si="55"/>
        <v>2087.4996383659745</v>
      </c>
      <c r="V41" s="1084">
        <f t="shared" si="55"/>
        <v>2099.9839488508114</v>
      </c>
      <c r="W41" s="1084">
        <f t="shared" si="55"/>
        <v>2043.1077933541928</v>
      </c>
      <c r="X41" s="1084">
        <f t="shared" si="55"/>
        <v>1991.7645263121085</v>
      </c>
      <c r="Y41" s="1084">
        <f t="shared" si="55"/>
        <v>1959.2439304419931</v>
      </c>
      <c r="Z41" s="1084">
        <f t="shared" si="55"/>
        <v>1894.8945027264017</v>
      </c>
      <c r="AA41" s="1054"/>
      <c r="AB41" s="1054"/>
      <c r="AC41" s="1054"/>
      <c r="AD41" s="1054"/>
      <c r="AE41" s="1054"/>
      <c r="AF41" s="1054"/>
      <c r="AG41" s="1054"/>
      <c r="AH41" s="1054"/>
      <c r="AI41" s="1054"/>
      <c r="AJ41" s="1054"/>
      <c r="AK41" s="1054"/>
      <c r="AL41" s="1054"/>
      <c r="AM41" s="1054"/>
      <c r="AN41" s="1054"/>
      <c r="AO41" s="1054"/>
      <c r="AP41" s="1054"/>
      <c r="AQ41" s="1054"/>
      <c r="AR41" s="1054"/>
      <c r="AS41" s="1054"/>
      <c r="AT41" s="1054"/>
      <c r="AU41" s="1054"/>
      <c r="AV41" s="1054"/>
      <c r="AW41" s="1054"/>
      <c r="AX41" s="1054"/>
      <c r="AY41" s="1054"/>
      <c r="AZ41" s="1054"/>
      <c r="BA41" s="1054"/>
      <c r="BB41" s="1064"/>
      <c r="BC41" s="424"/>
      <c r="BD41" s="424"/>
      <c r="BE41" s="424"/>
    </row>
    <row r="42" spans="2:57" s="420" customFormat="1">
      <c r="B42" s="1118" t="s">
        <v>809</v>
      </c>
      <c r="C42" s="1118"/>
      <c r="D42" s="1118"/>
      <c r="E42" s="1119"/>
      <c r="F42" s="1119"/>
      <c r="G42" s="1119"/>
      <c r="H42" s="1119"/>
      <c r="I42" s="1111"/>
      <c r="J42" s="1111"/>
      <c r="K42" s="1111">
        <f>IF(ISTEXT(Notes!F11),K41-'BS Raw'!F51/$B$1,"Chưa có BCTC")</f>
        <v>0</v>
      </c>
      <c r="L42" s="1111">
        <f>IF(ISTEXT(Notes!G11),L41-'BS Raw'!G51/$B$1,"Chưa có BCTC")</f>
        <v>1.3642420526593924E-12</v>
      </c>
      <c r="M42" s="1111">
        <f>IF(ISTEXT(Notes!H11),M41-'BS Raw'!H51/$B$1,"Chưa có BCTC")</f>
        <v>0</v>
      </c>
      <c r="N42" s="1111">
        <f>IF(ISTEXT(Notes!I11),N41-'BS Raw'!I51/$B$1,"Chưa có BCTC")</f>
        <v>-4.5474735088646412E-13</v>
      </c>
      <c r="O42" s="1111">
        <f>IF(ISTEXT(Notes!J11),O41-'BS Raw'!J51/$B$1,"Chưa có BCTC")</f>
        <v>-6.8212102632969618E-13</v>
      </c>
      <c r="P42" s="2537">
        <f>IF(ISTEXT(Notes!K11),P41-'BS Raw'!K51/$B$1,"Chưa có BCTC")</f>
        <v>2.7284841053187847E-12</v>
      </c>
      <c r="Q42" s="1120" t="str">
        <f>IF(ISTEXT(Notes!L11),Q41-'BS Raw'!L51/$B$1,"Chưa có BCTC")</f>
        <v>Chưa có BCTC</v>
      </c>
      <c r="R42" s="1120" t="str">
        <f>IF(ISTEXT(Notes!M11),R41-'BS Raw'!M51/$B$1,"Chưa có BCTC")</f>
        <v>Chưa có BCTC</v>
      </c>
      <c r="S42" s="1120" t="str">
        <f>IF(ISTEXT(Notes!N11),S41-'BS Raw'!N51/$B$1,"Chưa có BCTC")</f>
        <v>Chưa có BCTC</v>
      </c>
      <c r="T42" s="1120" t="str">
        <f>IF(ISTEXT(Notes!O11),T41-'BS Raw'!O51/$B$1,"Chưa có BCTC")</f>
        <v>Chưa có BCTC</v>
      </c>
      <c r="U42" s="1120" t="str">
        <f>IF(ISTEXT(Notes!P11),U41-'BS Raw'!P51/$B$1,"Chưa có BCTC")</f>
        <v>Chưa có BCTC</v>
      </c>
      <c r="V42" s="1120" t="str">
        <f>IF(ISTEXT(Notes!Q11),V41-'BS Raw'!Q51/$B$1,"Chưa có BCTC")</f>
        <v>Chưa có BCTC</v>
      </c>
      <c r="W42" s="1120" t="str">
        <f>IF(ISTEXT(Notes!R11),W41-'BS Raw'!R51/$B$1,"Chưa có BCTC")</f>
        <v>Chưa có BCTC</v>
      </c>
      <c r="X42" s="1120" t="str">
        <f>IF(ISTEXT(Notes!S11),X41-'BS Raw'!S51/$B$1,"Chưa có BCTC")</f>
        <v>Chưa có BCTC</v>
      </c>
      <c r="Y42" s="1120" t="str">
        <f>IF(ISTEXT(Notes!T11),Y41-'BS Raw'!T51/$B$1,"Chưa có BCTC")</f>
        <v>Chưa có BCTC</v>
      </c>
      <c r="Z42" s="1120" t="str">
        <f>IF(ISTEXT(Notes!U11),Z41-'BS Raw'!U51/$B$1,"Chưa có BCTC")</f>
        <v>Chưa có BCTC</v>
      </c>
      <c r="AA42" s="1120"/>
      <c r="AB42" s="1120"/>
      <c r="AC42" s="1120"/>
      <c r="AD42" s="1120"/>
      <c r="AE42" s="1120"/>
      <c r="AF42" s="1120"/>
      <c r="AG42" s="1120"/>
      <c r="AH42" s="1120"/>
      <c r="AI42" s="1120"/>
      <c r="AJ42" s="1120"/>
      <c r="AK42" s="1120"/>
      <c r="AL42" s="1120"/>
      <c r="AM42" s="1120"/>
      <c r="AN42" s="1120"/>
      <c r="AO42" s="1120"/>
      <c r="AP42" s="1120"/>
      <c r="AQ42" s="1120"/>
      <c r="AR42" s="1120"/>
      <c r="AS42" s="1120"/>
      <c r="AT42" s="1120"/>
      <c r="AU42" s="1120"/>
      <c r="AV42" s="1120"/>
      <c r="AW42" s="1120"/>
      <c r="AX42" s="1120"/>
      <c r="AY42" s="1120"/>
      <c r="AZ42" s="1120"/>
      <c r="BA42" s="1120"/>
      <c r="BB42" s="2516"/>
      <c r="BC42" s="1122"/>
      <c r="BD42" s="1122"/>
      <c r="BE42" s="1122"/>
    </row>
    <row r="43" spans="2:57" s="480" customFormat="1" ht="14.4">
      <c r="B43" s="1123" t="str">
        <f>"- Giá trị còn lại của tài sản đầu tư thêm năm "&amp;YEAR($P$3)</f>
        <v>- Giá trị còn lại của tài sản đầu tư thêm năm 2024</v>
      </c>
      <c r="C43" s="1124"/>
      <c r="D43" s="1124"/>
      <c r="E43" s="1125"/>
      <c r="F43" s="1125"/>
      <c r="G43" s="1125"/>
      <c r="H43" s="93"/>
      <c r="I43" s="1082"/>
      <c r="J43" s="1082"/>
      <c r="K43" s="1082"/>
      <c r="L43" s="1082"/>
      <c r="M43" s="1082"/>
      <c r="N43" s="1052"/>
      <c r="O43" s="1052"/>
      <c r="P43" s="1126">
        <f>P41</f>
        <v>1571.1964513670027</v>
      </c>
      <c r="Q43" s="1084">
        <f>P43-Q230</f>
        <v>831.39507856100272</v>
      </c>
      <c r="R43" s="1084">
        <f>Q43-R230</f>
        <v>91.593705755002702</v>
      </c>
      <c r="S43" s="1084">
        <f t="shared" ref="S43:Z43" si="56">R43-S230</f>
        <v>0</v>
      </c>
      <c r="T43" s="1084">
        <f t="shared" si="56"/>
        <v>0</v>
      </c>
      <c r="U43" s="1084">
        <f t="shared" si="56"/>
        <v>0</v>
      </c>
      <c r="V43" s="1084">
        <f t="shared" si="56"/>
        <v>0</v>
      </c>
      <c r="W43" s="1084">
        <f t="shared" si="56"/>
        <v>0</v>
      </c>
      <c r="X43" s="1084">
        <f t="shared" si="56"/>
        <v>0</v>
      </c>
      <c r="Y43" s="1084">
        <f t="shared" si="56"/>
        <v>0</v>
      </c>
      <c r="Z43" s="1084">
        <f t="shared" si="56"/>
        <v>0</v>
      </c>
      <c r="AA43" s="1084"/>
      <c r="AB43" s="1084"/>
      <c r="AC43" s="1054"/>
      <c r="AD43" s="1054"/>
      <c r="AE43" s="1054"/>
      <c r="AF43" s="1054"/>
      <c r="AG43" s="1054"/>
      <c r="AH43" s="1054"/>
      <c r="AI43" s="1054"/>
      <c r="AJ43" s="1054"/>
      <c r="AK43" s="1054"/>
      <c r="AL43" s="1054"/>
      <c r="AM43" s="1054"/>
      <c r="AN43" s="1054"/>
      <c r="AO43" s="1054"/>
      <c r="AP43" s="1054"/>
      <c r="AQ43" s="1054"/>
      <c r="AR43" s="1054"/>
      <c r="AS43" s="1054"/>
      <c r="AT43" s="1054"/>
      <c r="AU43" s="1054"/>
      <c r="AV43" s="1054"/>
      <c r="AW43" s="1054"/>
      <c r="AX43" s="1054"/>
      <c r="AY43" s="1054"/>
      <c r="AZ43" s="1054"/>
      <c r="BA43" s="1054"/>
      <c r="BB43" s="1031"/>
      <c r="BC43" s="424"/>
      <c r="BD43" s="424"/>
      <c r="BE43" s="424"/>
    </row>
    <row r="44" spans="2:57" s="480" customFormat="1" ht="27" customHeight="1">
      <c r="B44" s="1123" t="str">
        <f>"- Giá trị còn lại của tài sản đầu tư thêm năm "&amp;YEAR($P$3)+1</f>
        <v>- Giá trị còn lại của tài sản đầu tư thêm năm 2025</v>
      </c>
      <c r="C44" s="1124"/>
      <c r="D44" s="1124"/>
      <c r="E44" s="1125"/>
      <c r="F44" s="1125"/>
      <c r="G44" s="1125"/>
      <c r="H44" s="93"/>
      <c r="I44" s="1082"/>
      <c r="J44" s="1082"/>
      <c r="K44" s="1082"/>
      <c r="L44" s="1082"/>
      <c r="M44" s="1082"/>
      <c r="N44" s="1127"/>
      <c r="O44" s="1127"/>
      <c r="P44" s="1128"/>
      <c r="Q44" s="1054">
        <f>(Q26+Q27)-Q231</f>
        <v>531.06033510226041</v>
      </c>
      <c r="R44" s="1054">
        <f>+Q44-R231</f>
        <v>482.78212282023674</v>
      </c>
      <c r="S44" s="1054">
        <f t="shared" ref="S44:Z44" si="57">+R44-S231</f>
        <v>434.50391053821306</v>
      </c>
      <c r="T44" s="1054">
        <f t="shared" si="57"/>
        <v>386.22569825618939</v>
      </c>
      <c r="U44" s="1054">
        <f t="shared" si="57"/>
        <v>337.94748597416572</v>
      </c>
      <c r="V44" s="1054">
        <f t="shared" si="57"/>
        <v>289.66927369214204</v>
      </c>
      <c r="W44" s="1054">
        <f t="shared" si="57"/>
        <v>241.39106141011837</v>
      </c>
      <c r="X44" s="1054">
        <f t="shared" si="57"/>
        <v>193.11284912809469</v>
      </c>
      <c r="Y44" s="1054">
        <f t="shared" si="57"/>
        <v>144.83463684607102</v>
      </c>
      <c r="Z44" s="1054">
        <f t="shared" si="57"/>
        <v>96.556424564047347</v>
      </c>
      <c r="AA44" s="1054"/>
      <c r="AB44" s="1054"/>
      <c r="AC44" s="1054"/>
      <c r="AD44" s="1054"/>
      <c r="AE44" s="1054"/>
      <c r="AF44" s="1054"/>
      <c r="AG44" s="1054"/>
      <c r="AH44" s="1054"/>
      <c r="AI44" s="1054"/>
      <c r="AJ44" s="1054"/>
      <c r="AK44" s="1054"/>
      <c r="AL44" s="1054"/>
      <c r="AM44" s="1054"/>
      <c r="AN44" s="1054"/>
      <c r="AO44" s="1054"/>
      <c r="AP44" s="1054"/>
      <c r="AQ44" s="1054"/>
      <c r="AR44" s="1054"/>
      <c r="AS44" s="1054"/>
      <c r="AT44" s="1054"/>
      <c r="AU44" s="1054"/>
      <c r="AV44" s="1054"/>
      <c r="AW44" s="1054"/>
      <c r="AX44" s="1054"/>
      <c r="AY44" s="1054"/>
      <c r="AZ44" s="1054"/>
      <c r="BA44" s="1054"/>
      <c r="BB44" s="1031"/>
      <c r="BC44" s="424"/>
      <c r="BD44" s="424"/>
      <c r="BE44" s="424"/>
    </row>
    <row r="45" spans="2:57" s="480" customFormat="1" ht="24" customHeight="1">
      <c r="B45" s="1123" t="str">
        <f>"- Giá trị còn lại của tài sản đầu tư thêm năm "&amp;YEAR($P$3)+2</f>
        <v>- Giá trị còn lại của tài sản đầu tư thêm năm 2026</v>
      </c>
      <c r="C45" s="1124"/>
      <c r="D45" s="1124"/>
      <c r="E45" s="1125"/>
      <c r="F45" s="1125"/>
      <c r="G45" s="1125"/>
      <c r="H45" s="93"/>
      <c r="I45" s="1082"/>
      <c r="J45" s="1082"/>
      <c r="K45" s="1082"/>
      <c r="L45" s="1082"/>
      <c r="M45" s="1082"/>
      <c r="N45" s="1127"/>
      <c r="O45" s="1127"/>
      <c r="P45" s="1128"/>
      <c r="Q45" s="1054"/>
      <c r="R45" s="1054">
        <f>(R26+R27-R232)</f>
        <v>481.45590382097049</v>
      </c>
      <c r="S45" s="1054">
        <f>+R45-S232</f>
        <v>437.68718529179137</v>
      </c>
      <c r="T45" s="1054">
        <f t="shared" ref="T45:Z45" si="58">+S45-T232</f>
        <v>393.91846676261224</v>
      </c>
      <c r="U45" s="1054">
        <f t="shared" si="58"/>
        <v>350.14974823343312</v>
      </c>
      <c r="V45" s="1054">
        <f t="shared" si="58"/>
        <v>306.38102970425399</v>
      </c>
      <c r="W45" s="1054">
        <f t="shared" si="58"/>
        <v>262.61231117507486</v>
      </c>
      <c r="X45" s="1054">
        <f t="shared" si="58"/>
        <v>218.84359264589574</v>
      </c>
      <c r="Y45" s="1054">
        <f t="shared" si="58"/>
        <v>175.07487411671661</v>
      </c>
      <c r="Z45" s="1054">
        <f t="shared" si="58"/>
        <v>131.30615558753749</v>
      </c>
      <c r="AA45" s="1054"/>
      <c r="AB45" s="1054"/>
      <c r="AC45" s="1054"/>
      <c r="AD45" s="1054"/>
      <c r="AE45" s="1054"/>
      <c r="AF45" s="1054"/>
      <c r="AG45" s="1054"/>
      <c r="AH45" s="1054"/>
      <c r="AI45" s="1054"/>
      <c r="AJ45" s="1054"/>
      <c r="AK45" s="1054"/>
      <c r="AL45" s="1054"/>
      <c r="AM45" s="1054"/>
      <c r="AN45" s="1054"/>
      <c r="AO45" s="1054"/>
      <c r="AP45" s="1054"/>
      <c r="AQ45" s="1054"/>
      <c r="AR45" s="1054"/>
      <c r="AS45" s="1054"/>
      <c r="AT45" s="1054"/>
      <c r="AU45" s="1054"/>
      <c r="AV45" s="1054"/>
      <c r="AW45" s="1054"/>
      <c r="AX45" s="1054"/>
      <c r="AY45" s="1054"/>
      <c r="AZ45" s="1054"/>
      <c r="BA45" s="1054"/>
      <c r="BB45" s="1031"/>
      <c r="BC45" s="424"/>
      <c r="BD45" s="424"/>
      <c r="BE45" s="424"/>
    </row>
    <row r="46" spans="2:57" s="480" customFormat="1" ht="30" customHeight="1">
      <c r="B46" s="1123" t="str">
        <f>"- Giá trị còn lại của tài sản đầu tư thêm năm "&amp;YEAR($P$3)+3</f>
        <v>- Giá trị còn lại của tài sản đầu tư thêm năm 2027</v>
      </c>
      <c r="C46" s="1124"/>
      <c r="D46" s="1124"/>
      <c r="E46" s="1125"/>
      <c r="F46" s="1125"/>
      <c r="G46" s="1125"/>
      <c r="H46" s="93"/>
      <c r="I46" s="1082"/>
      <c r="J46" s="1082"/>
      <c r="K46" s="1082"/>
      <c r="L46" s="1082"/>
      <c r="M46" s="1082"/>
      <c r="N46" s="1127"/>
      <c r="O46" s="1127"/>
      <c r="P46" s="1128"/>
      <c r="Q46" s="1054"/>
      <c r="R46" s="1054"/>
      <c r="S46" s="1054">
        <f>S26+S27-S233</f>
        <v>472.61411663849015</v>
      </c>
      <c r="T46" s="1054">
        <f>+S46-T233</f>
        <v>429.64919694408195</v>
      </c>
      <c r="U46" s="1054">
        <f t="shared" ref="U46:Z46" si="59">+T46-U233</f>
        <v>386.68427724967376</v>
      </c>
      <c r="V46" s="1054">
        <f t="shared" si="59"/>
        <v>343.71935755526556</v>
      </c>
      <c r="W46" s="1054">
        <f t="shared" si="59"/>
        <v>300.75443786085737</v>
      </c>
      <c r="X46" s="1054">
        <f t="shared" si="59"/>
        <v>257.78951816644917</v>
      </c>
      <c r="Y46" s="1054">
        <f t="shared" si="59"/>
        <v>214.82459847204098</v>
      </c>
      <c r="Z46" s="1054">
        <f t="shared" si="59"/>
        <v>171.85967877763278</v>
      </c>
      <c r="AA46" s="1054"/>
      <c r="AB46" s="1054"/>
      <c r="AC46" s="1054"/>
      <c r="AD46" s="1054"/>
      <c r="AE46" s="1054"/>
      <c r="AF46" s="1054"/>
      <c r="AG46" s="1054"/>
      <c r="AH46" s="1054"/>
      <c r="AI46" s="1054"/>
      <c r="AJ46" s="1054"/>
      <c r="AK46" s="1054"/>
      <c r="AL46" s="1054"/>
      <c r="AM46" s="1054"/>
      <c r="AN46" s="1054"/>
      <c r="AO46" s="1054"/>
      <c r="AP46" s="1054"/>
      <c r="AQ46" s="1054"/>
      <c r="AR46" s="1054"/>
      <c r="AS46" s="1054"/>
      <c r="AT46" s="1054"/>
      <c r="AU46" s="1054"/>
      <c r="AV46" s="1054"/>
      <c r="AW46" s="1054"/>
      <c r="AX46" s="1054"/>
      <c r="AY46" s="1054"/>
      <c r="AZ46" s="1054"/>
      <c r="BA46" s="1054"/>
      <c r="BB46" s="1031"/>
      <c r="BC46" s="424"/>
      <c r="BD46" s="424"/>
      <c r="BE46" s="424"/>
    </row>
    <row r="47" spans="2:57" s="480" customFormat="1" ht="24.75" customHeight="1">
      <c r="B47" s="1123" t="str">
        <f>"- Giá trị còn lại của tài sản đầu tư thêm năm "&amp;YEAR($P$3)+4</f>
        <v>- Giá trị còn lại của tài sản đầu tư thêm năm 2028</v>
      </c>
      <c r="C47" s="1124"/>
      <c r="D47" s="1124"/>
      <c r="E47" s="1125"/>
      <c r="F47" s="1125"/>
      <c r="G47" s="1125"/>
      <c r="H47" s="93"/>
      <c r="I47" s="1082"/>
      <c r="J47" s="1082"/>
      <c r="K47" s="1082"/>
      <c r="L47" s="1082"/>
      <c r="M47" s="1082"/>
      <c r="N47" s="1127"/>
      <c r="O47" s="1127"/>
      <c r="P47" s="1128"/>
      <c r="Q47" s="1054"/>
      <c r="R47" s="1054"/>
      <c r="S47" s="1054"/>
      <c r="T47" s="1054">
        <f>T26+T27-T234</f>
        <v>781.23141784670361</v>
      </c>
      <c r="U47" s="1054">
        <f>T47-U234</f>
        <v>710.2103798606397</v>
      </c>
      <c r="V47" s="1054">
        <f t="shared" ref="V47:Z47" si="60">U47-V234</f>
        <v>639.1893418745758</v>
      </c>
      <c r="W47" s="1054">
        <f t="shared" si="60"/>
        <v>568.1683038885119</v>
      </c>
      <c r="X47" s="1054">
        <f t="shared" si="60"/>
        <v>497.14726590244794</v>
      </c>
      <c r="Y47" s="1054">
        <f t="shared" si="60"/>
        <v>426.12622791638398</v>
      </c>
      <c r="Z47" s="1054">
        <f t="shared" si="60"/>
        <v>355.10518993032002</v>
      </c>
      <c r="AA47" s="1054"/>
      <c r="AB47" s="1054"/>
      <c r="AC47" s="1054"/>
      <c r="AD47" s="1054"/>
      <c r="AE47" s="1054"/>
      <c r="AF47" s="1054"/>
      <c r="AG47" s="1054"/>
      <c r="AH47" s="1054"/>
      <c r="AI47" s="1054"/>
      <c r="AJ47" s="1054"/>
      <c r="AK47" s="1054"/>
      <c r="AL47" s="1054"/>
      <c r="AM47" s="1054"/>
      <c r="AN47" s="1054"/>
      <c r="AO47" s="1054"/>
      <c r="AP47" s="1054"/>
      <c r="AQ47" s="1054"/>
      <c r="AR47" s="1054"/>
      <c r="AS47" s="1054"/>
      <c r="AT47" s="1054"/>
      <c r="AU47" s="1054"/>
      <c r="AV47" s="1054"/>
      <c r="AW47" s="1054"/>
      <c r="AX47" s="1054"/>
      <c r="AY47" s="1054"/>
      <c r="AZ47" s="1054"/>
      <c r="BA47" s="1054"/>
      <c r="BB47" s="1031"/>
      <c r="BC47" s="424"/>
      <c r="BD47" s="424"/>
      <c r="BE47" s="424"/>
    </row>
    <row r="48" spans="2:57" s="480" customFormat="1" ht="36.75" customHeight="1">
      <c r="B48" s="1123" t="str">
        <f>"- Giá trị còn lại của tài sản đầu tư thêm năm "&amp;YEAR($P$3)+5</f>
        <v>- Giá trị còn lại của tài sản đầu tư thêm năm 2029</v>
      </c>
      <c r="C48" s="1124"/>
      <c r="D48" s="1124"/>
      <c r="E48" s="1125"/>
      <c r="F48" s="1125"/>
      <c r="G48" s="1125"/>
      <c r="H48" s="93"/>
      <c r="I48" s="1082"/>
      <c r="J48" s="1082"/>
      <c r="K48" s="1082"/>
      <c r="L48" s="1082"/>
      <c r="M48" s="1082"/>
      <c r="N48" s="1127"/>
      <c r="O48" s="1127"/>
      <c r="P48" s="1128"/>
      <c r="Q48" s="1054"/>
      <c r="R48" s="1054"/>
      <c r="S48" s="1054"/>
      <c r="T48" s="1054"/>
      <c r="U48" s="1054">
        <f>U26+U27-U235</f>
        <v>302.50774704805963</v>
      </c>
      <c r="V48" s="1054">
        <f>U48-V235</f>
        <v>275.00704277096332</v>
      </c>
      <c r="W48" s="1054">
        <f t="shared" ref="W48:Z48" si="61">V48-W235</f>
        <v>247.50633849386699</v>
      </c>
      <c r="X48" s="1054">
        <f t="shared" si="61"/>
        <v>220.00563421677066</v>
      </c>
      <c r="Y48" s="1054">
        <f t="shared" si="61"/>
        <v>192.50492993967433</v>
      </c>
      <c r="Z48" s="1054">
        <f t="shared" si="61"/>
        <v>165.00422566257799</v>
      </c>
      <c r="AA48" s="1054"/>
      <c r="AB48" s="1054"/>
      <c r="AC48" s="1054"/>
      <c r="AD48" s="1054"/>
      <c r="AE48" s="1054"/>
      <c r="AF48" s="1054"/>
      <c r="AG48" s="1054"/>
      <c r="AH48" s="1054"/>
      <c r="AI48" s="1054"/>
      <c r="AJ48" s="1054"/>
      <c r="AK48" s="1054"/>
      <c r="AL48" s="1054"/>
      <c r="AM48" s="1054"/>
      <c r="AN48" s="1054"/>
      <c r="AO48" s="1054"/>
      <c r="AP48" s="1054"/>
      <c r="AQ48" s="1054"/>
      <c r="AR48" s="1054"/>
      <c r="AS48" s="1054"/>
      <c r="AT48" s="1054"/>
      <c r="AU48" s="1054"/>
      <c r="AV48" s="1054"/>
      <c r="AW48" s="1054"/>
      <c r="AX48" s="1054"/>
      <c r="AY48" s="1054"/>
      <c r="AZ48" s="1054"/>
      <c r="BA48" s="1054"/>
      <c r="BB48" s="1031"/>
      <c r="BC48" s="424"/>
      <c r="BD48" s="424"/>
      <c r="BE48" s="424"/>
    </row>
    <row r="49" spans="2:57" s="480" customFormat="1" ht="20.25" customHeight="1">
      <c r="B49" s="1123" t="str">
        <f>"- Giá trị còn lại của tài sản đầu tư thêm năm "&amp;YEAR($P$3)+6</f>
        <v>- Giá trị còn lại của tài sản đầu tư thêm năm 2030</v>
      </c>
      <c r="C49" s="1124"/>
      <c r="D49" s="1124"/>
      <c r="E49" s="1125"/>
      <c r="F49" s="1125"/>
      <c r="G49" s="1125"/>
      <c r="H49" s="93"/>
      <c r="I49" s="1082"/>
      <c r="J49" s="1082"/>
      <c r="K49" s="1082"/>
      <c r="L49" s="1082"/>
      <c r="M49" s="1082"/>
      <c r="N49" s="1082"/>
      <c r="O49" s="1082"/>
      <c r="P49" s="1115"/>
      <c r="Q49" s="1054"/>
      <c r="R49" s="1054"/>
      <c r="S49" s="1054"/>
      <c r="T49" s="1054"/>
      <c r="U49" s="1054"/>
      <c r="V49" s="1054">
        <f>V26+V27-V236</f>
        <v>246.01790325360838</v>
      </c>
      <c r="W49" s="1054">
        <f>V49-W236</f>
        <v>223.65263932146217</v>
      </c>
      <c r="X49" s="1054">
        <f t="shared" ref="X49:Z49" si="62">W49-X236</f>
        <v>201.28737538931597</v>
      </c>
      <c r="Y49" s="1054">
        <f t="shared" si="62"/>
        <v>178.92211145716976</v>
      </c>
      <c r="Z49" s="1054">
        <f t="shared" si="62"/>
        <v>156.55684752502356</v>
      </c>
      <c r="AA49" s="1054"/>
      <c r="AB49" s="1054">
        <f t="shared" ref="AB49:AH49" si="63">AA49-AB236</f>
        <v>0</v>
      </c>
      <c r="AC49" s="1054">
        <f t="shared" si="63"/>
        <v>0</v>
      </c>
      <c r="AD49" s="1054">
        <f t="shared" si="63"/>
        <v>0</v>
      </c>
      <c r="AE49" s="1054">
        <f t="shared" si="63"/>
        <v>0</v>
      </c>
      <c r="AF49" s="1054">
        <f t="shared" si="63"/>
        <v>0</v>
      </c>
      <c r="AG49" s="1054">
        <f t="shared" si="63"/>
        <v>0</v>
      </c>
      <c r="AH49" s="1054">
        <f t="shared" si="63"/>
        <v>0</v>
      </c>
      <c r="AI49" s="1054"/>
      <c r="AJ49" s="1054"/>
      <c r="AK49" s="1054"/>
      <c r="AL49" s="1054"/>
      <c r="AM49" s="1054"/>
      <c r="AN49" s="1054"/>
      <c r="AO49" s="1054"/>
      <c r="AP49" s="1054"/>
      <c r="AQ49" s="1054"/>
      <c r="AR49" s="1054"/>
      <c r="AS49" s="1054"/>
      <c r="AT49" s="1054"/>
      <c r="AU49" s="1054"/>
      <c r="AV49" s="1054"/>
      <c r="AW49" s="1054"/>
      <c r="AX49" s="1054"/>
      <c r="AY49" s="1054"/>
      <c r="AZ49" s="1054"/>
      <c r="BA49" s="1054"/>
      <c r="BB49" s="1031"/>
      <c r="BC49" s="424"/>
      <c r="BD49" s="424"/>
      <c r="BE49" s="424"/>
    </row>
    <row r="50" spans="2:57" s="480" customFormat="1" ht="24" customHeight="1">
      <c r="B50" s="1123" t="str">
        <f>"- Giá trị còn lại của tài sản đầu tư thêm năm "&amp;YEAR($P$3)+7</f>
        <v>- Giá trị còn lại của tài sản đầu tư thêm năm 2031</v>
      </c>
      <c r="C50" s="1124"/>
      <c r="D50" s="1124"/>
      <c r="E50" s="1125"/>
      <c r="F50" s="1125"/>
      <c r="G50" s="1125"/>
      <c r="H50" s="93"/>
      <c r="I50" s="1082"/>
      <c r="J50" s="1082"/>
      <c r="K50" s="1082"/>
      <c r="L50" s="1082"/>
      <c r="M50" s="1082"/>
      <c r="N50" s="1082"/>
      <c r="O50" s="1082"/>
      <c r="P50" s="1115"/>
      <c r="Q50" s="1054"/>
      <c r="R50" s="1054"/>
      <c r="S50" s="1054"/>
      <c r="T50" s="1054"/>
      <c r="U50" s="1054"/>
      <c r="V50" s="1054"/>
      <c r="W50" s="1054">
        <f>W26+W27-W237</f>
        <v>199.02270120429895</v>
      </c>
      <c r="X50" s="1054">
        <f>W50-X237</f>
        <v>180.9297283675445</v>
      </c>
      <c r="Y50" s="1054">
        <f t="shared" ref="Y50:Z50" si="64">X50-Y237</f>
        <v>162.83675553079004</v>
      </c>
      <c r="Z50" s="1054">
        <f t="shared" si="64"/>
        <v>144.74378269403559</v>
      </c>
      <c r="AA50" s="1054"/>
      <c r="AB50" s="1054"/>
      <c r="AC50" s="1054"/>
      <c r="AD50" s="1054"/>
      <c r="AE50" s="1054"/>
      <c r="AF50" s="1054"/>
      <c r="AG50" s="1054"/>
      <c r="AH50" s="1054"/>
      <c r="AI50" s="1054"/>
      <c r="AJ50" s="1054"/>
      <c r="AK50" s="1054"/>
      <c r="AL50" s="1054"/>
      <c r="AM50" s="1054"/>
      <c r="AN50" s="1054"/>
      <c r="AO50" s="1054"/>
      <c r="AP50" s="1054"/>
      <c r="AQ50" s="1054"/>
      <c r="AR50" s="1054"/>
      <c r="AS50" s="1054"/>
      <c r="AT50" s="1054"/>
      <c r="AU50" s="1054"/>
      <c r="AV50" s="1054"/>
      <c r="AW50" s="1054"/>
      <c r="AX50" s="1054"/>
      <c r="AY50" s="1054"/>
      <c r="AZ50" s="1054"/>
      <c r="BA50" s="1054"/>
      <c r="BB50" s="1031"/>
      <c r="BC50" s="424"/>
      <c r="BD50" s="424"/>
      <c r="BE50" s="424"/>
    </row>
    <row r="51" spans="2:57" s="480" customFormat="1" ht="26.25" customHeight="1">
      <c r="B51" s="1123" t="str">
        <f>"- Giá trị còn lại của tài sản đầu tư thêm năm "&amp;YEAR($P$3)+8</f>
        <v>- Giá trị còn lại của tài sản đầu tư thêm năm 2032</v>
      </c>
      <c r="C51" s="1124"/>
      <c r="D51" s="1124"/>
      <c r="E51" s="1125"/>
      <c r="F51" s="1125"/>
      <c r="G51" s="1125"/>
      <c r="H51" s="93"/>
      <c r="I51" s="1082"/>
      <c r="J51" s="1082"/>
      <c r="K51" s="1082"/>
      <c r="L51" s="1082"/>
      <c r="M51" s="1082"/>
      <c r="N51" s="1082"/>
      <c r="O51" s="1082"/>
      <c r="P51" s="1115"/>
      <c r="Q51" s="1054"/>
      <c r="R51" s="1054"/>
      <c r="S51" s="1054"/>
      <c r="T51" s="1054"/>
      <c r="U51" s="1054"/>
      <c r="V51" s="1054"/>
      <c r="W51" s="1054"/>
      <c r="X51" s="1054">
        <f>X26+X27-X238</f>
        <v>222.6485624955852</v>
      </c>
      <c r="Y51" s="1054">
        <f>X51-Y238</f>
        <v>202.40778408689565</v>
      </c>
      <c r="Z51" s="1054">
        <f>Y51-Z238</f>
        <v>182.1670056782061</v>
      </c>
      <c r="AA51" s="1054"/>
      <c r="AB51" s="1054"/>
      <c r="AC51" s="1054"/>
      <c r="AD51" s="1054"/>
      <c r="AE51" s="1054"/>
      <c r="AF51" s="1054"/>
      <c r="AG51" s="1054"/>
      <c r="AH51" s="1054"/>
      <c r="AI51" s="1054"/>
      <c r="AJ51" s="1054"/>
      <c r="AK51" s="1054"/>
      <c r="AL51" s="1054"/>
      <c r="AM51" s="1054"/>
      <c r="AN51" s="1054"/>
      <c r="AO51" s="1054"/>
      <c r="AP51" s="1054"/>
      <c r="AQ51" s="1054"/>
      <c r="AR51" s="1054"/>
      <c r="AS51" s="1054"/>
      <c r="AT51" s="1054"/>
      <c r="AU51" s="1054"/>
      <c r="AV51" s="1054"/>
      <c r="AW51" s="1054"/>
      <c r="AX51" s="1054"/>
      <c r="AY51" s="1054"/>
      <c r="AZ51" s="1054"/>
      <c r="BA51" s="1054"/>
      <c r="BB51" s="1031"/>
      <c r="BC51" s="424"/>
      <c r="BD51" s="424"/>
      <c r="BE51" s="424"/>
    </row>
    <row r="52" spans="2:57" s="480" customFormat="1" ht="24" customHeight="1">
      <c r="B52" s="1123" t="str">
        <f>"- Giá trị còn lại của tài sản đầu tư thêm năm "&amp;YEAR($P$3)+9</f>
        <v>- Giá trị còn lại của tài sản đầu tư thêm năm 2033</v>
      </c>
      <c r="C52" s="1124"/>
      <c r="D52" s="1124"/>
      <c r="E52" s="1125"/>
      <c r="F52" s="1125"/>
      <c r="G52" s="1125"/>
      <c r="H52" s="93"/>
      <c r="I52" s="1082"/>
      <c r="J52" s="1082"/>
      <c r="K52" s="1082"/>
      <c r="L52" s="1082"/>
      <c r="M52" s="1082"/>
      <c r="N52" s="1082"/>
      <c r="O52" s="1082"/>
      <c r="P52" s="1115"/>
      <c r="Q52" s="1054"/>
      <c r="R52" s="1054"/>
      <c r="S52" s="1054"/>
      <c r="T52" s="1054"/>
      <c r="U52" s="1054"/>
      <c r="V52" s="1054"/>
      <c r="W52" s="1054"/>
      <c r="X52" s="1054"/>
      <c r="Y52" s="1054">
        <f>Y26+Y27-Y239</f>
        <v>261.71201207624699</v>
      </c>
      <c r="Z52" s="1054">
        <f>Y52-Z239</f>
        <v>237.92001097840637</v>
      </c>
      <c r="AA52" s="1054"/>
      <c r="AB52" s="1054"/>
      <c r="AC52" s="1054"/>
      <c r="AD52" s="1054"/>
      <c r="AE52" s="1054"/>
      <c r="AF52" s="1054"/>
      <c r="AG52" s="1054"/>
      <c r="AH52" s="1054"/>
      <c r="AI52" s="1054"/>
      <c r="AJ52" s="1054"/>
      <c r="AK52" s="1054"/>
      <c r="AL52" s="1054"/>
      <c r="AM52" s="1054"/>
      <c r="AN52" s="1054"/>
      <c r="AO52" s="1054"/>
      <c r="AP52" s="1054"/>
      <c r="AQ52" s="1054"/>
      <c r="AR52" s="1054"/>
      <c r="AS52" s="1054"/>
      <c r="AT52" s="1054"/>
      <c r="AU52" s="1054"/>
      <c r="AV52" s="1054"/>
      <c r="AW52" s="1054"/>
      <c r="AX52" s="1054"/>
      <c r="AY52" s="1054"/>
      <c r="AZ52" s="1054"/>
      <c r="BA52" s="1054"/>
      <c r="BB52" s="1031"/>
      <c r="BC52" s="424"/>
      <c r="BD52" s="424"/>
      <c r="BE52" s="424"/>
    </row>
    <row r="53" spans="2:57" s="480" customFormat="1" ht="29.25" customHeight="1">
      <c r="B53" s="1123" t="str">
        <f>"- Giá trị còn lại của tài sản đầu tư thêm năm "&amp;YEAR($P$3)+10</f>
        <v>- Giá trị còn lại của tài sản đầu tư thêm năm 2034</v>
      </c>
      <c r="C53" s="1124"/>
      <c r="D53" s="1124"/>
      <c r="E53" s="1125"/>
      <c r="F53" s="1125"/>
      <c r="G53" s="1125"/>
      <c r="H53" s="93"/>
      <c r="I53" s="93"/>
      <c r="J53" s="93"/>
      <c r="K53" s="93"/>
      <c r="L53" s="93"/>
      <c r="M53" s="93"/>
      <c r="N53" s="93"/>
      <c r="O53" s="93"/>
      <c r="P53" s="1129"/>
      <c r="Q53" s="1009"/>
      <c r="R53" s="1009"/>
      <c r="S53" s="1009"/>
      <c r="T53" s="1009"/>
      <c r="U53" s="1009"/>
      <c r="V53" s="1009"/>
      <c r="W53" s="1054"/>
      <c r="X53" s="1054"/>
      <c r="Y53" s="1054"/>
      <c r="Z53" s="1054">
        <f>Z26+Z27-Z240</f>
        <v>253.67518132861028</v>
      </c>
      <c r="AA53" s="1054"/>
      <c r="AB53" s="1054"/>
      <c r="AC53" s="1054"/>
      <c r="AD53" s="1054"/>
      <c r="AE53" s="1054"/>
      <c r="AF53" s="1054"/>
      <c r="AG53" s="1054"/>
      <c r="AH53" s="1054"/>
      <c r="AI53" s="1054"/>
      <c r="AJ53" s="1054"/>
      <c r="AK53" s="1054"/>
      <c r="AL53" s="1054"/>
      <c r="AM53" s="1054"/>
      <c r="AN53" s="1054"/>
      <c r="AO53" s="1054"/>
      <c r="AP53" s="1054"/>
      <c r="AQ53" s="1054"/>
      <c r="AR53" s="1054"/>
      <c r="AS53" s="1054"/>
      <c r="AT53" s="1054"/>
      <c r="AU53" s="1054"/>
      <c r="AV53" s="1054"/>
      <c r="AW53" s="1054"/>
      <c r="AX53" s="1054"/>
      <c r="AY53" s="1054"/>
      <c r="AZ53" s="1054"/>
      <c r="BA53" s="1054"/>
      <c r="BB53" s="1031"/>
      <c r="BC53" s="424"/>
      <c r="BD53" s="424"/>
      <c r="BE53" s="424"/>
    </row>
    <row r="54" spans="2:57" s="480" customFormat="1" ht="27.75" customHeight="1">
      <c r="B54" s="1123" t="str">
        <f>"- Giá trị còn lại của tài sản đầu tư thêm năm "&amp;YEAR($P$3)+11</f>
        <v>- Giá trị còn lại của tài sản đầu tư thêm năm 2035</v>
      </c>
      <c r="C54" s="1124"/>
      <c r="D54" s="1124"/>
      <c r="E54" s="1125"/>
      <c r="F54" s="1125"/>
      <c r="G54" s="1125"/>
      <c r="H54" s="93"/>
      <c r="I54" s="93"/>
      <c r="J54" s="93"/>
      <c r="K54" s="93"/>
      <c r="L54" s="93"/>
      <c r="M54" s="93"/>
      <c r="N54" s="93"/>
      <c r="O54" s="93"/>
      <c r="P54" s="1129"/>
      <c r="Q54" s="1009"/>
      <c r="R54" s="1009"/>
      <c r="S54" s="1009"/>
      <c r="T54" s="1009"/>
      <c r="U54" s="1009"/>
      <c r="V54" s="1009"/>
      <c r="W54" s="1054"/>
      <c r="X54" s="1054"/>
      <c r="Y54" s="1054"/>
      <c r="Z54" s="1054"/>
      <c r="AA54" s="1054"/>
      <c r="AB54" s="1054"/>
      <c r="AC54" s="1054"/>
      <c r="AD54" s="1054"/>
      <c r="AE54" s="1054"/>
      <c r="AF54" s="1054"/>
      <c r="AG54" s="1054"/>
      <c r="AH54" s="1054"/>
      <c r="AI54" s="1054"/>
      <c r="AJ54" s="1054"/>
      <c r="AK54" s="1054"/>
      <c r="AL54" s="1054"/>
      <c r="AM54" s="1054"/>
      <c r="AN54" s="1054"/>
      <c r="AO54" s="1054"/>
      <c r="AP54" s="1054"/>
      <c r="AQ54" s="1054"/>
      <c r="AR54" s="1054"/>
      <c r="AS54" s="1054"/>
      <c r="AT54" s="1054"/>
      <c r="AU54" s="1054"/>
      <c r="AV54" s="1054"/>
      <c r="AW54" s="1054"/>
      <c r="AX54" s="1054"/>
      <c r="AY54" s="1054"/>
      <c r="AZ54" s="1054"/>
      <c r="BA54" s="1054"/>
      <c r="BB54" s="1031"/>
      <c r="BC54" s="424"/>
      <c r="BD54" s="424"/>
      <c r="BE54" s="424"/>
    </row>
    <row r="55" spans="2:57" s="480" customFormat="1" ht="32.25" customHeight="1">
      <c r="B55" s="1124"/>
      <c r="C55" s="1124"/>
      <c r="D55" s="1124"/>
      <c r="E55" s="1125"/>
      <c r="F55" s="1125"/>
      <c r="G55" s="1125"/>
      <c r="H55" s="93"/>
      <c r="I55" s="93"/>
      <c r="J55" s="93"/>
      <c r="K55" s="93"/>
      <c r="L55" s="93"/>
      <c r="M55" s="93"/>
      <c r="N55" s="93"/>
      <c r="O55" s="93"/>
      <c r="P55" s="1129"/>
      <c r="Q55" s="93"/>
      <c r="R55" s="93"/>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3"/>
      <c r="AY55" s="93"/>
      <c r="AZ55" s="93"/>
      <c r="BA55" s="93"/>
      <c r="BB55" s="1031"/>
      <c r="BC55" s="424"/>
      <c r="BD55" s="424"/>
      <c r="BE55" s="424"/>
    </row>
    <row r="56" spans="2:57" s="1137" customFormat="1">
      <c r="B56" s="1072" t="s">
        <v>810</v>
      </c>
      <c r="C56" s="1130"/>
      <c r="D56" s="1130"/>
      <c r="E56" s="1131"/>
      <c r="F56" s="1131"/>
      <c r="G56" s="1131"/>
      <c r="H56" s="1132"/>
      <c r="I56" s="1132"/>
      <c r="J56" s="1132"/>
      <c r="K56" s="1132"/>
      <c r="L56" s="1132"/>
      <c r="M56" s="1133"/>
      <c r="N56" s="1133"/>
      <c r="O56" s="1133"/>
      <c r="P56" s="1134"/>
      <c r="Q56" s="1133"/>
      <c r="R56" s="1133"/>
      <c r="S56" s="1133"/>
      <c r="T56" s="1133"/>
      <c r="U56" s="1133"/>
      <c r="V56" s="1133"/>
      <c r="W56" s="1133"/>
      <c r="X56" s="1133"/>
      <c r="Y56" s="1133"/>
      <c r="Z56" s="1133"/>
      <c r="AA56" s="1133"/>
      <c r="AB56" s="1133"/>
      <c r="AC56" s="1133"/>
      <c r="AD56" s="1133"/>
      <c r="AE56" s="1133"/>
      <c r="AF56" s="1133"/>
      <c r="AG56" s="1133"/>
      <c r="AH56" s="1133"/>
      <c r="AI56" s="1133"/>
      <c r="AJ56" s="1133"/>
      <c r="AK56" s="1133"/>
      <c r="AL56" s="1133"/>
      <c r="AM56" s="1133"/>
      <c r="AN56" s="1133"/>
      <c r="AO56" s="1133"/>
      <c r="AP56" s="1133"/>
      <c r="AQ56" s="1133"/>
      <c r="AR56" s="1133"/>
      <c r="AS56" s="1133"/>
      <c r="AT56" s="1133"/>
      <c r="AU56" s="1133"/>
      <c r="AV56" s="1133"/>
      <c r="AW56" s="1133"/>
      <c r="AX56" s="1133"/>
      <c r="AY56" s="1133"/>
      <c r="AZ56" s="1133"/>
      <c r="BA56" s="1133"/>
      <c r="BB56" s="1135"/>
      <c r="BC56" s="1136"/>
      <c r="BD56" s="1136"/>
      <c r="BE56" s="1136"/>
    </row>
    <row r="57" spans="2:57" s="480" customFormat="1">
      <c r="B57" s="1068" t="s">
        <v>798</v>
      </c>
      <c r="C57" s="1068"/>
      <c r="D57" s="1068"/>
      <c r="E57" s="1076"/>
      <c r="F57" s="1076"/>
      <c r="G57" s="1076"/>
      <c r="H57" s="93"/>
      <c r="I57" s="93"/>
      <c r="J57" s="93"/>
      <c r="K57" s="93"/>
      <c r="L57" s="93"/>
      <c r="M57" s="93"/>
      <c r="N57" s="93"/>
      <c r="O57" s="93"/>
      <c r="P57" s="1129"/>
      <c r="Q57" s="93"/>
      <c r="R57" s="93"/>
      <c r="S57" s="93"/>
      <c r="T57" s="93"/>
      <c r="U57" s="93"/>
      <c r="V57" s="93"/>
      <c r="W57" s="93"/>
      <c r="X57" s="93"/>
      <c r="Y57" s="93"/>
      <c r="Z57" s="93"/>
      <c r="AA57" s="93"/>
      <c r="AB57" s="93"/>
      <c r="AC57" s="93"/>
      <c r="AD57" s="93"/>
      <c r="AE57" s="93"/>
      <c r="AF57" s="93"/>
      <c r="AG57" s="93"/>
      <c r="AH57" s="93"/>
      <c r="AI57" s="93"/>
      <c r="AJ57" s="93"/>
      <c r="AK57" s="93"/>
      <c r="AL57" s="93"/>
      <c r="AM57" s="93"/>
      <c r="AN57" s="93"/>
      <c r="AO57" s="93"/>
      <c r="AP57" s="93"/>
      <c r="AQ57" s="93"/>
      <c r="AR57" s="93"/>
      <c r="AS57" s="93"/>
      <c r="AT57" s="93"/>
      <c r="AU57" s="93"/>
      <c r="AV57" s="93"/>
      <c r="AW57" s="93"/>
      <c r="AX57" s="93"/>
      <c r="AY57" s="93"/>
      <c r="AZ57" s="93"/>
      <c r="BA57" s="93"/>
      <c r="BB57" s="1031"/>
      <c r="BC57" s="424"/>
      <c r="BD57" s="424"/>
      <c r="BE57" s="424"/>
    </row>
    <row r="58" spans="2:57" s="480" customFormat="1">
      <c r="B58" s="1079" t="s">
        <v>799</v>
      </c>
      <c r="C58" s="1080"/>
      <c r="D58" s="1080"/>
      <c r="E58" s="1081"/>
      <c r="F58" s="1081"/>
      <c r="G58" s="1081"/>
      <c r="H58" s="93"/>
      <c r="I58" s="1082"/>
      <c r="J58" s="1082"/>
      <c r="K58" s="1082">
        <f>Notes!F61</f>
        <v>0</v>
      </c>
      <c r="L58" s="1082">
        <f>Notes!G61</f>
        <v>0</v>
      </c>
      <c r="M58" s="1082">
        <f>Notes!H61</f>
        <v>0</v>
      </c>
      <c r="N58" s="1082">
        <f>Notes!I61</f>
        <v>0</v>
      </c>
      <c r="O58" s="1082">
        <f>Notes!J61</f>
        <v>0</v>
      </c>
      <c r="P58" s="1115">
        <f>Notes!K61</f>
        <v>0</v>
      </c>
      <c r="Q58" s="1054">
        <f>P63</f>
        <v>11.983425797000001</v>
      </c>
      <c r="R58" s="1054">
        <f t="shared" ref="R58:Z58" si="65">Q63</f>
        <v>12.962589160516107</v>
      </c>
      <c r="S58" s="1054">
        <f t="shared" si="65"/>
        <v>13.850292404403172</v>
      </c>
      <c r="T58" s="1054">
        <f t="shared" si="65"/>
        <v>14.721693255690299</v>
      </c>
      <c r="U58" s="1054">
        <f t="shared" si="65"/>
        <v>16.162119384740091</v>
      </c>
      <c r="V58" s="1054">
        <f t="shared" si="65"/>
        <v>16.719879931914491</v>
      </c>
      <c r="W58" s="1054">
        <f t="shared" si="65"/>
        <v>17.173485109541996</v>
      </c>
      <c r="X58" s="1054">
        <f t="shared" si="65"/>
        <v>17.540441036479635</v>
      </c>
      <c r="Y58" s="1054">
        <f t="shared" si="65"/>
        <v>17.950958073669437</v>
      </c>
      <c r="Z58" s="1054">
        <f t="shared" si="65"/>
        <v>18.433499881217163</v>
      </c>
      <c r="AA58" s="1054"/>
      <c r="AB58" s="1054"/>
      <c r="AC58" s="1054"/>
      <c r="AD58" s="1054"/>
      <c r="AE58" s="1054"/>
      <c r="AF58" s="1054"/>
      <c r="AG58" s="1054"/>
      <c r="AH58" s="1054"/>
      <c r="AI58" s="1054"/>
      <c r="AJ58" s="1054"/>
      <c r="AK58" s="1054"/>
      <c r="AL58" s="1054"/>
      <c r="AM58" s="1054"/>
      <c r="AN58" s="1054"/>
      <c r="AO58" s="1054"/>
      <c r="AP58" s="1054"/>
      <c r="AQ58" s="1054"/>
      <c r="AR58" s="1054"/>
      <c r="AS58" s="1054"/>
      <c r="AT58" s="1054"/>
      <c r="AU58" s="1054"/>
      <c r="AV58" s="1054"/>
      <c r="AW58" s="1054"/>
      <c r="AX58" s="1054"/>
      <c r="AY58" s="1054"/>
      <c r="AZ58" s="1054"/>
      <c r="BA58" s="1054"/>
      <c r="BB58" s="1031"/>
      <c r="BC58" s="424"/>
      <c r="BD58" s="424"/>
      <c r="BE58" s="424"/>
    </row>
    <row r="59" spans="2:57" s="480" customFormat="1">
      <c r="B59" s="1079" t="s">
        <v>800</v>
      </c>
      <c r="C59" s="1080"/>
      <c r="D59" s="1080"/>
      <c r="E59" s="1081"/>
      <c r="F59" s="1081"/>
      <c r="G59" s="1081"/>
      <c r="H59" s="93"/>
      <c r="I59" s="1082"/>
      <c r="J59" s="1082"/>
      <c r="K59" s="1082"/>
      <c r="L59" s="1082"/>
      <c r="M59" s="1082"/>
      <c r="N59" s="1082"/>
      <c r="O59" s="1082"/>
      <c r="P59" s="1115"/>
      <c r="Q59" s="1054">
        <f>Q9*Q14</f>
        <v>0.979163363516106</v>
      </c>
      <c r="R59" s="1054">
        <f t="shared" ref="R59:Z59" si="66">R9*R14</f>
        <v>0.8877032438870649</v>
      </c>
      <c r="S59" s="1054">
        <f t="shared" si="66"/>
        <v>0.87140085128712808</v>
      </c>
      <c r="T59" s="1054">
        <f t="shared" si="66"/>
        <v>1.4404261290497926</v>
      </c>
      <c r="U59" s="1054">
        <f t="shared" si="66"/>
        <v>0.55776054717440082</v>
      </c>
      <c r="V59" s="1054">
        <f t="shared" si="66"/>
        <v>0.45360517762750491</v>
      </c>
      <c r="W59" s="1054">
        <f t="shared" si="66"/>
        <v>0.3669559269376374</v>
      </c>
      <c r="X59" s="1054">
        <f t="shared" si="66"/>
        <v>0.41051703718980154</v>
      </c>
      <c r="Y59" s="1054">
        <f t="shared" si="66"/>
        <v>0.48254180754772585</v>
      </c>
      <c r="Z59" s="1054">
        <f t="shared" si="66"/>
        <v>0.46772358500932015</v>
      </c>
      <c r="AA59" s="1054"/>
      <c r="AB59" s="1054"/>
      <c r="AC59" s="1054"/>
      <c r="AD59" s="1054"/>
      <c r="AE59" s="1054"/>
      <c r="AF59" s="1054"/>
      <c r="AG59" s="1054"/>
      <c r="AH59" s="1054"/>
      <c r="AI59" s="1054"/>
      <c r="AJ59" s="1054"/>
      <c r="AK59" s="1054"/>
      <c r="AL59" s="1054"/>
      <c r="AM59" s="1054"/>
      <c r="AN59" s="1054"/>
      <c r="AO59" s="1054"/>
      <c r="AP59" s="1054"/>
      <c r="AQ59" s="1054"/>
      <c r="AR59" s="1054"/>
      <c r="AS59" s="1054"/>
      <c r="AT59" s="1054"/>
      <c r="AU59" s="1054"/>
      <c r="AV59" s="1054"/>
      <c r="AW59" s="1054"/>
      <c r="AX59" s="1054"/>
      <c r="AY59" s="1054"/>
      <c r="AZ59" s="1054"/>
      <c r="BA59" s="1054"/>
      <c r="BB59" s="1031"/>
      <c r="BC59" s="424"/>
      <c r="BD59" s="424"/>
      <c r="BE59" s="424"/>
    </row>
    <row r="60" spans="2:57" s="480" customFormat="1">
      <c r="B60" s="1086" t="s">
        <v>801</v>
      </c>
      <c r="C60" s="1087"/>
      <c r="D60" s="1087"/>
      <c r="E60" s="1088"/>
      <c r="F60" s="1088"/>
      <c r="G60" s="1088"/>
      <c r="H60" s="1089"/>
      <c r="I60" s="1090"/>
      <c r="J60" s="1090"/>
      <c r="K60" s="1090"/>
      <c r="L60" s="1090"/>
      <c r="M60" s="1090"/>
      <c r="N60" s="1090"/>
      <c r="O60" s="1090"/>
      <c r="P60" s="1138"/>
      <c r="Q60" s="1093">
        <v>0</v>
      </c>
      <c r="R60" s="1093">
        <v>0</v>
      </c>
      <c r="S60" s="1093">
        <v>0</v>
      </c>
      <c r="T60" s="1093">
        <v>0</v>
      </c>
      <c r="U60" s="1093">
        <v>0</v>
      </c>
      <c r="V60" s="1093">
        <v>0</v>
      </c>
      <c r="W60" s="1093">
        <v>0</v>
      </c>
      <c r="X60" s="1093">
        <v>0</v>
      </c>
      <c r="Y60" s="1093">
        <v>0</v>
      </c>
      <c r="Z60" s="1093">
        <v>0</v>
      </c>
      <c r="AA60" s="1093"/>
      <c r="AB60" s="1093"/>
      <c r="AC60" s="1093"/>
      <c r="AD60" s="1093"/>
      <c r="AE60" s="1093"/>
      <c r="AF60" s="1093"/>
      <c r="AG60" s="1093"/>
      <c r="AH60" s="1093"/>
      <c r="AI60" s="1093"/>
      <c r="AJ60" s="1093"/>
      <c r="AK60" s="1093"/>
      <c r="AL60" s="1093"/>
      <c r="AM60" s="1093"/>
      <c r="AN60" s="1093"/>
      <c r="AO60" s="1093"/>
      <c r="AP60" s="1093"/>
      <c r="AQ60" s="1093"/>
      <c r="AR60" s="1093"/>
      <c r="AS60" s="1093"/>
      <c r="AT60" s="1093"/>
      <c r="AU60" s="1093"/>
      <c r="AV60" s="1093"/>
      <c r="AW60" s="1093"/>
      <c r="AX60" s="1093"/>
      <c r="AY60" s="1093"/>
      <c r="AZ60" s="1093"/>
      <c r="BA60" s="1093"/>
      <c r="BB60" s="1031"/>
      <c r="BC60" s="424"/>
      <c r="BD60" s="424"/>
      <c r="BE60" s="424"/>
    </row>
    <row r="61" spans="2:57" s="480" customFormat="1">
      <c r="B61" s="1079" t="s">
        <v>802</v>
      </c>
      <c r="C61" s="1080"/>
      <c r="D61" s="1080"/>
      <c r="E61" s="1081"/>
      <c r="F61" s="1081"/>
      <c r="G61" s="1081"/>
      <c r="H61" s="93"/>
      <c r="I61" s="1082"/>
      <c r="J61" s="1082"/>
      <c r="K61" s="1082">
        <f>Notes!F62</f>
        <v>0</v>
      </c>
      <c r="L61" s="1082">
        <f>Notes!G62</f>
        <v>0</v>
      </c>
      <c r="M61" s="1082">
        <f>Notes!H62</f>
        <v>0</v>
      </c>
      <c r="N61" s="1082">
        <f>Notes!I62</f>
        <v>0</v>
      </c>
      <c r="O61" s="1082">
        <f>Notes!J62</f>
        <v>0</v>
      </c>
      <c r="P61" s="1115">
        <f>Notes!K62</f>
        <v>11.983425797000001</v>
      </c>
      <c r="Q61" s="1054">
        <f>Q59</f>
        <v>0.979163363516106</v>
      </c>
      <c r="R61" s="1054">
        <f t="shared" ref="R61:Z61" si="67">R59</f>
        <v>0.8877032438870649</v>
      </c>
      <c r="S61" s="1054">
        <f t="shared" si="67"/>
        <v>0.87140085128712808</v>
      </c>
      <c r="T61" s="1054">
        <f t="shared" si="67"/>
        <v>1.4404261290497926</v>
      </c>
      <c r="U61" s="1054">
        <f t="shared" si="67"/>
        <v>0.55776054717440082</v>
      </c>
      <c r="V61" s="1054">
        <f t="shared" si="67"/>
        <v>0.45360517762750491</v>
      </c>
      <c r="W61" s="1054">
        <f t="shared" si="67"/>
        <v>0.3669559269376374</v>
      </c>
      <c r="X61" s="1054">
        <f t="shared" si="67"/>
        <v>0.41051703718980154</v>
      </c>
      <c r="Y61" s="1054">
        <f t="shared" si="67"/>
        <v>0.48254180754772585</v>
      </c>
      <c r="Z61" s="1054">
        <f t="shared" si="67"/>
        <v>0.46772358500932015</v>
      </c>
      <c r="AA61" s="1054"/>
      <c r="AB61" s="1054"/>
      <c r="AC61" s="1054"/>
      <c r="AD61" s="1054"/>
      <c r="AE61" s="1054"/>
      <c r="AF61" s="1054"/>
      <c r="AG61" s="1054"/>
      <c r="AH61" s="1054"/>
      <c r="AI61" s="1054"/>
      <c r="AJ61" s="1054"/>
      <c r="AK61" s="1054"/>
      <c r="AL61" s="1054"/>
      <c r="AM61" s="1054"/>
      <c r="AN61" s="1054"/>
      <c r="AO61" s="1054"/>
      <c r="AP61" s="1054"/>
      <c r="AQ61" s="1054"/>
      <c r="AR61" s="1054"/>
      <c r="AS61" s="1054"/>
      <c r="AT61" s="1054"/>
      <c r="AU61" s="1054"/>
      <c r="AV61" s="1054"/>
      <c r="AW61" s="1054"/>
      <c r="AX61" s="1054"/>
      <c r="AY61" s="1054"/>
      <c r="AZ61" s="1054"/>
      <c r="BA61" s="1054"/>
      <c r="BB61" s="1139"/>
      <c r="BC61" s="424"/>
      <c r="BD61" s="424"/>
      <c r="BE61" s="424"/>
    </row>
    <row r="62" spans="2:57" s="480" customFormat="1" ht="13.8" thickBot="1">
      <c r="B62" s="1079" t="s">
        <v>803</v>
      </c>
      <c r="C62" s="1080"/>
      <c r="D62" s="1080"/>
      <c r="E62" s="1081"/>
      <c r="F62" s="1081"/>
      <c r="G62" s="1081"/>
      <c r="H62" s="93"/>
      <c r="I62" s="1082"/>
      <c r="J62" s="1082"/>
      <c r="K62" s="1082">
        <f>Notes!F63</f>
        <v>0</v>
      </c>
      <c r="L62" s="1082">
        <f>Notes!G63</f>
        <v>0</v>
      </c>
      <c r="M62" s="1082">
        <f>Notes!H63</f>
        <v>0</v>
      </c>
      <c r="N62" s="1082">
        <f>Notes!I63</f>
        <v>0</v>
      </c>
      <c r="O62" s="1082">
        <f>Notes!J63</f>
        <v>0</v>
      </c>
      <c r="P62" s="1115">
        <f>Notes!K63</f>
        <v>0</v>
      </c>
      <c r="Q62" s="1054">
        <f>Q60</f>
        <v>0</v>
      </c>
      <c r="R62" s="1054">
        <f t="shared" ref="R62:Z62" si="68">R60</f>
        <v>0</v>
      </c>
      <c r="S62" s="1054">
        <f t="shared" si="68"/>
        <v>0</v>
      </c>
      <c r="T62" s="1054">
        <f t="shared" si="68"/>
        <v>0</v>
      </c>
      <c r="U62" s="1054">
        <f t="shared" si="68"/>
        <v>0</v>
      </c>
      <c r="V62" s="1054">
        <f t="shared" si="68"/>
        <v>0</v>
      </c>
      <c r="W62" s="1054">
        <f t="shared" si="68"/>
        <v>0</v>
      </c>
      <c r="X62" s="1054">
        <f t="shared" si="68"/>
        <v>0</v>
      </c>
      <c r="Y62" s="1054">
        <f t="shared" si="68"/>
        <v>0</v>
      </c>
      <c r="Z62" s="1054">
        <f t="shared" si="68"/>
        <v>0</v>
      </c>
      <c r="AA62" s="1054"/>
      <c r="AB62" s="1054"/>
      <c r="AC62" s="1054"/>
      <c r="AD62" s="1054"/>
      <c r="AE62" s="1054"/>
      <c r="AF62" s="1054"/>
      <c r="AG62" s="1054"/>
      <c r="AH62" s="1054"/>
      <c r="AI62" s="1054"/>
      <c r="AJ62" s="1054"/>
      <c r="AK62" s="1054"/>
      <c r="AL62" s="1054"/>
      <c r="AM62" s="1054"/>
      <c r="AN62" s="1054"/>
      <c r="AO62" s="1054"/>
      <c r="AP62" s="1054"/>
      <c r="AQ62" s="1054"/>
      <c r="AR62" s="1054"/>
      <c r="AS62" s="1054"/>
      <c r="AT62" s="1054"/>
      <c r="AU62" s="1054"/>
      <c r="AV62" s="1054"/>
      <c r="AW62" s="1054"/>
      <c r="AX62" s="1054"/>
      <c r="AY62" s="1054"/>
      <c r="AZ62" s="1054"/>
      <c r="BA62" s="1054"/>
      <c r="BB62" s="1031"/>
      <c r="BC62" s="424"/>
      <c r="BD62" s="424"/>
      <c r="BE62" s="424"/>
    </row>
    <row r="63" spans="2:57" s="480" customFormat="1" ht="13.8" thickBot="1">
      <c r="B63" s="1094" t="s">
        <v>786</v>
      </c>
      <c r="C63" s="1095"/>
      <c r="D63" s="1095"/>
      <c r="E63" s="110"/>
      <c r="F63" s="110"/>
      <c r="G63" s="110"/>
      <c r="H63" s="110"/>
      <c r="I63" s="1096"/>
      <c r="J63" s="1096"/>
      <c r="K63" s="1096">
        <f>SUM(K58,K61,K62)</f>
        <v>0</v>
      </c>
      <c r="L63" s="1096">
        <f t="shared" ref="L63:Z63" si="69">SUM(L58,L61,L62)</f>
        <v>0</v>
      </c>
      <c r="M63" s="1096">
        <f t="shared" si="69"/>
        <v>0</v>
      </c>
      <c r="N63" s="1096">
        <f t="shared" si="69"/>
        <v>0</v>
      </c>
      <c r="O63" s="1096">
        <f t="shared" si="69"/>
        <v>0</v>
      </c>
      <c r="P63" s="2538">
        <f t="shared" si="69"/>
        <v>11.983425797000001</v>
      </c>
      <c r="Q63" s="1099">
        <f t="shared" si="69"/>
        <v>12.962589160516107</v>
      </c>
      <c r="R63" s="1099">
        <f t="shared" si="69"/>
        <v>13.850292404403172</v>
      </c>
      <c r="S63" s="1099">
        <f t="shared" si="69"/>
        <v>14.721693255690299</v>
      </c>
      <c r="T63" s="1099">
        <f t="shared" si="69"/>
        <v>16.162119384740091</v>
      </c>
      <c r="U63" s="1099">
        <f t="shared" si="69"/>
        <v>16.719879931914491</v>
      </c>
      <c r="V63" s="1099">
        <f t="shared" si="69"/>
        <v>17.173485109541996</v>
      </c>
      <c r="W63" s="1099">
        <f t="shared" si="69"/>
        <v>17.540441036479635</v>
      </c>
      <c r="X63" s="1099">
        <f t="shared" si="69"/>
        <v>17.950958073669437</v>
      </c>
      <c r="Y63" s="1099">
        <f t="shared" si="69"/>
        <v>18.433499881217163</v>
      </c>
      <c r="Z63" s="1099">
        <f t="shared" si="69"/>
        <v>18.901223466226483</v>
      </c>
      <c r="AA63" s="1099"/>
      <c r="AB63" s="1099"/>
      <c r="AC63" s="1099"/>
      <c r="AD63" s="1099"/>
      <c r="AE63" s="1099"/>
      <c r="AF63" s="1099"/>
      <c r="AG63" s="1099"/>
      <c r="AH63" s="1099"/>
      <c r="AI63" s="1099"/>
      <c r="AJ63" s="1099"/>
      <c r="AK63" s="1099"/>
      <c r="AL63" s="1099"/>
      <c r="AM63" s="1099"/>
      <c r="AN63" s="1099"/>
      <c r="AO63" s="1099"/>
      <c r="AP63" s="1099"/>
      <c r="AQ63" s="1099"/>
      <c r="AR63" s="1099"/>
      <c r="AS63" s="1099"/>
      <c r="AT63" s="1099"/>
      <c r="AU63" s="1099"/>
      <c r="AV63" s="1099"/>
      <c r="AW63" s="1099"/>
      <c r="AX63" s="1099"/>
      <c r="AY63" s="1099"/>
      <c r="AZ63" s="1099"/>
      <c r="BA63" s="1099"/>
      <c r="BB63" s="1051"/>
      <c r="BC63" s="424"/>
      <c r="BD63" s="424"/>
      <c r="BE63" s="424"/>
    </row>
    <row r="64" spans="2:57" s="1100" customFormat="1">
      <c r="B64" s="1101" t="s">
        <v>804</v>
      </c>
      <c r="C64" s="1101"/>
      <c r="D64" s="1101"/>
      <c r="E64" s="1102"/>
      <c r="F64" s="1102"/>
      <c r="G64" s="1102"/>
      <c r="H64" s="1102"/>
      <c r="I64" s="1103"/>
      <c r="J64" s="1103"/>
      <c r="K64" s="1103"/>
      <c r="L64" s="1103"/>
      <c r="M64" s="1103"/>
      <c r="N64" s="1103"/>
      <c r="O64" s="1103"/>
      <c r="P64" s="1114"/>
      <c r="Q64" s="1106"/>
      <c r="R64" s="1106"/>
      <c r="S64" s="1106"/>
      <c r="T64" s="1106"/>
      <c r="U64" s="1106"/>
      <c r="V64" s="1106"/>
      <c r="W64" s="1106"/>
      <c r="X64" s="1106"/>
      <c r="Y64" s="1106"/>
      <c r="Z64" s="1106"/>
      <c r="AA64" s="1106"/>
      <c r="AB64" s="1106"/>
      <c r="AC64" s="1106"/>
      <c r="AD64" s="1106"/>
      <c r="AE64" s="1106"/>
      <c r="AF64" s="1106"/>
      <c r="AG64" s="1106"/>
      <c r="AH64" s="1106"/>
      <c r="AI64" s="1106"/>
      <c r="AJ64" s="1106"/>
      <c r="AK64" s="1106"/>
      <c r="AL64" s="1106"/>
      <c r="AM64" s="1106"/>
      <c r="AN64" s="1106"/>
      <c r="AO64" s="1106"/>
      <c r="AP64" s="1106"/>
      <c r="AQ64" s="1106"/>
      <c r="AR64" s="1106"/>
      <c r="AS64" s="1106"/>
      <c r="AT64" s="1106"/>
      <c r="AU64" s="1106"/>
      <c r="AV64" s="1106"/>
      <c r="AW64" s="1106"/>
      <c r="AX64" s="1106"/>
      <c r="AY64" s="1106"/>
      <c r="AZ64" s="1106"/>
      <c r="BA64" s="1106"/>
      <c r="BB64" s="1107"/>
      <c r="BC64" s="1108"/>
      <c r="BD64" s="1108"/>
      <c r="BE64" s="1108"/>
    </row>
    <row r="65" spans="2:57" s="1100" customFormat="1">
      <c r="B65" s="1118" t="s">
        <v>805</v>
      </c>
      <c r="C65" s="1101"/>
      <c r="D65" s="1101"/>
      <c r="E65" s="1102"/>
      <c r="F65" s="1102"/>
      <c r="G65" s="1102"/>
      <c r="H65" s="1102"/>
      <c r="I65" s="1111"/>
      <c r="J65" s="1111"/>
      <c r="K65" s="1111">
        <f>IF(ISTEXT(Notes!F11),K63-'BS Raw'!F55/$B$1,"Chưa có BCTC")</f>
        <v>0</v>
      </c>
      <c r="L65" s="1111">
        <f>IF(ISTEXT(Notes!G11),L63-'BS Raw'!G55/$B$1,"Chưa có BCTC")</f>
        <v>0</v>
      </c>
      <c r="M65" s="1111">
        <f>IF(ISTEXT(Notes!H11),M63-'BS Raw'!H55/$B$1,"Chưa có BCTC")</f>
        <v>0</v>
      </c>
      <c r="N65" s="1111">
        <f>IF(ISTEXT(Notes!I11),N63-'BS Raw'!I55/$B$1,"Chưa có BCTC")</f>
        <v>0</v>
      </c>
      <c r="O65" s="1111">
        <f>IF(ISTEXT(Notes!J11),O63-'BS Raw'!J55/$B$1,"Chưa có BCTC")</f>
        <v>0</v>
      </c>
      <c r="P65" s="2539">
        <f>IF(ISTEXT(Notes!K11),P63-'BS Raw'!K55/$B$1,"Chưa có BCTC")</f>
        <v>0</v>
      </c>
      <c r="Q65" s="1120" t="str">
        <f>IF(ISTEXT(Notes!L11),Q63-'BS Raw'!L55/$B$1,"Chưa có BCTC")</f>
        <v>Chưa có BCTC</v>
      </c>
      <c r="R65" s="1120" t="str">
        <f>IF(ISTEXT(Notes!M11),R63-'BS Raw'!M55/$B$1,"Chưa có BCTC")</f>
        <v>Chưa có BCTC</v>
      </c>
      <c r="S65" s="1120" t="str">
        <f>IF(ISTEXT(Notes!N11),S63-'BS Raw'!N55/$B$1,"Chưa có BCTC")</f>
        <v>Chưa có BCTC</v>
      </c>
      <c r="T65" s="1120" t="str">
        <f>IF(ISTEXT(Notes!O11),T63-'BS Raw'!O55/$B$1,"Chưa có BCTC")</f>
        <v>Chưa có BCTC</v>
      </c>
      <c r="U65" s="1120" t="str">
        <f>IF(ISTEXT(Notes!P11),U63-'BS Raw'!P55/$B$1,"Chưa có BCTC")</f>
        <v>Chưa có BCTC</v>
      </c>
      <c r="V65" s="1120" t="str">
        <f>IF(ISTEXT(Notes!Q11),V63-'BS Raw'!Q55/$B$1,"Chưa có BCTC")</f>
        <v>Chưa có BCTC</v>
      </c>
      <c r="W65" s="1120" t="str">
        <f>IF(ISTEXT(Notes!R11),W63-'BS Raw'!R55/$B$1,"Chưa có BCTC")</f>
        <v>Chưa có BCTC</v>
      </c>
      <c r="X65" s="1120" t="str">
        <f>IF(ISTEXT(Notes!S11),X63-'BS Raw'!S55/$B$1,"Chưa có BCTC")</f>
        <v>Chưa có BCTC</v>
      </c>
      <c r="Y65" s="1120" t="str">
        <f>IF(ISTEXT(Notes!T11),Y63-'BS Raw'!T55/$B$1,"Chưa có BCTC")</f>
        <v>Chưa có BCTC</v>
      </c>
      <c r="Z65" s="1120" t="str">
        <f>IF(ISTEXT(Notes!U11),Z63-'BS Raw'!U55/$B$1,"Chưa có BCTC")</f>
        <v>Chưa có BCTC</v>
      </c>
      <c r="AA65" s="1120"/>
      <c r="AB65" s="1120"/>
      <c r="AC65" s="1120"/>
      <c r="AD65" s="1120"/>
      <c r="AE65" s="1120"/>
      <c r="AF65" s="1120"/>
      <c r="AG65" s="1120"/>
      <c r="AH65" s="1120"/>
      <c r="AI65" s="1120"/>
      <c r="AJ65" s="1120"/>
      <c r="AK65" s="1120"/>
      <c r="AL65" s="1120"/>
      <c r="AM65" s="1120"/>
      <c r="AN65" s="1120"/>
      <c r="AO65" s="1120"/>
      <c r="AP65" s="1120"/>
      <c r="AQ65" s="1120"/>
      <c r="AR65" s="1120"/>
      <c r="AS65" s="1120"/>
      <c r="AT65" s="1120"/>
      <c r="AU65" s="1120"/>
      <c r="AV65" s="1120"/>
      <c r="AW65" s="1120"/>
      <c r="AX65" s="1120"/>
      <c r="AY65" s="1120"/>
      <c r="AZ65" s="1120"/>
      <c r="BA65" s="1120"/>
      <c r="BB65" s="2517"/>
      <c r="BC65" s="1108"/>
      <c r="BD65" s="1108"/>
      <c r="BE65" s="1108"/>
    </row>
    <row r="66" spans="2:57" s="1100" customFormat="1" ht="13.8">
      <c r="B66" s="1101"/>
      <c r="C66" s="1101"/>
      <c r="D66" s="1101"/>
      <c r="E66" s="1102"/>
      <c r="F66" s="1102"/>
      <c r="G66" s="1102"/>
      <c r="H66" s="1102"/>
      <c r="I66" s="1102"/>
      <c r="J66" s="1102"/>
      <c r="K66" s="1102"/>
      <c r="L66" s="1102"/>
      <c r="M66" s="1102"/>
      <c r="N66" s="1140"/>
      <c r="O66" s="1141"/>
      <c r="P66" s="1142"/>
      <c r="Q66" s="1102"/>
      <c r="R66" s="1102"/>
      <c r="S66" s="1102"/>
      <c r="T66" s="1102"/>
      <c r="U66" s="1102"/>
      <c r="V66" s="1102"/>
      <c r="W66" s="1102"/>
      <c r="X66" s="1102"/>
      <c r="Y66" s="1102"/>
      <c r="Z66" s="1102"/>
      <c r="AA66" s="1102"/>
      <c r="AB66" s="1102"/>
      <c r="AC66" s="1102"/>
      <c r="AD66" s="1102"/>
      <c r="AE66" s="1102"/>
      <c r="AF66" s="1102"/>
      <c r="AG66" s="1102"/>
      <c r="AH66" s="1102"/>
      <c r="AI66" s="1102"/>
      <c r="AJ66" s="1102"/>
      <c r="AK66" s="1102"/>
      <c r="AL66" s="1102"/>
      <c r="AM66" s="1102"/>
      <c r="AN66" s="1102"/>
      <c r="AO66" s="1102"/>
      <c r="AP66" s="1102"/>
      <c r="AQ66" s="1102"/>
      <c r="AR66" s="1102"/>
      <c r="AS66" s="1102"/>
      <c r="AT66" s="1102"/>
      <c r="AU66" s="1102"/>
      <c r="AV66" s="1102"/>
      <c r="AW66" s="1102"/>
      <c r="AX66" s="1102"/>
      <c r="AY66" s="1102"/>
      <c r="AZ66" s="1102"/>
      <c r="BA66" s="1102"/>
      <c r="BB66" s="1107"/>
      <c r="BC66" s="1108"/>
      <c r="BD66" s="1108"/>
      <c r="BE66" s="1108"/>
    </row>
    <row r="67" spans="2:57" s="480" customFormat="1">
      <c r="B67" s="1068" t="s">
        <v>806</v>
      </c>
      <c r="C67" s="1068"/>
      <c r="D67" s="1068"/>
      <c r="E67" s="1076"/>
      <c r="F67" s="1076"/>
      <c r="G67" s="1076"/>
      <c r="H67" s="93"/>
      <c r="I67" s="93"/>
      <c r="J67" s="93"/>
      <c r="K67" s="93"/>
      <c r="L67" s="93"/>
      <c r="M67" s="93"/>
      <c r="N67" s="93"/>
      <c r="O67" s="93"/>
      <c r="P67" s="1129"/>
      <c r="Q67" s="1009"/>
      <c r="R67" s="1009"/>
      <c r="S67" s="1009"/>
      <c r="T67" s="1009"/>
      <c r="U67" s="1009"/>
      <c r="V67" s="1009"/>
      <c r="W67" s="1009"/>
      <c r="X67" s="1009"/>
      <c r="Y67" s="1009"/>
      <c r="Z67" s="1009"/>
      <c r="AA67" s="1009"/>
      <c r="AB67" s="1009"/>
      <c r="AC67" s="1009"/>
      <c r="AD67" s="1009"/>
      <c r="AE67" s="1009"/>
      <c r="AF67" s="1009"/>
      <c r="AG67" s="1009"/>
      <c r="AH67" s="1009"/>
      <c r="AI67" s="1009"/>
      <c r="AJ67" s="1009"/>
      <c r="AK67" s="1009"/>
      <c r="AL67" s="1009"/>
      <c r="AM67" s="1009"/>
      <c r="AN67" s="1009"/>
      <c r="AO67" s="1009"/>
      <c r="AP67" s="1009"/>
      <c r="AQ67" s="1009"/>
      <c r="AR67" s="1009"/>
      <c r="AS67" s="1009"/>
      <c r="AT67" s="1009"/>
      <c r="AU67" s="1009"/>
      <c r="AV67" s="1009"/>
      <c r="AW67" s="1009"/>
      <c r="AX67" s="1009"/>
      <c r="AY67" s="1009"/>
      <c r="AZ67" s="1009"/>
      <c r="BA67" s="1009"/>
      <c r="BB67" s="1031"/>
      <c r="BC67" s="424"/>
      <c r="BD67" s="424"/>
      <c r="BE67" s="424"/>
    </row>
    <row r="68" spans="2:57" s="480" customFormat="1">
      <c r="B68" s="1079" t="s">
        <v>799</v>
      </c>
      <c r="C68" s="1080"/>
      <c r="D68" s="1080"/>
      <c r="E68" s="1081"/>
      <c r="F68" s="1081"/>
      <c r="G68" s="1081"/>
      <c r="H68" s="93"/>
      <c r="I68" s="1082"/>
      <c r="J68" s="1082"/>
      <c r="K68" s="1082">
        <f>Notes!F65</f>
        <v>0</v>
      </c>
      <c r="L68" s="1082">
        <f>Notes!G65</f>
        <v>0</v>
      </c>
      <c r="M68" s="1082">
        <f>Notes!H65</f>
        <v>0</v>
      </c>
      <c r="N68" s="1082">
        <f>Notes!I65</f>
        <v>0</v>
      </c>
      <c r="O68" s="1082">
        <f>Notes!J65</f>
        <v>0</v>
      </c>
      <c r="P68" s="1115">
        <f>Notes!K65</f>
        <v>0</v>
      </c>
      <c r="Q68" s="1054">
        <f>P73</f>
        <v>0.77113698100000005</v>
      </c>
      <c r="R68" s="1054">
        <f t="shared" ref="R68:Z68" si="70">Q73</f>
        <v>1.705467855919351</v>
      </c>
      <c r="S68" s="1054">
        <f t="shared" si="70"/>
        <v>2.7877492714865459</v>
      </c>
      <c r="T68" s="1054">
        <f t="shared" si="70"/>
        <v>4.015264162268263</v>
      </c>
      <c r="U68" s="1054">
        <f t="shared" si="70"/>
        <v>5.4828500745582787</v>
      </c>
      <c r="V68" s="1054">
        <f t="shared" si="70"/>
        <v>7.0433960780440277</v>
      </c>
      <c r="W68" s="1054">
        <f t="shared" si="70"/>
        <v>8.6795429444676948</v>
      </c>
      <c r="X68" s="1054">
        <f t="shared" si="70"/>
        <v>10.213655238128283</v>
      </c>
      <c r="Y68" s="1054">
        <f t="shared" si="70"/>
        <v>11.668236497339327</v>
      </c>
      <c r="Z68" s="1054">
        <f t="shared" si="70"/>
        <v>13.058007915927138</v>
      </c>
      <c r="AA68" s="1054"/>
      <c r="AB68" s="1054"/>
      <c r="AC68" s="1054"/>
      <c r="AD68" s="1054"/>
      <c r="AE68" s="1054"/>
      <c r="AF68" s="1054"/>
      <c r="AG68" s="1054"/>
      <c r="AH68" s="1054"/>
      <c r="AI68" s="1054"/>
      <c r="AJ68" s="1054"/>
      <c r="AK68" s="1054"/>
      <c r="AL68" s="1054"/>
      <c r="AM68" s="1054"/>
      <c r="AN68" s="1054"/>
      <c r="AO68" s="1054"/>
      <c r="AP68" s="1054"/>
      <c r="AQ68" s="1054"/>
      <c r="AR68" s="1054"/>
      <c r="AS68" s="1054"/>
      <c r="AT68" s="1054"/>
      <c r="AU68" s="1054"/>
      <c r="AV68" s="1054"/>
      <c r="AW68" s="1054"/>
      <c r="AX68" s="1054"/>
      <c r="AY68" s="1054"/>
      <c r="AZ68" s="1054"/>
      <c r="BA68" s="1054"/>
      <c r="BB68" s="1031"/>
      <c r="BC68" s="424"/>
      <c r="BD68" s="424"/>
      <c r="BE68" s="424"/>
    </row>
    <row r="69" spans="2:57" s="480" customFormat="1">
      <c r="B69" s="1079" t="s">
        <v>800</v>
      </c>
      <c r="C69" s="1080"/>
      <c r="D69" s="1080"/>
      <c r="E69" s="1081"/>
      <c r="F69" s="1081"/>
      <c r="G69" s="1081"/>
      <c r="H69" s="93"/>
      <c r="I69" s="1082"/>
      <c r="J69" s="1082"/>
      <c r="K69" s="1082"/>
      <c r="L69" s="1082"/>
      <c r="M69" s="1082"/>
      <c r="N69" s="1082"/>
      <c r="O69" s="1082"/>
      <c r="P69" s="1115"/>
      <c r="Q69" s="1084">
        <f>Q257</f>
        <v>0.93433087491935107</v>
      </c>
      <c r="R69" s="1084">
        <f t="shared" ref="R69:Z69" si="71">R257</f>
        <v>1.0822814155671951</v>
      </c>
      <c r="S69" s="1084">
        <f t="shared" si="71"/>
        <v>1.2275148907817166</v>
      </c>
      <c r="T69" s="1084">
        <f t="shared" si="71"/>
        <v>1.4675859122900154</v>
      </c>
      <c r="U69" s="1084">
        <f t="shared" si="71"/>
        <v>1.560546003485749</v>
      </c>
      <c r="V69" s="1084">
        <f t="shared" si="71"/>
        <v>1.6361468664236665</v>
      </c>
      <c r="W69" s="1084">
        <f t="shared" si="71"/>
        <v>1.5341122936605882</v>
      </c>
      <c r="X69" s="1084">
        <f t="shared" si="71"/>
        <v>1.4545812592110443</v>
      </c>
      <c r="Y69" s="1084">
        <f t="shared" si="71"/>
        <v>1.3897714185878105</v>
      </c>
      <c r="Z69" s="1084">
        <f t="shared" si="71"/>
        <v>1.2276543279143983</v>
      </c>
      <c r="AA69" s="1084"/>
      <c r="AB69" s="1084"/>
      <c r="AC69" s="1084"/>
      <c r="AD69" s="1084"/>
      <c r="AE69" s="1084"/>
      <c r="AF69" s="1084"/>
      <c r="AG69" s="1084"/>
      <c r="AH69" s="1084"/>
      <c r="AI69" s="1084"/>
      <c r="AJ69" s="1084"/>
      <c r="AK69" s="1084"/>
      <c r="AL69" s="1084"/>
      <c r="AM69" s="1084"/>
      <c r="AN69" s="1084"/>
      <c r="AO69" s="1084"/>
      <c r="AP69" s="1084"/>
      <c r="AQ69" s="1084"/>
      <c r="AR69" s="1084"/>
      <c r="AS69" s="1084"/>
      <c r="AT69" s="1084"/>
      <c r="AU69" s="1084"/>
      <c r="AV69" s="1084"/>
      <c r="AW69" s="1084"/>
      <c r="AX69" s="1084"/>
      <c r="AY69" s="1084"/>
      <c r="AZ69" s="1084"/>
      <c r="BA69" s="1054"/>
      <c r="BB69" s="1031"/>
      <c r="BC69" s="424"/>
      <c r="BD69" s="424"/>
      <c r="BE69" s="424"/>
    </row>
    <row r="70" spans="2:57" s="480" customFormat="1">
      <c r="B70" s="1086" t="s">
        <v>801</v>
      </c>
      <c r="C70" s="1087"/>
      <c r="D70" s="1087"/>
      <c r="E70" s="1088"/>
      <c r="F70" s="1088"/>
      <c r="G70" s="1088"/>
      <c r="H70" s="1089"/>
      <c r="I70" s="1090"/>
      <c r="J70" s="1090"/>
      <c r="K70" s="1090"/>
      <c r="L70" s="1090"/>
      <c r="M70" s="1090"/>
      <c r="N70" s="1090"/>
      <c r="O70" s="1090"/>
      <c r="P70" s="1138"/>
      <c r="Q70" s="1093">
        <v>0</v>
      </c>
      <c r="R70" s="1093">
        <v>0</v>
      </c>
      <c r="S70" s="1093">
        <v>0</v>
      </c>
      <c r="T70" s="1093">
        <v>0</v>
      </c>
      <c r="U70" s="1093">
        <v>0</v>
      </c>
      <c r="V70" s="1093">
        <v>0</v>
      </c>
      <c r="W70" s="1093">
        <v>0</v>
      </c>
      <c r="X70" s="1093">
        <v>0</v>
      </c>
      <c r="Y70" s="1093">
        <v>0</v>
      </c>
      <c r="Z70" s="1093">
        <v>0</v>
      </c>
      <c r="AA70" s="1093"/>
      <c r="AB70" s="1093"/>
      <c r="AC70" s="1093"/>
      <c r="AD70" s="1093"/>
      <c r="AE70" s="1093"/>
      <c r="AF70" s="1093"/>
      <c r="AG70" s="1093"/>
      <c r="AH70" s="1093"/>
      <c r="AI70" s="1093"/>
      <c r="AJ70" s="1093"/>
      <c r="AK70" s="1093"/>
      <c r="AL70" s="1093"/>
      <c r="AM70" s="1093"/>
      <c r="AN70" s="1093"/>
      <c r="AO70" s="1093"/>
      <c r="AP70" s="1093"/>
      <c r="AQ70" s="1093"/>
      <c r="AR70" s="1093"/>
      <c r="AS70" s="1093"/>
      <c r="AT70" s="1093"/>
      <c r="AU70" s="1093"/>
      <c r="AV70" s="1093"/>
      <c r="AW70" s="1093"/>
      <c r="AX70" s="1093"/>
      <c r="AY70" s="1093"/>
      <c r="AZ70" s="1093"/>
      <c r="BA70" s="1093"/>
      <c r="BB70" s="1031"/>
      <c r="BC70" s="424"/>
      <c r="BD70" s="424"/>
      <c r="BE70" s="424"/>
    </row>
    <row r="71" spans="2:57" s="480" customFormat="1">
      <c r="B71" s="1079" t="s">
        <v>802</v>
      </c>
      <c r="C71" s="1080"/>
      <c r="D71" s="1080"/>
      <c r="E71" s="1081"/>
      <c r="F71" s="1081"/>
      <c r="G71" s="1081"/>
      <c r="H71" s="93"/>
      <c r="I71" s="1082"/>
      <c r="J71" s="1082"/>
      <c r="K71" s="1082">
        <f>Notes!F66</f>
        <v>0</v>
      </c>
      <c r="L71" s="1082">
        <f>Notes!G66</f>
        <v>0</v>
      </c>
      <c r="M71" s="1082">
        <f>Notes!H66</f>
        <v>0</v>
      </c>
      <c r="N71" s="1082">
        <f>Notes!I66</f>
        <v>0</v>
      </c>
      <c r="O71" s="1082">
        <f>Notes!J66</f>
        <v>0</v>
      </c>
      <c r="P71" s="1115">
        <f>Notes!K66</f>
        <v>0.77113698100000005</v>
      </c>
      <c r="Q71" s="1084">
        <f>Q69</f>
        <v>0.93433087491935107</v>
      </c>
      <c r="R71" s="1084">
        <f t="shared" ref="R71:Z71" si="72">R69</f>
        <v>1.0822814155671951</v>
      </c>
      <c r="S71" s="1084">
        <f t="shared" si="72"/>
        <v>1.2275148907817166</v>
      </c>
      <c r="T71" s="1084">
        <f t="shared" si="72"/>
        <v>1.4675859122900154</v>
      </c>
      <c r="U71" s="1084">
        <f t="shared" si="72"/>
        <v>1.560546003485749</v>
      </c>
      <c r="V71" s="1084">
        <f t="shared" si="72"/>
        <v>1.6361468664236665</v>
      </c>
      <c r="W71" s="1084">
        <f t="shared" si="72"/>
        <v>1.5341122936605882</v>
      </c>
      <c r="X71" s="1084">
        <f t="shared" si="72"/>
        <v>1.4545812592110443</v>
      </c>
      <c r="Y71" s="1084">
        <f t="shared" si="72"/>
        <v>1.3897714185878105</v>
      </c>
      <c r="Z71" s="1084">
        <f t="shared" si="72"/>
        <v>1.2276543279143983</v>
      </c>
      <c r="AA71" s="1084"/>
      <c r="AB71" s="1084"/>
      <c r="AC71" s="1084"/>
      <c r="AD71" s="1084"/>
      <c r="AE71" s="1084"/>
      <c r="AF71" s="1084"/>
      <c r="AG71" s="1084"/>
      <c r="AH71" s="1084"/>
      <c r="AI71" s="1084"/>
      <c r="AJ71" s="1084"/>
      <c r="AK71" s="1084"/>
      <c r="AL71" s="1084"/>
      <c r="AM71" s="1084"/>
      <c r="AN71" s="1084"/>
      <c r="AO71" s="1084"/>
      <c r="AP71" s="1084"/>
      <c r="AQ71" s="1084"/>
      <c r="AR71" s="1084"/>
      <c r="AS71" s="1084"/>
      <c r="AT71" s="1084"/>
      <c r="AU71" s="1084"/>
      <c r="AV71" s="1054"/>
      <c r="AW71" s="1054"/>
      <c r="AX71" s="1054"/>
      <c r="AY71" s="1054"/>
      <c r="AZ71" s="1054"/>
      <c r="BA71" s="1054"/>
      <c r="BB71" s="1031"/>
      <c r="BC71" s="424"/>
      <c r="BD71" s="424"/>
      <c r="BE71" s="424"/>
    </row>
    <row r="72" spans="2:57" s="480" customFormat="1">
      <c r="B72" s="1079" t="s">
        <v>803</v>
      </c>
      <c r="C72" s="1080"/>
      <c r="D72" s="1080"/>
      <c r="E72" s="1081"/>
      <c r="F72" s="1081"/>
      <c r="G72" s="1081"/>
      <c r="H72" s="93"/>
      <c r="I72" s="1082"/>
      <c r="J72" s="1082"/>
      <c r="K72" s="1082">
        <f>Notes!F67</f>
        <v>0</v>
      </c>
      <c r="L72" s="1082">
        <f>Notes!G67</f>
        <v>0</v>
      </c>
      <c r="M72" s="1082">
        <f>Notes!H67</f>
        <v>0</v>
      </c>
      <c r="N72" s="1082">
        <f>Notes!I67</f>
        <v>0</v>
      </c>
      <c r="O72" s="1082">
        <f>Notes!J67</f>
        <v>0</v>
      </c>
      <c r="P72" s="1115">
        <f>Notes!K67</f>
        <v>0</v>
      </c>
      <c r="Q72" s="1084">
        <f>Q70</f>
        <v>0</v>
      </c>
      <c r="R72" s="1084">
        <f t="shared" ref="R72:Z72" si="73">R70</f>
        <v>0</v>
      </c>
      <c r="S72" s="1084">
        <f t="shared" si="73"/>
        <v>0</v>
      </c>
      <c r="T72" s="1084">
        <f t="shared" si="73"/>
        <v>0</v>
      </c>
      <c r="U72" s="1084">
        <f t="shared" si="73"/>
        <v>0</v>
      </c>
      <c r="V72" s="1084">
        <f t="shared" si="73"/>
        <v>0</v>
      </c>
      <c r="W72" s="1084">
        <f t="shared" si="73"/>
        <v>0</v>
      </c>
      <c r="X72" s="1084">
        <f t="shared" si="73"/>
        <v>0</v>
      </c>
      <c r="Y72" s="1084">
        <f t="shared" si="73"/>
        <v>0</v>
      </c>
      <c r="Z72" s="1084">
        <f t="shared" si="73"/>
        <v>0</v>
      </c>
      <c r="AA72" s="1054"/>
      <c r="AB72" s="1054"/>
      <c r="AC72" s="1054"/>
      <c r="AD72" s="1054"/>
      <c r="AE72" s="1054"/>
      <c r="AF72" s="1054"/>
      <c r="AG72" s="1054"/>
      <c r="AH72" s="1054"/>
      <c r="AI72" s="1054"/>
      <c r="AJ72" s="1054"/>
      <c r="AK72" s="1054"/>
      <c r="AL72" s="1054"/>
      <c r="AM72" s="1054"/>
      <c r="AN72" s="1054"/>
      <c r="AO72" s="1054"/>
      <c r="AP72" s="1054"/>
      <c r="AQ72" s="1054"/>
      <c r="AR72" s="1054"/>
      <c r="AS72" s="1054"/>
      <c r="AT72" s="1054"/>
      <c r="AU72" s="1054"/>
      <c r="AV72" s="1054"/>
      <c r="AW72" s="1054"/>
      <c r="AX72" s="1054"/>
      <c r="AY72" s="1054"/>
      <c r="AZ72" s="1054"/>
      <c r="BA72" s="1054"/>
      <c r="BB72" s="1031"/>
      <c r="BC72" s="424"/>
      <c r="BD72" s="424"/>
      <c r="BE72" s="424"/>
    </row>
    <row r="73" spans="2:57" s="480" customFormat="1">
      <c r="B73" s="1116" t="s">
        <v>807</v>
      </c>
      <c r="C73" s="1095"/>
      <c r="D73" s="1095"/>
      <c r="E73" s="110"/>
      <c r="F73" s="110"/>
      <c r="G73" s="110"/>
      <c r="H73" s="110"/>
      <c r="I73" s="1096"/>
      <c r="J73" s="1096"/>
      <c r="K73" s="1096">
        <f>SUM(K68,K71,K72)</f>
        <v>0</v>
      </c>
      <c r="L73" s="1096">
        <f t="shared" ref="L73:P73" si="74">SUM(L68,L71,L72)</f>
        <v>0</v>
      </c>
      <c r="M73" s="1096">
        <f t="shared" si="74"/>
        <v>0</v>
      </c>
      <c r="N73" s="1096">
        <f t="shared" si="74"/>
        <v>0</v>
      </c>
      <c r="O73" s="1096">
        <f t="shared" si="74"/>
        <v>0</v>
      </c>
      <c r="P73" s="2538">
        <f t="shared" si="74"/>
        <v>0.77113698100000005</v>
      </c>
      <c r="Q73" s="1099">
        <f>SUM(Q68,Q71,Q72)</f>
        <v>1.705467855919351</v>
      </c>
      <c r="R73" s="1099">
        <f t="shared" ref="R73:Z73" si="75">SUM(R68,R71,R72)</f>
        <v>2.7877492714865459</v>
      </c>
      <c r="S73" s="1099">
        <f t="shared" si="75"/>
        <v>4.015264162268263</v>
      </c>
      <c r="T73" s="1099">
        <f t="shared" si="75"/>
        <v>5.4828500745582787</v>
      </c>
      <c r="U73" s="1099">
        <f t="shared" si="75"/>
        <v>7.0433960780440277</v>
      </c>
      <c r="V73" s="1099">
        <f t="shared" si="75"/>
        <v>8.6795429444676948</v>
      </c>
      <c r="W73" s="1099">
        <f t="shared" si="75"/>
        <v>10.213655238128283</v>
      </c>
      <c r="X73" s="1099">
        <f t="shared" si="75"/>
        <v>11.668236497339327</v>
      </c>
      <c r="Y73" s="1099">
        <f t="shared" si="75"/>
        <v>13.058007915927138</v>
      </c>
      <c r="Z73" s="1099">
        <f t="shared" si="75"/>
        <v>14.285662243841537</v>
      </c>
      <c r="AA73" s="1099"/>
      <c r="AB73" s="1099"/>
      <c r="AC73" s="1099"/>
      <c r="AD73" s="1099"/>
      <c r="AE73" s="1099"/>
      <c r="AF73" s="1099"/>
      <c r="AG73" s="1099"/>
      <c r="AH73" s="1099"/>
      <c r="AI73" s="1099"/>
      <c r="AJ73" s="1099"/>
      <c r="AK73" s="1099"/>
      <c r="AL73" s="1099"/>
      <c r="AM73" s="1099"/>
      <c r="AN73" s="1099"/>
      <c r="AO73" s="1099"/>
      <c r="AP73" s="1099"/>
      <c r="AQ73" s="1099"/>
      <c r="AR73" s="1099"/>
      <c r="AS73" s="1099"/>
      <c r="AT73" s="1099"/>
      <c r="AU73" s="1099"/>
      <c r="AV73" s="1099"/>
      <c r="AW73" s="1099"/>
      <c r="AX73" s="1099"/>
      <c r="AY73" s="1099"/>
      <c r="AZ73" s="1099"/>
      <c r="BA73" s="1099"/>
      <c r="BB73" s="1051"/>
      <c r="BC73" s="424"/>
      <c r="BD73" s="424"/>
      <c r="BE73" s="424"/>
    </row>
    <row r="74" spans="2:57" s="480" customFormat="1">
      <c r="B74" s="1117" t="s">
        <v>808</v>
      </c>
      <c r="C74" s="1080"/>
      <c r="D74" s="1080"/>
      <c r="E74" s="93"/>
      <c r="F74" s="93"/>
      <c r="G74" s="93"/>
      <c r="H74" s="93"/>
      <c r="I74" s="1082"/>
      <c r="J74" s="1082"/>
      <c r="K74" s="1082">
        <f>K58-K68</f>
        <v>0</v>
      </c>
      <c r="L74" s="1082">
        <f t="shared" ref="L74:Z74" si="76">L58-L68</f>
        <v>0</v>
      </c>
      <c r="M74" s="1082">
        <f t="shared" si="76"/>
        <v>0</v>
      </c>
      <c r="N74" s="1082">
        <f t="shared" si="76"/>
        <v>0</v>
      </c>
      <c r="O74" s="1082">
        <f t="shared" si="76"/>
        <v>0</v>
      </c>
      <c r="P74" s="1115">
        <f t="shared" si="76"/>
        <v>0</v>
      </c>
      <c r="Q74" s="1054">
        <f t="shared" si="76"/>
        <v>11.212288816000001</v>
      </c>
      <c r="R74" s="1054">
        <f t="shared" si="76"/>
        <v>11.257121304596755</v>
      </c>
      <c r="S74" s="1054">
        <f t="shared" si="76"/>
        <v>11.062543132916627</v>
      </c>
      <c r="T74" s="1054">
        <f t="shared" si="76"/>
        <v>10.706429093422036</v>
      </c>
      <c r="U74" s="1054">
        <f t="shared" si="76"/>
        <v>10.679269310181812</v>
      </c>
      <c r="V74" s="1054">
        <f t="shared" si="76"/>
        <v>9.6764838538704634</v>
      </c>
      <c r="W74" s="1054">
        <f t="shared" si="76"/>
        <v>8.4939421650743014</v>
      </c>
      <c r="X74" s="1054">
        <f t="shared" si="76"/>
        <v>7.3267857983513522</v>
      </c>
      <c r="Y74" s="1054">
        <f t="shared" si="76"/>
        <v>6.2827215763301094</v>
      </c>
      <c r="Z74" s="1054">
        <f t="shared" si="76"/>
        <v>5.3754919652900242</v>
      </c>
      <c r="AA74" s="1054"/>
      <c r="AB74" s="1054"/>
      <c r="AC74" s="1054"/>
      <c r="AD74" s="1054"/>
      <c r="AE74" s="1054"/>
      <c r="AF74" s="1054"/>
      <c r="AG74" s="1054"/>
      <c r="AH74" s="1054"/>
      <c r="AI74" s="1054"/>
      <c r="AJ74" s="1054"/>
      <c r="AK74" s="1054"/>
      <c r="AL74" s="1054"/>
      <c r="AM74" s="1054"/>
      <c r="AN74" s="1054"/>
      <c r="AO74" s="1054"/>
      <c r="AP74" s="1054"/>
      <c r="AQ74" s="1054"/>
      <c r="AR74" s="1054"/>
      <c r="AS74" s="1054"/>
      <c r="AT74" s="1054"/>
      <c r="AU74" s="1054"/>
      <c r="AV74" s="1054"/>
      <c r="AW74" s="1054"/>
      <c r="AX74" s="1054"/>
      <c r="AY74" s="1054"/>
      <c r="AZ74" s="1054"/>
      <c r="BA74" s="1054"/>
      <c r="BB74" s="1031"/>
      <c r="BC74" s="424"/>
      <c r="BD74" s="424"/>
      <c r="BE74" s="424"/>
    </row>
    <row r="75" spans="2:57" s="480" customFormat="1">
      <c r="B75" s="1117" t="s">
        <v>787</v>
      </c>
      <c r="C75" s="1080"/>
      <c r="D75" s="1080"/>
      <c r="E75" s="93"/>
      <c r="F75" s="93"/>
      <c r="G75" s="93"/>
      <c r="H75" s="93"/>
      <c r="I75" s="1082"/>
      <c r="J75" s="1082"/>
      <c r="K75" s="1082">
        <f>K63-K73</f>
        <v>0</v>
      </c>
      <c r="L75" s="1082">
        <f t="shared" ref="L75:Z75" si="77">L63-L73</f>
        <v>0</v>
      </c>
      <c r="M75" s="1082">
        <f t="shared" si="77"/>
        <v>0</v>
      </c>
      <c r="N75" s="1082">
        <f t="shared" si="77"/>
        <v>0</v>
      </c>
      <c r="O75" s="1082">
        <f t="shared" si="77"/>
        <v>0</v>
      </c>
      <c r="P75" s="1115">
        <f t="shared" si="77"/>
        <v>11.212288816000001</v>
      </c>
      <c r="Q75" s="1054">
        <f t="shared" si="77"/>
        <v>11.257121304596755</v>
      </c>
      <c r="R75" s="1054">
        <f t="shared" si="77"/>
        <v>11.062543132916627</v>
      </c>
      <c r="S75" s="1054">
        <f t="shared" si="77"/>
        <v>10.706429093422036</v>
      </c>
      <c r="T75" s="1054">
        <f t="shared" si="77"/>
        <v>10.679269310181812</v>
      </c>
      <c r="U75" s="1054">
        <f t="shared" si="77"/>
        <v>9.6764838538704634</v>
      </c>
      <c r="V75" s="1054">
        <f t="shared" si="77"/>
        <v>8.4939421650743014</v>
      </c>
      <c r="W75" s="1054">
        <f t="shared" si="77"/>
        <v>7.3267857983513522</v>
      </c>
      <c r="X75" s="1054">
        <f t="shared" si="77"/>
        <v>6.2827215763301094</v>
      </c>
      <c r="Y75" s="1054">
        <f t="shared" si="77"/>
        <v>5.3754919652900242</v>
      </c>
      <c r="Z75" s="1054">
        <f t="shared" si="77"/>
        <v>4.6155612223849456</v>
      </c>
      <c r="AA75" s="1054"/>
      <c r="AB75" s="1054"/>
      <c r="AC75" s="1054"/>
      <c r="AD75" s="1054"/>
      <c r="AE75" s="1054"/>
      <c r="AF75" s="1054"/>
      <c r="AG75" s="1054"/>
      <c r="AH75" s="1054"/>
      <c r="AI75" s="1054"/>
      <c r="AJ75" s="1054"/>
      <c r="AK75" s="1054"/>
      <c r="AL75" s="1054"/>
      <c r="AM75" s="1054"/>
      <c r="AN75" s="1054"/>
      <c r="AO75" s="1054"/>
      <c r="AP75" s="1054"/>
      <c r="AQ75" s="1054"/>
      <c r="AR75" s="1054"/>
      <c r="AS75" s="1054"/>
      <c r="AT75" s="1054"/>
      <c r="AU75" s="1054"/>
      <c r="AV75" s="1054"/>
      <c r="AW75" s="1054"/>
      <c r="AX75" s="1054"/>
      <c r="AY75" s="1054"/>
      <c r="AZ75" s="1054"/>
      <c r="BA75" s="1054"/>
      <c r="BB75" s="1031"/>
      <c r="BC75" s="424"/>
      <c r="BD75" s="424"/>
      <c r="BE75" s="424"/>
    </row>
    <row r="76" spans="2:57" s="1100" customFormat="1">
      <c r="B76" s="1118" t="s">
        <v>809</v>
      </c>
      <c r="C76" s="1101"/>
      <c r="D76" s="1101"/>
      <c r="E76" s="1102"/>
      <c r="F76" s="1102"/>
      <c r="G76" s="1102"/>
      <c r="H76" s="1102"/>
      <c r="I76" s="1111"/>
      <c r="J76" s="1111"/>
      <c r="K76" s="1111">
        <f>IF(ISTEXT(Notes!F11),K75-'BS Raw'!F54/$B$1,"Chưa có BCTC")</f>
        <v>0</v>
      </c>
      <c r="L76" s="1111">
        <f>IF(ISTEXT(Notes!G11),L75-'BS Raw'!G54/$B$1,"Chưa có BCTC")</f>
        <v>0</v>
      </c>
      <c r="M76" s="1111">
        <f>IF(ISTEXT(Notes!H11),M75-'BS Raw'!H54/$B$1,"Chưa có BCTC")</f>
        <v>0</v>
      </c>
      <c r="N76" s="1111">
        <f>IF(ISTEXT(Notes!I11),N75-'BS Raw'!I54/$B$1,"Chưa có BCTC")</f>
        <v>0</v>
      </c>
      <c r="O76" s="1111">
        <f>IF(ISTEXT(Notes!J11),O75-'BS Raw'!J54/$B$1,"Chưa có BCTC")</f>
        <v>0</v>
      </c>
      <c r="P76" s="2539">
        <f>IF(ISTEXT(Notes!K11),P75-'BS Raw'!K54/$B$1,"Chưa có BCTC")</f>
        <v>1.7763568394002505E-15</v>
      </c>
      <c r="Q76" s="1120" t="str">
        <f>IF(ISTEXT(Notes!L11),Q75-'BS Raw'!L54/$B$1,"Chưa có BCTC")</f>
        <v>Chưa có BCTC</v>
      </c>
      <c r="R76" s="1120" t="str">
        <f>IF(ISTEXT(Notes!M11),R75-'BS Raw'!M54/$B$1,"Chưa có BCTC")</f>
        <v>Chưa có BCTC</v>
      </c>
      <c r="S76" s="1120" t="str">
        <f>IF(ISTEXT(Notes!N11),S75-'BS Raw'!N54/$B$1,"Chưa có BCTC")</f>
        <v>Chưa có BCTC</v>
      </c>
      <c r="T76" s="1120" t="str">
        <f>IF(ISTEXT(Notes!O11),T75-'BS Raw'!O54/$B$1,"Chưa có BCTC")</f>
        <v>Chưa có BCTC</v>
      </c>
      <c r="U76" s="1120" t="str">
        <f>IF(ISTEXT(Notes!P11),U75-'BS Raw'!P54/$B$1,"Chưa có BCTC")</f>
        <v>Chưa có BCTC</v>
      </c>
      <c r="V76" s="1120" t="str">
        <f>IF(ISTEXT(Notes!Q11),V75-'BS Raw'!Q54/$B$1,"Chưa có BCTC")</f>
        <v>Chưa có BCTC</v>
      </c>
      <c r="W76" s="1120" t="str">
        <f>IF(ISTEXT(Notes!R11),W75-'BS Raw'!R54/$B$1,"Chưa có BCTC")</f>
        <v>Chưa có BCTC</v>
      </c>
      <c r="X76" s="1120" t="str">
        <f>IF(ISTEXT(Notes!S11),X75-'BS Raw'!S54/$B$1,"Chưa có BCTC")</f>
        <v>Chưa có BCTC</v>
      </c>
      <c r="Y76" s="1120" t="str">
        <f>IF(ISTEXT(Notes!T11),Y75-'BS Raw'!T54/$B$1,"Chưa có BCTC")</f>
        <v>Chưa có BCTC</v>
      </c>
      <c r="Z76" s="1120" t="str">
        <f>IF(ISTEXT(Notes!U11),Z75-'BS Raw'!U54/$B$1,"Chưa có BCTC")</f>
        <v>Chưa có BCTC</v>
      </c>
      <c r="AA76" s="1120"/>
      <c r="AB76" s="1120"/>
      <c r="AC76" s="1120"/>
      <c r="AD76" s="1120"/>
      <c r="AE76" s="1120"/>
      <c r="AF76" s="1120"/>
      <c r="AG76" s="1120"/>
      <c r="AH76" s="1120"/>
      <c r="AI76" s="1120"/>
      <c r="AJ76" s="1120"/>
      <c r="AK76" s="1120"/>
      <c r="AL76" s="1120"/>
      <c r="AM76" s="1120"/>
      <c r="AN76" s="1120"/>
      <c r="AO76" s="1120"/>
      <c r="AP76" s="1120"/>
      <c r="AQ76" s="1120"/>
      <c r="AR76" s="1120"/>
      <c r="AS76" s="1120"/>
      <c r="AT76" s="1120"/>
      <c r="AU76" s="1120"/>
      <c r="AV76" s="1120"/>
      <c r="AW76" s="1120"/>
      <c r="AX76" s="1120"/>
      <c r="AY76" s="1120"/>
      <c r="AZ76" s="1120"/>
      <c r="BA76" s="1120"/>
      <c r="BB76" s="1107"/>
      <c r="BC76" s="1108"/>
      <c r="BD76" s="1108"/>
      <c r="BE76" s="1108"/>
    </row>
    <row r="77" spans="2:57" s="1100" customFormat="1" ht="26.4" customHeight="1">
      <c r="B77" s="1123" t="str">
        <f>"- Giá trị còn lại của tài sản đầu tư thêm năm "&amp;YEAR($P$3)</f>
        <v>- Giá trị còn lại của tài sản đầu tư thêm năm 2024</v>
      </c>
      <c r="C77" s="1101"/>
      <c r="D77" s="1101"/>
      <c r="E77" s="1102"/>
      <c r="F77" s="1102"/>
      <c r="G77" s="1102"/>
      <c r="H77" s="1102"/>
      <c r="I77" s="1103"/>
      <c r="J77" s="1103"/>
      <c r="K77" s="1103"/>
      <c r="L77" s="1103"/>
      <c r="M77" s="1103"/>
      <c r="N77" s="1103"/>
      <c r="O77" s="1103"/>
      <c r="P77" s="1143">
        <f>P75</f>
        <v>11.212288816000001</v>
      </c>
      <c r="Q77" s="1144">
        <f>P77-Q245</f>
        <v>10.441151835000001</v>
      </c>
      <c r="R77" s="1144">
        <f t="shared" ref="R77:Z77" si="78">Q77-R245</f>
        <v>9.6700148540000015</v>
      </c>
      <c r="S77" s="1144">
        <f t="shared" si="78"/>
        <v>8.8988778730000018</v>
      </c>
      <c r="T77" s="1144">
        <f t="shared" si="78"/>
        <v>8.127740892000002</v>
      </c>
      <c r="U77" s="1144">
        <f t="shared" si="78"/>
        <v>7.3566039110000023</v>
      </c>
      <c r="V77" s="1144">
        <f t="shared" si="78"/>
        <v>6.5854669300000026</v>
      </c>
      <c r="W77" s="1144">
        <f t="shared" si="78"/>
        <v>5.8143299490000029</v>
      </c>
      <c r="X77" s="1144">
        <f t="shared" si="78"/>
        <v>5.0431929680000032</v>
      </c>
      <c r="Y77" s="1144">
        <f t="shared" si="78"/>
        <v>4.2720559870000034</v>
      </c>
      <c r="Z77" s="1144">
        <f t="shared" si="78"/>
        <v>3.5009190060000033</v>
      </c>
      <c r="AA77" s="1144"/>
      <c r="AB77" s="1144"/>
      <c r="AC77" s="1144"/>
      <c r="AD77" s="1144"/>
      <c r="AE77" s="1144"/>
      <c r="AF77" s="1144"/>
      <c r="AG77" s="1144"/>
      <c r="AH77" s="1144"/>
      <c r="AI77" s="1144"/>
      <c r="AJ77" s="1144"/>
      <c r="AK77" s="1144"/>
      <c r="AL77" s="1144"/>
      <c r="AM77" s="1144"/>
      <c r="AN77" s="1144"/>
      <c r="AO77" s="1144"/>
      <c r="AP77" s="1144"/>
      <c r="AQ77" s="1144"/>
      <c r="AR77" s="1144"/>
      <c r="AS77" s="1144"/>
      <c r="AT77" s="1144"/>
      <c r="AU77" s="1144"/>
      <c r="AV77" s="1144"/>
      <c r="AW77" s="1144"/>
      <c r="AX77" s="1144"/>
      <c r="AY77" s="1144"/>
      <c r="AZ77" s="1106"/>
      <c r="BA77" s="1106"/>
      <c r="BB77" s="1107"/>
      <c r="BC77" s="1108"/>
      <c r="BD77" s="1108"/>
      <c r="BE77" s="1108"/>
    </row>
    <row r="78" spans="2:57" s="1100" customFormat="1" ht="25.2" customHeight="1">
      <c r="B78" s="1123" t="str">
        <f>"- Giá trị còn lại của tài sản đầu tư thêm năm "&amp;YEAR($P$3)+1</f>
        <v>- Giá trị còn lại của tài sản đầu tư thêm năm 2025</v>
      </c>
      <c r="C78" s="1101"/>
      <c r="D78" s="1101"/>
      <c r="E78" s="1102"/>
      <c r="F78" s="1102"/>
      <c r="G78" s="1102"/>
      <c r="H78" s="1102"/>
      <c r="I78" s="1103"/>
      <c r="J78" s="1103"/>
      <c r="K78" s="1103"/>
      <c r="L78" s="1103"/>
      <c r="M78" s="1103"/>
      <c r="N78" s="1103"/>
      <c r="O78" s="1103"/>
      <c r="P78" s="1114"/>
      <c r="Q78" s="1144">
        <f>Q61+Q62-Q246</f>
        <v>0.81596946959675498</v>
      </c>
      <c r="R78" s="1144">
        <f>Q78-R246</f>
        <v>0.65277557567740396</v>
      </c>
      <c r="S78" s="1144">
        <f t="shared" ref="S78:Z78" si="79">R78-S246</f>
        <v>0.48958168175805294</v>
      </c>
      <c r="T78" s="1144">
        <f t="shared" si="79"/>
        <v>0.32638778783870193</v>
      </c>
      <c r="U78" s="1144">
        <f t="shared" si="79"/>
        <v>0.16319389391935094</v>
      </c>
      <c r="V78" s="1144">
        <f t="shared" si="79"/>
        <v>0</v>
      </c>
      <c r="W78" s="1144">
        <f t="shared" si="79"/>
        <v>0</v>
      </c>
      <c r="X78" s="1144">
        <f t="shared" si="79"/>
        <v>0</v>
      </c>
      <c r="Y78" s="1144">
        <f t="shared" si="79"/>
        <v>0</v>
      </c>
      <c r="Z78" s="1144">
        <f t="shared" si="79"/>
        <v>0</v>
      </c>
      <c r="AA78" s="1144"/>
      <c r="AB78" s="1144"/>
      <c r="AC78" s="1144"/>
      <c r="AD78" s="1144"/>
      <c r="AE78" s="1144"/>
      <c r="AF78" s="1144"/>
      <c r="AG78" s="1144"/>
      <c r="AH78" s="1144"/>
      <c r="AI78" s="1144"/>
      <c r="AJ78" s="1144"/>
      <c r="AK78" s="1144"/>
      <c r="AL78" s="1144"/>
      <c r="AM78" s="1144"/>
      <c r="AN78" s="1144"/>
      <c r="AO78" s="1144"/>
      <c r="AP78" s="1144"/>
      <c r="AQ78" s="1144"/>
      <c r="AR78" s="1144"/>
      <c r="AS78" s="1144"/>
      <c r="AT78" s="1144"/>
      <c r="AU78" s="1144"/>
      <c r="AV78" s="1144"/>
      <c r="AW78" s="1144"/>
      <c r="AX78" s="1144"/>
      <c r="AY78" s="1144"/>
      <c r="AZ78" s="1144"/>
      <c r="BA78" s="1144"/>
      <c r="BB78" s="1107"/>
      <c r="BC78" s="1108"/>
      <c r="BD78" s="1108"/>
      <c r="BE78" s="1108"/>
    </row>
    <row r="79" spans="2:57" s="1100" customFormat="1" ht="24" customHeight="1">
      <c r="B79" s="1123" t="str">
        <f>"- Giá trị còn lại của tài sản đầu tư thêm năm "&amp;YEAR($P$3)+2</f>
        <v>- Giá trị còn lại của tài sản đầu tư thêm năm 2026</v>
      </c>
      <c r="C79" s="1101"/>
      <c r="D79" s="1101"/>
      <c r="E79" s="1102"/>
      <c r="F79" s="1102"/>
      <c r="G79" s="1102"/>
      <c r="H79" s="1102"/>
      <c r="I79" s="1103"/>
      <c r="J79" s="1103"/>
      <c r="K79" s="1103"/>
      <c r="L79" s="1103"/>
      <c r="M79" s="1103"/>
      <c r="N79" s="1103"/>
      <c r="O79" s="1103"/>
      <c r="P79" s="1114"/>
      <c r="Q79" s="1106"/>
      <c r="R79" s="1144">
        <f>R61+R62-R247</f>
        <v>0.73975270323922071</v>
      </c>
      <c r="S79" s="1144">
        <f>R79-S247</f>
        <v>0.59180216259137652</v>
      </c>
      <c r="T79" s="1144">
        <f t="shared" ref="T79:Z79" si="80">S79-T247</f>
        <v>0.44385162194353234</v>
      </c>
      <c r="U79" s="1144">
        <f t="shared" si="80"/>
        <v>0.29590108129568815</v>
      </c>
      <c r="V79" s="1144">
        <f t="shared" si="80"/>
        <v>0.14795054064784399</v>
      </c>
      <c r="W79" s="1144">
        <f t="shared" si="80"/>
        <v>0</v>
      </c>
      <c r="X79" s="1144">
        <f t="shared" si="80"/>
        <v>0</v>
      </c>
      <c r="Y79" s="1144">
        <f t="shared" si="80"/>
        <v>0</v>
      </c>
      <c r="Z79" s="1144">
        <f t="shared" si="80"/>
        <v>0</v>
      </c>
      <c r="AA79" s="1144"/>
      <c r="AB79" s="1144"/>
      <c r="AC79" s="1144"/>
      <c r="AD79" s="1144"/>
      <c r="AE79" s="1144"/>
      <c r="AF79" s="1144"/>
      <c r="AG79" s="1144"/>
      <c r="AH79" s="1144"/>
      <c r="AI79" s="1144"/>
      <c r="AJ79" s="1144"/>
      <c r="AK79" s="1144"/>
      <c r="AL79" s="1144"/>
      <c r="AM79" s="1144"/>
      <c r="AN79" s="1144"/>
      <c r="AO79" s="1144"/>
      <c r="AP79" s="1144"/>
      <c r="AQ79" s="1144"/>
      <c r="AR79" s="1144"/>
      <c r="AS79" s="1144"/>
      <c r="AT79" s="1144"/>
      <c r="AU79" s="1144"/>
      <c r="AV79" s="1144"/>
      <c r="AW79" s="1144"/>
      <c r="AX79" s="1106"/>
      <c r="AY79" s="1106"/>
      <c r="AZ79" s="1106"/>
      <c r="BA79" s="1106"/>
      <c r="BB79" s="1107"/>
      <c r="BC79" s="1108"/>
      <c r="BD79" s="1108"/>
      <c r="BE79" s="1108"/>
    </row>
    <row r="80" spans="2:57" s="1100" customFormat="1" ht="30" customHeight="1">
      <c r="B80" s="1123" t="str">
        <f>"- Giá trị còn lại của tài sản đầu tư thêm năm "&amp;YEAR($P$3)+3</f>
        <v>- Giá trị còn lại của tài sản đầu tư thêm năm 2027</v>
      </c>
      <c r="C80" s="1101"/>
      <c r="D80" s="1101"/>
      <c r="E80" s="1102"/>
      <c r="F80" s="1102"/>
      <c r="G80" s="1102"/>
      <c r="H80" s="1102"/>
      <c r="I80" s="1103"/>
      <c r="J80" s="1103"/>
      <c r="K80" s="1103"/>
      <c r="L80" s="1103"/>
      <c r="M80" s="1103"/>
      <c r="N80" s="1103"/>
      <c r="O80" s="1103"/>
      <c r="P80" s="1114"/>
      <c r="Q80" s="1106"/>
      <c r="R80" s="1144"/>
      <c r="S80" s="1144">
        <f>S61+S62-S248</f>
        <v>0.72616737607260673</v>
      </c>
      <c r="T80" s="1144">
        <f>S80-T248</f>
        <v>0.58093390085808538</v>
      </c>
      <c r="U80" s="1144">
        <f t="shared" ref="U80:Z80" si="81">T80-U248</f>
        <v>0.43570042564356404</v>
      </c>
      <c r="V80" s="1144">
        <f t="shared" si="81"/>
        <v>0.29046695042904269</v>
      </c>
      <c r="W80" s="1144">
        <f t="shared" si="81"/>
        <v>0.14523347521452135</v>
      </c>
      <c r="X80" s="1144">
        <f t="shared" si="81"/>
        <v>0</v>
      </c>
      <c r="Y80" s="1144">
        <f t="shared" si="81"/>
        <v>0</v>
      </c>
      <c r="Z80" s="1144">
        <f t="shared" si="81"/>
        <v>0</v>
      </c>
      <c r="AA80" s="1144"/>
      <c r="AB80" s="1144"/>
      <c r="AC80" s="1144"/>
      <c r="AD80" s="1144"/>
      <c r="AE80" s="1144"/>
      <c r="AF80" s="1144"/>
      <c r="AG80" s="1144"/>
      <c r="AH80" s="1144"/>
      <c r="AI80" s="1144"/>
      <c r="AJ80" s="1144"/>
      <c r="AK80" s="1144"/>
      <c r="AL80" s="1144"/>
      <c r="AM80" s="1144"/>
      <c r="AN80" s="1144"/>
      <c r="AO80" s="1144"/>
      <c r="AP80" s="1144"/>
      <c r="AQ80" s="1144"/>
      <c r="AR80" s="1144"/>
      <c r="AS80" s="1144"/>
      <c r="AT80" s="1144"/>
      <c r="AU80" s="1144"/>
      <c r="AV80" s="1144"/>
      <c r="AW80" s="1144"/>
      <c r="AX80" s="1106"/>
      <c r="AY80" s="1106"/>
      <c r="AZ80" s="1106"/>
      <c r="BA80" s="1106"/>
      <c r="BB80" s="1107"/>
      <c r="BC80" s="1108"/>
      <c r="BD80" s="1108"/>
      <c r="BE80" s="1108"/>
    </row>
    <row r="81" spans="2:57" s="1100" customFormat="1" ht="26.4" customHeight="1">
      <c r="B81" s="1123" t="str">
        <f>"- Giá trị còn lại của tài sản đầu tư thêm năm "&amp;YEAR($P$3)+4</f>
        <v>- Giá trị còn lại của tài sản đầu tư thêm năm 2028</v>
      </c>
      <c r="C81" s="1101"/>
      <c r="D81" s="1101"/>
      <c r="E81" s="1102"/>
      <c r="F81" s="1102"/>
      <c r="G81" s="1102"/>
      <c r="H81" s="1102"/>
      <c r="I81" s="1103"/>
      <c r="J81" s="1103"/>
      <c r="K81" s="1103"/>
      <c r="L81" s="1103"/>
      <c r="M81" s="1103"/>
      <c r="N81" s="1103"/>
      <c r="O81" s="1103"/>
      <c r="P81" s="1114"/>
      <c r="Q81" s="1106"/>
      <c r="R81" s="1106"/>
      <c r="S81" s="1106"/>
      <c r="T81" s="1144">
        <f>T61+T62-T249</f>
        <v>1.2003551075414938</v>
      </c>
      <c r="U81" s="1144">
        <f>T81-U249</f>
        <v>0.96028408603319504</v>
      </c>
      <c r="V81" s="1144">
        <f t="shared" ref="V81:Z81" si="82">U81-V249</f>
        <v>0.72021306452489631</v>
      </c>
      <c r="W81" s="1144">
        <f t="shared" si="82"/>
        <v>0.48014204301659758</v>
      </c>
      <c r="X81" s="1144">
        <f t="shared" si="82"/>
        <v>0.24007102150829882</v>
      </c>
      <c r="Y81" s="1144">
        <f t="shared" si="82"/>
        <v>0</v>
      </c>
      <c r="Z81" s="1144">
        <f t="shared" si="82"/>
        <v>0</v>
      </c>
      <c r="AA81" s="1144"/>
      <c r="AB81" s="1144"/>
      <c r="AC81" s="1144"/>
      <c r="AD81" s="1144"/>
      <c r="AE81" s="1144"/>
      <c r="AF81" s="1144"/>
      <c r="AG81" s="1144"/>
      <c r="AH81" s="1144"/>
      <c r="AI81" s="1144"/>
      <c r="AJ81" s="1144"/>
      <c r="AK81" s="1144"/>
      <c r="AL81" s="1144"/>
      <c r="AM81" s="1144"/>
      <c r="AN81" s="1144"/>
      <c r="AO81" s="1144"/>
      <c r="AP81" s="1144"/>
      <c r="AQ81" s="1144"/>
      <c r="AR81" s="1144"/>
      <c r="AS81" s="1144"/>
      <c r="AT81" s="1144"/>
      <c r="AU81" s="1144"/>
      <c r="AV81" s="1144"/>
      <c r="AW81" s="1144"/>
      <c r="AX81" s="1144"/>
      <c r="AY81" s="1144"/>
      <c r="AZ81" s="1144"/>
      <c r="BA81" s="1144"/>
      <c r="BB81" s="1107"/>
      <c r="BC81" s="1108"/>
      <c r="BD81" s="1108"/>
      <c r="BE81" s="1108"/>
    </row>
    <row r="82" spans="2:57" s="1100" customFormat="1" ht="27" customHeight="1">
      <c r="B82" s="1123" t="str">
        <f>"- Giá trị còn lại của tài sản đầu tư thêm năm "&amp;YEAR($P$3)+5</f>
        <v>- Giá trị còn lại của tài sản đầu tư thêm năm 2029</v>
      </c>
      <c r="C82" s="1101"/>
      <c r="D82" s="1101"/>
      <c r="E82" s="1102"/>
      <c r="F82" s="1102"/>
      <c r="G82" s="1102"/>
      <c r="H82" s="1102"/>
      <c r="I82" s="1103"/>
      <c r="J82" s="1103"/>
      <c r="K82" s="1103"/>
      <c r="L82" s="1103"/>
      <c r="M82" s="1103"/>
      <c r="N82" s="1103"/>
      <c r="O82" s="1103"/>
      <c r="P82" s="1114"/>
      <c r="Q82" s="1106"/>
      <c r="R82" s="1106"/>
      <c r="S82" s="1106"/>
      <c r="T82" s="1106"/>
      <c r="U82" s="1144">
        <f>U61+U62-U250</f>
        <v>0.46480045597866737</v>
      </c>
      <c r="V82" s="1144">
        <f>U82-V250</f>
        <v>0.37184036478293392</v>
      </c>
      <c r="W82" s="1144">
        <f t="shared" ref="W82:Z82" si="83">V82-W250</f>
        <v>0.27888027358720047</v>
      </c>
      <c r="X82" s="1144">
        <f t="shared" si="83"/>
        <v>0.18592018239146701</v>
      </c>
      <c r="Y82" s="1144">
        <f t="shared" si="83"/>
        <v>9.2960091195733549E-2</v>
      </c>
      <c r="Z82" s="1144">
        <f t="shared" si="83"/>
        <v>0</v>
      </c>
      <c r="AA82" s="1144"/>
      <c r="AB82" s="1144"/>
      <c r="AC82" s="1144"/>
      <c r="AD82" s="1144"/>
      <c r="AE82" s="1144"/>
      <c r="AF82" s="1144"/>
      <c r="AG82" s="1144"/>
      <c r="AH82" s="1144"/>
      <c r="AI82" s="1144"/>
      <c r="AJ82" s="1144"/>
      <c r="AK82" s="1144"/>
      <c r="AL82" s="1144"/>
      <c r="AM82" s="1144"/>
      <c r="AN82" s="1144"/>
      <c r="AO82" s="1144"/>
      <c r="AP82" s="1144"/>
      <c r="AQ82" s="1144"/>
      <c r="AR82" s="1144"/>
      <c r="AS82" s="1144"/>
      <c r="AT82" s="1144"/>
      <c r="AU82" s="1144"/>
      <c r="AV82" s="1144"/>
      <c r="AW82" s="1144"/>
      <c r="AX82" s="1144"/>
      <c r="AY82" s="1106"/>
      <c r="AZ82" s="1106"/>
      <c r="BA82" s="1106"/>
      <c r="BB82" s="1107"/>
      <c r="BC82" s="1108"/>
      <c r="BD82" s="1108"/>
      <c r="BE82" s="1108"/>
    </row>
    <row r="83" spans="2:57" s="1100" customFormat="1" ht="27.6" customHeight="1">
      <c r="B83" s="1123" t="str">
        <f>"- Giá trị còn lại của tài sản đầu tư thêm năm "&amp;YEAR($P$3)+6</f>
        <v>- Giá trị còn lại của tài sản đầu tư thêm năm 2030</v>
      </c>
      <c r="C83" s="1101"/>
      <c r="D83" s="1101"/>
      <c r="E83" s="1102"/>
      <c r="F83" s="1102"/>
      <c r="G83" s="1102"/>
      <c r="H83" s="1102"/>
      <c r="I83" s="1103"/>
      <c r="J83" s="1103"/>
      <c r="K83" s="1103"/>
      <c r="L83" s="1103"/>
      <c r="M83" s="1103"/>
      <c r="N83" s="1103"/>
      <c r="O83" s="1103"/>
      <c r="P83" s="1114"/>
      <c r="Q83" s="1106"/>
      <c r="R83" s="1106"/>
      <c r="S83" s="1106"/>
      <c r="T83" s="1106"/>
      <c r="U83" s="1106"/>
      <c r="V83" s="1144">
        <f>V61+V62-V251</f>
        <v>0.3780043146895874</v>
      </c>
      <c r="W83" s="1144">
        <f>V83-W251</f>
        <v>0.30240345175166994</v>
      </c>
      <c r="X83" s="1144">
        <f t="shared" ref="X83:Z83" si="84">W83-X251</f>
        <v>0.22680258881375245</v>
      </c>
      <c r="Y83" s="1144">
        <f t="shared" si="84"/>
        <v>0.15120172587583497</v>
      </c>
      <c r="Z83" s="1144">
        <f t="shared" si="84"/>
        <v>7.5600862937917485E-2</v>
      </c>
      <c r="AA83" s="1106"/>
      <c r="AB83" s="1106"/>
      <c r="AC83" s="1106"/>
      <c r="AD83" s="1106"/>
      <c r="AE83" s="1106"/>
      <c r="AF83" s="1106"/>
      <c r="AG83" s="1106"/>
      <c r="AH83" s="1106"/>
      <c r="AI83" s="1106"/>
      <c r="AJ83" s="1106"/>
      <c r="AK83" s="1106"/>
      <c r="AL83" s="1106"/>
      <c r="AM83" s="1106"/>
      <c r="AN83" s="1106"/>
      <c r="AO83" s="1106"/>
      <c r="AP83" s="1106"/>
      <c r="AQ83" s="1106"/>
      <c r="AR83" s="1106"/>
      <c r="AS83" s="1106"/>
      <c r="AT83" s="1106"/>
      <c r="AU83" s="1106"/>
      <c r="AV83" s="1106"/>
      <c r="AW83" s="1106"/>
      <c r="AX83" s="1106"/>
      <c r="AY83" s="1106"/>
      <c r="AZ83" s="1106"/>
      <c r="BA83" s="1106"/>
      <c r="BB83" s="1107"/>
      <c r="BC83" s="1108"/>
      <c r="BD83" s="1108"/>
      <c r="BE83" s="1108"/>
    </row>
    <row r="84" spans="2:57" s="1100" customFormat="1" ht="26.4" customHeight="1">
      <c r="B84" s="1123" t="str">
        <f>"- Giá trị còn lại của tài sản đầu tư thêm năm "&amp;YEAR($P$3)+7</f>
        <v>- Giá trị còn lại của tài sản đầu tư thêm năm 2031</v>
      </c>
      <c r="C84" s="1101"/>
      <c r="D84" s="1101"/>
      <c r="E84" s="1102"/>
      <c r="F84" s="1102"/>
      <c r="G84" s="1102"/>
      <c r="H84" s="1102"/>
      <c r="I84" s="1103"/>
      <c r="J84" s="1103"/>
      <c r="K84" s="1103"/>
      <c r="L84" s="1103"/>
      <c r="M84" s="1103"/>
      <c r="N84" s="1103"/>
      <c r="O84" s="1103"/>
      <c r="P84" s="1114"/>
      <c r="Q84" s="1106"/>
      <c r="R84" s="1106"/>
      <c r="S84" s="1106"/>
      <c r="T84" s="1106"/>
      <c r="U84" s="1106"/>
      <c r="V84" s="1106"/>
      <c r="W84" s="1144">
        <f>W61+W62-W252</f>
        <v>0.30579660578136447</v>
      </c>
      <c r="X84" s="1144">
        <f>W84-X252</f>
        <v>0.24463728462509157</v>
      </c>
      <c r="Y84" s="1144">
        <f t="shared" ref="Y84:Z84" si="85">X84-Y252</f>
        <v>0.18347796346881867</v>
      </c>
      <c r="Z84" s="1144">
        <f t="shared" si="85"/>
        <v>0.12231864231254577</v>
      </c>
      <c r="AA84" s="1144"/>
      <c r="AB84" s="1144"/>
      <c r="AC84" s="1144"/>
      <c r="AD84" s="1144"/>
      <c r="AE84" s="1144"/>
      <c r="AF84" s="1144"/>
      <c r="AG84" s="1144"/>
      <c r="AH84" s="1144"/>
      <c r="AI84" s="1144"/>
      <c r="AJ84" s="1144"/>
      <c r="AK84" s="1144"/>
      <c r="AL84" s="1144"/>
      <c r="AM84" s="1144"/>
      <c r="AN84" s="1144"/>
      <c r="AO84" s="1144"/>
      <c r="AP84" s="1144"/>
      <c r="AQ84" s="1144"/>
      <c r="AR84" s="1144"/>
      <c r="AS84" s="1106"/>
      <c r="AT84" s="1106"/>
      <c r="AU84" s="1106"/>
      <c r="AV84" s="1106"/>
      <c r="AW84" s="1106"/>
      <c r="AX84" s="1106"/>
      <c r="AY84" s="1106"/>
      <c r="AZ84" s="1106"/>
      <c r="BA84" s="1106"/>
      <c r="BB84" s="1107"/>
      <c r="BC84" s="1108"/>
      <c r="BD84" s="1108"/>
      <c r="BE84" s="1108"/>
    </row>
    <row r="85" spans="2:57" s="1100" customFormat="1" ht="23.4" customHeight="1">
      <c r="B85" s="1123" t="str">
        <f>"- Giá trị còn lại của tài sản đầu tư thêm năm "&amp;YEAR($P$3)+8</f>
        <v>- Giá trị còn lại của tài sản đầu tư thêm năm 2032</v>
      </c>
      <c r="C85" s="1101"/>
      <c r="D85" s="1101"/>
      <c r="E85" s="1102"/>
      <c r="F85" s="1102"/>
      <c r="G85" s="1102"/>
      <c r="H85" s="1102"/>
      <c r="I85" s="1103"/>
      <c r="J85" s="1103"/>
      <c r="K85" s="1103"/>
      <c r="L85" s="1103"/>
      <c r="M85" s="1103"/>
      <c r="N85" s="1103"/>
      <c r="O85" s="1103"/>
      <c r="P85" s="1114"/>
      <c r="Q85" s="1106"/>
      <c r="R85" s="1106"/>
      <c r="S85" s="1106"/>
      <c r="T85" s="1106"/>
      <c r="U85" s="1106"/>
      <c r="V85" s="1106"/>
      <c r="W85" s="1106"/>
      <c r="X85" s="1144">
        <f>X61+X62-X253</f>
        <v>0.34209753099150131</v>
      </c>
      <c r="Y85" s="1144">
        <f>X85-Y253</f>
        <v>0.27367802479320102</v>
      </c>
      <c r="Z85" s="1144">
        <f>Y85-Z253</f>
        <v>0.20525851859490077</v>
      </c>
      <c r="AA85" s="1144"/>
      <c r="AB85" s="1144"/>
      <c r="AC85" s="1144"/>
      <c r="AD85" s="1144"/>
      <c r="AE85" s="1144"/>
      <c r="AF85" s="1144"/>
      <c r="AG85" s="1144"/>
      <c r="AH85" s="1144"/>
      <c r="AI85" s="1144"/>
      <c r="AJ85" s="1144"/>
      <c r="AK85" s="1144"/>
      <c r="AL85" s="1144"/>
      <c r="AM85" s="1144"/>
      <c r="AN85" s="1144"/>
      <c r="AO85" s="1144"/>
      <c r="AP85" s="1144"/>
      <c r="AQ85" s="1144"/>
      <c r="AR85" s="1144"/>
      <c r="AS85" s="1144"/>
      <c r="AT85" s="1144"/>
      <c r="AU85" s="1144"/>
      <c r="AV85" s="1144"/>
      <c r="AW85" s="1144"/>
      <c r="AX85" s="1144"/>
      <c r="AY85" s="1106"/>
      <c r="AZ85" s="1106"/>
      <c r="BA85" s="1106"/>
      <c r="BB85" s="1107"/>
      <c r="BC85" s="1108"/>
      <c r="BD85" s="1108"/>
      <c r="BE85" s="1108"/>
    </row>
    <row r="86" spans="2:57" s="1100" customFormat="1" ht="28.2" customHeight="1">
      <c r="B86" s="1123" t="str">
        <f>"- Giá trị còn lại của tài sản đầu tư thêm năm "&amp;YEAR($P$3)+9</f>
        <v>- Giá trị còn lại của tài sản đầu tư thêm năm 2033</v>
      </c>
      <c r="C86" s="1101"/>
      <c r="D86" s="1101"/>
      <c r="E86" s="1102"/>
      <c r="F86" s="1102"/>
      <c r="G86" s="1102"/>
      <c r="H86" s="1102"/>
      <c r="I86" s="1103"/>
      <c r="J86" s="1103"/>
      <c r="K86" s="1103"/>
      <c r="L86" s="1103"/>
      <c r="M86" s="1103"/>
      <c r="N86" s="1103"/>
      <c r="O86" s="1103"/>
      <c r="P86" s="1114"/>
      <c r="Q86" s="1106"/>
      <c r="R86" s="1106"/>
      <c r="S86" s="1106"/>
      <c r="T86" s="1106"/>
      <c r="U86" s="1106"/>
      <c r="V86" s="1106"/>
      <c r="W86" s="1106"/>
      <c r="X86" s="1106"/>
      <c r="Y86" s="1144">
        <f>Y61+Y62-Y254</f>
        <v>0.4021181729564382</v>
      </c>
      <c r="Z86" s="1144">
        <f>Y86-Z254</f>
        <v>0.32169453836515055</v>
      </c>
      <c r="AA86" s="1106"/>
      <c r="AB86" s="1106"/>
      <c r="AC86" s="1106"/>
      <c r="AD86" s="1106"/>
      <c r="AE86" s="1106"/>
      <c r="AF86" s="1106"/>
      <c r="AG86" s="1106"/>
      <c r="AH86" s="1106"/>
      <c r="AI86" s="1106"/>
      <c r="AJ86" s="1106"/>
      <c r="AK86" s="1106"/>
      <c r="AL86" s="1106"/>
      <c r="AM86" s="1106"/>
      <c r="AN86" s="1106"/>
      <c r="AO86" s="1106"/>
      <c r="AP86" s="1106"/>
      <c r="AQ86" s="1106"/>
      <c r="AR86" s="1106"/>
      <c r="AS86" s="1106"/>
      <c r="AT86" s="1106"/>
      <c r="AU86" s="1106"/>
      <c r="AV86" s="1106"/>
      <c r="AW86" s="1106"/>
      <c r="AX86" s="1106"/>
      <c r="AY86" s="1106"/>
      <c r="AZ86" s="1106"/>
      <c r="BA86" s="1106"/>
      <c r="BB86" s="1107"/>
      <c r="BC86" s="1108"/>
      <c r="BD86" s="1108"/>
      <c r="BE86" s="1108"/>
    </row>
    <row r="87" spans="2:57" s="1100" customFormat="1" ht="26.4" customHeight="1">
      <c r="B87" s="1123" t="str">
        <f>"- Giá trị còn lại của tài sản đầu tư thêm năm "&amp;YEAR($P$3)+10</f>
        <v>- Giá trị còn lại của tài sản đầu tư thêm năm 2034</v>
      </c>
      <c r="C87" s="1101"/>
      <c r="D87" s="1101"/>
      <c r="E87" s="1102"/>
      <c r="F87" s="1102"/>
      <c r="G87" s="1102"/>
      <c r="H87" s="1102"/>
      <c r="I87" s="1103"/>
      <c r="J87" s="1103"/>
      <c r="K87" s="1103"/>
      <c r="L87" s="1103"/>
      <c r="M87" s="1103"/>
      <c r="N87" s="1103"/>
      <c r="O87" s="1103"/>
      <c r="P87" s="1114"/>
      <c r="Q87" s="1106"/>
      <c r="R87" s="1106"/>
      <c r="S87" s="1106"/>
      <c r="T87" s="1106"/>
      <c r="U87" s="1106"/>
      <c r="V87" s="1106"/>
      <c r="W87" s="1106"/>
      <c r="X87" s="1106"/>
      <c r="Y87" s="1106"/>
      <c r="Z87" s="1144">
        <f>Z61+Z62-Z255</f>
        <v>0.38976965417443343</v>
      </c>
      <c r="AA87" s="1144"/>
      <c r="AB87" s="1144"/>
      <c r="AC87" s="1144"/>
      <c r="AD87" s="1144"/>
      <c r="AE87" s="1144"/>
      <c r="AF87" s="1144"/>
      <c r="AG87" s="1144"/>
      <c r="AH87" s="1144"/>
      <c r="AI87" s="1144"/>
      <c r="AJ87" s="1144"/>
      <c r="AK87" s="1144"/>
      <c r="AL87" s="1144"/>
      <c r="AM87" s="1144"/>
      <c r="AN87" s="1144"/>
      <c r="AO87" s="1144"/>
      <c r="AP87" s="1144"/>
      <c r="AQ87" s="1144"/>
      <c r="AR87" s="1144"/>
      <c r="AS87" s="1144"/>
      <c r="AT87" s="1144"/>
      <c r="AU87" s="1144"/>
      <c r="AV87" s="1144"/>
      <c r="AW87" s="1144"/>
      <c r="AX87" s="1144"/>
      <c r="AY87" s="1144"/>
      <c r="AZ87" s="1144"/>
      <c r="BA87" s="1144"/>
      <c r="BB87" s="1107"/>
      <c r="BC87" s="1108"/>
      <c r="BD87" s="1108"/>
      <c r="BE87" s="1108"/>
    </row>
    <row r="88" spans="2:57" s="1100" customFormat="1" ht="31.95" customHeight="1">
      <c r="B88" s="1123" t="str">
        <f>"- Giá trị còn lại của tài sản đầu tư thêm năm "&amp;YEAR($P$3)+11</f>
        <v>- Giá trị còn lại của tài sản đầu tư thêm năm 2035</v>
      </c>
      <c r="C88" s="1101"/>
      <c r="D88" s="1101"/>
      <c r="E88" s="1102"/>
      <c r="F88" s="1102"/>
      <c r="G88" s="1102"/>
      <c r="H88" s="1102"/>
      <c r="I88" s="1103"/>
      <c r="J88" s="1103"/>
      <c r="K88" s="1103"/>
      <c r="L88" s="1103"/>
      <c r="M88" s="1103"/>
      <c r="N88" s="1103"/>
      <c r="O88" s="1103"/>
      <c r="P88" s="1114"/>
      <c r="Q88" s="1106"/>
      <c r="R88" s="1106"/>
      <c r="S88" s="1106"/>
      <c r="T88" s="1106"/>
      <c r="U88" s="1106"/>
      <c r="V88" s="1106"/>
      <c r="W88" s="1106"/>
      <c r="X88" s="1106"/>
      <c r="Y88" s="1106"/>
      <c r="Z88" s="1106"/>
      <c r="AA88" s="1144"/>
      <c r="AB88" s="1144"/>
      <c r="AC88" s="1144"/>
      <c r="AD88" s="1144"/>
      <c r="AE88" s="1144"/>
      <c r="AF88" s="1144"/>
      <c r="AG88" s="1144"/>
      <c r="AH88" s="1144"/>
      <c r="AI88" s="1144"/>
      <c r="AJ88" s="1144"/>
      <c r="AK88" s="1144"/>
      <c r="AL88" s="1144"/>
      <c r="AM88" s="1144"/>
      <c r="AN88" s="1144"/>
      <c r="AO88" s="1144"/>
      <c r="AP88" s="1144"/>
      <c r="AQ88" s="1144"/>
      <c r="AR88" s="1144"/>
      <c r="AS88" s="1144"/>
      <c r="AT88" s="1144"/>
      <c r="AU88" s="1144"/>
      <c r="AV88" s="1144"/>
      <c r="AW88" s="1144"/>
      <c r="AX88" s="1144"/>
      <c r="AY88" s="1144"/>
      <c r="AZ88" s="1144"/>
      <c r="BA88" s="1144"/>
      <c r="BB88" s="1107"/>
      <c r="BC88" s="1108"/>
      <c r="BD88" s="1108"/>
      <c r="BE88" s="1108"/>
    </row>
    <row r="89" spans="2:57" s="1152" customFormat="1">
      <c r="B89" s="1072" t="s">
        <v>811</v>
      </c>
      <c r="C89" s="1145"/>
      <c r="D89" s="1145"/>
      <c r="E89" s="1146"/>
      <c r="F89" s="1146"/>
      <c r="G89" s="1146"/>
      <c r="H89" s="1147"/>
      <c r="I89" s="1147"/>
      <c r="J89" s="1147"/>
      <c r="K89" s="1147"/>
      <c r="L89" s="1147"/>
      <c r="M89" s="1148"/>
      <c r="N89" s="1148"/>
      <c r="O89" s="1148"/>
      <c r="P89" s="1149"/>
      <c r="Q89" s="1148"/>
      <c r="R89" s="1148"/>
      <c r="S89" s="1148"/>
      <c r="T89" s="1148"/>
      <c r="U89" s="1148"/>
      <c r="V89" s="1148"/>
      <c r="W89" s="1148"/>
      <c r="X89" s="1148"/>
      <c r="Y89" s="1148"/>
      <c r="Z89" s="1148"/>
      <c r="AA89" s="1148"/>
      <c r="AB89" s="1148"/>
      <c r="AC89" s="1148"/>
      <c r="AD89" s="1148"/>
      <c r="AE89" s="1148"/>
      <c r="AF89" s="1148"/>
      <c r="AG89" s="1148"/>
      <c r="AH89" s="1148"/>
      <c r="AI89" s="1148"/>
      <c r="AJ89" s="1148"/>
      <c r="AK89" s="1148"/>
      <c r="AL89" s="1148"/>
      <c r="AM89" s="1148"/>
      <c r="AN89" s="1148"/>
      <c r="AO89" s="1148"/>
      <c r="AP89" s="1148"/>
      <c r="AQ89" s="1148"/>
      <c r="AR89" s="1148"/>
      <c r="AS89" s="1148"/>
      <c r="AT89" s="1148"/>
      <c r="AU89" s="1148"/>
      <c r="AV89" s="1148"/>
      <c r="AW89" s="1148"/>
      <c r="AX89" s="1148"/>
      <c r="AY89" s="1148"/>
      <c r="AZ89" s="1148"/>
      <c r="BA89" s="1148"/>
      <c r="BB89" s="1150"/>
      <c r="BC89" s="1151"/>
      <c r="BD89" s="1151"/>
      <c r="BE89" s="1151"/>
    </row>
    <row r="90" spans="2:57" s="480" customFormat="1">
      <c r="B90" s="1068" t="s">
        <v>798</v>
      </c>
      <c r="C90" s="1068"/>
      <c r="D90" s="1068"/>
      <c r="E90" s="1076"/>
      <c r="F90" s="126"/>
      <c r="G90" s="1076"/>
      <c r="H90" s="93"/>
      <c r="N90" s="93"/>
      <c r="O90" s="93"/>
      <c r="P90" s="1129"/>
      <c r="Q90" s="93"/>
      <c r="R90" s="93"/>
      <c r="S90" s="93"/>
      <c r="T90" s="93"/>
      <c r="U90" s="93"/>
      <c r="V90" s="93"/>
      <c r="W90" s="93"/>
      <c r="X90" s="93"/>
      <c r="Y90" s="93"/>
      <c r="Z90" s="93"/>
      <c r="AA90" s="93"/>
      <c r="AB90" s="93"/>
      <c r="AC90" s="93"/>
      <c r="AD90" s="93"/>
      <c r="AE90" s="93"/>
      <c r="AF90" s="93"/>
      <c r="AG90" s="93"/>
      <c r="AH90" s="93"/>
      <c r="AI90" s="93"/>
      <c r="AJ90" s="93"/>
      <c r="AK90" s="93"/>
      <c r="AL90" s="93"/>
      <c r="AM90" s="93"/>
      <c r="AN90" s="93"/>
      <c r="AO90" s="93"/>
      <c r="AP90" s="93"/>
      <c r="AQ90" s="93"/>
      <c r="AR90" s="93"/>
      <c r="AS90" s="93"/>
      <c r="AT90" s="93"/>
      <c r="AU90" s="93"/>
      <c r="AV90" s="93"/>
      <c r="AW90" s="93"/>
      <c r="AX90" s="93"/>
      <c r="AY90" s="93"/>
      <c r="AZ90" s="93"/>
      <c r="BA90" s="93"/>
      <c r="BB90" s="1031"/>
      <c r="BC90" s="424"/>
      <c r="BD90" s="424"/>
      <c r="BE90" s="424"/>
    </row>
    <row r="91" spans="2:57" s="480" customFormat="1">
      <c r="B91" s="1079" t="s">
        <v>799</v>
      </c>
      <c r="C91" s="1080"/>
      <c r="D91" s="1080"/>
      <c r="E91" s="1081"/>
      <c r="F91" s="1081"/>
      <c r="G91" s="1081"/>
      <c r="H91" s="93"/>
      <c r="I91" s="1082"/>
      <c r="J91" s="1083"/>
      <c r="K91" s="1083">
        <f>Notes!F69</f>
        <v>105.889604017</v>
      </c>
      <c r="L91" s="1083">
        <f>Notes!G69</f>
        <v>129.455664501</v>
      </c>
      <c r="M91" s="1083">
        <f>Notes!H69</f>
        <v>146.71126237199999</v>
      </c>
      <c r="N91" s="1083">
        <f>Notes!I69</f>
        <v>153.100963527</v>
      </c>
      <c r="O91" s="1083">
        <f>Notes!J69</f>
        <v>178.46571786000001</v>
      </c>
      <c r="P91" s="2534">
        <f>Notes!K69</f>
        <v>500.31777013099997</v>
      </c>
      <c r="Q91" s="1054">
        <f>P96</f>
        <v>537.97018190099993</v>
      </c>
      <c r="R91" s="1054">
        <f t="shared" ref="R91:Z91" si="86">Q96</f>
        <v>696.69307159532434</v>
      </c>
      <c r="S91" s="1054">
        <f t="shared" si="86"/>
        <v>840.59022840358455</v>
      </c>
      <c r="T91" s="1054">
        <f t="shared" si="86"/>
        <v>981.84475890574845</v>
      </c>
      <c r="U91" s="1054">
        <f t="shared" si="86"/>
        <v>1215.3385824215752</v>
      </c>
      <c r="V91" s="1054">
        <f t="shared" si="86"/>
        <v>1305.7518567572345</v>
      </c>
      <c r="W91" s="1054">
        <f t="shared" si="86"/>
        <v>1379.2814916026466</v>
      </c>
      <c r="X91" s="1054">
        <f t="shared" si="86"/>
        <v>1438.7652379152639</v>
      </c>
      <c r="Y91" s="1054">
        <f t="shared" si="86"/>
        <v>1505.3102628205447</v>
      </c>
      <c r="Z91" s="1054">
        <f t="shared" si="86"/>
        <v>1583.5305404024866</v>
      </c>
      <c r="AA91" s="1054"/>
      <c r="AB91" s="1054"/>
      <c r="AC91" s="1054"/>
      <c r="AD91" s="1054"/>
      <c r="AE91" s="1054"/>
      <c r="AF91" s="1054"/>
      <c r="AG91" s="1054"/>
      <c r="AH91" s="1054"/>
      <c r="AI91" s="1054"/>
      <c r="AJ91" s="1054"/>
      <c r="AK91" s="1054"/>
      <c r="AL91" s="1054"/>
      <c r="AM91" s="1054"/>
      <c r="AN91" s="1054"/>
      <c r="AO91" s="1054"/>
      <c r="AP91" s="1054"/>
      <c r="AQ91" s="1054"/>
      <c r="AR91" s="1054"/>
      <c r="AS91" s="1054"/>
      <c r="AT91" s="1054"/>
      <c r="AU91" s="1054"/>
      <c r="AV91" s="1054"/>
      <c r="AW91" s="1054"/>
      <c r="AX91" s="1054"/>
      <c r="AY91" s="1054"/>
      <c r="AZ91" s="1054"/>
      <c r="BA91" s="1054"/>
      <c r="BB91" s="1031"/>
      <c r="BC91" s="2520" t="s">
        <v>1474</v>
      </c>
      <c r="BD91" s="424"/>
      <c r="BE91" s="424"/>
    </row>
    <row r="92" spans="2:57" s="480" customFormat="1">
      <c r="B92" s="1079" t="s">
        <v>800</v>
      </c>
      <c r="C92" s="1080"/>
      <c r="D92" s="1080"/>
      <c r="E92" s="1081"/>
      <c r="F92" s="1081"/>
      <c r="G92" s="1081"/>
      <c r="H92" s="93"/>
      <c r="I92" s="1082"/>
      <c r="J92" s="1082"/>
      <c r="K92" s="1082"/>
      <c r="L92" s="1082"/>
      <c r="M92" s="1082"/>
      <c r="N92" s="1082"/>
      <c r="O92" s="1082"/>
      <c r="P92" s="1115"/>
      <c r="Q92" s="1054">
        <f>Q9*Q15</f>
        <v>158.72288969432441</v>
      </c>
      <c r="R92" s="1054">
        <f t="shared" ref="R92:Z92" si="87">R9*R15</f>
        <v>143.89715680826018</v>
      </c>
      <c r="S92" s="1054">
        <f t="shared" si="87"/>
        <v>141.25453050216393</v>
      </c>
      <c r="T92" s="1054">
        <f t="shared" si="87"/>
        <v>233.49382351582673</v>
      </c>
      <c r="U92" s="1054">
        <f t="shared" si="87"/>
        <v>90.413274335659167</v>
      </c>
      <c r="V92" s="1054">
        <f t="shared" si="87"/>
        <v>73.529634845412218</v>
      </c>
      <c r="W92" s="1054">
        <f t="shared" si="87"/>
        <v>59.48374631261737</v>
      </c>
      <c r="X92" s="1054">
        <f t="shared" si="87"/>
        <v>66.545024905280755</v>
      </c>
      <c r="Y92" s="1054">
        <f t="shared" si="87"/>
        <v>78.220277581941815</v>
      </c>
      <c r="Z92" s="1054">
        <f t="shared" si="87"/>
        <v>75.818236013532342</v>
      </c>
      <c r="AA92" s="1054"/>
      <c r="AB92" s="1054"/>
      <c r="AC92" s="1054"/>
      <c r="AD92" s="1054"/>
      <c r="AE92" s="1054"/>
      <c r="AF92" s="1054"/>
      <c r="AG92" s="1054"/>
      <c r="AH92" s="1054"/>
      <c r="AI92" s="1054"/>
      <c r="AJ92" s="1054"/>
      <c r="AK92" s="1054"/>
      <c r="AL92" s="1054"/>
      <c r="AM92" s="1054"/>
      <c r="AN92" s="1054"/>
      <c r="AO92" s="1054"/>
      <c r="AP92" s="1054"/>
      <c r="AQ92" s="1054"/>
      <c r="AR92" s="1054"/>
      <c r="AS92" s="1054"/>
      <c r="AT92" s="1054"/>
      <c r="AU92" s="1054"/>
      <c r="AV92" s="1054"/>
      <c r="AW92" s="1054"/>
      <c r="AX92" s="1054"/>
      <c r="AY92" s="1054"/>
      <c r="AZ92" s="1054"/>
      <c r="BA92" s="1054"/>
      <c r="BB92" s="1031"/>
      <c r="BC92" s="2519">
        <f>SUM(Q92:Z92)</f>
        <v>1121.3785945150191</v>
      </c>
      <c r="BD92" s="424"/>
      <c r="BE92" s="424"/>
    </row>
    <row r="93" spans="2:57" s="480" customFormat="1">
      <c r="B93" s="1086" t="s">
        <v>801</v>
      </c>
      <c r="C93" s="1087"/>
      <c r="D93" s="1087"/>
      <c r="E93" s="1088"/>
      <c r="F93" s="1088"/>
      <c r="G93" s="1088"/>
      <c r="H93" s="1089"/>
      <c r="I93" s="1090"/>
      <c r="J93" s="1090"/>
      <c r="K93" s="1090"/>
      <c r="L93" s="1090"/>
      <c r="M93" s="1090"/>
      <c r="N93" s="1090"/>
      <c r="O93" s="1090"/>
      <c r="P93" s="1138"/>
      <c r="Q93" s="1093">
        <v>0</v>
      </c>
      <c r="R93" s="1093">
        <v>0</v>
      </c>
      <c r="S93" s="1093">
        <v>0</v>
      </c>
      <c r="T93" s="1093">
        <v>0</v>
      </c>
      <c r="U93" s="1093">
        <v>0</v>
      </c>
      <c r="V93" s="1093">
        <v>0</v>
      </c>
      <c r="W93" s="1093">
        <v>0</v>
      </c>
      <c r="X93" s="1093">
        <v>0</v>
      </c>
      <c r="Y93" s="1093">
        <v>0</v>
      </c>
      <c r="Z93" s="1093">
        <v>0</v>
      </c>
      <c r="AA93" s="1093"/>
      <c r="AB93" s="1093"/>
      <c r="AC93" s="1093"/>
      <c r="AD93" s="1093"/>
      <c r="AE93" s="1093"/>
      <c r="AF93" s="1093"/>
      <c r="AG93" s="1093"/>
      <c r="AH93" s="1093"/>
      <c r="AI93" s="1093"/>
      <c r="AJ93" s="1093"/>
      <c r="AK93" s="1093"/>
      <c r="AL93" s="1093"/>
      <c r="AM93" s="1093"/>
      <c r="AN93" s="1093"/>
      <c r="AO93" s="1093"/>
      <c r="AP93" s="1093"/>
      <c r="AQ93" s="1093"/>
      <c r="AR93" s="1093"/>
      <c r="AS93" s="1093"/>
      <c r="AT93" s="1093"/>
      <c r="AU93" s="1093"/>
      <c r="AV93" s="1093"/>
      <c r="AW93" s="1093"/>
      <c r="AX93" s="1093"/>
      <c r="AY93" s="1093"/>
      <c r="AZ93" s="1093"/>
      <c r="BA93" s="1093"/>
      <c r="BB93" s="1031"/>
      <c r="BC93" s="2472"/>
      <c r="BD93" s="424"/>
      <c r="BE93" s="424"/>
    </row>
    <row r="94" spans="2:57" s="480" customFormat="1">
      <c r="B94" s="1079" t="s">
        <v>802</v>
      </c>
      <c r="C94" s="1080"/>
      <c r="D94" s="1080"/>
      <c r="E94" s="1081"/>
      <c r="F94" s="1081"/>
      <c r="G94" s="1081"/>
      <c r="H94" s="93"/>
      <c r="I94" s="1082"/>
      <c r="J94" s="1083"/>
      <c r="K94" s="1083">
        <f>Notes!F70</f>
        <v>23.566060484000001</v>
      </c>
      <c r="L94" s="1083">
        <f>Notes!G70</f>
        <v>17.255597870999999</v>
      </c>
      <c r="M94" s="1083">
        <f>Notes!H70</f>
        <v>6.389701155</v>
      </c>
      <c r="N94" s="1083">
        <f>Notes!I70</f>
        <v>25.364754333</v>
      </c>
      <c r="O94" s="1083">
        <f>Notes!J70</f>
        <v>321.85205227099999</v>
      </c>
      <c r="P94" s="2534">
        <f>Notes!K70</f>
        <v>37.652411770000001</v>
      </c>
      <c r="Q94" s="1054">
        <f>Q92</f>
        <v>158.72288969432441</v>
      </c>
      <c r="R94" s="1054">
        <f t="shared" ref="R94:Z94" si="88">R92</f>
        <v>143.89715680826018</v>
      </c>
      <c r="S94" s="1054">
        <f t="shared" si="88"/>
        <v>141.25453050216393</v>
      </c>
      <c r="T94" s="1054">
        <f t="shared" si="88"/>
        <v>233.49382351582673</v>
      </c>
      <c r="U94" s="1054">
        <f t="shared" si="88"/>
        <v>90.413274335659167</v>
      </c>
      <c r="V94" s="1054">
        <f t="shared" si="88"/>
        <v>73.529634845412218</v>
      </c>
      <c r="W94" s="1054">
        <f t="shared" si="88"/>
        <v>59.48374631261737</v>
      </c>
      <c r="X94" s="1054">
        <f t="shared" si="88"/>
        <v>66.545024905280755</v>
      </c>
      <c r="Y94" s="1054">
        <f t="shared" si="88"/>
        <v>78.220277581941815</v>
      </c>
      <c r="Z94" s="1054">
        <f t="shared" si="88"/>
        <v>75.818236013532342</v>
      </c>
      <c r="AA94" s="1054"/>
      <c r="AB94" s="1054"/>
      <c r="AC94" s="1054"/>
      <c r="AD94" s="1054"/>
      <c r="AE94" s="1054"/>
      <c r="AF94" s="1054"/>
      <c r="AG94" s="1054"/>
      <c r="AH94" s="1054"/>
      <c r="AI94" s="1054"/>
      <c r="AJ94" s="1054"/>
      <c r="AK94" s="1054"/>
      <c r="AL94" s="1054"/>
      <c r="AM94" s="1054"/>
      <c r="AN94" s="1054"/>
      <c r="AO94" s="1054"/>
      <c r="AP94" s="1054"/>
      <c r="AQ94" s="1054"/>
      <c r="AR94" s="1054"/>
      <c r="AS94" s="1054"/>
      <c r="AT94" s="1054"/>
      <c r="AU94" s="1054"/>
      <c r="AV94" s="1054"/>
      <c r="AW94" s="1054"/>
      <c r="AX94" s="1054"/>
      <c r="AY94" s="1054"/>
      <c r="AZ94" s="1054"/>
      <c r="BA94" s="1054"/>
      <c r="BB94" s="1139"/>
      <c r="BC94" s="2472"/>
      <c r="BD94" s="424"/>
      <c r="BE94" s="424"/>
    </row>
    <row r="95" spans="2:57" s="480" customFormat="1" ht="13.8" thickBot="1">
      <c r="B95" s="1079" t="s">
        <v>803</v>
      </c>
      <c r="C95" s="1080"/>
      <c r="D95" s="1080"/>
      <c r="E95" s="1081"/>
      <c r="F95" s="1081"/>
      <c r="G95" s="1081"/>
      <c r="H95" s="93"/>
      <c r="I95" s="1082"/>
      <c r="J95" s="1082"/>
      <c r="K95" s="1082">
        <f>Notes!F71</f>
        <v>0</v>
      </c>
      <c r="L95" s="1082">
        <f>Notes!G71</f>
        <v>0</v>
      </c>
      <c r="M95" s="1082">
        <f>Notes!H71</f>
        <v>0</v>
      </c>
      <c r="N95" s="1082">
        <f>Notes!I71</f>
        <v>0</v>
      </c>
      <c r="O95" s="1082">
        <f>Notes!J71</f>
        <v>0</v>
      </c>
      <c r="P95" s="1115">
        <f>Notes!K71</f>
        <v>0</v>
      </c>
      <c r="Q95" s="1054">
        <f>Q93</f>
        <v>0</v>
      </c>
      <c r="R95" s="1054">
        <f t="shared" ref="R95:Z95" si="89">R93</f>
        <v>0</v>
      </c>
      <c r="S95" s="1054">
        <f t="shared" si="89"/>
        <v>0</v>
      </c>
      <c r="T95" s="1054">
        <f t="shared" si="89"/>
        <v>0</v>
      </c>
      <c r="U95" s="1054">
        <f t="shared" si="89"/>
        <v>0</v>
      </c>
      <c r="V95" s="1054">
        <f t="shared" si="89"/>
        <v>0</v>
      </c>
      <c r="W95" s="1054">
        <f t="shared" si="89"/>
        <v>0</v>
      </c>
      <c r="X95" s="1054">
        <f t="shared" si="89"/>
        <v>0</v>
      </c>
      <c r="Y95" s="1054">
        <f t="shared" si="89"/>
        <v>0</v>
      </c>
      <c r="Z95" s="1054">
        <f t="shared" si="89"/>
        <v>0</v>
      </c>
      <c r="AA95" s="1054"/>
      <c r="AB95" s="1054"/>
      <c r="AC95" s="1054"/>
      <c r="AD95" s="1054"/>
      <c r="AE95" s="1054"/>
      <c r="AF95" s="1054"/>
      <c r="AG95" s="1054"/>
      <c r="AH95" s="1054"/>
      <c r="AI95" s="1054"/>
      <c r="AJ95" s="1054"/>
      <c r="AK95" s="1054"/>
      <c r="AL95" s="1054"/>
      <c r="AM95" s="1054"/>
      <c r="AN95" s="1054"/>
      <c r="AO95" s="1054"/>
      <c r="AP95" s="1054"/>
      <c r="AQ95" s="1054"/>
      <c r="AR95" s="1054"/>
      <c r="AS95" s="1054"/>
      <c r="AT95" s="1054"/>
      <c r="AU95" s="1054"/>
      <c r="AV95" s="1054"/>
      <c r="AW95" s="1054"/>
      <c r="AX95" s="1054"/>
      <c r="AY95" s="1054"/>
      <c r="AZ95" s="1054"/>
      <c r="BA95" s="1054"/>
      <c r="BB95" s="1031"/>
      <c r="BC95" s="2472"/>
      <c r="BD95" s="424"/>
      <c r="BE95" s="424"/>
    </row>
    <row r="96" spans="2:57" s="480" customFormat="1" ht="13.8" thickBot="1">
      <c r="B96" s="1094" t="s">
        <v>786</v>
      </c>
      <c r="C96" s="1095"/>
      <c r="D96" s="1095"/>
      <c r="E96" s="110"/>
      <c r="F96" s="110"/>
      <c r="G96" s="110"/>
      <c r="H96" s="110"/>
      <c r="I96" s="1096"/>
      <c r="J96" s="1097"/>
      <c r="K96" s="1097">
        <f>SUM(K91,K94,K95)</f>
        <v>129.455664501</v>
      </c>
      <c r="L96" s="1097">
        <f t="shared" ref="L96:P96" si="90">SUM(L91,L94,L95)</f>
        <v>146.71126237199999</v>
      </c>
      <c r="M96" s="1097">
        <f t="shared" si="90"/>
        <v>153.100963527</v>
      </c>
      <c r="N96" s="1097">
        <f t="shared" si="90"/>
        <v>178.46571786000001</v>
      </c>
      <c r="O96" s="1097">
        <f t="shared" si="90"/>
        <v>500.31777013099997</v>
      </c>
      <c r="P96" s="2535">
        <f t="shared" si="90"/>
        <v>537.97018190099993</v>
      </c>
      <c r="Q96" s="1098">
        <f>SUM(Q91,Q94,Q95)</f>
        <v>696.69307159532434</v>
      </c>
      <c r="R96" s="1098">
        <f t="shared" ref="R96:Z96" si="91">SUM(R91,R94,R95)</f>
        <v>840.59022840358455</v>
      </c>
      <c r="S96" s="1098">
        <f t="shared" si="91"/>
        <v>981.84475890574845</v>
      </c>
      <c r="T96" s="1098">
        <f t="shared" si="91"/>
        <v>1215.3385824215752</v>
      </c>
      <c r="U96" s="1098">
        <f t="shared" si="91"/>
        <v>1305.7518567572345</v>
      </c>
      <c r="V96" s="1098">
        <f t="shared" si="91"/>
        <v>1379.2814916026466</v>
      </c>
      <c r="W96" s="1098">
        <f t="shared" si="91"/>
        <v>1438.7652379152639</v>
      </c>
      <c r="X96" s="1098">
        <f t="shared" si="91"/>
        <v>1505.3102628205447</v>
      </c>
      <c r="Y96" s="1098">
        <f t="shared" si="91"/>
        <v>1583.5305404024866</v>
      </c>
      <c r="Z96" s="1098">
        <f t="shared" si="91"/>
        <v>1659.3487764160191</v>
      </c>
      <c r="AA96" s="1099"/>
      <c r="AB96" s="1099"/>
      <c r="AC96" s="1099"/>
      <c r="AD96" s="1099"/>
      <c r="AE96" s="1099"/>
      <c r="AF96" s="1099"/>
      <c r="AG96" s="1099"/>
      <c r="AH96" s="1099"/>
      <c r="AI96" s="1099"/>
      <c r="AJ96" s="1099"/>
      <c r="AK96" s="1099"/>
      <c r="AL96" s="1099"/>
      <c r="AM96" s="1099"/>
      <c r="AN96" s="1099"/>
      <c r="AO96" s="1099"/>
      <c r="AP96" s="1099"/>
      <c r="AQ96" s="1099"/>
      <c r="AR96" s="1099"/>
      <c r="AS96" s="1099"/>
      <c r="AT96" s="1099"/>
      <c r="AU96" s="1099"/>
      <c r="AV96" s="1099"/>
      <c r="AW96" s="1099"/>
      <c r="AX96" s="1099"/>
      <c r="AY96" s="1099"/>
      <c r="AZ96" s="1099"/>
      <c r="BA96" s="1099"/>
      <c r="BB96" s="1051"/>
      <c r="BC96" s="424"/>
      <c r="BD96" s="424"/>
      <c r="BE96" s="424"/>
    </row>
    <row r="97" spans="2:57" s="1100" customFormat="1">
      <c r="B97" s="1101" t="s">
        <v>812</v>
      </c>
      <c r="C97" s="1101"/>
      <c r="D97" s="1101"/>
      <c r="E97" s="1102"/>
      <c r="F97" s="1102"/>
      <c r="G97" s="1102"/>
      <c r="H97" s="1102"/>
      <c r="I97" s="1103"/>
      <c r="J97" s="1103"/>
      <c r="K97" s="1103"/>
      <c r="L97" s="1103"/>
      <c r="M97" s="1103"/>
      <c r="N97" s="1103"/>
      <c r="O97" s="1103"/>
      <c r="P97" s="1114"/>
      <c r="Q97" s="1106"/>
      <c r="R97" s="1106"/>
      <c r="S97" s="1106"/>
      <c r="T97" s="1106"/>
      <c r="U97" s="1106"/>
      <c r="V97" s="1106"/>
      <c r="W97" s="1106"/>
      <c r="X97" s="1106"/>
      <c r="Y97" s="1106"/>
      <c r="Z97" s="1106"/>
      <c r="AA97" s="1106"/>
      <c r="AB97" s="1106"/>
      <c r="AC97" s="1106"/>
      <c r="AD97" s="1106"/>
      <c r="AE97" s="1106"/>
      <c r="AF97" s="1106"/>
      <c r="AG97" s="1106"/>
      <c r="AH97" s="1106"/>
      <c r="AI97" s="1106"/>
      <c r="AJ97" s="1106"/>
      <c r="AK97" s="1106"/>
      <c r="AL97" s="1106"/>
      <c r="AM97" s="1106"/>
      <c r="AN97" s="1106"/>
      <c r="AO97" s="1106"/>
      <c r="AP97" s="1106"/>
      <c r="AQ97" s="1106"/>
      <c r="AR97" s="1106"/>
      <c r="AS97" s="1106"/>
      <c r="AT97" s="1106"/>
      <c r="AU97" s="1106"/>
      <c r="AV97" s="1106"/>
      <c r="AW97" s="1106"/>
      <c r="AX97" s="1106"/>
      <c r="AY97" s="1106"/>
      <c r="AZ97" s="1106"/>
      <c r="BA97" s="1106"/>
      <c r="BB97" s="1107"/>
      <c r="BC97" s="1108"/>
      <c r="BD97" s="1108"/>
      <c r="BE97" s="1108"/>
    </row>
    <row r="98" spans="2:57" s="1100" customFormat="1">
      <c r="B98" s="1118" t="s">
        <v>805</v>
      </c>
      <c r="C98" s="1101"/>
      <c r="D98" s="1101"/>
      <c r="E98" s="1102"/>
      <c r="F98" s="1102"/>
      <c r="G98" s="1102"/>
      <c r="H98" s="1102"/>
      <c r="I98" s="1111"/>
      <c r="J98" s="1111"/>
      <c r="K98" s="1111">
        <f>IF(ISTEXT(Notes!F11),K96-'BS Raw'!F58/$B$1,"Chưa có BCTC")</f>
        <v>0</v>
      </c>
      <c r="L98" s="1111">
        <f>IF(ISTEXT(Notes!G11),L96-'BS Raw'!G58/$B$1,"Chưa có BCTC")</f>
        <v>0</v>
      </c>
      <c r="M98" s="1111">
        <f>IF(ISTEXT(Notes!H11),M96-'BS Raw'!H58/$B$1,"Chưa có BCTC")</f>
        <v>0</v>
      </c>
      <c r="N98" s="1111">
        <f>IF(ISTEXT(Notes!I11),N96-'BS Raw'!I58/$B$1,"Chưa có BCTC")</f>
        <v>0</v>
      </c>
      <c r="O98" s="1111">
        <f>IF(ISTEXT(Notes!J11),O96-'BS Raw'!J58/$B$1,"Chưa có BCTC")</f>
        <v>0</v>
      </c>
      <c r="P98" s="2539">
        <f>IF(ISTEXT(Notes!K11),P96-'BS Raw'!K58/$B$1,"Chưa có BCTC")</f>
        <v>-1.1368683772161603E-13</v>
      </c>
      <c r="Q98" s="1120" t="str">
        <f>IF(ISTEXT(Notes!L11),Q96-'BS Raw'!L58/$B$1,"Chưa có BCTC")</f>
        <v>Chưa có BCTC</v>
      </c>
      <c r="R98" s="1120" t="str">
        <f>IF(ISTEXT(Notes!M11),R96-'BS Raw'!M58/$B$1,"Chưa có BCTC")</f>
        <v>Chưa có BCTC</v>
      </c>
      <c r="S98" s="1120" t="str">
        <f>IF(ISTEXT(Notes!N11),S96-'BS Raw'!N58/$B$1,"Chưa có BCTC")</f>
        <v>Chưa có BCTC</v>
      </c>
      <c r="T98" s="1120" t="str">
        <f>IF(ISTEXT(Notes!O11),T96-'BS Raw'!O58/$B$1,"Chưa có BCTC")</f>
        <v>Chưa có BCTC</v>
      </c>
      <c r="U98" s="1120" t="str">
        <f>IF(ISTEXT(Notes!P11),U96-'BS Raw'!P58/$B$1,"Chưa có BCTC")</f>
        <v>Chưa có BCTC</v>
      </c>
      <c r="V98" s="1120" t="str">
        <f>IF(ISTEXT(Notes!Q11),V96-'BS Raw'!Q58/$B$1,"Chưa có BCTC")</f>
        <v>Chưa có BCTC</v>
      </c>
      <c r="W98" s="1120" t="str">
        <f>IF(ISTEXT(Notes!R11),W96-'BS Raw'!R58/$B$1,"Chưa có BCTC")</f>
        <v>Chưa có BCTC</v>
      </c>
      <c r="X98" s="1120" t="str">
        <f>IF(ISTEXT(Notes!S11),X96-'BS Raw'!S58/$B$1,"Chưa có BCTC")</f>
        <v>Chưa có BCTC</v>
      </c>
      <c r="Y98" s="1120" t="str">
        <f>IF(ISTEXT(Notes!T11),Y96-'BS Raw'!T58/$B$1,"Chưa có BCTC")</f>
        <v>Chưa có BCTC</v>
      </c>
      <c r="Z98" s="1120" t="str">
        <f>IF(ISTEXT(Notes!U11),Z96-'BS Raw'!U58/$B$1,"Chưa có BCTC")</f>
        <v>Chưa có BCTC</v>
      </c>
      <c r="AA98" s="1120"/>
      <c r="AB98" s="1120"/>
      <c r="AC98" s="1120"/>
      <c r="AD98" s="1120"/>
      <c r="AE98" s="1120"/>
      <c r="AF98" s="1120"/>
      <c r="AG98" s="1120"/>
      <c r="AH98" s="1120"/>
      <c r="AI98" s="1120"/>
      <c r="AJ98" s="1120"/>
      <c r="AK98" s="1120"/>
      <c r="AL98" s="1120"/>
      <c r="AM98" s="1120"/>
      <c r="AN98" s="1120"/>
      <c r="AO98" s="1120"/>
      <c r="AP98" s="1120"/>
      <c r="AQ98" s="1120"/>
      <c r="AR98" s="1120"/>
      <c r="AS98" s="1120"/>
      <c r="AT98" s="1120"/>
      <c r="AU98" s="1120"/>
      <c r="AV98" s="1120"/>
      <c r="AW98" s="1120"/>
      <c r="AX98" s="1120"/>
      <c r="AY98" s="1120"/>
      <c r="AZ98" s="1111"/>
      <c r="BA98" s="1111"/>
      <c r="BB98" s="1107"/>
      <c r="BC98" s="1108"/>
      <c r="BD98" s="1108"/>
      <c r="BE98" s="1108"/>
    </row>
    <row r="99" spans="2:57" s="1100" customFormat="1">
      <c r="B99" s="1101"/>
      <c r="C99" s="1101"/>
      <c r="D99" s="1101"/>
      <c r="E99" s="1102"/>
      <c r="F99" s="1102"/>
      <c r="G99" s="1102"/>
      <c r="H99" s="1102"/>
      <c r="I99" s="1102"/>
      <c r="J99" s="1102"/>
      <c r="K99" s="1102"/>
      <c r="L99" s="1102"/>
      <c r="M99" s="1102"/>
      <c r="N99" s="1102"/>
      <c r="O99" s="1102"/>
      <c r="P99" s="1142"/>
      <c r="Q99" s="1102"/>
      <c r="R99" s="1102"/>
      <c r="S99" s="1102"/>
      <c r="T99" s="1102"/>
      <c r="U99" s="1102"/>
      <c r="V99" s="1102"/>
      <c r="W99" s="1102"/>
      <c r="X99" s="1102"/>
      <c r="Y99" s="1102"/>
      <c r="Z99" s="1102"/>
      <c r="AA99" s="1102"/>
      <c r="AB99" s="1102"/>
      <c r="AC99" s="1102"/>
      <c r="AD99" s="1102"/>
      <c r="AE99" s="1102"/>
      <c r="AF99" s="1102"/>
      <c r="AG99" s="1102"/>
      <c r="AH99" s="1102"/>
      <c r="AI99" s="1102"/>
      <c r="AJ99" s="1102"/>
      <c r="AK99" s="1102"/>
      <c r="AL99" s="1102"/>
      <c r="AM99" s="1102"/>
      <c r="AN99" s="1102"/>
      <c r="AO99" s="1102"/>
      <c r="AP99" s="1102"/>
      <c r="AQ99" s="1102"/>
      <c r="AR99" s="1102"/>
      <c r="AS99" s="1102"/>
      <c r="AT99" s="1102"/>
      <c r="AU99" s="1102"/>
      <c r="AV99" s="1102"/>
      <c r="AW99" s="1102"/>
      <c r="AX99" s="1102"/>
      <c r="AY99" s="1102"/>
      <c r="AZ99" s="1102"/>
      <c r="BA99" s="1102"/>
      <c r="BB99" s="1107"/>
      <c r="BC99" s="1108"/>
      <c r="BD99" s="1108"/>
      <c r="BE99" s="1108"/>
    </row>
    <row r="100" spans="2:57" s="480" customFormat="1">
      <c r="B100" s="1068" t="s">
        <v>806</v>
      </c>
      <c r="C100" s="1068"/>
      <c r="D100" s="1068"/>
      <c r="E100" s="1076"/>
      <c r="F100" s="1076"/>
      <c r="G100" s="1076"/>
      <c r="H100" s="93"/>
      <c r="I100" s="93"/>
      <c r="J100" s="93"/>
      <c r="K100" s="93"/>
      <c r="L100" s="93"/>
      <c r="M100" s="93"/>
      <c r="N100" s="93"/>
      <c r="O100" s="93"/>
      <c r="P100" s="1129"/>
      <c r="Q100" s="93"/>
      <c r="R100" s="93"/>
      <c r="S100" s="93"/>
      <c r="T100" s="93"/>
      <c r="U100" s="93"/>
      <c r="V100" s="93"/>
      <c r="W100" s="93"/>
      <c r="X100" s="93"/>
      <c r="Y100" s="93"/>
      <c r="Z100" s="93"/>
      <c r="AA100" s="93"/>
      <c r="AB100" s="93"/>
      <c r="AC100" s="93"/>
      <c r="AD100" s="93"/>
      <c r="AE100" s="93"/>
      <c r="AF100" s="93"/>
      <c r="AG100" s="93"/>
      <c r="AH100" s="93"/>
      <c r="AI100" s="93"/>
      <c r="AJ100" s="93"/>
      <c r="AK100" s="93"/>
      <c r="AL100" s="93"/>
      <c r="AM100" s="93"/>
      <c r="AN100" s="93"/>
      <c r="AO100" s="93"/>
      <c r="AP100" s="93"/>
      <c r="AQ100" s="93"/>
      <c r="AR100" s="93"/>
      <c r="AS100" s="93"/>
      <c r="AT100" s="93"/>
      <c r="AU100" s="93"/>
      <c r="AV100" s="93"/>
      <c r="AW100" s="93"/>
      <c r="AX100" s="93"/>
      <c r="AY100" s="93"/>
      <c r="AZ100" s="93"/>
      <c r="BA100" s="93"/>
      <c r="BB100" s="1031"/>
      <c r="BC100" s="424"/>
      <c r="BD100" s="424"/>
      <c r="BE100" s="424"/>
    </row>
    <row r="101" spans="2:57" s="480" customFormat="1">
      <c r="B101" s="1079" t="s">
        <v>799</v>
      </c>
      <c r="C101" s="1080"/>
      <c r="D101" s="1080"/>
      <c r="E101" s="1081"/>
      <c r="F101" s="1081"/>
      <c r="G101" s="1081"/>
      <c r="H101" s="93"/>
      <c r="I101" s="1082"/>
      <c r="J101" s="1083"/>
      <c r="K101" s="1083">
        <f>Notes!F73</f>
        <v>67.110599030000003</v>
      </c>
      <c r="L101" s="1083">
        <f>Notes!G73</f>
        <v>76.306987140000004</v>
      </c>
      <c r="M101" s="1083">
        <f>Notes!H73</f>
        <v>90.913690176000003</v>
      </c>
      <c r="N101" s="1083">
        <f>Notes!I73</f>
        <v>114.165760388</v>
      </c>
      <c r="O101" s="1083">
        <f>Notes!J73</f>
        <v>131.25808738800001</v>
      </c>
      <c r="P101" s="2534">
        <f>Notes!K73</f>
        <v>149.91002915000001</v>
      </c>
      <c r="Q101" s="1084">
        <f>P106</f>
        <v>174.18445779800001</v>
      </c>
      <c r="R101" s="1084">
        <f t="shared" ref="R101:Z101" si="92">Q106</f>
        <v>251.36651634410816</v>
      </c>
      <c r="S101" s="1084">
        <f t="shared" si="92"/>
        <v>376.51429382630306</v>
      </c>
      <c r="T101" s="1084">
        <f t="shared" si="92"/>
        <v>548.74691480921922</v>
      </c>
      <c r="U101" s="1084">
        <f t="shared" si="92"/>
        <v>745.90318039930276</v>
      </c>
      <c r="V101" s="1084">
        <f t="shared" si="92"/>
        <v>902.62816658127122</v>
      </c>
      <c r="W101" s="1084">
        <f t="shared" si="92"/>
        <v>1036.7781875443225</v>
      </c>
      <c r="X101" s="1084">
        <f t="shared" si="92"/>
        <v>1112.9248494396372</v>
      </c>
      <c r="Y101" s="1084">
        <f t="shared" si="92"/>
        <v>1211.2531863033789</v>
      </c>
      <c r="Z101" s="1084">
        <f t="shared" si="92"/>
        <v>1311.1450707459639</v>
      </c>
      <c r="AA101" s="1054"/>
      <c r="AB101" s="1054"/>
      <c r="AC101" s="1054"/>
      <c r="AD101" s="1054"/>
      <c r="AE101" s="1054"/>
      <c r="AF101" s="1054"/>
      <c r="AG101" s="1054"/>
      <c r="AH101" s="1054"/>
      <c r="AI101" s="1054"/>
      <c r="AJ101" s="1054"/>
      <c r="AK101" s="1054"/>
      <c r="AL101" s="1054"/>
      <c r="AM101" s="1054"/>
      <c r="AN101" s="1054"/>
      <c r="AO101" s="1054"/>
      <c r="AP101" s="1054"/>
      <c r="AQ101" s="1054"/>
      <c r="AR101" s="1054"/>
      <c r="AS101" s="1054"/>
      <c r="AT101" s="1054"/>
      <c r="AU101" s="1054"/>
      <c r="AV101" s="1054"/>
      <c r="AW101" s="1054"/>
      <c r="AX101" s="1054"/>
      <c r="AY101" s="1054"/>
      <c r="AZ101" s="1054"/>
      <c r="BA101" s="1054"/>
      <c r="BB101" s="1031"/>
      <c r="BC101" s="424"/>
      <c r="BD101" s="424"/>
      <c r="BE101" s="424"/>
    </row>
    <row r="102" spans="2:57" s="480" customFormat="1">
      <c r="B102" s="1079" t="s">
        <v>800</v>
      </c>
      <c r="C102" s="1080"/>
      <c r="D102" s="1080"/>
      <c r="E102" s="1081"/>
      <c r="F102" s="1081"/>
      <c r="G102" s="1081"/>
      <c r="H102" s="93"/>
      <c r="I102" s="1082"/>
      <c r="J102" s="1082"/>
      <c r="K102" s="1082"/>
      <c r="L102" s="1082"/>
      <c r="M102" s="1082"/>
      <c r="N102" s="1082"/>
      <c r="O102" s="1082"/>
      <c r="P102" s="1115"/>
      <c r="Q102" s="1084">
        <f>Q273</f>
        <v>77.182058546108138</v>
      </c>
      <c r="R102" s="1084">
        <f t="shared" ref="R102:Z102" si="93">R273</f>
        <v>125.14777748219487</v>
      </c>
      <c r="S102" s="1084">
        <f t="shared" si="93"/>
        <v>172.23262098291619</v>
      </c>
      <c r="T102" s="1084">
        <f t="shared" si="93"/>
        <v>197.15626559008359</v>
      </c>
      <c r="U102" s="1084">
        <f t="shared" si="93"/>
        <v>156.72498618196846</v>
      </c>
      <c r="V102" s="1084">
        <f t="shared" si="93"/>
        <v>134.15002096305125</v>
      </c>
      <c r="W102" s="1084">
        <f t="shared" si="93"/>
        <v>76.146661895314793</v>
      </c>
      <c r="X102" s="1084">
        <f t="shared" si="93"/>
        <v>98.328336863741697</v>
      </c>
      <c r="Y102" s="1084">
        <f t="shared" si="93"/>
        <v>99.89188444258491</v>
      </c>
      <c r="Z102" s="1084">
        <f t="shared" si="93"/>
        <v>105.33671434288991</v>
      </c>
      <c r="AA102" s="1084"/>
      <c r="AB102" s="1084"/>
      <c r="AC102" s="1084"/>
      <c r="AD102" s="1084"/>
      <c r="AE102" s="1084"/>
      <c r="AF102" s="1084"/>
      <c r="AG102" s="1084"/>
      <c r="AH102" s="1084"/>
      <c r="AI102" s="1084"/>
      <c r="AJ102" s="1084"/>
      <c r="AK102" s="1084"/>
      <c r="AL102" s="1084"/>
      <c r="AM102" s="1084"/>
      <c r="AN102" s="1084"/>
      <c r="AO102" s="1084"/>
      <c r="AP102" s="1054"/>
      <c r="AQ102" s="1054"/>
      <c r="AR102" s="1054"/>
      <c r="AS102" s="1054"/>
      <c r="AT102" s="1054"/>
      <c r="AU102" s="1054"/>
      <c r="AV102" s="1054"/>
      <c r="AW102" s="1054"/>
      <c r="AX102" s="1054"/>
      <c r="AY102" s="1054"/>
      <c r="AZ102" s="1054"/>
      <c r="BA102" s="1054"/>
      <c r="BB102" s="1031"/>
      <c r="BC102" s="424"/>
      <c r="BD102" s="424"/>
      <c r="BE102" s="424"/>
    </row>
    <row r="103" spans="2:57" s="480" customFormat="1">
      <c r="B103" s="1086" t="s">
        <v>801</v>
      </c>
      <c r="C103" s="1087"/>
      <c r="D103" s="1087"/>
      <c r="E103" s="1088"/>
      <c r="F103" s="1088"/>
      <c r="G103" s="1088"/>
      <c r="H103" s="1089"/>
      <c r="I103" s="1090"/>
      <c r="J103" s="1090"/>
      <c r="K103" s="1090"/>
      <c r="L103" s="1090"/>
      <c r="M103" s="1090"/>
      <c r="N103" s="1090"/>
      <c r="O103" s="1090"/>
      <c r="P103" s="1138"/>
      <c r="Q103" s="1093">
        <v>0</v>
      </c>
      <c r="R103" s="1093">
        <v>0</v>
      </c>
      <c r="S103" s="1093">
        <v>0</v>
      </c>
      <c r="T103" s="1093">
        <v>0</v>
      </c>
      <c r="U103" s="1093">
        <v>0</v>
      </c>
      <c r="V103" s="1093">
        <v>0</v>
      </c>
      <c r="W103" s="1093">
        <v>0</v>
      </c>
      <c r="X103" s="1093">
        <v>0</v>
      </c>
      <c r="Y103" s="1093">
        <v>0</v>
      </c>
      <c r="Z103" s="1093">
        <v>0</v>
      </c>
      <c r="AA103" s="1093"/>
      <c r="AB103" s="1093"/>
      <c r="AC103" s="1093"/>
      <c r="AD103" s="1093"/>
      <c r="AE103" s="1093"/>
      <c r="AF103" s="1093"/>
      <c r="AG103" s="1093"/>
      <c r="AH103" s="1093"/>
      <c r="AI103" s="1093"/>
      <c r="AJ103" s="1093"/>
      <c r="AK103" s="1093"/>
      <c r="AL103" s="1093"/>
      <c r="AM103" s="1093"/>
      <c r="AN103" s="1093"/>
      <c r="AO103" s="1093"/>
      <c r="AP103" s="1093"/>
      <c r="AQ103" s="1093"/>
      <c r="AR103" s="1093"/>
      <c r="AS103" s="1093"/>
      <c r="AT103" s="1093"/>
      <c r="AU103" s="1093"/>
      <c r="AV103" s="1093"/>
      <c r="AW103" s="1093"/>
      <c r="AX103" s="1093"/>
      <c r="AY103" s="1093"/>
      <c r="AZ103" s="1093"/>
      <c r="BA103" s="1093"/>
      <c r="BB103" s="1031"/>
      <c r="BC103" s="424"/>
      <c r="BD103" s="424"/>
      <c r="BE103" s="424"/>
    </row>
    <row r="104" spans="2:57" s="480" customFormat="1">
      <c r="B104" s="1079" t="s">
        <v>802</v>
      </c>
      <c r="C104" s="1080"/>
      <c r="D104" s="1080"/>
      <c r="E104" s="1081"/>
      <c r="F104" s="1081"/>
      <c r="G104" s="1081"/>
      <c r="H104" s="93"/>
      <c r="I104" s="1082"/>
      <c r="J104" s="1083"/>
      <c r="K104" s="1083">
        <f>Notes!F74</f>
        <v>9.1963881099999991</v>
      </c>
      <c r="L104" s="1083">
        <f>Notes!G74</f>
        <v>14.606703036000001</v>
      </c>
      <c r="M104" s="1083">
        <f>Notes!H74</f>
        <v>23.252070212</v>
      </c>
      <c r="N104" s="1083">
        <f>Notes!I74</f>
        <v>17.092327000000001</v>
      </c>
      <c r="O104" s="1083">
        <f>Notes!J74</f>
        <v>18.651941762</v>
      </c>
      <c r="P104" s="2534">
        <f>Notes!K74</f>
        <v>24.274428648000001</v>
      </c>
      <c r="Q104" s="1084">
        <f>Q102</f>
        <v>77.182058546108138</v>
      </c>
      <c r="R104" s="1084">
        <f t="shared" ref="R104:Z104" si="94">R102</f>
        <v>125.14777748219487</v>
      </c>
      <c r="S104" s="1084">
        <f t="shared" si="94"/>
        <v>172.23262098291619</v>
      </c>
      <c r="T104" s="1084">
        <f t="shared" si="94"/>
        <v>197.15626559008359</v>
      </c>
      <c r="U104" s="1084">
        <f t="shared" si="94"/>
        <v>156.72498618196846</v>
      </c>
      <c r="V104" s="1084">
        <f t="shared" si="94"/>
        <v>134.15002096305125</v>
      </c>
      <c r="W104" s="1084">
        <f t="shared" si="94"/>
        <v>76.146661895314793</v>
      </c>
      <c r="X104" s="1084">
        <f t="shared" si="94"/>
        <v>98.328336863741697</v>
      </c>
      <c r="Y104" s="1084">
        <f t="shared" si="94"/>
        <v>99.89188444258491</v>
      </c>
      <c r="Z104" s="1084">
        <f t="shared" si="94"/>
        <v>105.33671434288991</v>
      </c>
      <c r="AA104" s="1054"/>
      <c r="AB104" s="1054"/>
      <c r="AC104" s="1054"/>
      <c r="AD104" s="1054"/>
      <c r="AE104" s="1054"/>
      <c r="AF104" s="1054"/>
      <c r="AG104" s="1054"/>
      <c r="AH104" s="1054"/>
      <c r="AI104" s="1054"/>
      <c r="AJ104" s="1054"/>
      <c r="AK104" s="1054"/>
      <c r="AL104" s="1054"/>
      <c r="AM104" s="1054"/>
      <c r="AN104" s="1054"/>
      <c r="AO104" s="1054"/>
      <c r="AP104" s="1054"/>
      <c r="AQ104" s="1054"/>
      <c r="AR104" s="1054"/>
      <c r="AS104" s="1054"/>
      <c r="AT104" s="1054"/>
      <c r="AU104" s="1054"/>
      <c r="AV104" s="1054"/>
      <c r="AW104" s="1054"/>
      <c r="AX104" s="1054"/>
      <c r="AY104" s="1054"/>
      <c r="AZ104" s="1054"/>
      <c r="BA104" s="1054"/>
      <c r="BB104" s="1031"/>
      <c r="BC104" s="424"/>
      <c r="BD104" s="424"/>
      <c r="BE104" s="424"/>
    </row>
    <row r="105" spans="2:57" s="480" customFormat="1">
      <c r="B105" s="1079" t="s">
        <v>803</v>
      </c>
      <c r="C105" s="1080"/>
      <c r="D105" s="1080"/>
      <c r="E105" s="1081"/>
      <c r="F105" s="1081"/>
      <c r="G105" s="1081"/>
      <c r="H105" s="93"/>
      <c r="I105" s="1082"/>
      <c r="J105" s="1083"/>
      <c r="K105" s="1083">
        <f>Notes!F75</f>
        <v>0</v>
      </c>
      <c r="L105" s="1083">
        <f>Notes!G75</f>
        <v>0</v>
      </c>
      <c r="M105" s="1083">
        <f>Notes!H75</f>
        <v>0</v>
      </c>
      <c r="N105" s="1083">
        <f>Notes!I75</f>
        <v>0</v>
      </c>
      <c r="O105" s="1083">
        <f>Notes!J75</f>
        <v>0</v>
      </c>
      <c r="P105" s="2534">
        <f>Notes!K75</f>
        <v>0</v>
      </c>
      <c r="Q105" s="1054">
        <f>Q103</f>
        <v>0</v>
      </c>
      <c r="R105" s="1054">
        <f t="shared" ref="R105:Z105" si="95">R103</f>
        <v>0</v>
      </c>
      <c r="S105" s="1054">
        <f t="shared" si="95"/>
        <v>0</v>
      </c>
      <c r="T105" s="1054">
        <f t="shared" si="95"/>
        <v>0</v>
      </c>
      <c r="U105" s="1054">
        <f t="shared" si="95"/>
        <v>0</v>
      </c>
      <c r="V105" s="1054">
        <f t="shared" si="95"/>
        <v>0</v>
      </c>
      <c r="W105" s="1054">
        <f t="shared" si="95"/>
        <v>0</v>
      </c>
      <c r="X105" s="1054">
        <f t="shared" si="95"/>
        <v>0</v>
      </c>
      <c r="Y105" s="1054">
        <f t="shared" si="95"/>
        <v>0</v>
      </c>
      <c r="Z105" s="1054">
        <f t="shared" si="95"/>
        <v>0</v>
      </c>
      <c r="AA105" s="1054"/>
      <c r="AB105" s="1054"/>
      <c r="AC105" s="1054"/>
      <c r="AD105" s="1054"/>
      <c r="AE105" s="1054"/>
      <c r="AF105" s="1054"/>
      <c r="AG105" s="1054"/>
      <c r="AH105" s="1054"/>
      <c r="AI105" s="1054"/>
      <c r="AJ105" s="1054"/>
      <c r="AK105" s="1054"/>
      <c r="AL105" s="1054"/>
      <c r="AM105" s="1054"/>
      <c r="AN105" s="1054"/>
      <c r="AO105" s="1054"/>
      <c r="AP105" s="1054"/>
      <c r="AQ105" s="1054"/>
      <c r="AR105" s="1054"/>
      <c r="AS105" s="1054"/>
      <c r="AT105" s="1054"/>
      <c r="AU105" s="1054"/>
      <c r="AV105" s="1054"/>
      <c r="AW105" s="1054"/>
      <c r="AX105" s="1054"/>
      <c r="AY105" s="1054"/>
      <c r="AZ105" s="1054"/>
      <c r="BA105" s="1054"/>
      <c r="BB105" s="1031"/>
      <c r="BC105" s="424"/>
      <c r="BD105" s="424"/>
      <c r="BE105" s="424"/>
    </row>
    <row r="106" spans="2:57" s="480" customFormat="1">
      <c r="B106" s="1116" t="s">
        <v>807</v>
      </c>
      <c r="C106" s="1095"/>
      <c r="D106" s="1095"/>
      <c r="E106" s="110"/>
      <c r="F106" s="110"/>
      <c r="G106" s="110"/>
      <c r="H106" s="110"/>
      <c r="I106" s="1096"/>
      <c r="J106" s="1097"/>
      <c r="K106" s="1097">
        <f>SUM(K101,K104,K105)</f>
        <v>76.306987140000004</v>
      </c>
      <c r="L106" s="1097">
        <f t="shared" ref="L106:P106" si="96">SUM(L101,L104,L105)</f>
        <v>90.913690176000003</v>
      </c>
      <c r="M106" s="1097">
        <f t="shared" si="96"/>
        <v>114.165760388</v>
      </c>
      <c r="N106" s="1097">
        <f t="shared" si="96"/>
        <v>131.25808738800001</v>
      </c>
      <c r="O106" s="1097">
        <f t="shared" si="96"/>
        <v>149.91002915000001</v>
      </c>
      <c r="P106" s="2535">
        <f t="shared" si="96"/>
        <v>174.18445779800001</v>
      </c>
      <c r="Q106" s="1098">
        <f>Q101+Q104+Q105</f>
        <v>251.36651634410816</v>
      </c>
      <c r="R106" s="1098">
        <f t="shared" ref="R106:Z106" si="97">R101+R104+R105</f>
        <v>376.51429382630306</v>
      </c>
      <c r="S106" s="1098">
        <f t="shared" si="97"/>
        <v>548.74691480921922</v>
      </c>
      <c r="T106" s="1098">
        <f t="shared" si="97"/>
        <v>745.90318039930276</v>
      </c>
      <c r="U106" s="1098">
        <f t="shared" si="97"/>
        <v>902.62816658127122</v>
      </c>
      <c r="V106" s="1098">
        <f t="shared" si="97"/>
        <v>1036.7781875443225</v>
      </c>
      <c r="W106" s="1098">
        <f t="shared" si="97"/>
        <v>1112.9248494396372</v>
      </c>
      <c r="X106" s="1098">
        <f t="shared" si="97"/>
        <v>1211.2531863033789</v>
      </c>
      <c r="Y106" s="1098">
        <f t="shared" si="97"/>
        <v>1311.1450707459639</v>
      </c>
      <c r="Z106" s="1098">
        <f t="shared" si="97"/>
        <v>1416.4817850888539</v>
      </c>
      <c r="AA106" s="1099"/>
      <c r="AB106" s="1099"/>
      <c r="AC106" s="1099"/>
      <c r="AD106" s="1099"/>
      <c r="AE106" s="1099"/>
      <c r="AF106" s="1099"/>
      <c r="AG106" s="1099"/>
      <c r="AH106" s="1099"/>
      <c r="AI106" s="1099"/>
      <c r="AJ106" s="1099"/>
      <c r="AK106" s="1099"/>
      <c r="AL106" s="1099"/>
      <c r="AM106" s="1099"/>
      <c r="AN106" s="1099"/>
      <c r="AO106" s="1099"/>
      <c r="AP106" s="1099"/>
      <c r="AQ106" s="1099"/>
      <c r="AR106" s="1099"/>
      <c r="AS106" s="1099"/>
      <c r="AT106" s="1099"/>
      <c r="AU106" s="1099"/>
      <c r="AV106" s="1099"/>
      <c r="AW106" s="1099"/>
      <c r="AX106" s="1099"/>
      <c r="AY106" s="1099"/>
      <c r="AZ106" s="1099"/>
      <c r="BA106" s="1099"/>
      <c r="BB106" s="1051"/>
      <c r="BC106" s="424"/>
      <c r="BD106" s="424"/>
      <c r="BE106" s="424"/>
    </row>
    <row r="107" spans="2:57" s="480" customFormat="1">
      <c r="B107" s="1117" t="s">
        <v>808</v>
      </c>
      <c r="C107" s="1080"/>
      <c r="D107" s="1080"/>
      <c r="E107" s="93"/>
      <c r="F107" s="93"/>
      <c r="G107" s="93"/>
      <c r="H107" s="93"/>
      <c r="I107" s="1082"/>
      <c r="J107" s="1083"/>
      <c r="K107" s="1083">
        <f>K91-K101</f>
        <v>38.779004986999993</v>
      </c>
      <c r="L107" s="1083">
        <f t="shared" ref="L107:Z107" si="98">L91-L101</f>
        <v>53.148677360999997</v>
      </c>
      <c r="M107" s="1083">
        <f t="shared" si="98"/>
        <v>55.79757219599999</v>
      </c>
      <c r="N107" s="1083">
        <f t="shared" si="98"/>
        <v>38.935203139000009</v>
      </c>
      <c r="O107" s="1083">
        <f t="shared" si="98"/>
        <v>47.207630472000005</v>
      </c>
      <c r="P107" s="2534">
        <f t="shared" si="98"/>
        <v>350.40774098099996</v>
      </c>
      <c r="Q107" s="1084">
        <f t="shared" si="98"/>
        <v>363.78572410299989</v>
      </c>
      <c r="R107" s="1084">
        <f t="shared" si="98"/>
        <v>445.32655525121618</v>
      </c>
      <c r="S107" s="1084">
        <f t="shared" si="98"/>
        <v>464.07593457728149</v>
      </c>
      <c r="T107" s="1084">
        <f t="shared" si="98"/>
        <v>433.09784409652923</v>
      </c>
      <c r="U107" s="1084">
        <f t="shared" si="98"/>
        <v>469.43540202227246</v>
      </c>
      <c r="V107" s="1084">
        <f t="shared" si="98"/>
        <v>403.12369017596325</v>
      </c>
      <c r="W107" s="1084">
        <f t="shared" si="98"/>
        <v>342.50330405832415</v>
      </c>
      <c r="X107" s="1084">
        <f t="shared" si="98"/>
        <v>325.8403884756267</v>
      </c>
      <c r="Y107" s="1084">
        <f t="shared" si="98"/>
        <v>294.0570765171658</v>
      </c>
      <c r="Z107" s="1084">
        <f t="shared" si="98"/>
        <v>272.38546965652267</v>
      </c>
      <c r="AA107" s="1054"/>
      <c r="AB107" s="1054"/>
      <c r="AC107" s="1054"/>
      <c r="AD107" s="1054"/>
      <c r="AE107" s="1054"/>
      <c r="AF107" s="1054"/>
      <c r="AG107" s="1054"/>
      <c r="AH107" s="1054"/>
      <c r="AI107" s="1054"/>
      <c r="AJ107" s="1054"/>
      <c r="AK107" s="1054"/>
      <c r="AL107" s="1054"/>
      <c r="AM107" s="1054"/>
      <c r="AN107" s="1054"/>
      <c r="AO107" s="1054"/>
      <c r="AP107" s="1054"/>
      <c r="AQ107" s="1054"/>
      <c r="AR107" s="1054"/>
      <c r="AS107" s="1054"/>
      <c r="AT107" s="1054"/>
      <c r="AU107" s="1054"/>
      <c r="AV107" s="1054"/>
      <c r="AW107" s="1054"/>
      <c r="AX107" s="1054"/>
      <c r="AY107" s="1054"/>
      <c r="AZ107" s="1054"/>
      <c r="BA107" s="1054"/>
      <c r="BB107" s="1064"/>
      <c r="BC107" s="424"/>
      <c r="BD107" s="424"/>
      <c r="BE107" s="424"/>
    </row>
    <row r="108" spans="2:57" s="480" customFormat="1">
      <c r="B108" s="1117" t="s">
        <v>787</v>
      </c>
      <c r="C108" s="1080"/>
      <c r="D108" s="1080"/>
      <c r="E108" s="93"/>
      <c r="F108" s="93"/>
      <c r="G108" s="93"/>
      <c r="H108" s="93"/>
      <c r="I108" s="1082"/>
      <c r="J108" s="1083"/>
      <c r="K108" s="1083">
        <f>K96-K106</f>
        <v>53.148677360999997</v>
      </c>
      <c r="L108" s="1083">
        <f t="shared" ref="L108:Z108" si="99">L96-L106</f>
        <v>55.79757219599999</v>
      </c>
      <c r="M108" s="1083">
        <f t="shared" si="99"/>
        <v>38.935203139000009</v>
      </c>
      <c r="N108" s="1083">
        <f t="shared" si="99"/>
        <v>47.207630472000005</v>
      </c>
      <c r="O108" s="1083">
        <f t="shared" si="99"/>
        <v>350.40774098099996</v>
      </c>
      <c r="P108" s="2534">
        <f t="shared" si="99"/>
        <v>363.78572410299989</v>
      </c>
      <c r="Q108" s="1084">
        <f t="shared" si="99"/>
        <v>445.32655525121618</v>
      </c>
      <c r="R108" s="1084">
        <f t="shared" si="99"/>
        <v>464.07593457728149</v>
      </c>
      <c r="S108" s="1084">
        <f t="shared" si="99"/>
        <v>433.09784409652923</v>
      </c>
      <c r="T108" s="1084">
        <f t="shared" si="99"/>
        <v>469.43540202227246</v>
      </c>
      <c r="U108" s="1084">
        <f t="shared" si="99"/>
        <v>403.12369017596325</v>
      </c>
      <c r="V108" s="1084">
        <f t="shared" si="99"/>
        <v>342.50330405832415</v>
      </c>
      <c r="W108" s="1084">
        <f t="shared" si="99"/>
        <v>325.8403884756267</v>
      </c>
      <c r="X108" s="1084">
        <f t="shared" si="99"/>
        <v>294.0570765171658</v>
      </c>
      <c r="Y108" s="1084">
        <f t="shared" si="99"/>
        <v>272.38546965652267</v>
      </c>
      <c r="Z108" s="1084">
        <f t="shared" si="99"/>
        <v>242.86699132716512</v>
      </c>
      <c r="AA108" s="1054"/>
      <c r="AB108" s="1054"/>
      <c r="AC108" s="1054"/>
      <c r="AD108" s="1054"/>
      <c r="AE108" s="1054"/>
      <c r="AF108" s="1054"/>
      <c r="AG108" s="1054"/>
      <c r="AH108" s="1054"/>
      <c r="AI108" s="1054"/>
      <c r="AJ108" s="1054"/>
      <c r="AK108" s="1054"/>
      <c r="AL108" s="1054"/>
      <c r="AM108" s="1054"/>
      <c r="AN108" s="1054"/>
      <c r="AO108" s="1054"/>
      <c r="AP108" s="1054"/>
      <c r="AQ108" s="1054"/>
      <c r="AR108" s="1054"/>
      <c r="AS108" s="1054"/>
      <c r="AT108" s="1054"/>
      <c r="AU108" s="1054"/>
      <c r="AV108" s="1054"/>
      <c r="AW108" s="1054"/>
      <c r="AX108" s="1054"/>
      <c r="AY108" s="1054"/>
      <c r="AZ108" s="1054"/>
      <c r="BA108" s="1054"/>
      <c r="BB108" s="1064"/>
      <c r="BC108" s="424"/>
      <c r="BD108" s="424"/>
      <c r="BE108" s="424"/>
    </row>
    <row r="109" spans="2:57" s="420" customFormat="1">
      <c r="B109" s="1118" t="s">
        <v>809</v>
      </c>
      <c r="C109" s="1118"/>
      <c r="D109" s="1118"/>
      <c r="E109" s="1119"/>
      <c r="F109" s="1119"/>
      <c r="G109" s="1119"/>
      <c r="H109" s="1119"/>
      <c r="I109" s="1111"/>
      <c r="J109" s="1111"/>
      <c r="K109" s="1111">
        <f>IF(ISTEXT(Notes!F11),K108-'BS Raw'!F57/$B$1,"Chưa có BCTC")</f>
        <v>0</v>
      </c>
      <c r="L109" s="1111">
        <f>IF(ISTEXT(Notes!G11),L108-'BS Raw'!G57/$B$1,"Chưa có BCTC")</f>
        <v>-7.1054273576010019E-15</v>
      </c>
      <c r="M109" s="1111">
        <f>IF(ISTEXT(Notes!H11),M108-'BS Raw'!H57/$B$1,"Chưa có BCTC")</f>
        <v>7.1054273576010019E-15</v>
      </c>
      <c r="N109" s="1111">
        <f>IF(ISTEXT(Notes!I11),N108-'BS Raw'!I57/$B$1,"Chưa có BCTC")</f>
        <v>7.1054273576010019E-15</v>
      </c>
      <c r="O109" s="1111">
        <f>IF(ISTEXT(Notes!J11),O108-'BS Raw'!J57/$B$1,"Chưa có BCTC")</f>
        <v>-5.6843418860808015E-14</v>
      </c>
      <c r="P109" s="2539">
        <f>IF(ISTEXT(Notes!K11),P108-'BS Raw'!K57/$B$1,"Chưa có BCTC")</f>
        <v>-1.1368683772161603E-13</v>
      </c>
      <c r="Q109" s="1120" t="str">
        <f>IF(ISTEXT(Notes!L11),Q108-'BS Raw'!L57/$B$1,"Chưa có BCTC")</f>
        <v>Chưa có BCTC</v>
      </c>
      <c r="R109" s="1120" t="str">
        <f>IF(ISTEXT(Notes!M11),R108-'BS Raw'!M57/$B$1,"Chưa có BCTC")</f>
        <v>Chưa có BCTC</v>
      </c>
      <c r="S109" s="1120" t="str">
        <f>IF(ISTEXT(Notes!N11),S108-'BS Raw'!N57/$B$1,"Chưa có BCTC")</f>
        <v>Chưa có BCTC</v>
      </c>
      <c r="T109" s="1120" t="str">
        <f>IF(ISTEXT(Notes!O11),T108-'BS Raw'!O57/$B$1,"Chưa có BCTC")</f>
        <v>Chưa có BCTC</v>
      </c>
      <c r="U109" s="1120" t="str">
        <f>IF(ISTEXT(Notes!P11),U108-'BS Raw'!P57/$B$1,"Chưa có BCTC")</f>
        <v>Chưa có BCTC</v>
      </c>
      <c r="V109" s="1120" t="str">
        <f>IF(ISTEXT(Notes!Q11),V108-'BS Raw'!Q57/$B$1,"Chưa có BCTC")</f>
        <v>Chưa có BCTC</v>
      </c>
      <c r="W109" s="1120" t="str">
        <f>IF(ISTEXT(Notes!R11),W108-'BS Raw'!R57/$B$1,"Chưa có BCTC")</f>
        <v>Chưa có BCTC</v>
      </c>
      <c r="X109" s="1120" t="str">
        <f>IF(ISTEXT(Notes!S11),X108-'BS Raw'!S57/$B$1,"Chưa có BCTC")</f>
        <v>Chưa có BCTC</v>
      </c>
      <c r="Y109" s="1120" t="str">
        <f>IF(ISTEXT(Notes!T11),Y108-'BS Raw'!T57/$B$1,"Chưa có BCTC")</f>
        <v>Chưa có BCTC</v>
      </c>
      <c r="Z109" s="1120" t="str">
        <f>IF(ISTEXT(Notes!U11),Z108-'BS Raw'!U57/$B$1,"Chưa có BCTC")</f>
        <v>Chưa có BCTC</v>
      </c>
      <c r="AA109" s="1120"/>
      <c r="AB109" s="1120"/>
      <c r="AC109" s="1120"/>
      <c r="AD109" s="1120"/>
      <c r="AE109" s="1120"/>
      <c r="AF109" s="1120"/>
      <c r="AG109" s="1120"/>
      <c r="AH109" s="1120"/>
      <c r="AI109" s="1120"/>
      <c r="AJ109" s="1120"/>
      <c r="AK109" s="1120"/>
      <c r="AL109" s="1120"/>
      <c r="AM109" s="1120"/>
      <c r="AN109" s="1120"/>
      <c r="AO109" s="1120"/>
      <c r="AP109" s="1120"/>
      <c r="AQ109" s="1120"/>
      <c r="AR109" s="1120"/>
      <c r="AS109" s="1120"/>
      <c r="AT109" s="1120"/>
      <c r="AU109" s="1120"/>
      <c r="AV109" s="1120"/>
      <c r="AW109" s="1120"/>
      <c r="AX109" s="1120"/>
      <c r="AY109" s="1120"/>
      <c r="AZ109" s="1120"/>
      <c r="BA109" s="1120"/>
      <c r="BB109" s="2516"/>
      <c r="BC109" s="1122"/>
      <c r="BD109" s="1122"/>
      <c r="BE109" s="1122"/>
    </row>
    <row r="110" spans="2:57" s="1100" customFormat="1" ht="21.75" customHeight="1">
      <c r="B110" s="1123" t="str">
        <f>"- Giá trị còn lại của tài sản đầu tư thêm năm "&amp;YEAR($P$3)</f>
        <v>- Giá trị còn lại của tài sản đầu tư thêm năm 2024</v>
      </c>
      <c r="C110" s="1101"/>
      <c r="D110" s="1101"/>
      <c r="E110" s="1102"/>
      <c r="F110" s="1102"/>
      <c r="G110" s="1102"/>
      <c r="H110" s="1102"/>
      <c r="I110" s="1103"/>
      <c r="J110" s="1103"/>
      <c r="K110" s="1103"/>
      <c r="L110" s="1103"/>
      <c r="M110" s="1103"/>
      <c r="N110" s="1103"/>
      <c r="O110" s="1103"/>
      <c r="P110" s="1143">
        <f>P108</f>
        <v>363.78572410299989</v>
      </c>
      <c r="Q110" s="1144">
        <f>P110-Q261</f>
        <v>339.51129545499987</v>
      </c>
      <c r="R110" s="1144">
        <f>Q110-R261</f>
        <v>315.23686680699984</v>
      </c>
      <c r="S110" s="1144">
        <f t="shared" ref="S110:Z110" si="100">R110-S261</f>
        <v>290.96243815899982</v>
      </c>
      <c r="T110" s="1144">
        <f t="shared" si="100"/>
        <v>266.68800951099979</v>
      </c>
      <c r="U110" s="1144">
        <f t="shared" si="100"/>
        <v>242.41358086299979</v>
      </c>
      <c r="V110" s="1144">
        <f t="shared" si="100"/>
        <v>218.1391522149998</v>
      </c>
      <c r="W110" s="1144">
        <f t="shared" si="100"/>
        <v>193.8647235669998</v>
      </c>
      <c r="X110" s="1144">
        <f t="shared" si="100"/>
        <v>169.5902949189998</v>
      </c>
      <c r="Y110" s="1144">
        <f t="shared" si="100"/>
        <v>145.31586627099981</v>
      </c>
      <c r="Z110" s="1144">
        <f t="shared" si="100"/>
        <v>121.04143762299981</v>
      </c>
      <c r="AA110" s="1144"/>
      <c r="AB110" s="1144"/>
      <c r="AC110" s="1144"/>
      <c r="AD110" s="1144"/>
      <c r="AE110" s="1144"/>
      <c r="AF110" s="1144"/>
      <c r="AG110" s="1144"/>
      <c r="AH110" s="1144"/>
      <c r="AI110" s="1144"/>
      <c r="AJ110" s="1144"/>
      <c r="AK110" s="1144"/>
      <c r="AL110" s="1144"/>
      <c r="AM110" s="1144"/>
      <c r="AN110" s="1144"/>
      <c r="AO110" s="1144"/>
      <c r="AP110" s="1144"/>
      <c r="AQ110" s="1144"/>
      <c r="AR110" s="1144"/>
      <c r="AS110" s="1106"/>
      <c r="AT110" s="1106"/>
      <c r="AU110" s="1106"/>
      <c r="AV110" s="1106"/>
      <c r="AW110" s="1106"/>
      <c r="AX110" s="1106"/>
      <c r="AY110" s="1106"/>
      <c r="AZ110" s="1106"/>
      <c r="BA110" s="1106"/>
      <c r="BB110" s="1110"/>
      <c r="BC110" s="1108"/>
      <c r="BD110" s="1108"/>
      <c r="BE110" s="1108"/>
    </row>
    <row r="111" spans="2:57" s="1100" customFormat="1" ht="23.25" customHeight="1">
      <c r="B111" s="1123" t="str">
        <f>"- Giá trị còn lại của tài sản đầu tư thêm năm "&amp;YEAR($P$3)+1</f>
        <v>- Giá trị còn lại của tài sản đầu tư thêm năm 2025</v>
      </c>
      <c r="C111" s="1101"/>
      <c r="D111" s="1101"/>
      <c r="E111" s="1102"/>
      <c r="F111" s="1102"/>
      <c r="G111" s="1102"/>
      <c r="H111" s="1102"/>
      <c r="I111" s="1103"/>
      <c r="J111" s="1103"/>
      <c r="K111" s="1103"/>
      <c r="L111" s="1103"/>
      <c r="M111" s="1103"/>
      <c r="N111" s="1103"/>
      <c r="O111" s="1103"/>
      <c r="P111" s="1114"/>
      <c r="Q111" s="1144">
        <f>Q94+Q95-Q262</f>
        <v>105.81525979621628</v>
      </c>
      <c r="R111" s="1144">
        <f>Q111-R262</f>
        <v>52.907629898108148</v>
      </c>
      <c r="S111" s="1144">
        <f t="shared" ref="S111:Z111" si="101">R111-S262</f>
        <v>0</v>
      </c>
      <c r="T111" s="1144">
        <f t="shared" si="101"/>
        <v>0</v>
      </c>
      <c r="U111" s="1144">
        <f t="shared" si="101"/>
        <v>0</v>
      </c>
      <c r="V111" s="1144">
        <f t="shared" si="101"/>
        <v>0</v>
      </c>
      <c r="W111" s="1144">
        <f t="shared" si="101"/>
        <v>0</v>
      </c>
      <c r="X111" s="1144">
        <f t="shared" si="101"/>
        <v>0</v>
      </c>
      <c r="Y111" s="1144">
        <f t="shared" si="101"/>
        <v>0</v>
      </c>
      <c r="Z111" s="1144">
        <f t="shared" si="101"/>
        <v>0</v>
      </c>
      <c r="AA111" s="1106"/>
      <c r="AB111" s="1144"/>
      <c r="AC111" s="1144"/>
      <c r="AD111" s="1144"/>
      <c r="AE111" s="1144"/>
      <c r="AF111" s="1144"/>
      <c r="AG111" s="1144"/>
      <c r="AH111" s="1144"/>
      <c r="AI111" s="1144"/>
      <c r="AJ111" s="1144"/>
      <c r="AK111" s="1144"/>
      <c r="AL111" s="1144"/>
      <c r="AM111" s="1144"/>
      <c r="AN111" s="1144"/>
      <c r="AO111" s="1144"/>
      <c r="AP111" s="1144"/>
      <c r="AQ111" s="1144"/>
      <c r="AR111" s="1144"/>
      <c r="AS111" s="1144"/>
      <c r="AT111" s="1144"/>
      <c r="AU111" s="1144"/>
      <c r="AV111" s="1144"/>
      <c r="AW111" s="1144"/>
      <c r="AX111" s="1144"/>
      <c r="AY111" s="1144"/>
      <c r="AZ111" s="1144"/>
      <c r="BA111" s="1144"/>
      <c r="BB111" s="1107"/>
      <c r="BC111" s="1108"/>
      <c r="BD111" s="1108"/>
      <c r="BE111" s="1108"/>
    </row>
    <row r="112" spans="2:57" s="1100" customFormat="1" ht="21" customHeight="1">
      <c r="B112" s="1123" t="str">
        <f>"- Giá trị còn lại của tài sản đầu tư thêm năm "&amp;YEAR($P$3)+2</f>
        <v>- Giá trị còn lại của tài sản đầu tư thêm năm 2026</v>
      </c>
      <c r="C112" s="1101"/>
      <c r="D112" s="1101"/>
      <c r="E112" s="1102"/>
      <c r="F112" s="1102"/>
      <c r="G112" s="1102"/>
      <c r="H112" s="1102"/>
      <c r="I112" s="1103"/>
      <c r="J112" s="1103"/>
      <c r="K112" s="1103"/>
      <c r="L112" s="1103"/>
      <c r="M112" s="1103"/>
      <c r="N112" s="1103"/>
      <c r="O112" s="1103"/>
      <c r="P112" s="1114"/>
      <c r="Q112" s="1106"/>
      <c r="R112" s="1144">
        <f>R94+R95-R263</f>
        <v>95.931437872173461</v>
      </c>
      <c r="S112" s="1144">
        <f>R112-S263</f>
        <v>47.965718936086738</v>
      </c>
      <c r="T112" s="1144">
        <f t="shared" ref="T112:Z112" si="102">S112-T263</f>
        <v>0</v>
      </c>
      <c r="U112" s="1144">
        <f t="shared" si="102"/>
        <v>0</v>
      </c>
      <c r="V112" s="1144">
        <f t="shared" si="102"/>
        <v>0</v>
      </c>
      <c r="W112" s="1144">
        <f t="shared" si="102"/>
        <v>0</v>
      </c>
      <c r="X112" s="1144">
        <f t="shared" si="102"/>
        <v>0</v>
      </c>
      <c r="Y112" s="1144">
        <f t="shared" si="102"/>
        <v>0</v>
      </c>
      <c r="Z112" s="1144">
        <f t="shared" si="102"/>
        <v>0</v>
      </c>
      <c r="AA112" s="1144"/>
      <c r="AB112" s="1144"/>
      <c r="AC112" s="1144"/>
      <c r="AD112" s="1144"/>
      <c r="AE112" s="1144"/>
      <c r="AF112" s="1144"/>
      <c r="AG112" s="1144"/>
      <c r="AH112" s="1144"/>
      <c r="AI112" s="1144"/>
      <c r="AJ112" s="1144"/>
      <c r="AK112" s="1144"/>
      <c r="AL112" s="1144"/>
      <c r="AM112" s="1144"/>
      <c r="AN112" s="1144"/>
      <c r="AO112" s="1144"/>
      <c r="AP112" s="1144"/>
      <c r="AQ112" s="1144"/>
      <c r="AR112" s="1144"/>
      <c r="AS112" s="1144"/>
      <c r="AT112" s="1144"/>
      <c r="AU112" s="1144"/>
      <c r="AV112" s="1144"/>
      <c r="AW112" s="1144"/>
      <c r="AX112" s="1144"/>
      <c r="AY112" s="1106"/>
      <c r="AZ112" s="1106"/>
      <c r="BA112" s="1106"/>
      <c r="BB112" s="1107"/>
      <c r="BC112" s="1108"/>
      <c r="BD112" s="1108"/>
      <c r="BE112" s="1108"/>
    </row>
    <row r="113" spans="2:57" s="1100" customFormat="1" ht="21.75" customHeight="1">
      <c r="B113" s="1123" t="str">
        <f>"- Giá trị còn lại của tài sản đầu tư thêm năm "&amp;YEAR($P$3)+3</f>
        <v>- Giá trị còn lại của tài sản đầu tư thêm năm 2027</v>
      </c>
      <c r="C113" s="1101"/>
      <c r="D113" s="1101"/>
      <c r="E113" s="1102"/>
      <c r="F113" s="1102"/>
      <c r="G113" s="1102"/>
      <c r="H113" s="1102"/>
      <c r="I113" s="1103"/>
      <c r="J113" s="1103"/>
      <c r="K113" s="1103"/>
      <c r="L113" s="1103"/>
      <c r="M113" s="1103"/>
      <c r="N113" s="1103"/>
      <c r="O113" s="1103"/>
      <c r="P113" s="1114"/>
      <c r="Q113" s="1106"/>
      <c r="R113" s="1106"/>
      <c r="S113" s="1144">
        <f>S94+S95-S264</f>
        <v>94.169687001442611</v>
      </c>
      <c r="T113" s="1144">
        <f>S113-T264</f>
        <v>47.084843500721298</v>
      </c>
      <c r="U113" s="1144">
        <f t="shared" ref="U113:Z113" si="103">T113-U264</f>
        <v>0</v>
      </c>
      <c r="V113" s="1144">
        <f t="shared" si="103"/>
        <v>0</v>
      </c>
      <c r="W113" s="1144">
        <f t="shared" si="103"/>
        <v>0</v>
      </c>
      <c r="X113" s="1144">
        <f t="shared" si="103"/>
        <v>0</v>
      </c>
      <c r="Y113" s="1144">
        <f t="shared" si="103"/>
        <v>0</v>
      </c>
      <c r="Z113" s="1144">
        <f t="shared" si="103"/>
        <v>0</v>
      </c>
      <c r="AA113" s="1144"/>
      <c r="AB113" s="1144"/>
      <c r="AC113" s="1144"/>
      <c r="AD113" s="1144"/>
      <c r="AE113" s="1144"/>
      <c r="AF113" s="1144"/>
      <c r="AG113" s="1144"/>
      <c r="AH113" s="1144"/>
      <c r="AI113" s="1144"/>
      <c r="AJ113" s="1144"/>
      <c r="AK113" s="1144"/>
      <c r="AL113" s="1144"/>
      <c r="AM113" s="1144"/>
      <c r="AN113" s="1144"/>
      <c r="AO113" s="1144"/>
      <c r="AP113" s="1144"/>
      <c r="AQ113" s="1144"/>
      <c r="AR113" s="1144"/>
      <c r="AS113" s="1144"/>
      <c r="AT113" s="1144"/>
      <c r="AU113" s="1144"/>
      <c r="AV113" s="1144"/>
      <c r="AW113" s="1144"/>
      <c r="AX113" s="1144"/>
      <c r="AY113" s="1144"/>
      <c r="AZ113" s="1144"/>
      <c r="BA113" s="1144"/>
      <c r="BB113" s="1107"/>
      <c r="BC113" s="1108"/>
      <c r="BD113" s="1108"/>
      <c r="BE113" s="1108"/>
    </row>
    <row r="114" spans="2:57" s="1100" customFormat="1" ht="25.5" customHeight="1">
      <c r="B114" s="1123" t="str">
        <f>"- Giá trị còn lại của tài sản đầu tư thêm năm "&amp;YEAR($P$3)+4</f>
        <v>- Giá trị còn lại của tài sản đầu tư thêm năm 2028</v>
      </c>
      <c r="C114" s="1101"/>
      <c r="D114" s="1101"/>
      <c r="E114" s="1102"/>
      <c r="F114" s="1102"/>
      <c r="G114" s="1102"/>
      <c r="H114" s="1102"/>
      <c r="I114" s="1103"/>
      <c r="J114" s="1103"/>
      <c r="K114" s="1103"/>
      <c r="L114" s="1103"/>
      <c r="M114" s="1103"/>
      <c r="N114" s="1103"/>
      <c r="O114" s="1103"/>
      <c r="P114" s="1114"/>
      <c r="Q114" s="1106"/>
      <c r="R114" s="1106"/>
      <c r="S114" s="1106"/>
      <c r="T114" s="1144">
        <f>T94+T95-T265</f>
        <v>155.66254901055117</v>
      </c>
      <c r="U114" s="1144">
        <f>T114-U265</f>
        <v>77.831274505275601</v>
      </c>
      <c r="V114" s="1144">
        <f t="shared" ref="V114:Z114" si="104">U114-V265</f>
        <v>0</v>
      </c>
      <c r="W114" s="1144">
        <f t="shared" si="104"/>
        <v>0</v>
      </c>
      <c r="X114" s="1144">
        <f t="shared" si="104"/>
        <v>0</v>
      </c>
      <c r="Y114" s="1144">
        <f t="shared" si="104"/>
        <v>0</v>
      </c>
      <c r="Z114" s="1144">
        <f t="shared" si="104"/>
        <v>0</v>
      </c>
      <c r="AA114" s="1144"/>
      <c r="AB114" s="1144"/>
      <c r="AC114" s="1144"/>
      <c r="AD114" s="1144"/>
      <c r="AE114" s="1144"/>
      <c r="AF114" s="1144"/>
      <c r="AG114" s="1144"/>
      <c r="AH114" s="1144"/>
      <c r="AI114" s="1144"/>
      <c r="AJ114" s="1144"/>
      <c r="AK114" s="1144"/>
      <c r="AL114" s="1144"/>
      <c r="AM114" s="1144"/>
      <c r="AN114" s="1144"/>
      <c r="AO114" s="1144"/>
      <c r="AP114" s="1144"/>
      <c r="AQ114" s="1144"/>
      <c r="AR114" s="1144"/>
      <c r="AS114" s="1144"/>
      <c r="AT114" s="1144"/>
      <c r="AU114" s="1144"/>
      <c r="AV114" s="1144"/>
      <c r="AW114" s="1144"/>
      <c r="AX114" s="1144"/>
      <c r="AY114" s="1144"/>
      <c r="AZ114" s="1144"/>
      <c r="BA114" s="1144"/>
      <c r="BB114" s="1107"/>
      <c r="BC114" s="1108"/>
      <c r="BD114" s="1108"/>
      <c r="BE114" s="1108"/>
    </row>
    <row r="115" spans="2:57" s="1100" customFormat="1" ht="24.75" customHeight="1">
      <c r="B115" s="1123" t="str">
        <f>"- Giá trị còn lại của tài sản đầu tư thêm năm "&amp;YEAR($P$3)+5</f>
        <v>- Giá trị còn lại của tài sản đầu tư thêm năm 2029</v>
      </c>
      <c r="C115" s="1101"/>
      <c r="D115" s="1101"/>
      <c r="E115" s="1102"/>
      <c r="F115" s="1102"/>
      <c r="G115" s="1102"/>
      <c r="H115" s="1102"/>
      <c r="I115" s="1103"/>
      <c r="J115" s="1103"/>
      <c r="K115" s="1103"/>
      <c r="L115" s="1103"/>
      <c r="M115" s="1103"/>
      <c r="N115" s="1103"/>
      <c r="O115" s="1103"/>
      <c r="P115" s="1114"/>
      <c r="Q115" s="1106"/>
      <c r="R115" s="1106"/>
      <c r="S115" s="1106"/>
      <c r="T115" s="1106"/>
      <c r="U115" s="1144">
        <f>U94+U95-U266</f>
        <v>82.878834807687568</v>
      </c>
      <c r="V115" s="1144">
        <f>U115-V266</f>
        <v>75.344395279715968</v>
      </c>
      <c r="W115" s="1144">
        <f t="shared" ref="W115:Z115" si="105">V115-W266</f>
        <v>67.809955751744369</v>
      </c>
      <c r="X115" s="1144">
        <f t="shared" si="105"/>
        <v>60.275516223772769</v>
      </c>
      <c r="Y115" s="1144">
        <f t="shared" si="105"/>
        <v>52.741076695801169</v>
      </c>
      <c r="Z115" s="1144">
        <f t="shared" si="105"/>
        <v>45.20663716782957</v>
      </c>
      <c r="AA115" s="1144"/>
      <c r="AB115" s="1144"/>
      <c r="AC115" s="1144"/>
      <c r="AD115" s="1144"/>
      <c r="AE115" s="1144"/>
      <c r="AF115" s="1144"/>
      <c r="AG115" s="1144"/>
      <c r="AH115" s="1144"/>
      <c r="AI115" s="1144"/>
      <c r="AJ115" s="1144"/>
      <c r="AK115" s="1144"/>
      <c r="AL115" s="1144"/>
      <c r="AM115" s="1144"/>
      <c r="AN115" s="1144"/>
      <c r="AO115" s="1144"/>
      <c r="AP115" s="1144"/>
      <c r="AQ115" s="1144"/>
      <c r="AR115" s="1144"/>
      <c r="AS115" s="1144"/>
      <c r="AT115" s="1144"/>
      <c r="AU115" s="1144"/>
      <c r="AV115" s="1144"/>
      <c r="AW115" s="1144"/>
      <c r="AX115" s="1144"/>
      <c r="AY115" s="1144"/>
      <c r="AZ115" s="1144"/>
      <c r="BA115" s="1144"/>
      <c r="BB115" s="1107"/>
      <c r="BC115" s="1108"/>
      <c r="BD115" s="1108"/>
      <c r="BE115" s="1108"/>
    </row>
    <row r="116" spans="2:57" s="1100" customFormat="1" ht="25.5" customHeight="1">
      <c r="B116" s="1123" t="str">
        <f>"- Giá trị còn lại của tài sản đầu tư thêm năm "&amp;YEAR($P$3)+6</f>
        <v>- Giá trị còn lại của tài sản đầu tư thêm năm 2030</v>
      </c>
      <c r="C116" s="1101"/>
      <c r="D116" s="1101"/>
      <c r="E116" s="1102"/>
      <c r="F116" s="1102"/>
      <c r="G116" s="1102"/>
      <c r="H116" s="1102"/>
      <c r="I116" s="1103"/>
      <c r="J116" s="1103"/>
      <c r="K116" s="1103"/>
      <c r="L116" s="1103"/>
      <c r="M116" s="1103"/>
      <c r="N116" s="1103"/>
      <c r="O116" s="1103"/>
      <c r="P116" s="1114"/>
      <c r="Q116" s="1106"/>
      <c r="R116" s="1106"/>
      <c r="S116" s="1106"/>
      <c r="T116" s="1106"/>
      <c r="U116" s="1106"/>
      <c r="V116" s="1144">
        <f>V94+V95-V267</f>
        <v>49.019756563608141</v>
      </c>
      <c r="W116" s="1144">
        <f>V116-W267</f>
        <v>24.509878281804067</v>
      </c>
      <c r="X116" s="1144">
        <f t="shared" ref="X116:Z116" si="106">W116-X267</f>
        <v>0</v>
      </c>
      <c r="Y116" s="1144">
        <f t="shared" si="106"/>
        <v>0</v>
      </c>
      <c r="Z116" s="1144">
        <f t="shared" si="106"/>
        <v>0</v>
      </c>
      <c r="AA116" s="1144"/>
      <c r="AB116" s="1144"/>
      <c r="AC116" s="1144"/>
      <c r="AD116" s="1144"/>
      <c r="AE116" s="1144"/>
      <c r="AF116" s="1144"/>
      <c r="AG116" s="1144"/>
      <c r="AH116" s="1144"/>
      <c r="AI116" s="1144"/>
      <c r="AJ116" s="1144"/>
      <c r="AK116" s="1144"/>
      <c r="AL116" s="1144"/>
      <c r="AM116" s="1144"/>
      <c r="AN116" s="1144"/>
      <c r="AO116" s="1144"/>
      <c r="AP116" s="1144"/>
      <c r="AQ116" s="1144"/>
      <c r="AR116" s="1144"/>
      <c r="AS116" s="1144"/>
      <c r="AT116" s="1144"/>
      <c r="AU116" s="1144"/>
      <c r="AV116" s="1144"/>
      <c r="AW116" s="1144"/>
      <c r="AX116" s="1144"/>
      <c r="AY116" s="1144"/>
      <c r="AZ116" s="1144"/>
      <c r="BA116" s="1144"/>
      <c r="BB116" s="1107"/>
      <c r="BC116" s="1108"/>
      <c r="BD116" s="1108"/>
      <c r="BE116" s="1108"/>
    </row>
    <row r="117" spans="2:57" s="1100" customFormat="1" ht="23.25" customHeight="1">
      <c r="B117" s="1123" t="str">
        <f>"- Giá trị còn lại của tài sản đầu tư thêm năm "&amp;YEAR($P$3)+7</f>
        <v>- Giá trị còn lại của tài sản đầu tư thêm năm 2031</v>
      </c>
      <c r="C117" s="1101"/>
      <c r="D117" s="1101"/>
      <c r="E117" s="1102"/>
      <c r="F117" s="1102"/>
      <c r="G117" s="1102"/>
      <c r="H117" s="1102"/>
      <c r="I117" s="1103"/>
      <c r="J117" s="1103"/>
      <c r="K117" s="1103"/>
      <c r="L117" s="1103"/>
      <c r="M117" s="1103"/>
      <c r="N117" s="1103"/>
      <c r="O117" s="1103"/>
      <c r="P117" s="1114"/>
      <c r="Q117" s="1106"/>
      <c r="R117" s="1106"/>
      <c r="S117" s="1106"/>
      <c r="T117" s="1106"/>
      <c r="U117" s="1106"/>
      <c r="V117" s="1106"/>
      <c r="W117" s="1144">
        <f>W94+W95-W268</f>
        <v>39.655830875078252</v>
      </c>
      <c r="X117" s="1144">
        <f>W117-X268</f>
        <v>19.827915437539129</v>
      </c>
      <c r="Y117" s="1144">
        <f t="shared" ref="Y117:Z117" si="107">X117-Y268</f>
        <v>0</v>
      </c>
      <c r="Z117" s="1144">
        <f t="shared" si="107"/>
        <v>0</v>
      </c>
      <c r="AA117" s="1144"/>
      <c r="AB117" s="1144"/>
      <c r="AC117" s="1144"/>
      <c r="AD117" s="1144"/>
      <c r="AE117" s="1144"/>
      <c r="AF117" s="1144"/>
      <c r="AG117" s="1144"/>
      <c r="AH117" s="1144"/>
      <c r="AI117" s="1144"/>
      <c r="AJ117" s="1144"/>
      <c r="AK117" s="1144"/>
      <c r="AL117" s="1144"/>
      <c r="AM117" s="1144"/>
      <c r="AN117" s="1144"/>
      <c r="AO117" s="1144"/>
      <c r="AP117" s="1144"/>
      <c r="AQ117" s="1144"/>
      <c r="AR117" s="1144"/>
      <c r="AS117" s="1144"/>
      <c r="AT117" s="1144"/>
      <c r="AU117" s="1144"/>
      <c r="AV117" s="1144"/>
      <c r="AW117" s="1144"/>
      <c r="AX117" s="1144"/>
      <c r="AY117" s="1144"/>
      <c r="AZ117" s="1144"/>
      <c r="BA117" s="1144"/>
      <c r="BB117" s="1107"/>
      <c r="BC117" s="1108"/>
      <c r="BD117" s="1108"/>
      <c r="BE117" s="1108"/>
    </row>
    <row r="118" spans="2:57" s="1100" customFormat="1" ht="26.25" customHeight="1">
      <c r="B118" s="1123" t="str">
        <f>"- Giá trị còn lại của tài sản đầu tư thêm năm "&amp;YEAR($P$3)+8</f>
        <v>- Giá trị còn lại của tài sản đầu tư thêm năm 2032</v>
      </c>
      <c r="C118" s="1101"/>
      <c r="D118" s="1101"/>
      <c r="E118" s="1102"/>
      <c r="F118" s="1102"/>
      <c r="G118" s="1102"/>
      <c r="H118" s="1102"/>
      <c r="I118" s="1103"/>
      <c r="J118" s="1103"/>
      <c r="K118" s="1103"/>
      <c r="L118" s="1103"/>
      <c r="M118" s="1103"/>
      <c r="N118" s="1103"/>
      <c r="O118" s="1103"/>
      <c r="P118" s="1114"/>
      <c r="Q118" s="1106"/>
      <c r="R118" s="1106"/>
      <c r="S118" s="1106"/>
      <c r="T118" s="1106"/>
      <c r="U118" s="1106"/>
      <c r="V118" s="1106"/>
      <c r="W118" s="1106"/>
      <c r="X118" s="1144">
        <f>SUM(X94:X95)-X269</f>
        <v>44.363349936853837</v>
      </c>
      <c r="Y118" s="1144">
        <f>X118-Y269</f>
        <v>22.181674968426918</v>
      </c>
      <c r="Z118" s="1144">
        <f>Y118-Z269</f>
        <v>0</v>
      </c>
      <c r="AA118" s="1144"/>
      <c r="AB118" s="1144"/>
      <c r="AC118" s="1144"/>
      <c r="AD118" s="1144"/>
      <c r="AE118" s="1144"/>
      <c r="AF118" s="1144"/>
      <c r="AG118" s="1144"/>
      <c r="AH118" s="1144"/>
      <c r="AI118" s="1144"/>
      <c r="AJ118" s="1144"/>
      <c r="AK118" s="1144"/>
      <c r="AL118" s="1144"/>
      <c r="AM118" s="1144"/>
      <c r="AN118" s="1144"/>
      <c r="AO118" s="1144"/>
      <c r="AP118" s="1144"/>
      <c r="AQ118" s="1144"/>
      <c r="AR118" s="1144"/>
      <c r="AS118" s="1144"/>
      <c r="AT118" s="1144"/>
      <c r="AU118" s="1144"/>
      <c r="AV118" s="1144"/>
      <c r="AW118" s="1144"/>
      <c r="AX118" s="1144"/>
      <c r="AY118" s="1144"/>
      <c r="AZ118" s="1144"/>
      <c r="BA118" s="1144"/>
      <c r="BB118" s="1107"/>
      <c r="BC118" s="1108"/>
      <c r="BD118" s="1108"/>
      <c r="BE118" s="1108"/>
    </row>
    <row r="119" spans="2:57" s="1100" customFormat="1" ht="33" customHeight="1">
      <c r="B119" s="1123" t="str">
        <f>"- Giá trị còn lại của tài sản đầu tư thêm năm "&amp;YEAR($P$3)+9</f>
        <v>- Giá trị còn lại của tài sản đầu tư thêm năm 2033</v>
      </c>
      <c r="C119" s="1101"/>
      <c r="D119" s="1101"/>
      <c r="E119" s="1102"/>
      <c r="F119" s="1102"/>
      <c r="G119" s="1102"/>
      <c r="H119" s="1102"/>
      <c r="I119" s="1103"/>
      <c r="J119" s="1103"/>
      <c r="K119" s="1103"/>
      <c r="L119" s="1103"/>
      <c r="M119" s="1103"/>
      <c r="N119" s="1103"/>
      <c r="O119" s="1103"/>
      <c r="P119" s="1114"/>
      <c r="Q119" s="1106"/>
      <c r="R119" s="1106"/>
      <c r="S119" s="1106"/>
      <c r="T119" s="1106"/>
      <c r="U119" s="1106"/>
      <c r="V119" s="1106"/>
      <c r="W119" s="1106"/>
      <c r="X119" s="1106"/>
      <c r="Y119" s="1144">
        <f>SUM(Y94:Y95)-Y270</f>
        <v>52.146851721294539</v>
      </c>
      <c r="Z119" s="1144">
        <f>Y119-Z270</f>
        <v>26.073425860647266</v>
      </c>
      <c r="AA119" s="1144"/>
      <c r="AB119" s="1144"/>
      <c r="AC119" s="1144"/>
      <c r="AD119" s="1144"/>
      <c r="AE119" s="1144"/>
      <c r="AF119" s="1144"/>
      <c r="AG119" s="1144"/>
      <c r="AH119" s="1144"/>
      <c r="AI119" s="1144"/>
      <c r="AJ119" s="1144"/>
      <c r="AK119" s="1144"/>
      <c r="AL119" s="1144"/>
      <c r="AM119" s="1144"/>
      <c r="AN119" s="1144"/>
      <c r="AO119" s="1144"/>
      <c r="AP119" s="1144"/>
      <c r="AQ119" s="1144"/>
      <c r="AR119" s="1144"/>
      <c r="AS119" s="1144"/>
      <c r="AT119" s="1144"/>
      <c r="AU119" s="1144"/>
      <c r="AV119" s="1144"/>
      <c r="AW119" s="1144"/>
      <c r="AX119" s="1144"/>
      <c r="AY119" s="1144"/>
      <c r="AZ119" s="1144"/>
      <c r="BA119" s="1144"/>
      <c r="BB119" s="1107"/>
      <c r="BC119" s="1108"/>
      <c r="BD119" s="1108"/>
      <c r="BE119" s="1108"/>
    </row>
    <row r="120" spans="2:57" s="1100" customFormat="1" ht="36" customHeight="1">
      <c r="B120" s="1123" t="str">
        <f>"- Giá trị còn lại của tài sản đầu tư thêm năm "&amp;YEAR($P$3)+10</f>
        <v>- Giá trị còn lại của tài sản đầu tư thêm năm 2034</v>
      </c>
      <c r="C120" s="1101"/>
      <c r="D120" s="1101"/>
      <c r="E120" s="1102"/>
      <c r="F120" s="1102"/>
      <c r="G120" s="1102"/>
      <c r="H120" s="1102"/>
      <c r="I120" s="1103"/>
      <c r="J120" s="1103"/>
      <c r="K120" s="1103"/>
      <c r="L120" s="1103"/>
      <c r="M120" s="1103"/>
      <c r="N120" s="1103"/>
      <c r="O120" s="1103"/>
      <c r="P120" s="1114"/>
      <c r="Q120" s="1106"/>
      <c r="R120" s="1106"/>
      <c r="S120" s="1106"/>
      <c r="T120" s="1106"/>
      <c r="U120" s="1106"/>
      <c r="V120" s="1106"/>
      <c r="W120" s="1106"/>
      <c r="X120" s="1106"/>
      <c r="Y120" s="1106"/>
      <c r="Z120" s="1144">
        <f>SUM(Z94:Z95)-Z271</f>
        <v>50.545490675688228</v>
      </c>
      <c r="AA120" s="1144"/>
      <c r="AB120" s="1144"/>
      <c r="AC120" s="1144"/>
      <c r="AD120" s="1144"/>
      <c r="AE120" s="1144"/>
      <c r="AF120" s="1144"/>
      <c r="AG120" s="1144"/>
      <c r="AH120" s="1144"/>
      <c r="AI120" s="1144"/>
      <c r="AJ120" s="1144"/>
      <c r="AK120" s="1144"/>
      <c r="AL120" s="1144"/>
      <c r="AM120" s="1144"/>
      <c r="AN120" s="1144"/>
      <c r="AO120" s="1144"/>
      <c r="AP120" s="1144"/>
      <c r="AQ120" s="1144"/>
      <c r="AR120" s="1144"/>
      <c r="AS120" s="1144"/>
      <c r="AT120" s="1144"/>
      <c r="AU120" s="1144"/>
      <c r="AV120" s="1144"/>
      <c r="AW120" s="1144"/>
      <c r="AX120" s="1144"/>
      <c r="AY120" s="1144"/>
      <c r="AZ120" s="1144"/>
      <c r="BA120" s="1144"/>
      <c r="BB120" s="1144"/>
      <c r="BC120" s="1108"/>
      <c r="BD120" s="1108"/>
      <c r="BE120" s="1108"/>
    </row>
    <row r="121" spans="2:57" s="1100" customFormat="1" ht="28.5" customHeight="1">
      <c r="B121" s="1123" t="str">
        <f>"- Giá trị còn lại của tài sản đầu tư thêm năm "&amp;YEAR($P$3)+11</f>
        <v>- Giá trị còn lại của tài sản đầu tư thêm năm 2035</v>
      </c>
      <c r="C121" s="1101"/>
      <c r="D121" s="1101"/>
      <c r="E121" s="1102"/>
      <c r="F121" s="1102"/>
      <c r="G121" s="1102"/>
      <c r="H121" s="1102"/>
      <c r="I121" s="1103"/>
      <c r="J121" s="1103"/>
      <c r="K121" s="1103"/>
      <c r="L121" s="1103"/>
      <c r="M121" s="1103"/>
      <c r="N121" s="1103"/>
      <c r="O121" s="1103"/>
      <c r="P121" s="1114"/>
      <c r="Q121" s="1106"/>
      <c r="R121" s="1106"/>
      <c r="S121" s="1106"/>
      <c r="T121" s="1106"/>
      <c r="U121" s="1106"/>
      <c r="V121" s="1106"/>
      <c r="W121" s="1106"/>
      <c r="X121" s="1106"/>
      <c r="Y121" s="1106"/>
      <c r="Z121" s="1106"/>
      <c r="AA121" s="1144"/>
      <c r="AB121" s="1144"/>
      <c r="AC121" s="1144"/>
      <c r="AD121" s="1144"/>
      <c r="AE121" s="1144"/>
      <c r="AF121" s="1144"/>
      <c r="AG121" s="1144"/>
      <c r="AH121" s="1144"/>
      <c r="AI121" s="1144"/>
      <c r="AJ121" s="1144"/>
      <c r="AK121" s="1144"/>
      <c r="AL121" s="1144"/>
      <c r="AM121" s="1144"/>
      <c r="AN121" s="1144"/>
      <c r="AO121" s="1144"/>
      <c r="AP121" s="1144"/>
      <c r="AQ121" s="1144"/>
      <c r="AR121" s="1144"/>
      <c r="AS121" s="1144"/>
      <c r="AT121" s="1144"/>
      <c r="AU121" s="1144"/>
      <c r="AV121" s="1144"/>
      <c r="AW121" s="1144"/>
      <c r="AX121" s="1144"/>
      <c r="AY121" s="1144"/>
      <c r="AZ121" s="1144"/>
      <c r="BA121" s="1144"/>
      <c r="BB121" s="1107"/>
      <c r="BC121" s="1108"/>
      <c r="BD121" s="1108"/>
      <c r="BE121" s="1108"/>
    </row>
    <row r="122" spans="2:57" s="480" customFormat="1">
      <c r="B122" s="1124"/>
      <c r="C122" s="1124"/>
      <c r="D122" s="1124"/>
      <c r="E122" s="1125"/>
      <c r="F122" s="1125"/>
      <c r="G122" s="1125"/>
      <c r="H122" s="93"/>
      <c r="I122" s="93"/>
      <c r="J122" s="93"/>
      <c r="K122" s="93"/>
      <c r="L122" s="93"/>
      <c r="M122" s="93"/>
      <c r="N122" s="93"/>
      <c r="O122" s="93"/>
      <c r="P122" s="1129"/>
      <c r="Q122" s="93"/>
      <c r="R122" s="93"/>
      <c r="S122" s="93"/>
      <c r="T122" s="93"/>
      <c r="U122" s="93"/>
      <c r="V122" s="93"/>
      <c r="W122" s="93"/>
      <c r="X122" s="93"/>
      <c r="Y122" s="93"/>
      <c r="Z122" s="93"/>
      <c r="AA122" s="93"/>
      <c r="AB122" s="93"/>
      <c r="AC122" s="93"/>
      <c r="AD122" s="93"/>
      <c r="AE122" s="93"/>
      <c r="AF122" s="93"/>
      <c r="AG122" s="93"/>
      <c r="AH122" s="93"/>
      <c r="AI122" s="93"/>
      <c r="AJ122" s="93"/>
      <c r="AK122" s="93"/>
      <c r="AL122" s="93"/>
      <c r="AM122" s="93"/>
      <c r="AN122" s="93"/>
      <c r="AO122" s="93"/>
      <c r="AP122" s="93"/>
      <c r="AQ122" s="93"/>
      <c r="AR122" s="93"/>
      <c r="AS122" s="93"/>
      <c r="AT122" s="93"/>
      <c r="AU122" s="93"/>
      <c r="AV122" s="93"/>
      <c r="AW122" s="93"/>
      <c r="AX122" s="93"/>
      <c r="AY122" s="93"/>
      <c r="AZ122" s="93"/>
      <c r="BA122" s="93"/>
      <c r="BB122" s="1031"/>
      <c r="BC122" s="424"/>
      <c r="BD122" s="424"/>
      <c r="BE122" s="424"/>
    </row>
    <row r="123" spans="2:57" s="1152" customFormat="1">
      <c r="B123" s="1072" t="s">
        <v>813</v>
      </c>
      <c r="C123" s="1145"/>
      <c r="D123" s="1145"/>
      <c r="E123" s="1146"/>
      <c r="F123" s="1146"/>
      <c r="G123" s="1146"/>
      <c r="H123" s="1147"/>
      <c r="I123" s="1147"/>
      <c r="J123" s="1147"/>
      <c r="K123" s="1147"/>
      <c r="L123" s="1147"/>
      <c r="M123" s="1148"/>
      <c r="N123" s="1148"/>
      <c r="O123" s="1148"/>
      <c r="P123" s="1149"/>
      <c r="Q123" s="1148"/>
      <c r="R123" s="1148"/>
      <c r="S123" s="1148"/>
      <c r="T123" s="1148"/>
      <c r="U123" s="1148"/>
      <c r="V123" s="1148"/>
      <c r="W123" s="1148"/>
      <c r="X123" s="1148"/>
      <c r="Y123" s="1148"/>
      <c r="Z123" s="1148"/>
      <c r="AA123" s="1148"/>
      <c r="AB123" s="1148"/>
      <c r="AC123" s="1148"/>
      <c r="AD123" s="1148"/>
      <c r="AE123" s="1148"/>
      <c r="AF123" s="1148"/>
      <c r="AG123" s="1148"/>
      <c r="AH123" s="1148"/>
      <c r="AI123" s="1148"/>
      <c r="AJ123" s="1148"/>
      <c r="AK123" s="1148"/>
      <c r="AL123" s="1148"/>
      <c r="AM123" s="1148"/>
      <c r="AN123" s="1148"/>
      <c r="AO123" s="1148"/>
      <c r="AP123" s="1148"/>
      <c r="AQ123" s="1148"/>
      <c r="AR123" s="1148"/>
      <c r="AS123" s="1148"/>
      <c r="AT123" s="1148"/>
      <c r="AU123" s="1148"/>
      <c r="AV123" s="1148"/>
      <c r="AW123" s="1148"/>
      <c r="AX123" s="1148"/>
      <c r="AY123" s="1148"/>
      <c r="AZ123" s="1148"/>
      <c r="BA123" s="1148"/>
      <c r="BB123" s="1150"/>
      <c r="BC123" s="1151"/>
      <c r="BD123" s="1151"/>
      <c r="BE123" s="1151"/>
    </row>
    <row r="124" spans="2:57" s="480" customFormat="1">
      <c r="B124" s="1068" t="s">
        <v>798</v>
      </c>
      <c r="C124" s="1068"/>
      <c r="D124" s="1068"/>
      <c r="E124" s="1076"/>
      <c r="F124" s="126"/>
      <c r="G124" s="1076"/>
      <c r="H124" s="93"/>
      <c r="I124" s="93"/>
      <c r="J124" s="93"/>
      <c r="K124" s="93"/>
      <c r="L124" s="93"/>
      <c r="M124" s="93"/>
      <c r="N124" s="93"/>
      <c r="O124" s="93"/>
      <c r="P124" s="1129"/>
      <c r="Q124" s="93"/>
      <c r="R124" s="93"/>
      <c r="S124" s="93"/>
      <c r="T124" s="93"/>
      <c r="U124" s="93"/>
      <c r="V124" s="93"/>
      <c r="W124" s="93"/>
      <c r="X124" s="93"/>
      <c r="Y124" s="93"/>
      <c r="Z124" s="93"/>
      <c r="AA124" s="93"/>
      <c r="AB124" s="93"/>
      <c r="AC124" s="93"/>
      <c r="AD124" s="93"/>
      <c r="AE124" s="93"/>
      <c r="AF124" s="93"/>
      <c r="AG124" s="93"/>
      <c r="AH124" s="93"/>
      <c r="AI124" s="93"/>
      <c r="AJ124" s="93"/>
      <c r="AK124" s="93"/>
      <c r="AL124" s="93"/>
      <c r="AM124" s="93"/>
      <c r="AN124" s="93"/>
      <c r="AO124" s="93"/>
      <c r="AP124" s="93"/>
      <c r="AQ124" s="93"/>
      <c r="AR124" s="93"/>
      <c r="AS124" s="93"/>
      <c r="AT124" s="93"/>
      <c r="AU124" s="93"/>
      <c r="AV124" s="93"/>
      <c r="AW124" s="93"/>
      <c r="AX124" s="93"/>
      <c r="AY124" s="93"/>
      <c r="AZ124" s="93"/>
      <c r="BA124" s="93"/>
      <c r="BB124" s="1031"/>
      <c r="BC124" s="424"/>
      <c r="BD124" s="424"/>
      <c r="BE124" s="424"/>
    </row>
    <row r="125" spans="2:57" s="480" customFormat="1">
      <c r="B125" s="1079" t="s">
        <v>799</v>
      </c>
      <c r="C125" s="1080"/>
      <c r="D125" s="1080"/>
      <c r="E125" s="1081"/>
      <c r="F125" s="1081"/>
      <c r="G125" s="1081"/>
      <c r="H125" s="93"/>
      <c r="I125" s="1082"/>
      <c r="J125" s="1083"/>
      <c r="K125" s="1083">
        <f>'BS Raw'!E62</f>
        <v>0</v>
      </c>
      <c r="L125" s="1083">
        <f>'BS Raw'!F62</f>
        <v>0</v>
      </c>
      <c r="M125" s="1083">
        <f>'BS Raw'!G62</f>
        <v>0</v>
      </c>
      <c r="N125" s="1083">
        <f>'BS Raw'!H62</f>
        <v>0</v>
      </c>
      <c r="O125" s="1083">
        <f>'BS Raw'!I62</f>
        <v>0</v>
      </c>
      <c r="P125" s="2534">
        <f>'BS Raw'!J62</f>
        <v>0</v>
      </c>
      <c r="Q125" s="1084">
        <f>P130</f>
        <v>0</v>
      </c>
      <c r="R125" s="1084">
        <f t="shared" ref="R125:Z125" si="108">Q130</f>
        <v>0</v>
      </c>
      <c r="S125" s="1084">
        <f t="shared" si="108"/>
        <v>0</v>
      </c>
      <c r="T125" s="1084">
        <f t="shared" si="108"/>
        <v>0</v>
      </c>
      <c r="U125" s="1084">
        <f t="shared" si="108"/>
        <v>0</v>
      </c>
      <c r="V125" s="1084">
        <f t="shared" si="108"/>
        <v>0</v>
      </c>
      <c r="W125" s="1084">
        <f t="shared" si="108"/>
        <v>0</v>
      </c>
      <c r="X125" s="1084">
        <f t="shared" si="108"/>
        <v>0</v>
      </c>
      <c r="Y125" s="1084">
        <f t="shared" si="108"/>
        <v>0</v>
      </c>
      <c r="Z125" s="1084">
        <f t="shared" si="108"/>
        <v>0</v>
      </c>
      <c r="AA125" s="1084"/>
      <c r="AB125" s="1084"/>
      <c r="AC125" s="1084"/>
      <c r="AD125" s="1084"/>
      <c r="AE125" s="1084"/>
      <c r="AF125" s="1084"/>
      <c r="AG125" s="1084"/>
      <c r="AH125" s="1084"/>
      <c r="AI125" s="1084"/>
      <c r="AJ125" s="1084"/>
      <c r="AK125" s="1084"/>
      <c r="AL125" s="1084"/>
      <c r="AM125" s="1084"/>
      <c r="AN125" s="1084"/>
      <c r="AO125" s="1084"/>
      <c r="AP125" s="1084"/>
      <c r="AQ125" s="1084"/>
      <c r="AR125" s="1084"/>
      <c r="AS125" s="1084"/>
      <c r="AT125" s="1084"/>
      <c r="AU125" s="1084"/>
      <c r="AV125" s="1084"/>
      <c r="AW125" s="1054"/>
      <c r="AX125" s="1054"/>
      <c r="AY125" s="1054"/>
      <c r="AZ125" s="1054"/>
      <c r="BA125" s="1054"/>
      <c r="BB125" s="1139"/>
      <c r="BC125" s="424"/>
      <c r="BD125" s="424"/>
      <c r="BE125" s="424"/>
    </row>
    <row r="126" spans="2:57" s="480" customFormat="1">
      <c r="B126" s="1079" t="s">
        <v>814</v>
      </c>
      <c r="C126" s="1080"/>
      <c r="D126" s="1080"/>
      <c r="E126" s="1081"/>
      <c r="F126" s="1081"/>
      <c r="G126" s="1081"/>
      <c r="H126" s="93"/>
      <c r="I126" s="1082"/>
      <c r="J126" s="1082"/>
      <c r="K126" s="1082"/>
      <c r="L126" s="1082"/>
      <c r="M126" s="1082"/>
      <c r="N126" s="1082"/>
      <c r="O126" s="1082"/>
      <c r="P126" s="1115"/>
      <c r="Q126" s="1084">
        <f>Q9*Q16</f>
        <v>0</v>
      </c>
      <c r="R126" s="1084">
        <f t="shared" ref="R126:Z126" si="109">R9*R16</f>
        <v>0</v>
      </c>
      <c r="S126" s="1084">
        <f t="shared" si="109"/>
        <v>0</v>
      </c>
      <c r="T126" s="1084">
        <f t="shared" si="109"/>
        <v>0</v>
      </c>
      <c r="U126" s="1084">
        <f t="shared" si="109"/>
        <v>0</v>
      </c>
      <c r="V126" s="1084">
        <f t="shared" si="109"/>
        <v>0</v>
      </c>
      <c r="W126" s="1084">
        <f t="shared" si="109"/>
        <v>0</v>
      </c>
      <c r="X126" s="1084">
        <f t="shared" si="109"/>
        <v>0</v>
      </c>
      <c r="Y126" s="1084">
        <f t="shared" si="109"/>
        <v>0</v>
      </c>
      <c r="Z126" s="1084">
        <f t="shared" si="109"/>
        <v>0</v>
      </c>
      <c r="AA126" s="1084"/>
      <c r="AB126" s="1084"/>
      <c r="AC126" s="1084"/>
      <c r="AD126" s="1084"/>
      <c r="AE126" s="1084"/>
      <c r="AF126" s="1084"/>
      <c r="AG126" s="1084"/>
      <c r="AH126" s="1084"/>
      <c r="AI126" s="1084"/>
      <c r="AJ126" s="1084"/>
      <c r="AK126" s="1084"/>
      <c r="AL126" s="1084"/>
      <c r="AM126" s="1084"/>
      <c r="AN126" s="1084"/>
      <c r="AO126" s="1084"/>
      <c r="AP126" s="1084"/>
      <c r="AQ126" s="1084"/>
      <c r="AR126" s="1084"/>
      <c r="AS126" s="1084"/>
      <c r="AT126" s="1084"/>
      <c r="AU126" s="1084"/>
      <c r="AV126" s="1084"/>
      <c r="AW126" s="1084"/>
      <c r="AX126" s="1084"/>
      <c r="AY126" s="1084"/>
      <c r="AZ126" s="1084"/>
      <c r="BA126" s="1084"/>
      <c r="BB126" s="1139"/>
      <c r="BC126" s="424"/>
      <c r="BD126" s="424"/>
      <c r="BE126" s="424"/>
    </row>
    <row r="127" spans="2:57" s="480" customFormat="1">
      <c r="B127" s="1086"/>
      <c r="C127" s="1087"/>
      <c r="D127" s="1087"/>
      <c r="E127" s="1088"/>
      <c r="F127" s="1088"/>
      <c r="G127" s="1088"/>
      <c r="H127" s="1089"/>
      <c r="I127" s="1090"/>
      <c r="J127" s="1090"/>
      <c r="K127" s="1090"/>
      <c r="L127" s="1090"/>
      <c r="M127" s="1090"/>
      <c r="N127" s="1090"/>
      <c r="O127" s="1090"/>
      <c r="P127" s="1138"/>
      <c r="Q127" s="1093"/>
      <c r="R127" s="1093"/>
      <c r="S127" s="1093"/>
      <c r="T127" s="1093"/>
      <c r="U127" s="1093"/>
      <c r="V127" s="1093"/>
      <c r="W127" s="1093"/>
      <c r="X127" s="1093"/>
      <c r="Y127" s="1093"/>
      <c r="Z127" s="1093"/>
      <c r="AA127" s="1093"/>
      <c r="AB127" s="1093"/>
      <c r="AC127" s="1093"/>
      <c r="AD127" s="1093"/>
      <c r="AE127" s="1093"/>
      <c r="AF127" s="1093"/>
      <c r="AG127" s="1093"/>
      <c r="AH127" s="1093"/>
      <c r="AI127" s="1093"/>
      <c r="AJ127" s="1093"/>
      <c r="AK127" s="1093"/>
      <c r="AL127" s="1093"/>
      <c r="AM127" s="1093"/>
      <c r="AN127" s="1093"/>
      <c r="AO127" s="1093"/>
      <c r="AP127" s="1093"/>
      <c r="AQ127" s="1093"/>
      <c r="AR127" s="1093"/>
      <c r="AS127" s="1093"/>
      <c r="AT127" s="1093"/>
      <c r="AU127" s="1093"/>
      <c r="AV127" s="1093"/>
      <c r="AW127" s="1093"/>
      <c r="AX127" s="1093"/>
      <c r="AY127" s="1093"/>
      <c r="AZ127" s="1093"/>
      <c r="BA127" s="1093"/>
      <c r="BB127" s="1139"/>
      <c r="BC127" s="424"/>
      <c r="BD127" s="424"/>
      <c r="BE127" s="424"/>
    </row>
    <row r="128" spans="2:57" s="480" customFormat="1">
      <c r="B128" s="1079" t="s">
        <v>815</v>
      </c>
      <c r="C128" s="1080"/>
      <c r="D128" s="1080"/>
      <c r="E128" s="1081"/>
      <c r="F128" s="1081"/>
      <c r="G128" s="1081"/>
      <c r="H128" s="93"/>
      <c r="I128" s="1082"/>
      <c r="J128" s="1083"/>
      <c r="K128" s="1083">
        <f>IF(ISTEXT('BS Raw'!F11),('BS Raw'!F62-'BS Raw'!E62)/$B$1,'LT. Asset'!K126)</f>
        <v>0</v>
      </c>
      <c r="L128" s="1083">
        <f>IF(ISTEXT('BS Raw'!G11),('BS Raw'!G62-'BS Raw'!F62)/$B$1,'LT. Asset'!L126)</f>
        <v>0</v>
      </c>
      <c r="M128" s="1083">
        <f>IF(ISTEXT('BS Raw'!H11),('BS Raw'!H62-'BS Raw'!G62)/$B$1,'LT. Asset'!M126)</f>
        <v>0</v>
      </c>
      <c r="N128" s="1083">
        <f>IF(ISTEXT('BS Raw'!I11),('BS Raw'!I62-'BS Raw'!H62)/$B$1,'LT. Asset'!N126)</f>
        <v>0</v>
      </c>
      <c r="O128" s="1083">
        <f>IF(ISTEXT('BS Raw'!J11),('BS Raw'!J62-'BS Raw'!I62)/$B$1,'LT. Asset'!O126)</f>
        <v>0</v>
      </c>
      <c r="P128" s="2534">
        <f>IF(ISTEXT('BS Raw'!K11),('BS Raw'!K62-'BS Raw'!J62)/$B$1,'LT. Asset'!P126)</f>
        <v>0</v>
      </c>
      <c r="Q128" s="1084">
        <f>Q126</f>
        <v>0</v>
      </c>
      <c r="R128" s="1084">
        <f t="shared" ref="R128:Z128" si="110">R126</f>
        <v>0</v>
      </c>
      <c r="S128" s="1084">
        <f t="shared" si="110"/>
        <v>0</v>
      </c>
      <c r="T128" s="1084">
        <f t="shared" si="110"/>
        <v>0</v>
      </c>
      <c r="U128" s="1084">
        <f t="shared" si="110"/>
        <v>0</v>
      </c>
      <c r="V128" s="1084">
        <f t="shared" si="110"/>
        <v>0</v>
      </c>
      <c r="W128" s="1084">
        <f t="shared" si="110"/>
        <v>0</v>
      </c>
      <c r="X128" s="1084">
        <f t="shared" si="110"/>
        <v>0</v>
      </c>
      <c r="Y128" s="1084">
        <f t="shared" si="110"/>
        <v>0</v>
      </c>
      <c r="Z128" s="1084">
        <f t="shared" si="110"/>
        <v>0</v>
      </c>
      <c r="AA128" s="1084"/>
      <c r="AB128" s="1084"/>
      <c r="AC128" s="1084"/>
      <c r="AD128" s="1084"/>
      <c r="AE128" s="1084"/>
      <c r="AF128" s="1084"/>
      <c r="AG128" s="1084"/>
      <c r="AH128" s="1084"/>
      <c r="AI128" s="1084"/>
      <c r="AJ128" s="1084"/>
      <c r="AK128" s="1084"/>
      <c r="AL128" s="1084"/>
      <c r="AM128" s="1084"/>
      <c r="AN128" s="1084"/>
      <c r="AO128" s="1084"/>
      <c r="AP128" s="1084"/>
      <c r="AQ128" s="1084"/>
      <c r="AR128" s="1084"/>
      <c r="AS128" s="1084"/>
      <c r="AT128" s="1084"/>
      <c r="AU128" s="1084"/>
      <c r="AV128" s="1084"/>
      <c r="AW128" s="1084"/>
      <c r="AX128" s="1084"/>
      <c r="AY128" s="1084"/>
      <c r="AZ128" s="1084"/>
      <c r="BA128" s="1084"/>
      <c r="BB128" s="1139"/>
      <c r="BC128" s="424"/>
      <c r="BD128" s="424"/>
      <c r="BE128" s="424"/>
    </row>
    <row r="129" spans="2:57" s="480" customFormat="1" ht="13.8" thickBot="1">
      <c r="B129" s="1079"/>
      <c r="C129" s="1080"/>
      <c r="D129" s="1080"/>
      <c r="E129" s="1081"/>
      <c r="F129" s="1081"/>
      <c r="G129" s="1081"/>
      <c r="H129" s="93"/>
      <c r="I129" s="1082"/>
      <c r="J129" s="1082"/>
      <c r="K129" s="1082"/>
      <c r="L129" s="1082"/>
      <c r="M129" s="1082"/>
      <c r="N129" s="1082"/>
      <c r="O129" s="1082"/>
      <c r="P129" s="1115"/>
      <c r="Q129" s="1054"/>
      <c r="R129" s="1054"/>
      <c r="S129" s="1054"/>
      <c r="T129" s="1054"/>
      <c r="U129" s="1054"/>
      <c r="V129" s="1054"/>
      <c r="W129" s="1054"/>
      <c r="X129" s="1054"/>
      <c r="Y129" s="1054"/>
      <c r="Z129" s="1054"/>
      <c r="AA129" s="1054"/>
      <c r="AB129" s="1054"/>
      <c r="AC129" s="1054"/>
      <c r="AD129" s="1054"/>
      <c r="AE129" s="1054"/>
      <c r="AF129" s="1054"/>
      <c r="AG129" s="1054"/>
      <c r="AH129" s="1054"/>
      <c r="AI129" s="1054"/>
      <c r="AJ129" s="1054"/>
      <c r="AK129" s="1054"/>
      <c r="AL129" s="1054"/>
      <c r="AM129" s="1054"/>
      <c r="AN129" s="1054"/>
      <c r="AO129" s="1054"/>
      <c r="AP129" s="1054"/>
      <c r="AQ129" s="1054"/>
      <c r="AR129" s="1054"/>
      <c r="AS129" s="1054"/>
      <c r="AT129" s="1054"/>
      <c r="AU129" s="1054"/>
      <c r="AV129" s="1054"/>
      <c r="AW129" s="1054"/>
      <c r="AX129" s="1054"/>
      <c r="AY129" s="1054"/>
      <c r="AZ129" s="1054"/>
      <c r="BA129" s="1054"/>
      <c r="BB129" s="1031"/>
      <c r="BC129" s="424"/>
      <c r="BD129" s="424"/>
      <c r="BE129" s="424"/>
    </row>
    <row r="130" spans="2:57" s="480" customFormat="1" ht="13.8" thickBot="1">
      <c r="B130" s="1094" t="s">
        <v>786</v>
      </c>
      <c r="C130" s="1095"/>
      <c r="D130" s="1095"/>
      <c r="E130" s="110"/>
      <c r="F130" s="110"/>
      <c r="G130" s="110"/>
      <c r="H130" s="110"/>
      <c r="I130" s="1096"/>
      <c r="J130" s="1097"/>
      <c r="K130" s="1097">
        <f>SUM(K125,K128)</f>
        <v>0</v>
      </c>
      <c r="L130" s="1097">
        <f t="shared" ref="L130:P130" si="111">SUM(L125,L128)</f>
        <v>0</v>
      </c>
      <c r="M130" s="1097">
        <f t="shared" si="111"/>
        <v>0</v>
      </c>
      <c r="N130" s="1097">
        <f t="shared" si="111"/>
        <v>0</v>
      </c>
      <c r="O130" s="1097">
        <f t="shared" si="111"/>
        <v>0</v>
      </c>
      <c r="P130" s="2535">
        <f t="shared" si="111"/>
        <v>0</v>
      </c>
      <c r="Q130" s="1098">
        <f>Q125+Q128</f>
        <v>0</v>
      </c>
      <c r="R130" s="1098">
        <f t="shared" ref="R130:Z130" si="112">R125+R128</f>
        <v>0</v>
      </c>
      <c r="S130" s="1098">
        <f t="shared" si="112"/>
        <v>0</v>
      </c>
      <c r="T130" s="1098">
        <f t="shared" si="112"/>
        <v>0</v>
      </c>
      <c r="U130" s="1098">
        <f t="shared" si="112"/>
        <v>0</v>
      </c>
      <c r="V130" s="1098">
        <f t="shared" si="112"/>
        <v>0</v>
      </c>
      <c r="W130" s="1098">
        <f t="shared" si="112"/>
        <v>0</v>
      </c>
      <c r="X130" s="1098">
        <f t="shared" si="112"/>
        <v>0</v>
      </c>
      <c r="Y130" s="1098">
        <f t="shared" si="112"/>
        <v>0</v>
      </c>
      <c r="Z130" s="1098">
        <f t="shared" si="112"/>
        <v>0</v>
      </c>
      <c r="AA130" s="1098"/>
      <c r="AB130" s="1098"/>
      <c r="AC130" s="1098"/>
      <c r="AD130" s="1098"/>
      <c r="AE130" s="1098"/>
      <c r="AF130" s="1098"/>
      <c r="AG130" s="1098"/>
      <c r="AH130" s="1098"/>
      <c r="AI130" s="1098"/>
      <c r="AJ130" s="1098"/>
      <c r="AK130" s="1098"/>
      <c r="AL130" s="1098"/>
      <c r="AM130" s="1098"/>
      <c r="AN130" s="1098"/>
      <c r="AO130" s="1098"/>
      <c r="AP130" s="1098"/>
      <c r="AQ130" s="1098"/>
      <c r="AR130" s="1098"/>
      <c r="AS130" s="1098"/>
      <c r="AT130" s="1098"/>
      <c r="AU130" s="1098"/>
      <c r="AV130" s="1098"/>
      <c r="AW130" s="1098"/>
      <c r="AX130" s="1098"/>
      <c r="AY130" s="1098"/>
      <c r="AZ130" s="1098"/>
      <c r="BA130" s="1098"/>
      <c r="BB130" s="1051"/>
      <c r="BC130" s="424"/>
      <c r="BD130" s="424"/>
      <c r="BE130" s="424"/>
    </row>
    <row r="131" spans="2:57" s="1100" customFormat="1">
      <c r="B131" s="1101" t="s">
        <v>804</v>
      </c>
      <c r="C131" s="1101"/>
      <c r="D131" s="1101"/>
      <c r="E131" s="1102"/>
      <c r="F131" s="1102"/>
      <c r="G131" s="1102"/>
      <c r="H131" s="1102"/>
      <c r="I131" s="1103"/>
      <c r="J131" s="1103"/>
      <c r="K131" s="1103"/>
      <c r="L131" s="1103"/>
      <c r="M131" s="1103"/>
      <c r="N131" s="1103"/>
      <c r="O131" s="1103"/>
      <c r="P131" s="1114"/>
      <c r="Q131" s="1106"/>
      <c r="R131" s="1106"/>
      <c r="S131" s="1106"/>
      <c r="T131" s="1106"/>
      <c r="U131" s="1106"/>
      <c r="V131" s="1106"/>
      <c r="W131" s="1106"/>
      <c r="X131" s="1106"/>
      <c r="Y131" s="1106"/>
      <c r="Z131" s="1106"/>
      <c r="AA131" s="1106"/>
      <c r="AB131" s="1106"/>
      <c r="AC131" s="1106"/>
      <c r="AD131" s="1106"/>
      <c r="AE131" s="1106"/>
      <c r="AF131" s="1106"/>
      <c r="AG131" s="1106"/>
      <c r="AH131" s="1106"/>
      <c r="AI131" s="1106"/>
      <c r="AJ131" s="1106"/>
      <c r="AK131" s="1106"/>
      <c r="AL131" s="1106"/>
      <c r="AM131" s="1106"/>
      <c r="AN131" s="1106"/>
      <c r="AO131" s="1106"/>
      <c r="AP131" s="1106"/>
      <c r="AQ131" s="1106"/>
      <c r="AR131" s="1106"/>
      <c r="AS131" s="1106"/>
      <c r="AT131" s="1106"/>
      <c r="AU131" s="1106"/>
      <c r="AV131" s="1106"/>
      <c r="AW131" s="1106"/>
      <c r="AX131" s="1106"/>
      <c r="AY131" s="1106"/>
      <c r="AZ131" s="1106"/>
      <c r="BA131" s="1106"/>
      <c r="BB131" s="1107"/>
      <c r="BC131" s="1108"/>
      <c r="BD131" s="1108"/>
      <c r="BE131" s="1108"/>
    </row>
    <row r="132" spans="2:57" s="1100" customFormat="1">
      <c r="B132" s="1118" t="s">
        <v>805</v>
      </c>
      <c r="C132" s="1101"/>
      <c r="D132" s="1101"/>
      <c r="E132" s="1102"/>
      <c r="F132" s="1102"/>
      <c r="G132" s="1102"/>
      <c r="H132" s="1102"/>
      <c r="I132" s="1111"/>
      <c r="J132" s="1111"/>
      <c r="K132" s="1111">
        <f>IF(ISTEXT(Notes!F11),K130-'BS Raw'!F62/$B$1,"Chưa có BCTC")</f>
        <v>0</v>
      </c>
      <c r="L132" s="1111">
        <f>IF(ISTEXT(Notes!G11),L130-'BS Raw'!G62/$B$1,"Chưa có BCTC")</f>
        <v>0</v>
      </c>
      <c r="M132" s="1111">
        <f>IF(ISTEXT(Notes!H11),M130-'BS Raw'!H62/$B$1,"Chưa có BCTC")</f>
        <v>0</v>
      </c>
      <c r="N132" s="1111">
        <f>IF(ISTEXT(Notes!I11),N130-'BS Raw'!I62/$B$1,"Chưa có BCTC")</f>
        <v>0</v>
      </c>
      <c r="O132" s="1111">
        <f>IF(ISTEXT(Notes!J11),O130-'BS Raw'!J62/$B$1,"Chưa có BCTC")</f>
        <v>0</v>
      </c>
      <c r="P132" s="2539">
        <f>IF(ISTEXT(Notes!K11),P130-'BS Raw'!K62/$B$1,"Chưa có BCTC")</f>
        <v>0</v>
      </c>
      <c r="Q132" s="1111" t="str">
        <f>IF(ISTEXT(Notes!L11),Q130-'BS Raw'!L62/$B$1,"Chưa có BCTC")</f>
        <v>Chưa có BCTC</v>
      </c>
      <c r="R132" s="1111" t="str">
        <f>IF(ISTEXT(Notes!M11),R130-'BS Raw'!M62/$B$1,"Chưa có BCTC")</f>
        <v>Chưa có BCTC</v>
      </c>
      <c r="S132" s="1111" t="str">
        <f>IF(ISTEXT(Notes!N11),S130-'BS Raw'!N62/$B$1,"Chưa có BCTC")</f>
        <v>Chưa có BCTC</v>
      </c>
      <c r="T132" s="1111" t="str">
        <f>IF(ISTEXT(Notes!O11),T130-'BS Raw'!O62/$B$1,"Chưa có BCTC")</f>
        <v>Chưa có BCTC</v>
      </c>
      <c r="U132" s="1111" t="str">
        <f>IF(ISTEXT(Notes!P11),U130-'BS Raw'!P62/$B$1,"Chưa có BCTC")</f>
        <v>Chưa có BCTC</v>
      </c>
      <c r="V132" s="1111" t="str">
        <f>IF(ISTEXT(Notes!Q11),V130-'BS Raw'!Q62/$B$1,"Chưa có BCTC")</f>
        <v>Chưa có BCTC</v>
      </c>
      <c r="W132" s="1111" t="str">
        <f>IF(ISTEXT(Notes!R11),W130-'BS Raw'!R62/$B$1,"Chưa có BCTC")</f>
        <v>Chưa có BCTC</v>
      </c>
      <c r="X132" s="1111" t="str">
        <f>IF(ISTEXT(Notes!S11),X130-'BS Raw'!S62/$B$1,"Chưa có BCTC")</f>
        <v>Chưa có BCTC</v>
      </c>
      <c r="Y132" s="1111" t="str">
        <f>IF(ISTEXT(Notes!T11),Y130-'BS Raw'!T62/$B$1,"Chưa có BCTC")</f>
        <v>Chưa có BCTC</v>
      </c>
      <c r="Z132" s="1111" t="str">
        <f>IF(ISTEXT(Notes!U11),Z130-'BS Raw'!U62/$B$1,"Chưa có BCTC")</f>
        <v>Chưa có BCTC</v>
      </c>
      <c r="AA132" s="1111"/>
      <c r="AB132" s="1111"/>
      <c r="AC132" s="1111"/>
      <c r="AD132" s="1111"/>
      <c r="AE132" s="1111"/>
      <c r="AF132" s="1111"/>
      <c r="AG132" s="1111"/>
      <c r="AH132" s="1111"/>
      <c r="AI132" s="1111"/>
      <c r="AJ132" s="1111"/>
      <c r="AK132" s="1111"/>
      <c r="AL132" s="1111"/>
      <c r="AM132" s="1111"/>
      <c r="AN132" s="1111"/>
      <c r="AO132" s="1111"/>
      <c r="AP132" s="1111"/>
      <c r="AQ132" s="1111"/>
      <c r="AR132" s="1111"/>
      <c r="AS132" s="1111"/>
      <c r="AT132" s="1111"/>
      <c r="AU132" s="1111"/>
      <c r="AV132" s="1111"/>
      <c r="AW132" s="1111"/>
      <c r="AX132" s="1111"/>
      <c r="AY132" s="1111"/>
      <c r="AZ132" s="1111"/>
      <c r="BA132" s="1111"/>
      <c r="BB132" s="1107"/>
      <c r="BC132" s="1108"/>
      <c r="BD132" s="1108"/>
      <c r="BE132" s="1108"/>
    </row>
    <row r="133" spans="2:57" s="1100" customFormat="1" ht="13.8">
      <c r="B133" s="1101"/>
      <c r="C133" s="1101"/>
      <c r="D133" s="1101"/>
      <c r="E133" s="1102"/>
      <c r="F133" s="1102"/>
      <c r="G133" s="1102"/>
      <c r="H133" s="1102"/>
      <c r="I133" s="1102"/>
      <c r="J133" s="1102"/>
      <c r="K133" s="1102"/>
      <c r="L133" s="1102"/>
      <c r="M133" s="1102"/>
      <c r="N133" s="1153"/>
      <c r="O133" s="1154"/>
      <c r="P133" s="1142"/>
      <c r="Q133" s="1102"/>
      <c r="R133" s="1102"/>
      <c r="S133" s="1102"/>
      <c r="T133" s="1102"/>
      <c r="U133" s="1102"/>
      <c r="V133" s="1102"/>
      <c r="W133" s="1102"/>
      <c r="X133" s="1102"/>
      <c r="Y133" s="1102"/>
      <c r="Z133" s="1102"/>
      <c r="AA133" s="1102"/>
      <c r="AB133" s="1102"/>
      <c r="AC133" s="1102"/>
      <c r="AD133" s="1102"/>
      <c r="AE133" s="1102"/>
      <c r="AF133" s="1102"/>
      <c r="AG133" s="1102"/>
      <c r="AH133" s="1102"/>
      <c r="AI133" s="1102"/>
      <c r="AJ133" s="1102"/>
      <c r="AK133" s="1102"/>
      <c r="AL133" s="1102"/>
      <c r="AM133" s="1102"/>
      <c r="AN133" s="1102"/>
      <c r="AO133" s="1102"/>
      <c r="AP133" s="1102"/>
      <c r="AQ133" s="1102"/>
      <c r="AR133" s="1102"/>
      <c r="AS133" s="1102"/>
      <c r="AT133" s="1102"/>
      <c r="AU133" s="1102"/>
      <c r="AV133" s="1102"/>
      <c r="AW133" s="1102"/>
      <c r="AX133" s="1102"/>
      <c r="AY133" s="1102"/>
      <c r="AZ133" s="1102"/>
      <c r="BA133" s="1102"/>
      <c r="BB133" s="1107"/>
      <c r="BC133" s="1108"/>
      <c r="BD133" s="1108"/>
      <c r="BE133" s="1108"/>
    </row>
    <row r="134" spans="2:57" s="480" customFormat="1">
      <c r="B134" s="1068" t="s">
        <v>806</v>
      </c>
      <c r="C134" s="1068"/>
      <c r="D134" s="1068"/>
      <c r="E134" s="1076"/>
      <c r="F134" s="1076"/>
      <c r="G134" s="1076"/>
      <c r="H134" s="93"/>
      <c r="I134" s="93"/>
      <c r="J134" s="93"/>
      <c r="K134" s="93"/>
      <c r="L134" s="93"/>
      <c r="M134" s="93"/>
      <c r="N134" s="93"/>
      <c r="O134" s="93"/>
      <c r="P134" s="1129"/>
      <c r="Q134" s="93"/>
      <c r="R134" s="93"/>
      <c r="S134" s="93"/>
      <c r="T134" s="93"/>
      <c r="U134" s="93"/>
      <c r="V134" s="93"/>
      <c r="W134" s="93"/>
      <c r="X134" s="93"/>
      <c r="Y134" s="93"/>
      <c r="Z134" s="93"/>
      <c r="AA134" s="93"/>
      <c r="AB134" s="93"/>
      <c r="AC134" s="93"/>
      <c r="AD134" s="93"/>
      <c r="AE134" s="93"/>
      <c r="AF134" s="93"/>
      <c r="AG134" s="93"/>
      <c r="AH134" s="93"/>
      <c r="AI134" s="93"/>
      <c r="AJ134" s="93"/>
      <c r="AK134" s="93"/>
      <c r="AL134" s="93"/>
      <c r="AM134" s="93"/>
      <c r="AN134" s="93"/>
      <c r="AO134" s="93"/>
      <c r="AP134" s="93"/>
      <c r="AQ134" s="93"/>
      <c r="AR134" s="93"/>
      <c r="AS134" s="93"/>
      <c r="AT134" s="93"/>
      <c r="AU134" s="93"/>
      <c r="AV134" s="93"/>
      <c r="AW134" s="93"/>
      <c r="AX134" s="93"/>
      <c r="AY134" s="93"/>
      <c r="AZ134" s="93"/>
      <c r="BA134" s="93"/>
      <c r="BB134" s="1031"/>
      <c r="BC134" s="424"/>
      <c r="BD134" s="424"/>
      <c r="BE134" s="424"/>
    </row>
    <row r="135" spans="2:57" s="480" customFormat="1">
      <c r="B135" s="1079" t="s">
        <v>799</v>
      </c>
      <c r="C135" s="1080"/>
      <c r="D135" s="1080"/>
      <c r="E135" s="1081"/>
      <c r="F135" s="1081"/>
      <c r="G135" s="1081"/>
      <c r="H135" s="93"/>
      <c r="I135" s="1082"/>
      <c r="J135" s="1083"/>
      <c r="K135" s="1083">
        <f>'BS Raw'!E63/'LT. Asset'!$B$1</f>
        <v>0</v>
      </c>
      <c r="L135" s="1083">
        <f>'BS Raw'!F63/'LT. Asset'!$B$1</f>
        <v>0</v>
      </c>
      <c r="M135" s="1083">
        <f>'BS Raw'!G63/'LT. Asset'!$B$1</f>
        <v>0</v>
      </c>
      <c r="N135" s="1083">
        <f>'BS Raw'!H63/'LT. Asset'!$B$1</f>
        <v>0</v>
      </c>
      <c r="O135" s="1083">
        <f>'BS Raw'!I63/'LT. Asset'!$B$1</f>
        <v>0</v>
      </c>
      <c r="P135" s="2534">
        <f>'BS Raw'!J63/'LT. Asset'!$B$1</f>
        <v>0</v>
      </c>
      <c r="Q135" s="1084">
        <f>P140</f>
        <v>0</v>
      </c>
      <c r="R135" s="1084">
        <f t="shared" ref="R135:Z135" si="113">Q140</f>
        <v>0</v>
      </c>
      <c r="S135" s="1084">
        <f t="shared" si="113"/>
        <v>0</v>
      </c>
      <c r="T135" s="1084">
        <f t="shared" si="113"/>
        <v>0</v>
      </c>
      <c r="U135" s="1084">
        <f t="shared" si="113"/>
        <v>0</v>
      </c>
      <c r="V135" s="1084">
        <f t="shared" si="113"/>
        <v>0</v>
      </c>
      <c r="W135" s="1084">
        <f t="shared" si="113"/>
        <v>0</v>
      </c>
      <c r="X135" s="1084">
        <f t="shared" si="113"/>
        <v>0</v>
      </c>
      <c r="Y135" s="1084">
        <f t="shared" si="113"/>
        <v>0</v>
      </c>
      <c r="Z135" s="1084">
        <f t="shared" si="113"/>
        <v>0</v>
      </c>
      <c r="AA135" s="1084"/>
      <c r="AB135" s="1084"/>
      <c r="AC135" s="1084"/>
      <c r="AD135" s="1084"/>
      <c r="AE135" s="1084"/>
      <c r="AF135" s="1084"/>
      <c r="AG135" s="1084"/>
      <c r="AH135" s="1084"/>
      <c r="AI135" s="1084"/>
      <c r="AJ135" s="1084"/>
      <c r="AK135" s="1084"/>
      <c r="AL135" s="1084"/>
      <c r="AM135" s="1084"/>
      <c r="AN135" s="1084"/>
      <c r="AO135" s="1084"/>
      <c r="AP135" s="1084"/>
      <c r="AQ135" s="1084"/>
      <c r="AR135" s="1084"/>
      <c r="AS135" s="1084"/>
      <c r="AT135" s="1084"/>
      <c r="AU135" s="1084"/>
      <c r="AV135" s="1084"/>
      <c r="AW135" s="1084"/>
      <c r="AX135" s="1084"/>
      <c r="AY135" s="1084"/>
      <c r="AZ135" s="1084"/>
      <c r="BA135" s="1084"/>
      <c r="BB135" s="1084"/>
      <c r="BC135" s="424"/>
      <c r="BD135" s="424"/>
      <c r="BE135" s="424"/>
    </row>
    <row r="136" spans="2:57" s="480" customFormat="1">
      <c r="B136" s="1079" t="s">
        <v>814</v>
      </c>
      <c r="C136" s="1080"/>
      <c r="D136" s="1080"/>
      <c r="E136" s="1081"/>
      <c r="F136" s="1081"/>
      <c r="G136" s="1081"/>
      <c r="H136" s="93"/>
      <c r="I136" s="1082"/>
      <c r="J136" s="1082"/>
      <c r="K136" s="1082"/>
      <c r="L136" s="1082"/>
      <c r="M136" s="1082"/>
      <c r="N136" s="1082"/>
      <c r="O136" s="1082"/>
      <c r="P136" s="1115"/>
      <c r="Q136" s="1084">
        <f>Q289</f>
        <v>0</v>
      </c>
      <c r="R136" s="1084">
        <f t="shared" ref="R136:Z136" si="114">R289</f>
        <v>0</v>
      </c>
      <c r="S136" s="1084">
        <f t="shared" si="114"/>
        <v>0</v>
      </c>
      <c r="T136" s="1084">
        <f t="shared" si="114"/>
        <v>0</v>
      </c>
      <c r="U136" s="1084">
        <f t="shared" si="114"/>
        <v>0</v>
      </c>
      <c r="V136" s="1084">
        <f t="shared" si="114"/>
        <v>0</v>
      </c>
      <c r="W136" s="1084">
        <f t="shared" si="114"/>
        <v>0</v>
      </c>
      <c r="X136" s="1084">
        <f t="shared" si="114"/>
        <v>0</v>
      </c>
      <c r="Y136" s="1084">
        <f t="shared" si="114"/>
        <v>0</v>
      </c>
      <c r="Z136" s="1084">
        <f t="shared" si="114"/>
        <v>0</v>
      </c>
      <c r="AA136" s="1084"/>
      <c r="AB136" s="1084"/>
      <c r="AC136" s="1084"/>
      <c r="AD136" s="1084"/>
      <c r="AE136" s="1084"/>
      <c r="AF136" s="1084"/>
      <c r="AG136" s="1084"/>
      <c r="AH136" s="1084"/>
      <c r="AI136" s="1084"/>
      <c r="AJ136" s="1084"/>
      <c r="AK136" s="1084"/>
      <c r="AL136" s="1084"/>
      <c r="AM136" s="1084"/>
      <c r="AN136" s="1084"/>
      <c r="AO136" s="1084"/>
      <c r="AP136" s="1084"/>
      <c r="AQ136" s="1084"/>
      <c r="AR136" s="1084"/>
      <c r="AS136" s="1084"/>
      <c r="AT136" s="1084"/>
      <c r="AU136" s="1084"/>
      <c r="AV136" s="1084"/>
      <c r="AW136" s="1084"/>
      <c r="AX136" s="1084"/>
      <c r="AY136" s="1084"/>
      <c r="AZ136" s="1084"/>
      <c r="BA136" s="1084"/>
      <c r="BB136" s="1031"/>
      <c r="BC136" s="424"/>
      <c r="BD136" s="424"/>
      <c r="BE136" s="424"/>
    </row>
    <row r="137" spans="2:57" s="480" customFormat="1">
      <c r="B137" s="1086"/>
      <c r="C137" s="1087"/>
      <c r="D137" s="1087"/>
      <c r="E137" s="1088"/>
      <c r="F137" s="1088"/>
      <c r="G137" s="1088"/>
      <c r="H137" s="1089"/>
      <c r="I137" s="1090"/>
      <c r="J137" s="1090"/>
      <c r="K137" s="1090"/>
      <c r="L137" s="1090"/>
      <c r="M137" s="1090"/>
      <c r="N137" s="1090"/>
      <c r="O137" s="1090"/>
      <c r="P137" s="1138"/>
      <c r="Q137" s="1093"/>
      <c r="R137" s="1093"/>
      <c r="S137" s="1093"/>
      <c r="T137" s="1093"/>
      <c r="U137" s="1093"/>
      <c r="V137" s="1093"/>
      <c r="W137" s="1093"/>
      <c r="X137" s="1093"/>
      <c r="Y137" s="1093"/>
      <c r="Z137" s="1093"/>
      <c r="AA137" s="1093"/>
      <c r="AB137" s="1093"/>
      <c r="AC137" s="1093"/>
      <c r="AD137" s="1093"/>
      <c r="AE137" s="1093"/>
      <c r="AF137" s="1093"/>
      <c r="AG137" s="1093"/>
      <c r="AH137" s="1093"/>
      <c r="AI137" s="1093"/>
      <c r="AJ137" s="1093"/>
      <c r="AK137" s="1093"/>
      <c r="AL137" s="1093"/>
      <c r="AM137" s="1093"/>
      <c r="AN137" s="1093"/>
      <c r="AO137" s="1093"/>
      <c r="AP137" s="1093"/>
      <c r="AQ137" s="1093"/>
      <c r="AR137" s="1093"/>
      <c r="AS137" s="1093"/>
      <c r="AT137" s="1093"/>
      <c r="AU137" s="1093"/>
      <c r="AV137" s="1093"/>
      <c r="AW137" s="1093"/>
      <c r="AX137" s="1093"/>
      <c r="AY137" s="1093"/>
      <c r="AZ137" s="1093"/>
      <c r="BA137" s="1093"/>
      <c r="BB137" s="1031"/>
      <c r="BC137" s="424"/>
      <c r="BD137" s="424"/>
      <c r="BE137" s="424"/>
    </row>
    <row r="138" spans="2:57" s="480" customFormat="1">
      <c r="B138" s="1079" t="s">
        <v>815</v>
      </c>
      <c r="C138" s="1080"/>
      <c r="D138" s="1080"/>
      <c r="E138" s="1081"/>
      <c r="F138" s="1081"/>
      <c r="G138" s="1081"/>
      <c r="H138" s="93"/>
      <c r="I138" s="1082"/>
      <c r="J138" s="1083"/>
      <c r="K138" s="1083">
        <f>IF(ISTEXT('BS Raw'!F11),('BS Raw'!F63-'BS Raw'!E63)/$B$1,'LT. Asset'!K136)</f>
        <v>0</v>
      </c>
      <c r="L138" s="1083">
        <f>IF(ISTEXT('BS Raw'!G11),('BS Raw'!G63-'BS Raw'!F63)/$B$1,'LT. Asset'!L136)</f>
        <v>0</v>
      </c>
      <c r="M138" s="1083">
        <f>IF(ISTEXT('BS Raw'!H11),('BS Raw'!H63-'BS Raw'!G63)/$B$1,'LT. Asset'!M136)</f>
        <v>0</v>
      </c>
      <c r="N138" s="1083">
        <f>IF(ISTEXT('BS Raw'!I11),('BS Raw'!I63-'BS Raw'!H63)/$B$1,'LT. Asset'!N136)</f>
        <v>0</v>
      </c>
      <c r="O138" s="1083">
        <f>IF(ISTEXT('BS Raw'!J11),('BS Raw'!J63-'BS Raw'!I63)/$B$1,'LT. Asset'!O136)</f>
        <v>0</v>
      </c>
      <c r="P138" s="2534">
        <f>IF(ISTEXT('BS Raw'!K11),('BS Raw'!K63-'BS Raw'!J63)/$B$1,'LT. Asset'!P136)</f>
        <v>0</v>
      </c>
      <c r="Q138" s="1084">
        <f>Q136</f>
        <v>0</v>
      </c>
      <c r="R138" s="1084">
        <f t="shared" ref="R138:Z138" si="115">R136</f>
        <v>0</v>
      </c>
      <c r="S138" s="1084">
        <f t="shared" si="115"/>
        <v>0</v>
      </c>
      <c r="T138" s="1084">
        <f t="shared" si="115"/>
        <v>0</v>
      </c>
      <c r="U138" s="1084">
        <f t="shared" si="115"/>
        <v>0</v>
      </c>
      <c r="V138" s="1084">
        <f t="shared" si="115"/>
        <v>0</v>
      </c>
      <c r="W138" s="1084">
        <f t="shared" si="115"/>
        <v>0</v>
      </c>
      <c r="X138" s="1084">
        <f t="shared" si="115"/>
        <v>0</v>
      </c>
      <c r="Y138" s="1084">
        <f t="shared" si="115"/>
        <v>0</v>
      </c>
      <c r="Z138" s="1084">
        <f t="shared" si="115"/>
        <v>0</v>
      </c>
      <c r="AA138" s="1084"/>
      <c r="AB138" s="1084"/>
      <c r="AC138" s="1084"/>
      <c r="AD138" s="1084"/>
      <c r="AE138" s="1084"/>
      <c r="AF138" s="1084"/>
      <c r="AG138" s="1084"/>
      <c r="AH138" s="1084"/>
      <c r="AI138" s="1084"/>
      <c r="AJ138" s="1084"/>
      <c r="AK138" s="1084"/>
      <c r="AL138" s="1084"/>
      <c r="AM138" s="1084"/>
      <c r="AN138" s="1084"/>
      <c r="AO138" s="1084"/>
      <c r="AP138" s="1084"/>
      <c r="AQ138" s="1084"/>
      <c r="AR138" s="1084"/>
      <c r="AS138" s="1084"/>
      <c r="AT138" s="1084"/>
      <c r="AU138" s="1084"/>
      <c r="AV138" s="1084"/>
      <c r="AW138" s="1084"/>
      <c r="AX138" s="1084"/>
      <c r="AY138" s="1084"/>
      <c r="AZ138" s="1084"/>
      <c r="BA138" s="1054"/>
      <c r="BB138" s="1031"/>
      <c r="BC138" s="424"/>
      <c r="BD138" s="424"/>
      <c r="BE138" s="424"/>
    </row>
    <row r="139" spans="2:57" s="480" customFormat="1">
      <c r="B139" s="1079"/>
      <c r="C139" s="1080"/>
      <c r="D139" s="1080"/>
      <c r="E139" s="1081"/>
      <c r="F139" s="1081"/>
      <c r="G139" s="1081"/>
      <c r="H139" s="93"/>
      <c r="I139" s="1082"/>
      <c r="J139" s="1082"/>
      <c r="K139" s="1082"/>
      <c r="L139" s="1082"/>
      <c r="M139" s="1082"/>
      <c r="N139" s="1082"/>
      <c r="O139" s="1082"/>
      <c r="P139" s="1115"/>
      <c r="Q139" s="1054"/>
      <c r="R139" s="1054"/>
      <c r="S139" s="1054"/>
      <c r="T139" s="1054"/>
      <c r="U139" s="1054"/>
      <c r="V139" s="1054"/>
      <c r="W139" s="1054"/>
      <c r="X139" s="1054"/>
      <c r="Y139" s="1054"/>
      <c r="Z139" s="1054"/>
      <c r="AA139" s="1054"/>
      <c r="AB139" s="1054"/>
      <c r="AC139" s="1054"/>
      <c r="AD139" s="1054"/>
      <c r="AE139" s="1054"/>
      <c r="AF139" s="1054"/>
      <c r="AG139" s="1054"/>
      <c r="AH139" s="1054"/>
      <c r="AI139" s="1054"/>
      <c r="AJ139" s="1054"/>
      <c r="AK139" s="1054"/>
      <c r="AL139" s="1054"/>
      <c r="AM139" s="1054"/>
      <c r="AN139" s="1054"/>
      <c r="AO139" s="1054"/>
      <c r="AP139" s="1054"/>
      <c r="AQ139" s="1054"/>
      <c r="AR139" s="1054"/>
      <c r="AS139" s="1054"/>
      <c r="AT139" s="1054"/>
      <c r="AU139" s="1054"/>
      <c r="AV139" s="1054"/>
      <c r="AW139" s="1054"/>
      <c r="AX139" s="1054"/>
      <c r="AY139" s="1054"/>
      <c r="AZ139" s="1054"/>
      <c r="BA139" s="1054"/>
      <c r="BB139" s="1031"/>
      <c r="BC139" s="424"/>
      <c r="BD139" s="424"/>
      <c r="BE139" s="424"/>
    </row>
    <row r="140" spans="2:57" s="480" customFormat="1">
      <c r="B140" s="1116" t="s">
        <v>807</v>
      </c>
      <c r="C140" s="1095"/>
      <c r="D140" s="1095"/>
      <c r="E140" s="110"/>
      <c r="F140" s="110"/>
      <c r="G140" s="110"/>
      <c r="H140" s="110"/>
      <c r="I140" s="1096"/>
      <c r="J140" s="1097"/>
      <c r="K140" s="1097">
        <f>SUM(K135,K138)</f>
        <v>0</v>
      </c>
      <c r="L140" s="1097">
        <f t="shared" ref="L140:Z140" si="116">SUM(L135,L138)</f>
        <v>0</v>
      </c>
      <c r="M140" s="1097">
        <f t="shared" si="116"/>
        <v>0</v>
      </c>
      <c r="N140" s="1097">
        <f t="shared" si="116"/>
        <v>0</v>
      </c>
      <c r="O140" s="1097">
        <f t="shared" si="116"/>
        <v>0</v>
      </c>
      <c r="P140" s="2535">
        <f t="shared" si="116"/>
        <v>0</v>
      </c>
      <c r="Q140" s="2524">
        <f t="shared" si="116"/>
        <v>0</v>
      </c>
      <c r="R140" s="2524">
        <f t="shared" si="116"/>
        <v>0</v>
      </c>
      <c r="S140" s="2524">
        <f t="shared" si="116"/>
        <v>0</v>
      </c>
      <c r="T140" s="2524">
        <f t="shared" si="116"/>
        <v>0</v>
      </c>
      <c r="U140" s="2524">
        <f t="shared" si="116"/>
        <v>0</v>
      </c>
      <c r="V140" s="2524">
        <f t="shared" si="116"/>
        <v>0</v>
      </c>
      <c r="W140" s="2524">
        <f t="shared" si="116"/>
        <v>0</v>
      </c>
      <c r="X140" s="2524">
        <f t="shared" si="116"/>
        <v>0</v>
      </c>
      <c r="Y140" s="2524">
        <f t="shared" si="116"/>
        <v>0</v>
      </c>
      <c r="Z140" s="2524">
        <f t="shared" si="116"/>
        <v>0</v>
      </c>
      <c r="AA140" s="1098"/>
      <c r="AB140" s="1098"/>
      <c r="AC140" s="1098"/>
      <c r="AD140" s="1098"/>
      <c r="AE140" s="1098"/>
      <c r="AF140" s="1098"/>
      <c r="AG140" s="1098"/>
      <c r="AH140" s="1098"/>
      <c r="AI140" s="1098"/>
      <c r="AJ140" s="1098"/>
      <c r="AK140" s="1098"/>
      <c r="AL140" s="1098"/>
      <c r="AM140" s="1098"/>
      <c r="AN140" s="1098"/>
      <c r="AO140" s="1098"/>
      <c r="AP140" s="1098"/>
      <c r="AQ140" s="1098"/>
      <c r="AR140" s="1098"/>
      <c r="AS140" s="1098"/>
      <c r="AT140" s="1098"/>
      <c r="AU140" s="1098"/>
      <c r="AV140" s="1098"/>
      <c r="AW140" s="1098"/>
      <c r="AX140" s="1098"/>
      <c r="AY140" s="1098"/>
      <c r="AZ140" s="1098"/>
      <c r="BA140" s="1098"/>
      <c r="BB140" s="1051"/>
      <c r="BC140" s="424"/>
      <c r="BD140" s="424"/>
      <c r="BE140" s="424"/>
    </row>
    <row r="141" spans="2:57" s="480" customFormat="1">
      <c r="B141" s="1117" t="s">
        <v>808</v>
      </c>
      <c r="C141" s="1080"/>
      <c r="D141" s="1080"/>
      <c r="E141" s="93"/>
      <c r="F141" s="93"/>
      <c r="G141" s="93"/>
      <c r="H141" s="93"/>
      <c r="I141" s="1082"/>
      <c r="J141" s="1083"/>
      <c r="K141" s="1083">
        <f>K125-K135</f>
        <v>0</v>
      </c>
      <c r="L141" s="1083">
        <f t="shared" ref="L141:Z141" si="117">L125-L135</f>
        <v>0</v>
      </c>
      <c r="M141" s="1083">
        <f t="shared" si="117"/>
        <v>0</v>
      </c>
      <c r="N141" s="1083">
        <f t="shared" si="117"/>
        <v>0</v>
      </c>
      <c r="O141" s="1083">
        <f t="shared" si="117"/>
        <v>0</v>
      </c>
      <c r="P141" s="2534">
        <f t="shared" si="117"/>
        <v>0</v>
      </c>
      <c r="Q141" s="2523">
        <f t="shared" si="117"/>
        <v>0</v>
      </c>
      <c r="R141" s="2523">
        <f t="shared" si="117"/>
        <v>0</v>
      </c>
      <c r="S141" s="2523">
        <f t="shared" si="117"/>
        <v>0</v>
      </c>
      <c r="T141" s="2523">
        <f t="shared" si="117"/>
        <v>0</v>
      </c>
      <c r="U141" s="2523">
        <f t="shared" si="117"/>
        <v>0</v>
      </c>
      <c r="V141" s="2523">
        <f t="shared" si="117"/>
        <v>0</v>
      </c>
      <c r="W141" s="2523">
        <f t="shared" si="117"/>
        <v>0</v>
      </c>
      <c r="X141" s="2523">
        <f t="shared" si="117"/>
        <v>0</v>
      </c>
      <c r="Y141" s="2523">
        <f t="shared" si="117"/>
        <v>0</v>
      </c>
      <c r="Z141" s="2523">
        <f t="shared" si="117"/>
        <v>0</v>
      </c>
      <c r="AA141" s="1084"/>
      <c r="AB141" s="1084"/>
      <c r="AC141" s="1084"/>
      <c r="AD141" s="1084"/>
      <c r="AE141" s="1084"/>
      <c r="AF141" s="1084"/>
      <c r="AG141" s="1084"/>
      <c r="AH141" s="1084"/>
      <c r="AI141" s="1084"/>
      <c r="AJ141" s="1084"/>
      <c r="AK141" s="1084"/>
      <c r="AL141" s="1084"/>
      <c r="AM141" s="1084"/>
      <c r="AN141" s="1084"/>
      <c r="AO141" s="1084"/>
      <c r="AP141" s="1084"/>
      <c r="AQ141" s="1084"/>
      <c r="AR141" s="1084"/>
      <c r="AS141" s="1084"/>
      <c r="AT141" s="1084"/>
      <c r="AU141" s="1084"/>
      <c r="AV141" s="1084"/>
      <c r="AW141" s="1084"/>
      <c r="AX141" s="1084"/>
      <c r="AY141" s="1084"/>
      <c r="AZ141" s="1084"/>
      <c r="BA141" s="1084"/>
      <c r="BB141" s="1031"/>
      <c r="BC141" s="424"/>
      <c r="BD141" s="424"/>
      <c r="BE141" s="424"/>
    </row>
    <row r="142" spans="2:57" s="480" customFormat="1">
      <c r="B142" s="1117" t="s">
        <v>787</v>
      </c>
      <c r="C142" s="1080"/>
      <c r="D142" s="1080"/>
      <c r="E142" s="93"/>
      <c r="F142" s="93"/>
      <c r="G142" s="93"/>
      <c r="H142" s="93"/>
      <c r="I142" s="1082"/>
      <c r="J142" s="1083"/>
      <c r="K142" s="1083">
        <f>K130-K140</f>
        <v>0</v>
      </c>
      <c r="L142" s="1083">
        <f t="shared" ref="L142:Z142" si="118">L130-L140</f>
        <v>0</v>
      </c>
      <c r="M142" s="1083">
        <f t="shared" si="118"/>
        <v>0</v>
      </c>
      <c r="N142" s="1083">
        <f t="shared" si="118"/>
        <v>0</v>
      </c>
      <c r="O142" s="1083">
        <f t="shared" si="118"/>
        <v>0</v>
      </c>
      <c r="P142" s="2534">
        <f t="shared" si="118"/>
        <v>0</v>
      </c>
      <c r="Q142" s="2523">
        <f t="shared" si="118"/>
        <v>0</v>
      </c>
      <c r="R142" s="2523">
        <f t="shared" si="118"/>
        <v>0</v>
      </c>
      <c r="S142" s="2523">
        <f t="shared" si="118"/>
        <v>0</v>
      </c>
      <c r="T142" s="2523">
        <f t="shared" si="118"/>
        <v>0</v>
      </c>
      <c r="U142" s="2523">
        <f t="shared" si="118"/>
        <v>0</v>
      </c>
      <c r="V142" s="2523">
        <f t="shared" si="118"/>
        <v>0</v>
      </c>
      <c r="W142" s="2523">
        <f t="shared" si="118"/>
        <v>0</v>
      </c>
      <c r="X142" s="2523">
        <f t="shared" si="118"/>
        <v>0</v>
      </c>
      <c r="Y142" s="2523">
        <f t="shared" si="118"/>
        <v>0</v>
      </c>
      <c r="Z142" s="2523">
        <f t="shared" si="118"/>
        <v>0</v>
      </c>
      <c r="AA142" s="1084"/>
      <c r="AB142" s="1084"/>
      <c r="AC142" s="1084"/>
      <c r="AD142" s="1084"/>
      <c r="AE142" s="1084"/>
      <c r="AF142" s="1084"/>
      <c r="AG142" s="1084"/>
      <c r="AH142" s="1084"/>
      <c r="AI142" s="1084"/>
      <c r="AJ142" s="1084"/>
      <c r="AK142" s="1084"/>
      <c r="AL142" s="1084"/>
      <c r="AM142" s="1084"/>
      <c r="AN142" s="1084"/>
      <c r="AO142" s="1084"/>
      <c r="AP142" s="1084"/>
      <c r="AQ142" s="1084"/>
      <c r="AR142" s="1084"/>
      <c r="AS142" s="1084"/>
      <c r="AT142" s="1084"/>
      <c r="AU142" s="1084"/>
      <c r="AV142" s="1084"/>
      <c r="AW142" s="1084"/>
      <c r="AX142" s="1084"/>
      <c r="AY142" s="1084"/>
      <c r="AZ142" s="1084"/>
      <c r="BA142" s="1084"/>
      <c r="BB142" s="1031"/>
      <c r="BC142" s="424"/>
      <c r="BD142" s="424"/>
      <c r="BE142" s="424"/>
    </row>
    <row r="143" spans="2:57" s="420" customFormat="1">
      <c r="B143" s="1118" t="s">
        <v>809</v>
      </c>
      <c r="C143" s="1118"/>
      <c r="D143" s="1118"/>
      <c r="E143" s="1119"/>
      <c r="F143" s="1119"/>
      <c r="G143" s="1119"/>
      <c r="H143" s="1119"/>
      <c r="I143" s="1111"/>
      <c r="J143" s="1112"/>
      <c r="K143" s="1112">
        <f>IF(ISTEXT(Notes!F11),K142-'BS Raw'!F61/$B$1,"Chưa có BCTC")</f>
        <v>0</v>
      </c>
      <c r="L143" s="1112">
        <f>IF(ISTEXT(Notes!G11),L142-'BS Raw'!G61/$B$1,"Chưa có BCTC")</f>
        <v>0</v>
      </c>
      <c r="M143" s="1112">
        <f>IF(ISTEXT(Notes!H11),M142-'BS Raw'!H61/$B$1,"Chưa có BCTC")</f>
        <v>0</v>
      </c>
      <c r="N143" s="1112">
        <f>IF(ISTEXT(Notes!I11),N142-'BS Raw'!I61/$B$1,"Chưa có BCTC")</f>
        <v>0</v>
      </c>
      <c r="O143" s="1112">
        <f>IF(ISTEXT(Notes!J11),O142-'BS Raw'!J61/$B$1,"Chưa có BCTC")</f>
        <v>0</v>
      </c>
      <c r="P143" s="2536">
        <f>IF(ISTEXT(Notes!K11),P142-'BS Raw'!K61/$B$1,"Chưa có BCTC")</f>
        <v>0</v>
      </c>
      <c r="Q143" s="2525" t="str">
        <f>IF(ISTEXT(Notes!L11),Q142-'BS Raw'!L61/$B$1,"Chưa có BCTC")</f>
        <v>Chưa có BCTC</v>
      </c>
      <c r="R143" s="2525" t="str">
        <f>IF(ISTEXT(Notes!M11),R142-'BS Raw'!M61/$B$1,"Chưa có BCTC")</f>
        <v>Chưa có BCTC</v>
      </c>
      <c r="S143" s="2525" t="str">
        <f>IF(ISTEXT(Notes!N11),S142-'BS Raw'!N61/$B$1,"Chưa có BCTC")</f>
        <v>Chưa có BCTC</v>
      </c>
      <c r="T143" s="2525" t="str">
        <f>IF(ISTEXT(Notes!O11),T142-'BS Raw'!O61/$B$1,"Chưa có BCTC")</f>
        <v>Chưa có BCTC</v>
      </c>
      <c r="U143" s="2525" t="str">
        <f>IF(ISTEXT(Notes!P11),U142-'BS Raw'!P61/$B$1,"Chưa có BCTC")</f>
        <v>Chưa có BCTC</v>
      </c>
      <c r="V143" s="2525" t="str">
        <f>IF(ISTEXT(Notes!Q11),V142-'BS Raw'!Q61/$B$1,"Chưa có BCTC")</f>
        <v>Chưa có BCTC</v>
      </c>
      <c r="W143" s="2525" t="str">
        <f>IF(ISTEXT(Notes!R11),W142-'BS Raw'!R61/$B$1,"Chưa có BCTC")</f>
        <v>Chưa có BCTC</v>
      </c>
      <c r="X143" s="2525" t="str">
        <f>IF(ISTEXT(Notes!S11),X142-'BS Raw'!S61/$B$1,"Chưa có BCTC")</f>
        <v>Chưa có BCTC</v>
      </c>
      <c r="Y143" s="2525" t="str">
        <f>IF(ISTEXT(Notes!T11),Y142-'BS Raw'!T61/$B$1,"Chưa có BCTC")</f>
        <v>Chưa có BCTC</v>
      </c>
      <c r="Z143" s="2525" t="str">
        <f>IF(ISTEXT(Notes!U11),Z142-'BS Raw'!U61/$B$1,"Chưa có BCTC")</f>
        <v>Chưa có BCTC</v>
      </c>
      <c r="AA143" s="1112"/>
      <c r="AB143" s="1112"/>
      <c r="AC143" s="1112"/>
      <c r="AD143" s="1112"/>
      <c r="AE143" s="1112"/>
      <c r="AF143" s="1112"/>
      <c r="AG143" s="1112"/>
      <c r="AH143" s="1112"/>
      <c r="AI143" s="1112"/>
      <c r="AJ143" s="1112"/>
      <c r="AK143" s="1112"/>
      <c r="AL143" s="1112"/>
      <c r="AM143" s="1112"/>
      <c r="AN143" s="1112"/>
      <c r="AO143" s="1112"/>
      <c r="AP143" s="1112"/>
      <c r="AQ143" s="1112"/>
      <c r="AR143" s="1112"/>
      <c r="AS143" s="1112"/>
      <c r="AT143" s="1112"/>
      <c r="AU143" s="1112"/>
      <c r="AV143" s="1112"/>
      <c r="AW143" s="1112"/>
      <c r="AX143" s="1112"/>
      <c r="AY143" s="1112"/>
      <c r="AZ143" s="1111"/>
      <c r="BA143" s="1111"/>
      <c r="BB143" s="1121"/>
      <c r="BC143" s="1122"/>
      <c r="BD143" s="1122"/>
      <c r="BE143" s="1122"/>
    </row>
    <row r="144" spans="2:57" s="1100" customFormat="1" ht="24" customHeight="1">
      <c r="B144" s="1123" t="str">
        <f>"- Giá trị còn lại của tài sản đầu tư thêm năm "&amp;YEAR($P$3)</f>
        <v>- Giá trị còn lại của tài sản đầu tư thêm năm 2024</v>
      </c>
      <c r="C144" s="1101"/>
      <c r="D144" s="1101"/>
      <c r="E144" s="1102"/>
      <c r="F144" s="1102"/>
      <c r="G144" s="1102"/>
      <c r="H144" s="1102"/>
      <c r="I144" s="1103"/>
      <c r="J144" s="1103"/>
      <c r="K144" s="1103"/>
      <c r="L144" s="1103"/>
      <c r="M144" s="1103"/>
      <c r="N144" s="1103"/>
      <c r="O144" s="1103"/>
      <c r="P144" s="1143">
        <f>P142</f>
        <v>0</v>
      </c>
      <c r="Q144" s="1144">
        <f>P144-Q277</f>
        <v>0</v>
      </c>
      <c r="R144" s="1144">
        <f>Q144-R277</f>
        <v>0</v>
      </c>
      <c r="S144" s="1144">
        <f t="shared" ref="S144:Z144" si="119">R144-S277</f>
        <v>0</v>
      </c>
      <c r="T144" s="1144">
        <f t="shared" si="119"/>
        <v>0</v>
      </c>
      <c r="U144" s="1144">
        <f t="shared" si="119"/>
        <v>0</v>
      </c>
      <c r="V144" s="1144">
        <f t="shared" si="119"/>
        <v>0</v>
      </c>
      <c r="W144" s="1144">
        <f t="shared" si="119"/>
        <v>0</v>
      </c>
      <c r="X144" s="1144">
        <f t="shared" si="119"/>
        <v>0</v>
      </c>
      <c r="Y144" s="1144">
        <f t="shared" si="119"/>
        <v>0</v>
      </c>
      <c r="Z144" s="1144">
        <f t="shared" si="119"/>
        <v>0</v>
      </c>
      <c r="AA144" s="1144"/>
      <c r="AB144" s="1144"/>
      <c r="AC144" s="1144"/>
      <c r="AD144" s="1144"/>
      <c r="AE144" s="1144"/>
      <c r="AF144" s="1144"/>
      <c r="AG144" s="1144"/>
      <c r="AH144" s="1144"/>
      <c r="AI144" s="1144"/>
      <c r="AJ144" s="1144"/>
      <c r="AK144" s="1144"/>
      <c r="AL144" s="1144"/>
      <c r="AM144" s="1144"/>
      <c r="AN144" s="1144"/>
      <c r="AO144" s="1144"/>
      <c r="AP144" s="1144"/>
      <c r="AQ144" s="1144"/>
      <c r="AR144" s="1144"/>
      <c r="AS144" s="1144"/>
      <c r="AT144" s="1144"/>
      <c r="AU144" s="1144"/>
      <c r="AV144" s="1144"/>
      <c r="AW144" s="1144"/>
      <c r="AX144" s="1144"/>
      <c r="AY144" s="1144"/>
      <c r="AZ144" s="1144"/>
      <c r="BA144" s="1144"/>
      <c r="BB144" s="1107"/>
      <c r="BC144" s="1108"/>
      <c r="BD144" s="1108"/>
      <c r="BE144" s="1108"/>
    </row>
    <row r="145" spans="2:57" s="1100" customFormat="1" ht="24" customHeight="1">
      <c r="B145" s="1123" t="str">
        <f>"- Giá trị còn lại của tài sản đầu tư thêm năm "&amp;YEAR($P$3)+1</f>
        <v>- Giá trị còn lại của tài sản đầu tư thêm năm 2025</v>
      </c>
      <c r="C145" s="1101"/>
      <c r="D145" s="1101"/>
      <c r="E145" s="1102"/>
      <c r="F145" s="1102"/>
      <c r="G145" s="1102"/>
      <c r="H145" s="1102"/>
      <c r="I145" s="1103"/>
      <c r="J145" s="1103"/>
      <c r="K145" s="1103"/>
      <c r="L145" s="1103"/>
      <c r="M145" s="1103"/>
      <c r="N145" s="1103"/>
      <c r="O145" s="1103"/>
      <c r="P145" s="1114"/>
      <c r="Q145" s="1144">
        <f>Q128-Q278</f>
        <v>0</v>
      </c>
      <c r="R145" s="1144">
        <f>Q145-R278</f>
        <v>0</v>
      </c>
      <c r="S145" s="1144">
        <f t="shared" ref="S145:Z145" si="120">R145-S278</f>
        <v>0</v>
      </c>
      <c r="T145" s="1144">
        <f t="shared" si="120"/>
        <v>0</v>
      </c>
      <c r="U145" s="1144">
        <f t="shared" si="120"/>
        <v>0</v>
      </c>
      <c r="V145" s="1144">
        <f t="shared" si="120"/>
        <v>0</v>
      </c>
      <c r="W145" s="1144">
        <f t="shared" si="120"/>
        <v>0</v>
      </c>
      <c r="X145" s="1144">
        <f t="shared" si="120"/>
        <v>0</v>
      </c>
      <c r="Y145" s="1144">
        <f t="shared" si="120"/>
        <v>0</v>
      </c>
      <c r="Z145" s="1144">
        <f t="shared" si="120"/>
        <v>0</v>
      </c>
      <c r="AA145" s="1144"/>
      <c r="AB145" s="1144"/>
      <c r="AC145" s="1144"/>
      <c r="AD145" s="1144"/>
      <c r="AE145" s="1144"/>
      <c r="AF145" s="1144"/>
      <c r="AG145" s="1144"/>
      <c r="AH145" s="1144"/>
      <c r="AI145" s="1144"/>
      <c r="AJ145" s="1144"/>
      <c r="AK145" s="1144"/>
      <c r="AL145" s="1144"/>
      <c r="AM145" s="1144"/>
      <c r="AN145" s="1144"/>
      <c r="AO145" s="1144"/>
      <c r="AP145" s="1144"/>
      <c r="AQ145" s="1144"/>
      <c r="AR145" s="1144"/>
      <c r="AS145" s="1144"/>
      <c r="AT145" s="1144"/>
      <c r="AU145" s="1144"/>
      <c r="AV145" s="1144"/>
      <c r="AW145" s="1144"/>
      <c r="AX145" s="1144"/>
      <c r="AY145" s="1144"/>
      <c r="AZ145" s="1144"/>
      <c r="BA145" s="1144"/>
      <c r="BB145" s="1107"/>
      <c r="BC145" s="1108"/>
      <c r="BD145" s="1108"/>
      <c r="BE145" s="1108"/>
    </row>
    <row r="146" spans="2:57" s="1100" customFormat="1" ht="24.6" customHeight="1">
      <c r="B146" s="1123" t="str">
        <f>"- Giá trị còn lại của tài sản đầu tư thêm năm "&amp;YEAR($P$3)+2</f>
        <v>- Giá trị còn lại của tài sản đầu tư thêm năm 2026</v>
      </c>
      <c r="C146" s="1101"/>
      <c r="D146" s="1101"/>
      <c r="E146" s="1102"/>
      <c r="F146" s="1102"/>
      <c r="G146" s="1102"/>
      <c r="H146" s="1102"/>
      <c r="I146" s="1103"/>
      <c r="J146" s="1103"/>
      <c r="K146" s="1103"/>
      <c r="L146" s="1103"/>
      <c r="M146" s="1103"/>
      <c r="N146" s="1103"/>
      <c r="O146" s="1103"/>
      <c r="P146" s="1114"/>
      <c r="Q146" s="1106"/>
      <c r="R146" s="1144">
        <f>R128-R279</f>
        <v>0</v>
      </c>
      <c r="S146" s="1144">
        <f>R146-S279</f>
        <v>0</v>
      </c>
      <c r="T146" s="1144">
        <f t="shared" ref="T146:Z146" si="121">S146-T279</f>
        <v>0</v>
      </c>
      <c r="U146" s="1144">
        <f t="shared" si="121"/>
        <v>0</v>
      </c>
      <c r="V146" s="1144">
        <f t="shared" si="121"/>
        <v>0</v>
      </c>
      <c r="W146" s="1144">
        <f t="shared" si="121"/>
        <v>0</v>
      </c>
      <c r="X146" s="1144">
        <f t="shared" si="121"/>
        <v>0</v>
      </c>
      <c r="Y146" s="1144">
        <f t="shared" si="121"/>
        <v>0</v>
      </c>
      <c r="Z146" s="1144">
        <f t="shared" si="121"/>
        <v>0</v>
      </c>
      <c r="AA146" s="1144"/>
      <c r="AB146" s="1144"/>
      <c r="AC146" s="1144"/>
      <c r="AD146" s="1144"/>
      <c r="AE146" s="1144"/>
      <c r="AF146" s="1144"/>
      <c r="AG146" s="1144"/>
      <c r="AH146" s="1144"/>
      <c r="AI146" s="1144"/>
      <c r="AJ146" s="1144"/>
      <c r="AK146" s="1144"/>
      <c r="AL146" s="1144"/>
      <c r="AM146" s="1144"/>
      <c r="AN146" s="1144"/>
      <c r="AO146" s="1144"/>
      <c r="AP146" s="1144"/>
      <c r="AQ146" s="1144"/>
      <c r="AR146" s="1144"/>
      <c r="AS146" s="1144"/>
      <c r="AT146" s="1144"/>
      <c r="AU146" s="1144"/>
      <c r="AV146" s="1144"/>
      <c r="AW146" s="1144"/>
      <c r="AX146" s="1144"/>
      <c r="AY146" s="1144"/>
      <c r="AZ146" s="1144"/>
      <c r="BA146" s="1144"/>
      <c r="BB146" s="1107"/>
      <c r="BC146" s="1108"/>
      <c r="BD146" s="1108"/>
      <c r="BE146" s="1108"/>
    </row>
    <row r="147" spans="2:57" s="1100" customFormat="1" ht="25.95" customHeight="1">
      <c r="B147" s="1123" t="str">
        <f>"- Giá trị còn lại của tài sản đầu tư thêm năm "&amp;YEAR($P$3)+3</f>
        <v>- Giá trị còn lại của tài sản đầu tư thêm năm 2027</v>
      </c>
      <c r="C147" s="1101"/>
      <c r="D147" s="1101"/>
      <c r="E147" s="1102"/>
      <c r="F147" s="1102"/>
      <c r="G147" s="1102"/>
      <c r="H147" s="1102"/>
      <c r="I147" s="1103"/>
      <c r="J147" s="1103"/>
      <c r="K147" s="1103"/>
      <c r="L147" s="1103"/>
      <c r="M147" s="1103"/>
      <c r="N147" s="1103"/>
      <c r="O147" s="1103"/>
      <c r="P147" s="1114"/>
      <c r="Q147" s="1106"/>
      <c r="R147" s="1106"/>
      <c r="S147" s="1144">
        <f>S128-S280</f>
        <v>0</v>
      </c>
      <c r="T147" s="1144">
        <f>S147-T280</f>
        <v>0</v>
      </c>
      <c r="U147" s="1144">
        <f t="shared" ref="U147:Z147" si="122">T147-U280</f>
        <v>0</v>
      </c>
      <c r="V147" s="1144">
        <f t="shared" si="122"/>
        <v>0</v>
      </c>
      <c r="W147" s="1144">
        <f t="shared" si="122"/>
        <v>0</v>
      </c>
      <c r="X147" s="1144">
        <f t="shared" si="122"/>
        <v>0</v>
      </c>
      <c r="Y147" s="1144">
        <f t="shared" si="122"/>
        <v>0</v>
      </c>
      <c r="Z147" s="1144">
        <f t="shared" si="122"/>
        <v>0</v>
      </c>
      <c r="AA147" s="1144"/>
      <c r="AB147" s="1144"/>
      <c r="AC147" s="1144"/>
      <c r="AD147" s="1144"/>
      <c r="AE147" s="1144"/>
      <c r="AF147" s="1144"/>
      <c r="AG147" s="1144"/>
      <c r="AH147" s="1144"/>
      <c r="AI147" s="1144"/>
      <c r="AJ147" s="1144"/>
      <c r="AK147" s="1144"/>
      <c r="AL147" s="1144"/>
      <c r="AM147" s="1144"/>
      <c r="AN147" s="1144"/>
      <c r="AO147" s="1144"/>
      <c r="AP147" s="1144"/>
      <c r="AQ147" s="1144"/>
      <c r="AR147" s="1144"/>
      <c r="AS147" s="1144"/>
      <c r="AT147" s="1144"/>
      <c r="AU147" s="1144"/>
      <c r="AV147" s="1144"/>
      <c r="AW147" s="1144"/>
      <c r="AX147" s="1144"/>
      <c r="AY147" s="1144"/>
      <c r="AZ147" s="1144"/>
      <c r="BA147" s="1144"/>
      <c r="BB147" s="1107"/>
      <c r="BC147" s="1108"/>
      <c r="BD147" s="1108"/>
      <c r="BE147" s="1108"/>
    </row>
    <row r="148" spans="2:57" s="1100" customFormat="1" ht="28.95" customHeight="1">
      <c r="B148" s="1123" t="str">
        <f>"- Giá trị còn lại của tài sản đầu tư thêm năm "&amp;YEAR($P$3)+4</f>
        <v>- Giá trị còn lại của tài sản đầu tư thêm năm 2028</v>
      </c>
      <c r="C148" s="1101"/>
      <c r="D148" s="1101"/>
      <c r="E148" s="1102"/>
      <c r="F148" s="1102"/>
      <c r="G148" s="1102"/>
      <c r="H148" s="1102"/>
      <c r="I148" s="1103"/>
      <c r="J148" s="1103"/>
      <c r="K148" s="1103"/>
      <c r="L148" s="1103"/>
      <c r="M148" s="1103"/>
      <c r="N148" s="1103"/>
      <c r="O148" s="1103"/>
      <c r="P148" s="1114"/>
      <c r="Q148" s="1106"/>
      <c r="R148" s="1106"/>
      <c r="S148" s="1106"/>
      <c r="T148" s="1144">
        <f>T128-T281</f>
        <v>0</v>
      </c>
      <c r="U148" s="1144">
        <f>T148-U281</f>
        <v>0</v>
      </c>
      <c r="V148" s="1144">
        <f t="shared" ref="V148:Z148" si="123">U148-V281</f>
        <v>0</v>
      </c>
      <c r="W148" s="1144">
        <f t="shared" si="123"/>
        <v>0</v>
      </c>
      <c r="X148" s="1144">
        <f t="shared" si="123"/>
        <v>0</v>
      </c>
      <c r="Y148" s="1144">
        <f t="shared" si="123"/>
        <v>0</v>
      </c>
      <c r="Z148" s="1144">
        <f t="shared" si="123"/>
        <v>0</v>
      </c>
      <c r="AA148" s="1144"/>
      <c r="AB148" s="1144"/>
      <c r="AC148" s="1144"/>
      <c r="AD148" s="1144"/>
      <c r="AE148" s="1144"/>
      <c r="AF148" s="1144"/>
      <c r="AG148" s="1144"/>
      <c r="AH148" s="1144"/>
      <c r="AI148" s="1144"/>
      <c r="AJ148" s="1144"/>
      <c r="AK148" s="1144"/>
      <c r="AL148" s="1144"/>
      <c r="AM148" s="1144"/>
      <c r="AN148" s="1144"/>
      <c r="AO148" s="1144"/>
      <c r="AP148" s="1144"/>
      <c r="AQ148" s="1144"/>
      <c r="AR148" s="1144"/>
      <c r="AS148" s="1144"/>
      <c r="AT148" s="1144"/>
      <c r="AU148" s="1144"/>
      <c r="AV148" s="1144"/>
      <c r="AW148" s="1144"/>
      <c r="AX148" s="1144"/>
      <c r="AY148" s="1144"/>
      <c r="AZ148" s="1144"/>
      <c r="BA148" s="1144"/>
      <c r="BB148" s="1107"/>
      <c r="BC148" s="1108"/>
      <c r="BD148" s="1108"/>
      <c r="BE148" s="1108"/>
    </row>
    <row r="149" spans="2:57" s="1100" customFormat="1" ht="24.6" customHeight="1">
      <c r="B149" s="1123" t="str">
        <f>"- Giá trị còn lại của tài sản đầu tư thêm năm "&amp;YEAR($P$3)+5</f>
        <v>- Giá trị còn lại của tài sản đầu tư thêm năm 2029</v>
      </c>
      <c r="C149" s="1101"/>
      <c r="D149" s="1101"/>
      <c r="E149" s="1102"/>
      <c r="F149" s="1102"/>
      <c r="G149" s="1102"/>
      <c r="H149" s="1102"/>
      <c r="I149" s="1103"/>
      <c r="J149" s="1103"/>
      <c r="K149" s="1103"/>
      <c r="L149" s="1103"/>
      <c r="M149" s="1103"/>
      <c r="N149" s="1103"/>
      <c r="O149" s="1103"/>
      <c r="P149" s="1114"/>
      <c r="Q149" s="1106"/>
      <c r="R149" s="1106"/>
      <c r="S149" s="1106"/>
      <c r="T149" s="1106"/>
      <c r="U149" s="1144">
        <f>U128-U282</f>
        <v>0</v>
      </c>
      <c r="V149" s="1144">
        <f>U149-V282</f>
        <v>0</v>
      </c>
      <c r="W149" s="1144">
        <f t="shared" ref="W149:Z149" si="124">V149-W282</f>
        <v>0</v>
      </c>
      <c r="X149" s="1144">
        <f t="shared" si="124"/>
        <v>0</v>
      </c>
      <c r="Y149" s="1144">
        <f t="shared" si="124"/>
        <v>0</v>
      </c>
      <c r="Z149" s="1144">
        <f t="shared" si="124"/>
        <v>0</v>
      </c>
      <c r="AA149" s="1144"/>
      <c r="AB149" s="1144"/>
      <c r="AC149" s="1144"/>
      <c r="AD149" s="1144"/>
      <c r="AE149" s="1144"/>
      <c r="AF149" s="1144"/>
      <c r="AG149" s="1144"/>
      <c r="AH149" s="1144"/>
      <c r="AI149" s="1144"/>
      <c r="AJ149" s="1144"/>
      <c r="AK149" s="1144"/>
      <c r="AL149" s="1144"/>
      <c r="AM149" s="1144"/>
      <c r="AN149" s="1144"/>
      <c r="AO149" s="1144"/>
      <c r="AP149" s="1144"/>
      <c r="AQ149" s="1144"/>
      <c r="AR149" s="1144"/>
      <c r="AS149" s="1144"/>
      <c r="AT149" s="1144"/>
      <c r="AU149" s="1144"/>
      <c r="AV149" s="1144"/>
      <c r="AW149" s="1144"/>
      <c r="AX149" s="1144"/>
      <c r="AY149" s="1144"/>
      <c r="AZ149" s="1144"/>
      <c r="BA149" s="1144"/>
      <c r="BB149" s="1107"/>
      <c r="BC149" s="1108"/>
      <c r="BD149" s="1108"/>
      <c r="BE149" s="1108"/>
    </row>
    <row r="150" spans="2:57" s="1100" customFormat="1" ht="25.95" customHeight="1">
      <c r="B150" s="1123" t="str">
        <f>"- Giá trị còn lại của tài sản đầu tư thêm năm "&amp;YEAR($P$3)+6</f>
        <v>- Giá trị còn lại của tài sản đầu tư thêm năm 2030</v>
      </c>
      <c r="C150" s="1101"/>
      <c r="D150" s="1101"/>
      <c r="E150" s="1102"/>
      <c r="F150" s="1102"/>
      <c r="G150" s="1102"/>
      <c r="H150" s="1102"/>
      <c r="I150" s="1103"/>
      <c r="J150" s="1103"/>
      <c r="K150" s="1103"/>
      <c r="L150" s="1103"/>
      <c r="M150" s="1103"/>
      <c r="N150" s="1103"/>
      <c r="O150" s="1103"/>
      <c r="P150" s="1114"/>
      <c r="Q150" s="1106"/>
      <c r="R150" s="1106"/>
      <c r="S150" s="1106"/>
      <c r="T150" s="1106"/>
      <c r="U150" s="1106"/>
      <c r="V150" s="1144">
        <f>V128-V283</f>
        <v>0</v>
      </c>
      <c r="W150" s="1144">
        <f>V150-W283</f>
        <v>0</v>
      </c>
      <c r="X150" s="1144">
        <f>W150-X283</f>
        <v>0</v>
      </c>
      <c r="Y150" s="1144">
        <f>X150-Y283</f>
        <v>0</v>
      </c>
      <c r="Z150" s="1144">
        <f>Y150-Z283</f>
        <v>0</v>
      </c>
      <c r="AA150" s="1144"/>
      <c r="AB150" s="1144"/>
      <c r="AC150" s="1144"/>
      <c r="AD150" s="1144"/>
      <c r="AE150" s="1144"/>
      <c r="AF150" s="1144"/>
      <c r="AG150" s="1144"/>
      <c r="AH150" s="1144"/>
      <c r="AI150" s="1144"/>
      <c r="AJ150" s="1144"/>
      <c r="AK150" s="1144"/>
      <c r="AL150" s="1144"/>
      <c r="AM150" s="1144"/>
      <c r="AN150" s="1144"/>
      <c r="AO150" s="1144"/>
      <c r="AP150" s="1144"/>
      <c r="AQ150" s="1144"/>
      <c r="AR150" s="1144"/>
      <c r="AS150" s="1144"/>
      <c r="AT150" s="1144"/>
      <c r="AU150" s="1144"/>
      <c r="AV150" s="1144"/>
      <c r="AW150" s="1144"/>
      <c r="AX150" s="1144"/>
      <c r="AY150" s="1144"/>
      <c r="AZ150" s="1144"/>
      <c r="BA150" s="1144"/>
      <c r="BB150" s="1107"/>
      <c r="BC150" s="1108"/>
      <c r="BD150" s="1108"/>
      <c r="BE150" s="1108"/>
    </row>
    <row r="151" spans="2:57" s="1100" customFormat="1" ht="30" customHeight="1">
      <c r="B151" s="1123" t="str">
        <f>"- Giá trị còn lại của tài sản đầu tư thêm năm "&amp;YEAR($P$3)+7</f>
        <v>- Giá trị còn lại của tài sản đầu tư thêm năm 2031</v>
      </c>
      <c r="C151" s="1101"/>
      <c r="D151" s="1101"/>
      <c r="E151" s="1102"/>
      <c r="F151" s="1102"/>
      <c r="G151" s="1102"/>
      <c r="H151" s="1102"/>
      <c r="I151" s="1103"/>
      <c r="J151" s="1103"/>
      <c r="K151" s="1103"/>
      <c r="L151" s="1103"/>
      <c r="M151" s="1103"/>
      <c r="N151" s="1103"/>
      <c r="O151" s="1103"/>
      <c r="P151" s="1114"/>
      <c r="Q151" s="1106"/>
      <c r="R151" s="1106"/>
      <c r="S151" s="1106"/>
      <c r="T151" s="1106"/>
      <c r="U151" s="1106"/>
      <c r="V151" s="1106"/>
      <c r="W151" s="1144">
        <f>W128-W284</f>
        <v>0</v>
      </c>
      <c r="X151" s="1144">
        <f>W151-X284</f>
        <v>0</v>
      </c>
      <c r="Y151" s="1144">
        <f t="shared" ref="Y151:Z151" si="125">X151-Y284</f>
        <v>0</v>
      </c>
      <c r="Z151" s="1144">
        <f t="shared" si="125"/>
        <v>0</v>
      </c>
      <c r="AA151" s="1144"/>
      <c r="AB151" s="1144"/>
      <c r="AC151" s="1144"/>
      <c r="AD151" s="1144"/>
      <c r="AE151" s="1144"/>
      <c r="AF151" s="1144"/>
      <c r="AG151" s="1144"/>
      <c r="AH151" s="1144"/>
      <c r="AI151" s="1144"/>
      <c r="AJ151" s="1144"/>
      <c r="AK151" s="1144"/>
      <c r="AL151" s="1144"/>
      <c r="AM151" s="1144"/>
      <c r="AN151" s="1144"/>
      <c r="AO151" s="1144"/>
      <c r="AP151" s="1144"/>
      <c r="AQ151" s="1144"/>
      <c r="AR151" s="1144"/>
      <c r="AS151" s="1144"/>
      <c r="AT151" s="1144"/>
      <c r="AU151" s="1144"/>
      <c r="AV151" s="1144"/>
      <c r="AW151" s="1144"/>
      <c r="AX151" s="1144"/>
      <c r="AY151" s="1144"/>
      <c r="AZ151" s="1144"/>
      <c r="BA151" s="1144"/>
      <c r="BB151" s="1107"/>
      <c r="BC151" s="1108"/>
      <c r="BD151" s="1108"/>
      <c r="BE151" s="1108"/>
    </row>
    <row r="152" spans="2:57" s="1100" customFormat="1" ht="30.6" customHeight="1">
      <c r="B152" s="1123" t="str">
        <f>"- Giá trị còn lại của tài sản đầu tư thêm năm "&amp;YEAR($P$3)+8</f>
        <v>- Giá trị còn lại của tài sản đầu tư thêm năm 2032</v>
      </c>
      <c r="C152" s="1101"/>
      <c r="D152" s="1101"/>
      <c r="E152" s="1102"/>
      <c r="F152" s="1102"/>
      <c r="G152" s="1102"/>
      <c r="H152" s="1102"/>
      <c r="I152" s="1103"/>
      <c r="J152" s="1103"/>
      <c r="K152" s="1103"/>
      <c r="L152" s="1103"/>
      <c r="M152" s="1103"/>
      <c r="N152" s="1103"/>
      <c r="O152" s="1103"/>
      <c r="P152" s="1114"/>
      <c r="Q152" s="1106"/>
      <c r="R152" s="1106"/>
      <c r="S152" s="1106"/>
      <c r="T152" s="1106"/>
      <c r="U152" s="1106"/>
      <c r="V152" s="1106"/>
      <c r="W152" s="1106"/>
      <c r="X152" s="1144">
        <f>X128-X285</f>
        <v>0</v>
      </c>
      <c r="Y152" s="1144">
        <f>X152-Y285</f>
        <v>0</v>
      </c>
      <c r="Z152" s="1144">
        <f>Y152-Z285</f>
        <v>0</v>
      </c>
      <c r="AA152" s="1144"/>
      <c r="AB152" s="1144"/>
      <c r="AC152" s="1144"/>
      <c r="AD152" s="1144"/>
      <c r="AE152" s="1144"/>
      <c r="AF152" s="1144"/>
      <c r="AG152" s="1144"/>
      <c r="AH152" s="1144"/>
      <c r="AI152" s="1144"/>
      <c r="AJ152" s="1144"/>
      <c r="AK152" s="1144"/>
      <c r="AL152" s="1144"/>
      <c r="AM152" s="1144"/>
      <c r="AN152" s="1144"/>
      <c r="AO152" s="1144"/>
      <c r="AP152" s="1144"/>
      <c r="AQ152" s="1144"/>
      <c r="AR152" s="1144"/>
      <c r="AS152" s="1144"/>
      <c r="AT152" s="1144"/>
      <c r="AU152" s="1144"/>
      <c r="AV152" s="1144"/>
      <c r="AW152" s="1144"/>
      <c r="AX152" s="1144"/>
      <c r="AY152" s="1144"/>
      <c r="AZ152" s="1144"/>
      <c r="BA152" s="1144"/>
      <c r="BB152" s="1107"/>
      <c r="BC152" s="1108"/>
      <c r="BD152" s="1108"/>
      <c r="BE152" s="1108"/>
    </row>
    <row r="153" spans="2:57" s="1100" customFormat="1" ht="30.6" customHeight="1">
      <c r="B153" s="1123" t="str">
        <f>"- Giá trị còn lại của tài sản đầu tư thêm năm "&amp;YEAR($P$3)+9</f>
        <v>- Giá trị còn lại của tài sản đầu tư thêm năm 2033</v>
      </c>
      <c r="C153" s="1101"/>
      <c r="D153" s="1101"/>
      <c r="E153" s="1102"/>
      <c r="F153" s="1102"/>
      <c r="G153" s="1102"/>
      <c r="H153" s="1102"/>
      <c r="I153" s="1103"/>
      <c r="J153" s="1103"/>
      <c r="K153" s="1103"/>
      <c r="L153" s="1103"/>
      <c r="M153" s="1103"/>
      <c r="N153" s="1103"/>
      <c r="O153" s="1103"/>
      <c r="P153" s="1114"/>
      <c r="Q153" s="1106"/>
      <c r="R153" s="1106"/>
      <c r="S153" s="1106"/>
      <c r="T153" s="1106"/>
      <c r="U153" s="1106"/>
      <c r="V153" s="1106"/>
      <c r="W153" s="1106"/>
      <c r="X153" s="1106"/>
      <c r="Y153" s="1144">
        <f>Y128-Y286</f>
        <v>0</v>
      </c>
      <c r="Z153" s="1144">
        <f>Y153-Z286</f>
        <v>0</v>
      </c>
      <c r="AA153" s="1144"/>
      <c r="AB153" s="1144"/>
      <c r="AC153" s="1144"/>
      <c r="AD153" s="1144"/>
      <c r="AE153" s="1144"/>
      <c r="AF153" s="1144"/>
      <c r="AG153" s="1144"/>
      <c r="AH153" s="1144"/>
      <c r="AI153" s="1144"/>
      <c r="AJ153" s="1144"/>
      <c r="AK153" s="1144"/>
      <c r="AL153" s="1144"/>
      <c r="AM153" s="1144"/>
      <c r="AN153" s="1144"/>
      <c r="AO153" s="1144"/>
      <c r="AP153" s="1144"/>
      <c r="AQ153" s="1144"/>
      <c r="AR153" s="1144"/>
      <c r="AS153" s="1144"/>
      <c r="AT153" s="1144"/>
      <c r="AU153" s="1144"/>
      <c r="AV153" s="1144"/>
      <c r="AW153" s="1144"/>
      <c r="AX153" s="1144"/>
      <c r="AY153" s="1144"/>
      <c r="AZ153" s="1144"/>
      <c r="BA153" s="1144"/>
      <c r="BB153" s="1107"/>
      <c r="BC153" s="1108"/>
      <c r="BD153" s="1108"/>
      <c r="BE153" s="1108"/>
    </row>
    <row r="154" spans="2:57" s="1100" customFormat="1" ht="32.4" customHeight="1">
      <c r="B154" s="1123" t="str">
        <f>"- Giá trị còn lại của tài sản đầu tư thêm năm "&amp;YEAR($P$3)+10</f>
        <v>- Giá trị còn lại của tài sản đầu tư thêm năm 2034</v>
      </c>
      <c r="C154" s="1101"/>
      <c r="D154" s="1101"/>
      <c r="E154" s="1102"/>
      <c r="F154" s="1102"/>
      <c r="G154" s="1102"/>
      <c r="H154" s="1102"/>
      <c r="I154" s="1103"/>
      <c r="J154" s="1103"/>
      <c r="K154" s="1103"/>
      <c r="L154" s="1103"/>
      <c r="M154" s="1103"/>
      <c r="N154" s="1103"/>
      <c r="O154" s="1103"/>
      <c r="P154" s="1114"/>
      <c r="Q154" s="1106"/>
      <c r="R154" s="1106"/>
      <c r="S154" s="1106"/>
      <c r="T154" s="1106"/>
      <c r="U154" s="1106"/>
      <c r="V154" s="1106"/>
      <c r="W154" s="1106"/>
      <c r="X154" s="1106"/>
      <c r="Y154" s="1106"/>
      <c r="Z154" s="1144">
        <f>Z128-Z287</f>
        <v>0</v>
      </c>
      <c r="AA154" s="1144"/>
      <c r="AB154" s="1144"/>
      <c r="AC154" s="1144"/>
      <c r="AD154" s="1144"/>
      <c r="AE154" s="1144"/>
      <c r="AF154" s="1144"/>
      <c r="AG154" s="1144"/>
      <c r="AH154" s="1144"/>
      <c r="AI154" s="1144"/>
      <c r="AJ154" s="1144"/>
      <c r="AK154" s="1144"/>
      <c r="AL154" s="1144"/>
      <c r="AM154" s="1144"/>
      <c r="AN154" s="1144"/>
      <c r="AO154" s="1144"/>
      <c r="AP154" s="1144"/>
      <c r="AQ154" s="1144"/>
      <c r="AR154" s="1144"/>
      <c r="AS154" s="1144"/>
      <c r="AT154" s="1144"/>
      <c r="AU154" s="1144"/>
      <c r="AV154" s="1144"/>
      <c r="AW154" s="1144"/>
      <c r="AX154" s="1144"/>
      <c r="AY154" s="1144"/>
      <c r="AZ154" s="1144"/>
      <c r="BA154" s="1144"/>
      <c r="BB154" s="1107"/>
      <c r="BC154" s="1108"/>
      <c r="BD154" s="1108"/>
      <c r="BE154" s="1108"/>
    </row>
    <row r="155" spans="2:57" s="1100" customFormat="1" ht="32.4" customHeight="1">
      <c r="B155" s="1123" t="str">
        <f>"- Giá trị còn lại của tài sản đầu tư thêm năm "&amp;YEAR($P$3)+11</f>
        <v>- Giá trị còn lại của tài sản đầu tư thêm năm 2035</v>
      </c>
      <c r="C155" s="1101"/>
      <c r="D155" s="1101"/>
      <c r="E155" s="1102"/>
      <c r="F155" s="1102"/>
      <c r="G155" s="1102"/>
      <c r="H155" s="1102"/>
      <c r="I155" s="1103"/>
      <c r="J155" s="1103"/>
      <c r="K155" s="1103"/>
      <c r="L155" s="1103"/>
      <c r="M155" s="1103"/>
      <c r="N155" s="1103"/>
      <c r="O155" s="1103"/>
      <c r="P155" s="1114"/>
      <c r="Q155" s="1106"/>
      <c r="R155" s="1106"/>
      <c r="S155" s="1106"/>
      <c r="T155" s="1106"/>
      <c r="U155" s="1106"/>
      <c r="V155" s="1106"/>
      <c r="W155" s="1106"/>
      <c r="X155" s="1106"/>
      <c r="Y155" s="1106"/>
      <c r="Z155" s="1106"/>
      <c r="AA155" s="1144"/>
      <c r="AB155" s="1144"/>
      <c r="AC155" s="1144"/>
      <c r="AD155" s="1144"/>
      <c r="AE155" s="1144"/>
      <c r="AF155" s="1144"/>
      <c r="AG155" s="1144"/>
      <c r="AH155" s="1144"/>
      <c r="AI155" s="1144"/>
      <c r="AJ155" s="1144"/>
      <c r="AK155" s="1144"/>
      <c r="AL155" s="1144"/>
      <c r="AM155" s="1144"/>
      <c r="AN155" s="1144"/>
      <c r="AO155" s="1144"/>
      <c r="AP155" s="1144"/>
      <c r="AQ155" s="1144"/>
      <c r="AR155" s="1144"/>
      <c r="AS155" s="1144"/>
      <c r="AT155" s="1144"/>
      <c r="AU155" s="1144"/>
      <c r="AV155" s="1144"/>
      <c r="AW155" s="1144"/>
      <c r="AX155" s="1144"/>
      <c r="AY155" s="1144"/>
      <c r="AZ155" s="1144"/>
      <c r="BA155" s="1144"/>
      <c r="BB155" s="1107"/>
      <c r="BC155" s="1108"/>
      <c r="BD155" s="1108"/>
      <c r="BE155" s="1108"/>
    </row>
    <row r="156" spans="2:57">
      <c r="E156" s="1155"/>
      <c r="F156" s="1155"/>
      <c r="G156" s="1155"/>
      <c r="H156" s="1155"/>
      <c r="I156" s="1155"/>
      <c r="J156" s="1155"/>
      <c r="K156" s="1155"/>
      <c r="L156" s="1155"/>
      <c r="M156" s="1155"/>
      <c r="N156" s="1155"/>
      <c r="O156" s="1155"/>
      <c r="P156" s="1156"/>
      <c r="Q156" s="1155"/>
      <c r="R156" s="1155"/>
      <c r="S156" s="1155"/>
      <c r="T156" s="1155"/>
      <c r="U156" s="1155"/>
      <c r="V156" s="1155"/>
      <c r="W156" s="1155"/>
      <c r="X156" s="1155"/>
      <c r="Y156" s="1155"/>
      <c r="Z156" s="1155"/>
      <c r="AA156" s="1155"/>
      <c r="AB156" s="1155"/>
      <c r="AC156" s="1155"/>
      <c r="AD156" s="1155"/>
      <c r="AE156" s="1155"/>
      <c r="AF156" s="1155"/>
      <c r="AG156" s="1155"/>
      <c r="AH156" s="1155"/>
      <c r="AI156" s="1155"/>
      <c r="AJ156" s="1155"/>
      <c r="AK156" s="1155"/>
      <c r="AL156" s="1155"/>
      <c r="AM156" s="1155"/>
      <c r="AN156" s="1155"/>
      <c r="AO156" s="1155"/>
      <c r="AP156" s="1155"/>
      <c r="AQ156" s="1155"/>
      <c r="AR156" s="1155"/>
      <c r="AS156" s="1155"/>
      <c r="AT156" s="1155"/>
      <c r="AU156" s="1155"/>
      <c r="AV156" s="1155"/>
      <c r="AW156" s="1155"/>
      <c r="AX156" s="1155"/>
      <c r="AY156" s="1155"/>
      <c r="AZ156" s="1155"/>
      <c r="BA156" s="1155"/>
    </row>
    <row r="157" spans="2:57" s="480" customFormat="1">
      <c r="B157" s="1157" t="s">
        <v>816</v>
      </c>
      <c r="C157" s="1068"/>
      <c r="D157" s="1068"/>
      <c r="E157" s="1076"/>
      <c r="F157" s="1076"/>
      <c r="G157" s="1076"/>
      <c r="H157" s="1158"/>
      <c r="I157" s="1158"/>
      <c r="J157" s="1158"/>
      <c r="K157" s="1158"/>
      <c r="L157" s="1158"/>
      <c r="M157" s="1158"/>
      <c r="N157" s="1158"/>
      <c r="O157" s="1158"/>
      <c r="P157" s="1159"/>
      <c r="Q157" s="93"/>
      <c r="R157" s="93"/>
      <c r="S157" s="93"/>
      <c r="T157" s="93"/>
      <c r="U157" s="93"/>
      <c r="V157" s="93"/>
      <c r="W157" s="93"/>
      <c r="X157" s="93"/>
      <c r="Y157" s="93"/>
      <c r="Z157" s="93"/>
      <c r="AA157" s="93"/>
      <c r="AB157" s="93"/>
      <c r="AC157" s="93"/>
      <c r="AD157" s="93"/>
      <c r="AE157" s="93"/>
      <c r="AF157" s="93"/>
      <c r="AG157" s="93"/>
      <c r="AH157" s="93"/>
      <c r="AI157" s="93"/>
      <c r="AJ157" s="93"/>
      <c r="AK157" s="93"/>
      <c r="AL157" s="93"/>
      <c r="AM157" s="93"/>
      <c r="AN157" s="93"/>
      <c r="AO157" s="93"/>
      <c r="AP157" s="93"/>
      <c r="AQ157" s="93"/>
      <c r="AR157" s="93"/>
      <c r="AS157" s="93"/>
      <c r="AT157" s="93"/>
      <c r="AU157" s="93"/>
      <c r="AV157" s="93"/>
      <c r="AW157" s="93"/>
      <c r="AX157" s="93"/>
      <c r="AY157" s="93"/>
      <c r="AZ157" s="93"/>
      <c r="BA157" s="93"/>
      <c r="BB157" s="1031"/>
      <c r="BC157" s="424"/>
      <c r="BD157" s="424"/>
      <c r="BE157" s="424"/>
    </row>
    <row r="158" spans="2:57" s="1050" customFormat="1">
      <c r="B158" s="1160"/>
      <c r="C158" s="1068"/>
      <c r="D158" s="1068"/>
      <c r="E158" s="1076"/>
      <c r="F158" s="1076"/>
      <c r="G158" s="1076"/>
      <c r="H158" s="126"/>
      <c r="I158" s="126"/>
      <c r="J158" s="126"/>
      <c r="K158" s="126"/>
      <c r="L158" s="126"/>
      <c r="M158" s="126"/>
      <c r="N158" s="126"/>
      <c r="O158" s="126"/>
      <c r="P158" s="1161"/>
      <c r="Q158" s="126"/>
      <c r="R158" s="126"/>
      <c r="S158" s="126"/>
      <c r="T158" s="126"/>
      <c r="U158" s="126"/>
      <c r="V158" s="126"/>
      <c r="W158" s="126"/>
      <c r="X158" s="126"/>
      <c r="Y158" s="126"/>
      <c r="Z158" s="126"/>
      <c r="AA158" s="126"/>
      <c r="AB158" s="126"/>
      <c r="AC158" s="126"/>
      <c r="AD158" s="126"/>
      <c r="AE158" s="126"/>
      <c r="AF158" s="126"/>
      <c r="AG158" s="126"/>
      <c r="AH158" s="126"/>
      <c r="AI158" s="126"/>
      <c r="AJ158" s="126"/>
      <c r="AK158" s="126"/>
      <c r="AL158" s="126"/>
      <c r="AM158" s="126"/>
      <c r="AN158" s="126"/>
      <c r="AO158" s="126"/>
      <c r="AP158" s="126"/>
      <c r="AQ158" s="126"/>
      <c r="AR158" s="126"/>
      <c r="AS158" s="126"/>
      <c r="AT158" s="126"/>
      <c r="AU158" s="126"/>
      <c r="AV158" s="126"/>
      <c r="AW158" s="126"/>
      <c r="AX158" s="126"/>
      <c r="AY158" s="126"/>
      <c r="AZ158" s="126"/>
      <c r="BA158" s="126"/>
      <c r="BB158" s="1051"/>
      <c r="BC158" s="1162"/>
      <c r="BD158" s="1162"/>
      <c r="BE158" s="1162"/>
    </row>
    <row r="159" spans="2:57" s="480" customFormat="1">
      <c r="B159" s="1163" t="s">
        <v>817</v>
      </c>
      <c r="C159" s="1068"/>
      <c r="D159" s="1068"/>
      <c r="E159" s="1076"/>
      <c r="F159" s="1076"/>
      <c r="G159" s="1076"/>
      <c r="H159" s="126"/>
      <c r="I159" s="126"/>
      <c r="J159" s="126"/>
      <c r="K159" s="126"/>
      <c r="L159" s="126"/>
      <c r="M159" s="126"/>
      <c r="N159" s="126"/>
      <c r="O159" s="126"/>
      <c r="P159" s="1161"/>
      <c r="Q159" s="126"/>
      <c r="R159" s="126"/>
      <c r="S159" s="126"/>
      <c r="T159" s="126"/>
      <c r="U159" s="126"/>
      <c r="V159" s="126"/>
      <c r="W159" s="126"/>
      <c r="X159" s="126"/>
      <c r="Y159" s="126"/>
      <c r="Z159" s="126"/>
      <c r="AA159" s="126"/>
      <c r="AB159" s="126"/>
      <c r="AC159" s="126"/>
      <c r="AD159" s="126"/>
      <c r="AE159" s="126"/>
      <c r="AF159" s="126"/>
      <c r="AG159" s="126"/>
      <c r="AH159" s="126"/>
      <c r="AI159" s="126"/>
      <c r="AJ159" s="126"/>
      <c r="AK159" s="126"/>
      <c r="AL159" s="126"/>
      <c r="AM159" s="126"/>
      <c r="AN159" s="126"/>
      <c r="AO159" s="126"/>
      <c r="AP159" s="126"/>
      <c r="AQ159" s="126"/>
      <c r="AR159" s="126"/>
      <c r="AS159" s="126"/>
      <c r="AT159" s="126"/>
      <c r="AU159" s="126"/>
      <c r="AV159" s="126"/>
      <c r="AW159" s="126"/>
      <c r="AX159" s="126"/>
      <c r="AY159" s="126"/>
      <c r="AZ159" s="126"/>
      <c r="BA159" s="126"/>
      <c r="BB159" s="1051"/>
      <c r="BC159" s="424"/>
      <c r="BD159" s="424"/>
      <c r="BE159" s="424"/>
    </row>
    <row r="160" spans="2:57" s="480" customFormat="1">
      <c r="B160" s="1164" t="s">
        <v>818</v>
      </c>
      <c r="C160" s="1080"/>
      <c r="D160" s="1080"/>
      <c r="E160" s="1081"/>
      <c r="F160" s="1081"/>
      <c r="G160" s="1081"/>
      <c r="H160" s="93"/>
      <c r="I160" s="1082"/>
      <c r="J160" s="1083"/>
      <c r="K160" s="1083">
        <f>'BS Raw'!E64</f>
        <v>346.37435172800002</v>
      </c>
      <c r="L160" s="1083">
        <f>'BS Raw'!F64</f>
        <v>698.50608688499995</v>
      </c>
      <c r="M160" s="1083">
        <f>'BS Raw'!G64</f>
        <v>760.95529727300004</v>
      </c>
      <c r="N160" s="1083">
        <f>'BS Raw'!H64</f>
        <v>66.117926734999998</v>
      </c>
      <c r="O160" s="1083">
        <f>'BS Raw'!I64</f>
        <v>33.176188396000001</v>
      </c>
      <c r="P160" s="2534">
        <f>'BS Raw'!J64</f>
        <v>88.189941648000001</v>
      </c>
      <c r="Q160" s="1084">
        <f>P164</f>
        <v>601.16557409799998</v>
      </c>
      <c r="R160" s="1084">
        <f t="shared" ref="R160:Z160" si="126">Q164</f>
        <v>655.73942212749739</v>
      </c>
      <c r="S160" s="1084">
        <f t="shared" si="126"/>
        <v>705.21572376650136</v>
      </c>
      <c r="T160" s="1084">
        <f t="shared" si="126"/>
        <v>753.78340859097159</v>
      </c>
      <c r="U160" s="1084">
        <f t="shared" si="126"/>
        <v>834.0658206924611</v>
      </c>
      <c r="V160" s="1084">
        <f t="shared" si="126"/>
        <v>865.15270616276734</v>
      </c>
      <c r="W160" s="1084">
        <f t="shared" si="126"/>
        <v>890.43447318103404</v>
      </c>
      <c r="X160" s="1084">
        <f t="shared" si="126"/>
        <v>910.88682846351242</v>
      </c>
      <c r="Y160" s="1084">
        <f t="shared" si="126"/>
        <v>933.76707014317083</v>
      </c>
      <c r="Z160" s="1084">
        <f t="shared" si="126"/>
        <v>960.66162548930265</v>
      </c>
      <c r="AA160" s="1084"/>
      <c r="AB160" s="1084"/>
      <c r="AC160" s="1084"/>
      <c r="AD160" s="1084"/>
      <c r="AE160" s="1084"/>
      <c r="AF160" s="1084"/>
      <c r="AG160" s="1084"/>
      <c r="AH160" s="1084"/>
      <c r="AI160" s="1084"/>
      <c r="AJ160" s="1084"/>
      <c r="AK160" s="1084"/>
      <c r="AL160" s="1084"/>
      <c r="AM160" s="1084"/>
      <c r="AN160" s="1084"/>
      <c r="AO160" s="1084"/>
      <c r="AP160" s="1084"/>
      <c r="AQ160" s="1084"/>
      <c r="AR160" s="1084"/>
      <c r="AS160" s="1084"/>
      <c r="AT160" s="1084"/>
      <c r="AU160" s="1084"/>
      <c r="AV160" s="1084"/>
      <c r="AW160" s="1084"/>
      <c r="AX160" s="1084"/>
      <c r="AY160" s="1084"/>
      <c r="AZ160" s="1084"/>
      <c r="BA160" s="1084"/>
      <c r="BB160" s="1031"/>
      <c r="BC160" s="424"/>
      <c r="BD160" s="424"/>
      <c r="BE160" s="424"/>
    </row>
    <row r="161" spans="2:57" s="480" customFormat="1">
      <c r="B161" s="1164" t="s">
        <v>819</v>
      </c>
      <c r="C161" s="1080"/>
      <c r="D161" s="1080"/>
      <c r="E161" s="1081"/>
      <c r="F161" s="1081"/>
      <c r="G161" s="1081"/>
      <c r="H161" s="93"/>
      <c r="I161" s="1082"/>
      <c r="J161" s="1082"/>
      <c r="K161" s="1082"/>
      <c r="L161" s="1082"/>
      <c r="M161" s="1082"/>
      <c r="N161" s="1082"/>
      <c r="O161" s="1082"/>
      <c r="P161" s="1115"/>
      <c r="Q161" s="1084">
        <f>Q9*Q17</f>
        <v>54.573848029497377</v>
      </c>
      <c r="R161" s="1084">
        <f t="shared" ref="R161:Z161" si="127">R9*R17</f>
        <v>49.476301639003935</v>
      </c>
      <c r="S161" s="1084">
        <f t="shared" si="127"/>
        <v>48.567684824470192</v>
      </c>
      <c r="T161" s="1084">
        <f t="shared" si="127"/>
        <v>80.28241210148947</v>
      </c>
      <c r="U161" s="1084">
        <f t="shared" si="127"/>
        <v>31.086885470306271</v>
      </c>
      <c r="V161" s="1084">
        <f t="shared" si="127"/>
        <v>25.281767018266741</v>
      </c>
      <c r="W161" s="1084">
        <f t="shared" si="127"/>
        <v>20.452355282478418</v>
      </c>
      <c r="X161" s="1084">
        <f t="shared" si="127"/>
        <v>22.880241679658436</v>
      </c>
      <c r="Y161" s="1084">
        <f t="shared" si="127"/>
        <v>26.894555346131877</v>
      </c>
      <c r="Z161" s="1084">
        <f t="shared" si="127"/>
        <v>26.068659019726969</v>
      </c>
      <c r="AA161" s="1084"/>
      <c r="AB161" s="1084"/>
      <c r="AC161" s="1084"/>
      <c r="AD161" s="1084"/>
      <c r="AE161" s="1084"/>
      <c r="AF161" s="1084"/>
      <c r="AG161" s="1084"/>
      <c r="AH161" s="1084"/>
      <c r="AI161" s="1084"/>
      <c r="AJ161" s="1084"/>
      <c r="AK161" s="1084"/>
      <c r="AL161" s="1084"/>
      <c r="AM161" s="1084"/>
      <c r="AN161" s="1084"/>
      <c r="AO161" s="1084"/>
      <c r="AP161" s="1084"/>
      <c r="AQ161" s="1084"/>
      <c r="AR161" s="1084"/>
      <c r="AS161" s="1084"/>
      <c r="AT161" s="1084"/>
      <c r="AU161" s="1084"/>
      <c r="AV161" s="1084"/>
      <c r="AW161" s="1084"/>
      <c r="AX161" s="1084"/>
      <c r="AY161" s="1084"/>
      <c r="AZ161" s="1084"/>
      <c r="BA161" s="1084"/>
      <c r="BB161" s="1031"/>
      <c r="BC161" s="424"/>
      <c r="BD161" s="424"/>
      <c r="BE161" s="424"/>
    </row>
    <row r="162" spans="2:57" s="480" customFormat="1">
      <c r="B162" s="1164" t="s">
        <v>820</v>
      </c>
      <c r="C162" s="1080"/>
      <c r="D162" s="1080"/>
      <c r="E162" s="1081"/>
      <c r="F162" s="1081"/>
      <c r="G162" s="1081"/>
      <c r="H162" s="93"/>
      <c r="I162" s="1082"/>
      <c r="J162" s="1082"/>
      <c r="K162" s="1082"/>
      <c r="L162" s="1082"/>
      <c r="M162" s="1082"/>
      <c r="N162" s="1082"/>
      <c r="O162" s="1082"/>
      <c r="P162" s="1115"/>
      <c r="Q162" s="1054"/>
      <c r="R162" s="1054"/>
      <c r="S162" s="1054"/>
      <c r="T162" s="1054"/>
      <c r="U162" s="1054"/>
      <c r="V162" s="1054"/>
      <c r="W162" s="1054"/>
      <c r="X162" s="1054"/>
      <c r="Y162" s="1054"/>
      <c r="Z162" s="1054"/>
      <c r="AA162" s="1054"/>
      <c r="AB162" s="1054"/>
      <c r="AC162" s="1054"/>
      <c r="AD162" s="1054"/>
      <c r="AE162" s="1054"/>
      <c r="AF162" s="1054"/>
      <c r="AG162" s="1054"/>
      <c r="AH162" s="1054"/>
      <c r="AI162" s="1054"/>
      <c r="AJ162" s="1054"/>
      <c r="AK162" s="1054"/>
      <c r="AL162" s="1054"/>
      <c r="AM162" s="1054"/>
      <c r="AN162" s="1054"/>
      <c r="AO162" s="1054"/>
      <c r="AP162" s="1054"/>
      <c r="AQ162" s="1054"/>
      <c r="AR162" s="1054"/>
      <c r="AS162" s="1054"/>
      <c r="AT162" s="1054"/>
      <c r="AU162" s="1054"/>
      <c r="AV162" s="1054"/>
      <c r="AW162" s="1054"/>
      <c r="AX162" s="1054"/>
      <c r="AY162" s="1054"/>
      <c r="AZ162" s="1054"/>
      <c r="BA162" s="1054"/>
      <c r="BB162" s="1031"/>
      <c r="BC162" s="424"/>
      <c r="BD162" s="424"/>
      <c r="BE162" s="424"/>
    </row>
    <row r="163" spans="2:57" s="480" customFormat="1">
      <c r="B163" s="1164" t="s">
        <v>821</v>
      </c>
      <c r="C163" s="1080"/>
      <c r="D163" s="1080"/>
      <c r="E163" s="1081"/>
      <c r="F163" s="1081"/>
      <c r="G163" s="1081"/>
      <c r="H163" s="93"/>
      <c r="I163" s="1082"/>
      <c r="J163" s="1082"/>
      <c r="K163" s="1082"/>
      <c r="L163" s="1082"/>
      <c r="M163" s="1082"/>
      <c r="N163" s="1082"/>
      <c r="O163" s="1082"/>
      <c r="P163" s="1115"/>
      <c r="Q163" s="1054"/>
      <c r="R163" s="1054"/>
      <c r="S163" s="1054"/>
      <c r="T163" s="1054"/>
      <c r="U163" s="1054"/>
      <c r="V163" s="1054"/>
      <c r="W163" s="1054"/>
      <c r="X163" s="1054"/>
      <c r="Y163" s="1054"/>
      <c r="Z163" s="1054"/>
      <c r="AA163" s="1054"/>
      <c r="AB163" s="1054"/>
      <c r="AC163" s="1054"/>
      <c r="AD163" s="1054"/>
      <c r="AE163" s="1054"/>
      <c r="AF163" s="1054"/>
      <c r="AG163" s="1054"/>
      <c r="AH163" s="1054"/>
      <c r="AI163" s="1054"/>
      <c r="AJ163" s="1054"/>
      <c r="AK163" s="1054"/>
      <c r="AL163" s="1054"/>
      <c r="AM163" s="1054"/>
      <c r="AN163" s="1054"/>
      <c r="AO163" s="1054"/>
      <c r="AP163" s="1054"/>
      <c r="AQ163" s="1054"/>
      <c r="AR163" s="1054"/>
      <c r="AS163" s="1054"/>
      <c r="AT163" s="1054"/>
      <c r="AU163" s="1054"/>
      <c r="AV163" s="1054"/>
      <c r="AW163" s="1054"/>
      <c r="AX163" s="1054"/>
      <c r="AY163" s="1054"/>
      <c r="AZ163" s="1054"/>
      <c r="BA163" s="1054"/>
      <c r="BB163" s="1031"/>
      <c r="BC163" s="424"/>
      <c r="BD163" s="424"/>
      <c r="BE163" s="424"/>
    </row>
    <row r="164" spans="2:57" s="480" customFormat="1">
      <c r="B164" s="1164" t="s">
        <v>822</v>
      </c>
      <c r="C164" s="1080"/>
      <c r="D164" s="1080"/>
      <c r="E164" s="1081"/>
      <c r="F164" s="1081"/>
      <c r="G164" s="1081"/>
      <c r="H164" s="93"/>
      <c r="I164" s="1082"/>
      <c r="J164" s="1083"/>
      <c r="K164" s="1083">
        <f>'BS Raw'!F64</f>
        <v>698.50608688499995</v>
      </c>
      <c r="L164" s="1083">
        <f>'BS Raw'!G64</f>
        <v>760.95529727300004</v>
      </c>
      <c r="M164" s="1083">
        <f>'BS Raw'!H64</f>
        <v>66.117926734999998</v>
      </c>
      <c r="N164" s="1083">
        <f>'BS Raw'!I64</f>
        <v>33.176188396000001</v>
      </c>
      <c r="O164" s="1083">
        <f>'BS Raw'!J64</f>
        <v>88.189941648000001</v>
      </c>
      <c r="P164" s="2534">
        <f>'BS Raw'!K64</f>
        <v>601.16557409799998</v>
      </c>
      <c r="Q164" s="1084">
        <f>SUM(Q160:Q163)</f>
        <v>655.73942212749739</v>
      </c>
      <c r="R164" s="1084">
        <f t="shared" ref="R164:Z164" si="128">SUM(R160:R163)</f>
        <v>705.21572376650136</v>
      </c>
      <c r="S164" s="1084">
        <f t="shared" si="128"/>
        <v>753.78340859097159</v>
      </c>
      <c r="T164" s="1084">
        <f t="shared" si="128"/>
        <v>834.0658206924611</v>
      </c>
      <c r="U164" s="1084">
        <f t="shared" si="128"/>
        <v>865.15270616276734</v>
      </c>
      <c r="V164" s="1084">
        <f t="shared" si="128"/>
        <v>890.43447318103404</v>
      </c>
      <c r="W164" s="1084">
        <f t="shared" si="128"/>
        <v>910.88682846351242</v>
      </c>
      <c r="X164" s="1084">
        <f t="shared" si="128"/>
        <v>933.76707014317083</v>
      </c>
      <c r="Y164" s="1084">
        <f t="shared" si="128"/>
        <v>960.66162548930265</v>
      </c>
      <c r="Z164" s="1084">
        <f t="shared" si="128"/>
        <v>986.73028450902962</v>
      </c>
      <c r="AA164" s="1084"/>
      <c r="AB164" s="1084"/>
      <c r="AC164" s="1084"/>
      <c r="AD164" s="1084"/>
      <c r="AE164" s="1084"/>
      <c r="AF164" s="1084"/>
      <c r="AG164" s="1084"/>
      <c r="AH164" s="1084"/>
      <c r="AI164" s="1084"/>
      <c r="AJ164" s="1084"/>
      <c r="AK164" s="1084"/>
      <c r="AL164" s="1084"/>
      <c r="AM164" s="1084"/>
      <c r="AN164" s="1084"/>
      <c r="AO164" s="1084"/>
      <c r="AP164" s="1084"/>
      <c r="AQ164" s="1084"/>
      <c r="AR164" s="1084"/>
      <c r="AS164" s="1084"/>
      <c r="AT164" s="1084"/>
      <c r="AU164" s="1084"/>
      <c r="AV164" s="1084"/>
      <c r="AW164" s="1084"/>
      <c r="AX164" s="1084"/>
      <c r="AY164" s="1084"/>
      <c r="AZ164" s="1084"/>
      <c r="BA164" s="1084"/>
      <c r="BB164" s="1031"/>
      <c r="BC164" s="424"/>
      <c r="BD164" s="424"/>
      <c r="BE164" s="424"/>
    </row>
    <row r="165" spans="2:57" s="480" customFormat="1">
      <c r="B165" s="1164"/>
      <c r="C165" s="1080"/>
      <c r="D165" s="1080"/>
      <c r="E165" s="1081"/>
      <c r="F165" s="1081"/>
      <c r="G165" s="1081"/>
      <c r="H165" s="93"/>
      <c r="I165" s="93"/>
      <c r="J165" s="93"/>
      <c r="K165" s="93"/>
      <c r="L165" s="93"/>
      <c r="M165" s="93"/>
      <c r="N165" s="93"/>
      <c r="O165" s="93"/>
      <c r="P165" s="1129"/>
      <c r="Q165" s="93"/>
      <c r="R165" s="93"/>
      <c r="S165" s="93"/>
      <c r="T165" s="93"/>
      <c r="U165" s="93"/>
      <c r="V165" s="93"/>
      <c r="W165" s="93"/>
      <c r="X165" s="93"/>
      <c r="Y165" s="93"/>
      <c r="Z165" s="93"/>
      <c r="AA165" s="93"/>
      <c r="AB165" s="93"/>
      <c r="AC165" s="93"/>
      <c r="AD165" s="93"/>
      <c r="AE165" s="93"/>
      <c r="AF165" s="93"/>
      <c r="AG165" s="93"/>
      <c r="AH165" s="93"/>
      <c r="AI165" s="93"/>
      <c r="AJ165" s="93"/>
      <c r="AK165" s="93"/>
      <c r="AL165" s="93"/>
      <c r="AM165" s="93"/>
      <c r="AN165" s="93"/>
      <c r="AO165" s="93"/>
      <c r="AP165" s="93"/>
      <c r="AQ165" s="93"/>
      <c r="AR165" s="93"/>
      <c r="AS165" s="93"/>
      <c r="AT165" s="93"/>
      <c r="AU165" s="93"/>
      <c r="AV165" s="93"/>
      <c r="AW165" s="93"/>
      <c r="AX165" s="93"/>
      <c r="AY165" s="93"/>
      <c r="AZ165" s="93"/>
      <c r="BA165" s="93"/>
      <c r="BB165" s="1031"/>
      <c r="BC165" s="424"/>
      <c r="BD165" s="424"/>
      <c r="BE165" s="424"/>
    </row>
    <row r="166" spans="2:57" s="1050" customFormat="1">
      <c r="B166" s="1165" t="s">
        <v>823</v>
      </c>
      <c r="C166" s="1068"/>
      <c r="D166" s="1068"/>
      <c r="E166" s="1076"/>
      <c r="F166" s="1076"/>
      <c r="G166" s="1076"/>
      <c r="H166" s="126"/>
      <c r="I166" s="126"/>
      <c r="J166" s="126"/>
      <c r="K166" s="126"/>
      <c r="L166" s="126"/>
      <c r="M166" s="126"/>
      <c r="N166" s="126"/>
      <c r="O166" s="126"/>
      <c r="P166" s="1161"/>
      <c r="Q166" s="126"/>
      <c r="R166" s="126"/>
      <c r="S166" s="126"/>
      <c r="T166" s="126"/>
      <c r="U166" s="126"/>
      <c r="V166" s="126"/>
      <c r="W166" s="126"/>
      <c r="X166" s="126"/>
      <c r="Y166" s="126"/>
      <c r="Z166" s="126"/>
      <c r="AA166" s="126"/>
      <c r="AB166" s="126"/>
      <c r="AC166" s="126"/>
      <c r="AD166" s="126"/>
      <c r="AE166" s="126"/>
      <c r="AF166" s="126"/>
      <c r="AG166" s="126"/>
      <c r="AH166" s="126"/>
      <c r="AI166" s="126"/>
      <c r="AJ166" s="126"/>
      <c r="AK166" s="126"/>
      <c r="AL166" s="126"/>
      <c r="AM166" s="126"/>
      <c r="AN166" s="126"/>
      <c r="AO166" s="126"/>
      <c r="AP166" s="126"/>
      <c r="AQ166" s="126"/>
      <c r="AR166" s="126"/>
      <c r="AS166" s="126"/>
      <c r="AT166" s="126"/>
      <c r="AU166" s="126"/>
      <c r="AV166" s="126"/>
      <c r="AW166" s="126"/>
      <c r="AX166" s="126"/>
      <c r="AY166" s="126"/>
      <c r="AZ166" s="126"/>
      <c r="BA166" s="126"/>
      <c r="BB166" s="1051"/>
      <c r="BC166" s="1162"/>
      <c r="BD166" s="1162"/>
      <c r="BE166" s="1162"/>
    </row>
    <row r="167" spans="2:57" s="480" customFormat="1">
      <c r="B167" s="1164" t="s">
        <v>818</v>
      </c>
      <c r="C167" s="1080"/>
      <c r="D167" s="1080"/>
      <c r="E167" s="1081"/>
      <c r="F167" s="1081"/>
      <c r="G167" s="1081"/>
      <c r="H167" s="93"/>
      <c r="I167" s="1082"/>
      <c r="J167" s="1082"/>
      <c r="K167" s="1082"/>
      <c r="L167" s="1082"/>
      <c r="M167" s="1082"/>
      <c r="N167" s="1082"/>
      <c r="O167" s="1082"/>
      <c r="P167" s="1115"/>
      <c r="Q167" s="1054">
        <f>P171</f>
        <v>0</v>
      </c>
      <c r="R167" s="1054">
        <f t="shared" ref="R167:Z167" si="129">Q171</f>
        <v>0</v>
      </c>
      <c r="S167" s="1054">
        <f t="shared" si="129"/>
        <v>0</v>
      </c>
      <c r="T167" s="1054">
        <f t="shared" si="129"/>
        <v>0</v>
      </c>
      <c r="U167" s="1054">
        <f t="shared" si="129"/>
        <v>0</v>
      </c>
      <c r="V167" s="1054">
        <f t="shared" si="129"/>
        <v>0</v>
      </c>
      <c r="W167" s="1054">
        <f t="shared" si="129"/>
        <v>0</v>
      </c>
      <c r="X167" s="1054">
        <f t="shared" si="129"/>
        <v>0</v>
      </c>
      <c r="Y167" s="1054">
        <f t="shared" si="129"/>
        <v>0</v>
      </c>
      <c r="Z167" s="1054">
        <f t="shared" si="129"/>
        <v>0</v>
      </c>
      <c r="AA167" s="1054"/>
      <c r="AB167" s="1054"/>
      <c r="AC167" s="1054"/>
      <c r="AD167" s="1054"/>
      <c r="AE167" s="1054"/>
      <c r="AF167" s="1054"/>
      <c r="AG167" s="1054"/>
      <c r="AH167" s="1054"/>
      <c r="AI167" s="1054"/>
      <c r="AJ167" s="1054"/>
      <c r="AK167" s="1054"/>
      <c r="AL167" s="1054"/>
      <c r="AM167" s="1054"/>
      <c r="AN167" s="1054"/>
      <c r="AO167" s="1054"/>
      <c r="AP167" s="1054"/>
      <c r="AQ167" s="1054"/>
      <c r="AR167" s="1054"/>
      <c r="AS167" s="1054"/>
      <c r="AT167" s="1054"/>
      <c r="AU167" s="1054"/>
      <c r="AV167" s="1054"/>
      <c r="AW167" s="1054"/>
      <c r="AX167" s="1054"/>
      <c r="AY167" s="1054"/>
      <c r="AZ167" s="1054"/>
      <c r="BA167" s="1054"/>
      <c r="BB167" s="1031"/>
      <c r="BC167" s="424"/>
      <c r="BD167" s="424"/>
      <c r="BE167" s="424"/>
    </row>
    <row r="168" spans="2:57" s="480" customFormat="1">
      <c r="B168" s="1164" t="s">
        <v>819</v>
      </c>
      <c r="C168" s="1080"/>
      <c r="D168" s="1080"/>
      <c r="E168" s="1081"/>
      <c r="F168" s="1081"/>
      <c r="G168" s="1081"/>
      <c r="H168" s="93"/>
      <c r="I168" s="1082"/>
      <c r="J168" s="1082"/>
      <c r="K168" s="1082"/>
      <c r="L168" s="1082"/>
      <c r="M168" s="1082"/>
      <c r="N168" s="1082"/>
      <c r="O168" s="1082"/>
      <c r="P168" s="1115"/>
      <c r="Q168" s="1054">
        <v>0</v>
      </c>
      <c r="R168" s="1054">
        <v>0</v>
      </c>
      <c r="S168" s="1054">
        <v>0</v>
      </c>
      <c r="T168" s="1054">
        <v>0</v>
      </c>
      <c r="U168" s="1054">
        <v>0</v>
      </c>
      <c r="V168" s="1054">
        <v>0</v>
      </c>
      <c r="W168" s="1054">
        <v>0</v>
      </c>
      <c r="X168" s="1054">
        <v>0</v>
      </c>
      <c r="Y168" s="1054">
        <v>0</v>
      </c>
      <c r="Z168" s="1054">
        <v>0</v>
      </c>
      <c r="AA168" s="1054"/>
      <c r="AB168" s="1054"/>
      <c r="AC168" s="1054"/>
      <c r="AD168" s="1054"/>
      <c r="AE168" s="1054"/>
      <c r="AF168" s="1054"/>
      <c r="AG168" s="1054"/>
      <c r="AH168" s="1054"/>
      <c r="AI168" s="1054"/>
      <c r="AJ168" s="1054"/>
      <c r="AK168" s="1054"/>
      <c r="AL168" s="1054"/>
      <c r="AM168" s="1054"/>
      <c r="AN168" s="1054"/>
      <c r="AO168" s="1054"/>
      <c r="AP168" s="1054"/>
      <c r="AQ168" s="1054"/>
      <c r="AR168" s="1054"/>
      <c r="AS168" s="1054"/>
      <c r="AT168" s="1054"/>
      <c r="AU168" s="1054"/>
      <c r="AV168" s="1054"/>
      <c r="AW168" s="1054"/>
      <c r="AX168" s="1054"/>
      <c r="AY168" s="1054"/>
      <c r="AZ168" s="1054"/>
      <c r="BA168" s="1054"/>
      <c r="BB168" s="1031"/>
      <c r="BC168" s="424"/>
      <c r="BD168" s="424"/>
      <c r="BE168" s="424"/>
    </row>
    <row r="169" spans="2:57" s="480" customFormat="1">
      <c r="B169" s="1164" t="s">
        <v>820</v>
      </c>
      <c r="C169" s="1080"/>
      <c r="D169" s="1080"/>
      <c r="E169" s="1081"/>
      <c r="F169" s="1081"/>
      <c r="G169" s="1081"/>
      <c r="H169" s="93"/>
      <c r="I169" s="1082"/>
      <c r="J169" s="1082"/>
      <c r="K169" s="1082"/>
      <c r="L169" s="1082"/>
      <c r="M169" s="1082"/>
      <c r="N169" s="1082"/>
      <c r="O169" s="1082"/>
      <c r="P169" s="1115"/>
      <c r="Q169" s="1054">
        <v>0</v>
      </c>
      <c r="R169" s="1054">
        <v>0</v>
      </c>
      <c r="S169" s="1054">
        <v>0</v>
      </c>
      <c r="T169" s="1054">
        <v>0</v>
      </c>
      <c r="U169" s="1054">
        <v>0</v>
      </c>
      <c r="V169" s="1054">
        <v>0</v>
      </c>
      <c r="W169" s="1054">
        <v>0</v>
      </c>
      <c r="X169" s="1054">
        <v>0</v>
      </c>
      <c r="Y169" s="1054">
        <v>0</v>
      </c>
      <c r="Z169" s="1054">
        <v>0</v>
      </c>
      <c r="AA169" s="1054"/>
      <c r="AB169" s="1054"/>
      <c r="AC169" s="1054"/>
      <c r="AD169" s="1054"/>
      <c r="AE169" s="1054"/>
      <c r="AF169" s="1054"/>
      <c r="AG169" s="1054"/>
      <c r="AH169" s="1054"/>
      <c r="AI169" s="1054"/>
      <c r="AJ169" s="1054"/>
      <c r="AK169" s="1054"/>
      <c r="AL169" s="1054"/>
      <c r="AM169" s="1054"/>
      <c r="AN169" s="1054"/>
      <c r="AO169" s="1054"/>
      <c r="AP169" s="1054"/>
      <c r="AQ169" s="1054"/>
      <c r="AR169" s="1054"/>
      <c r="AS169" s="1054"/>
      <c r="AT169" s="1054"/>
      <c r="AU169" s="1054"/>
      <c r="AV169" s="1054"/>
      <c r="AW169" s="1054"/>
      <c r="AX169" s="1054"/>
      <c r="AY169" s="1054"/>
      <c r="AZ169" s="1054"/>
      <c r="BA169" s="1054"/>
      <c r="BB169" s="1031"/>
      <c r="BC169" s="424"/>
      <c r="BD169" s="424"/>
      <c r="BE169" s="424"/>
    </row>
    <row r="170" spans="2:57" s="480" customFormat="1">
      <c r="B170" s="1164" t="s">
        <v>821</v>
      </c>
      <c r="C170" s="1080"/>
      <c r="D170" s="1080"/>
      <c r="E170" s="1081"/>
      <c r="F170" s="1081"/>
      <c r="G170" s="1081"/>
      <c r="H170" s="93"/>
      <c r="I170" s="1082"/>
      <c r="J170" s="1082"/>
      <c r="K170" s="1082"/>
      <c r="L170" s="1082"/>
      <c r="M170" s="1082"/>
      <c r="N170" s="1082"/>
      <c r="O170" s="1082"/>
      <c r="P170" s="1115"/>
      <c r="Q170" s="1054">
        <v>0</v>
      </c>
      <c r="R170" s="1054">
        <v>0</v>
      </c>
      <c r="S170" s="1054">
        <v>0</v>
      </c>
      <c r="T170" s="1054">
        <v>0</v>
      </c>
      <c r="U170" s="1054">
        <v>0</v>
      </c>
      <c r="V170" s="1054">
        <v>0</v>
      </c>
      <c r="W170" s="1054">
        <v>0</v>
      </c>
      <c r="X170" s="1054">
        <v>0</v>
      </c>
      <c r="Y170" s="1054">
        <v>0</v>
      </c>
      <c r="Z170" s="1054">
        <v>0</v>
      </c>
      <c r="AA170" s="1054"/>
      <c r="AB170" s="1054"/>
      <c r="AC170" s="1054"/>
      <c r="AD170" s="1054"/>
      <c r="AE170" s="1054"/>
      <c r="AF170" s="1054"/>
      <c r="AG170" s="1054"/>
      <c r="AH170" s="1054"/>
      <c r="AI170" s="1054"/>
      <c r="AJ170" s="1054"/>
      <c r="AK170" s="1054"/>
      <c r="AL170" s="1054"/>
      <c r="AM170" s="1054"/>
      <c r="AN170" s="1054"/>
      <c r="AO170" s="1054"/>
      <c r="AP170" s="1054"/>
      <c r="AQ170" s="1054"/>
      <c r="AR170" s="1054"/>
      <c r="AS170" s="1054"/>
      <c r="AT170" s="1054"/>
      <c r="AU170" s="1054"/>
      <c r="AV170" s="1054"/>
      <c r="AW170" s="1054"/>
      <c r="AX170" s="1054"/>
      <c r="AY170" s="1054"/>
      <c r="AZ170" s="1054"/>
      <c r="BA170" s="1054"/>
      <c r="BB170" s="1031"/>
      <c r="BC170" s="424"/>
      <c r="BD170" s="424"/>
      <c r="BE170" s="424"/>
    </row>
    <row r="171" spans="2:57" s="1050" customFormat="1">
      <c r="B171" s="1164" t="s">
        <v>822</v>
      </c>
      <c r="C171" s="1068"/>
      <c r="D171" s="1068"/>
      <c r="E171" s="1076"/>
      <c r="F171" s="1076"/>
      <c r="G171" s="1076"/>
      <c r="H171" s="93"/>
      <c r="I171" s="1082"/>
      <c r="J171" s="1082"/>
      <c r="K171" s="1082"/>
      <c r="L171" s="1082"/>
      <c r="M171" s="1082"/>
      <c r="N171" s="1082"/>
      <c r="O171" s="1082"/>
      <c r="P171" s="1115">
        <v>0</v>
      </c>
      <c r="Q171" s="1054">
        <f>SUM(Q167:Q170)</f>
        <v>0</v>
      </c>
      <c r="R171" s="1054">
        <f t="shared" ref="R171:Z171" si="130">SUM(R167:R170)</f>
        <v>0</v>
      </c>
      <c r="S171" s="1054">
        <f t="shared" si="130"/>
        <v>0</v>
      </c>
      <c r="T171" s="1054">
        <f t="shared" si="130"/>
        <v>0</v>
      </c>
      <c r="U171" s="1054">
        <f t="shared" si="130"/>
        <v>0</v>
      </c>
      <c r="V171" s="1054">
        <f t="shared" si="130"/>
        <v>0</v>
      </c>
      <c r="W171" s="1054">
        <f t="shared" si="130"/>
        <v>0</v>
      </c>
      <c r="X171" s="1054">
        <f t="shared" si="130"/>
        <v>0</v>
      </c>
      <c r="Y171" s="1054">
        <f t="shared" si="130"/>
        <v>0</v>
      </c>
      <c r="Z171" s="1054">
        <f t="shared" si="130"/>
        <v>0</v>
      </c>
      <c r="AA171" s="1054"/>
      <c r="AB171" s="1054"/>
      <c r="AC171" s="1054"/>
      <c r="AD171" s="1054"/>
      <c r="AE171" s="1054"/>
      <c r="AF171" s="1054"/>
      <c r="AG171" s="1054"/>
      <c r="AH171" s="1054"/>
      <c r="AI171" s="1054"/>
      <c r="AJ171" s="1054"/>
      <c r="AK171" s="1054"/>
      <c r="AL171" s="1054"/>
      <c r="AM171" s="1054"/>
      <c r="AN171" s="1054"/>
      <c r="AO171" s="1054"/>
      <c r="AP171" s="1054"/>
      <c r="AQ171" s="1054"/>
      <c r="AR171" s="1054"/>
      <c r="AS171" s="1054"/>
      <c r="AT171" s="1054"/>
      <c r="AU171" s="1054"/>
      <c r="AV171" s="1054"/>
      <c r="AW171" s="1054"/>
      <c r="AX171" s="1054"/>
      <c r="AY171" s="1054"/>
      <c r="AZ171" s="1054"/>
      <c r="BA171" s="1054"/>
      <c r="BB171" s="1031"/>
      <c r="BC171" s="1162"/>
      <c r="BD171" s="1162"/>
      <c r="BE171" s="1162"/>
    </row>
    <row r="172" spans="2:57" s="1050" customFormat="1">
      <c r="B172" s="1164"/>
      <c r="C172" s="1068"/>
      <c r="D172" s="1068"/>
      <c r="E172" s="1076"/>
      <c r="F172" s="1076"/>
      <c r="G172" s="1076"/>
      <c r="H172" s="93"/>
      <c r="I172" s="93"/>
      <c r="J172" s="93"/>
      <c r="K172" s="93"/>
      <c r="L172" s="93"/>
      <c r="M172" s="126"/>
      <c r="N172" s="126"/>
      <c r="O172" s="126"/>
      <c r="P172" s="1161"/>
      <c r="Q172" s="126"/>
      <c r="R172" s="126"/>
      <c r="S172" s="126"/>
      <c r="T172" s="126"/>
      <c r="U172" s="126"/>
      <c r="V172" s="126"/>
      <c r="W172" s="126"/>
      <c r="X172" s="126"/>
      <c r="Y172" s="126"/>
      <c r="Z172" s="126"/>
      <c r="AA172" s="126"/>
      <c r="AB172" s="126"/>
      <c r="AC172" s="126"/>
      <c r="AD172" s="126"/>
      <c r="AE172" s="126"/>
      <c r="AF172" s="126"/>
      <c r="AG172" s="126"/>
      <c r="AH172" s="126"/>
      <c r="AI172" s="126"/>
      <c r="AJ172" s="126"/>
      <c r="AK172" s="126"/>
      <c r="AL172" s="126"/>
      <c r="AM172" s="126"/>
      <c r="AN172" s="126"/>
      <c r="AO172" s="126"/>
      <c r="AP172" s="126"/>
      <c r="AQ172" s="126"/>
      <c r="AR172" s="126"/>
      <c r="AS172" s="126"/>
      <c r="AT172" s="126"/>
      <c r="AU172" s="126"/>
      <c r="AV172" s="126"/>
      <c r="AW172" s="126"/>
      <c r="AX172" s="126"/>
      <c r="AY172" s="126"/>
      <c r="AZ172" s="126"/>
      <c r="BA172" s="126"/>
      <c r="BB172" s="1051"/>
      <c r="BC172" s="1162"/>
      <c r="BD172" s="1162"/>
      <c r="BE172" s="1162"/>
    </row>
    <row r="173" spans="2:57" s="1050" customFormat="1">
      <c r="B173" s="1165" t="s">
        <v>824</v>
      </c>
      <c r="C173" s="1068"/>
      <c r="D173" s="1068"/>
      <c r="E173" s="1076"/>
      <c r="F173" s="1076"/>
      <c r="G173" s="1076"/>
      <c r="H173" s="93"/>
      <c r="I173" s="93"/>
      <c r="J173" s="93"/>
      <c r="K173" s="93"/>
      <c r="L173" s="93"/>
      <c r="M173" s="126"/>
      <c r="N173" s="126"/>
      <c r="O173" s="126"/>
      <c r="P173" s="1161"/>
      <c r="Q173" s="126"/>
      <c r="R173" s="126"/>
      <c r="S173" s="126"/>
      <c r="T173" s="126"/>
      <c r="U173" s="126"/>
      <c r="V173" s="126"/>
      <c r="W173" s="126"/>
      <c r="X173" s="126"/>
      <c r="Y173" s="126"/>
      <c r="Z173" s="126"/>
      <c r="AA173" s="126"/>
      <c r="AB173" s="126"/>
      <c r="AC173" s="126"/>
      <c r="AD173" s="126"/>
      <c r="AE173" s="126"/>
      <c r="AF173" s="126"/>
      <c r="AG173" s="126"/>
      <c r="AH173" s="126"/>
      <c r="AI173" s="126"/>
      <c r="AJ173" s="126"/>
      <c r="AK173" s="126"/>
      <c r="AL173" s="126"/>
      <c r="AM173" s="126"/>
      <c r="AN173" s="126"/>
      <c r="AO173" s="126"/>
      <c r="AP173" s="126"/>
      <c r="AQ173" s="126"/>
      <c r="AR173" s="126"/>
      <c r="AS173" s="126"/>
      <c r="AT173" s="126"/>
      <c r="AU173" s="126"/>
      <c r="AV173" s="126"/>
      <c r="AW173" s="126"/>
      <c r="AX173" s="126"/>
      <c r="AY173" s="126"/>
      <c r="AZ173" s="126"/>
      <c r="BA173" s="126"/>
      <c r="BB173" s="1051"/>
      <c r="BC173" s="1162"/>
      <c r="BD173" s="1162"/>
      <c r="BE173" s="1162"/>
    </row>
    <row r="174" spans="2:57" s="1050" customFormat="1">
      <c r="B174" s="1164" t="s">
        <v>818</v>
      </c>
      <c r="C174" s="1068"/>
      <c r="D174" s="1068"/>
      <c r="E174" s="1076"/>
      <c r="F174" s="1076"/>
      <c r="G174" s="1076"/>
      <c r="H174" s="93"/>
      <c r="I174" s="1082"/>
      <c r="J174" s="1082"/>
      <c r="K174" s="1082"/>
      <c r="L174" s="1082"/>
      <c r="M174" s="1082"/>
      <c r="N174" s="1082"/>
      <c r="O174" s="1082"/>
      <c r="P174" s="1115"/>
      <c r="Q174" s="1054">
        <f>P179</f>
        <v>0</v>
      </c>
      <c r="R174" s="1054">
        <f t="shared" ref="R174:Z174" si="131">Q179</f>
        <v>0</v>
      </c>
      <c r="S174" s="1054">
        <f t="shared" si="131"/>
        <v>0</v>
      </c>
      <c r="T174" s="1054">
        <f t="shared" si="131"/>
        <v>0</v>
      </c>
      <c r="U174" s="1054">
        <f t="shared" si="131"/>
        <v>0</v>
      </c>
      <c r="V174" s="1054">
        <f t="shared" si="131"/>
        <v>0</v>
      </c>
      <c r="W174" s="1054">
        <f t="shared" si="131"/>
        <v>0</v>
      </c>
      <c r="X174" s="1054">
        <f t="shared" si="131"/>
        <v>0</v>
      </c>
      <c r="Y174" s="1054">
        <f t="shared" si="131"/>
        <v>0</v>
      </c>
      <c r="Z174" s="1054">
        <f t="shared" si="131"/>
        <v>0</v>
      </c>
      <c r="AA174" s="1054"/>
      <c r="AB174" s="1054"/>
      <c r="AC174" s="1054"/>
      <c r="AD174" s="1054"/>
      <c r="AE174" s="1054"/>
      <c r="AF174" s="1054"/>
      <c r="AG174" s="1054"/>
      <c r="AH174" s="1054"/>
      <c r="AI174" s="1054"/>
      <c r="AJ174" s="1054"/>
      <c r="AK174" s="1054"/>
      <c r="AL174" s="1054"/>
      <c r="AM174" s="1054"/>
      <c r="AN174" s="1054"/>
      <c r="AO174" s="1054"/>
      <c r="AP174" s="1054"/>
      <c r="AQ174" s="1054"/>
      <c r="AR174" s="1054"/>
      <c r="AS174" s="1054"/>
      <c r="AT174" s="1054"/>
      <c r="AU174" s="1054"/>
      <c r="AV174" s="1054"/>
      <c r="AW174" s="1054"/>
      <c r="AX174" s="1054"/>
      <c r="AY174" s="1054"/>
      <c r="AZ174" s="1054"/>
      <c r="BA174" s="1054"/>
      <c r="BB174" s="1051"/>
      <c r="BC174" s="1162"/>
      <c r="BD174" s="1162"/>
      <c r="BE174" s="1162"/>
    </row>
    <row r="175" spans="2:57" s="1050" customFormat="1">
      <c r="B175" s="1164" t="s">
        <v>819</v>
      </c>
      <c r="C175" s="1068"/>
      <c r="D175" s="1068"/>
      <c r="E175" s="1076"/>
      <c r="F175" s="1076"/>
      <c r="G175" s="1076"/>
      <c r="H175" s="93"/>
      <c r="I175" s="1082"/>
      <c r="J175" s="1082"/>
      <c r="K175" s="1082"/>
      <c r="L175" s="1082"/>
      <c r="M175" s="1166"/>
      <c r="N175" s="1166"/>
      <c r="O175" s="1166"/>
      <c r="P175" s="1167"/>
      <c r="Q175" s="1054">
        <v>0</v>
      </c>
      <c r="R175" s="1054">
        <v>0</v>
      </c>
      <c r="S175" s="1054">
        <v>0</v>
      </c>
      <c r="T175" s="1054">
        <v>0</v>
      </c>
      <c r="U175" s="1054">
        <v>0</v>
      </c>
      <c r="V175" s="1054">
        <v>0</v>
      </c>
      <c r="W175" s="1054">
        <v>0</v>
      </c>
      <c r="X175" s="1054">
        <v>0</v>
      </c>
      <c r="Y175" s="1054">
        <v>0</v>
      </c>
      <c r="Z175" s="1054">
        <v>0</v>
      </c>
      <c r="AA175" s="1168"/>
      <c r="AB175" s="1168"/>
      <c r="AC175" s="1168"/>
      <c r="AD175" s="1168"/>
      <c r="AE175" s="1168"/>
      <c r="AF175" s="1168"/>
      <c r="AG175" s="1168"/>
      <c r="AH175" s="1168"/>
      <c r="AI175" s="1168"/>
      <c r="AJ175" s="1168"/>
      <c r="AK175" s="1168"/>
      <c r="AL175" s="1168"/>
      <c r="AM175" s="1168"/>
      <c r="AN175" s="1168"/>
      <c r="AO175" s="1168"/>
      <c r="AP175" s="1168"/>
      <c r="AQ175" s="1168"/>
      <c r="AR175" s="1168"/>
      <c r="AS175" s="1168"/>
      <c r="AT175" s="1168"/>
      <c r="AU175" s="1168"/>
      <c r="AV175" s="1168"/>
      <c r="AW175" s="1168"/>
      <c r="AX175" s="1168"/>
      <c r="AY175" s="1168"/>
      <c r="AZ175" s="1168"/>
      <c r="BA175" s="1168"/>
      <c r="BB175" s="1051"/>
      <c r="BC175" s="1162"/>
      <c r="BD175" s="1162"/>
      <c r="BE175" s="1162"/>
    </row>
    <row r="176" spans="2:57" s="1050" customFormat="1">
      <c r="B176" s="1164" t="s">
        <v>825</v>
      </c>
      <c r="C176" s="1068"/>
      <c r="D176" s="1068"/>
      <c r="E176" s="1076"/>
      <c r="F176" s="1076"/>
      <c r="G176" s="1076"/>
      <c r="H176" s="93"/>
      <c r="I176" s="1082"/>
      <c r="J176" s="1082"/>
      <c r="K176" s="1082"/>
      <c r="L176" s="1082"/>
      <c r="M176" s="1166"/>
      <c r="N176" s="1166"/>
      <c r="O176" s="1166"/>
      <c r="P176" s="1167"/>
      <c r="Q176" s="1054">
        <v>0</v>
      </c>
      <c r="R176" s="1054">
        <v>0</v>
      </c>
      <c r="S176" s="1054">
        <v>0</v>
      </c>
      <c r="T176" s="1054">
        <v>0</v>
      </c>
      <c r="U176" s="1054">
        <v>0</v>
      </c>
      <c r="V176" s="1054">
        <v>0</v>
      </c>
      <c r="W176" s="1054">
        <v>0</v>
      </c>
      <c r="X176" s="1054">
        <v>0</v>
      </c>
      <c r="Y176" s="1054">
        <v>0</v>
      </c>
      <c r="Z176" s="1054">
        <v>0</v>
      </c>
      <c r="AA176" s="1168"/>
      <c r="AB176" s="1168"/>
      <c r="AC176" s="1168"/>
      <c r="AD176" s="1168"/>
      <c r="AE176" s="1168"/>
      <c r="AF176" s="1168"/>
      <c r="AG176" s="1168"/>
      <c r="AH176" s="1168"/>
      <c r="AI176" s="1168"/>
      <c r="AJ176" s="1168"/>
      <c r="AK176" s="1168"/>
      <c r="AL176" s="1168"/>
      <c r="AM176" s="1168"/>
      <c r="AN176" s="1168"/>
      <c r="AO176" s="1168"/>
      <c r="AP176" s="1168"/>
      <c r="AQ176" s="1168"/>
      <c r="AR176" s="1168"/>
      <c r="AS176" s="1168"/>
      <c r="AT176" s="1168"/>
      <c r="AU176" s="1168"/>
      <c r="AV176" s="1168"/>
      <c r="AW176" s="1168"/>
      <c r="AX176" s="1168"/>
      <c r="AY176" s="1168"/>
      <c r="AZ176" s="1168"/>
      <c r="BA176" s="1168"/>
      <c r="BB176" s="1051"/>
      <c r="BC176" s="1162"/>
      <c r="BD176" s="1162"/>
      <c r="BE176" s="1162"/>
    </row>
    <row r="177" spans="2:57" s="1050" customFormat="1">
      <c r="B177" s="1164" t="s">
        <v>826</v>
      </c>
      <c r="C177" s="1068"/>
      <c r="D177" s="1068"/>
      <c r="E177" s="1076"/>
      <c r="F177" s="1076"/>
      <c r="G177" s="1076"/>
      <c r="H177" s="93"/>
      <c r="I177" s="1082"/>
      <c r="J177" s="1082"/>
      <c r="K177" s="1082"/>
      <c r="L177" s="1082"/>
      <c r="M177" s="1166"/>
      <c r="N177" s="1166"/>
      <c r="O177" s="1166"/>
      <c r="P177" s="1167"/>
      <c r="Q177" s="1054">
        <v>0</v>
      </c>
      <c r="R177" s="1054">
        <v>0</v>
      </c>
      <c r="S177" s="1054">
        <v>0</v>
      </c>
      <c r="T177" s="1054">
        <v>0</v>
      </c>
      <c r="U177" s="1054">
        <v>0</v>
      </c>
      <c r="V177" s="1054">
        <v>0</v>
      </c>
      <c r="W177" s="1054">
        <v>0</v>
      </c>
      <c r="X177" s="1054">
        <v>0</v>
      </c>
      <c r="Y177" s="1054">
        <v>0</v>
      </c>
      <c r="Z177" s="1054">
        <v>0</v>
      </c>
      <c r="AA177" s="1168"/>
      <c r="AB177" s="1168"/>
      <c r="AC177" s="1168"/>
      <c r="AD177" s="1168"/>
      <c r="AE177" s="1168"/>
      <c r="AF177" s="1168"/>
      <c r="AG177" s="1168"/>
      <c r="AH177" s="1168"/>
      <c r="AI177" s="1168"/>
      <c r="AJ177" s="1168"/>
      <c r="AK177" s="1168"/>
      <c r="AL177" s="1168"/>
      <c r="AM177" s="1168"/>
      <c r="AN177" s="1168"/>
      <c r="AO177" s="1168"/>
      <c r="AP177" s="1168"/>
      <c r="AQ177" s="1168"/>
      <c r="AR177" s="1168"/>
      <c r="AS177" s="1168"/>
      <c r="AT177" s="1168"/>
      <c r="AU177" s="1168"/>
      <c r="AV177" s="1168"/>
      <c r="AW177" s="1168"/>
      <c r="AX177" s="1168"/>
      <c r="AY177" s="1168"/>
      <c r="AZ177" s="1168"/>
      <c r="BA177" s="1168"/>
      <c r="BB177" s="1051"/>
      <c r="BC177" s="1162"/>
      <c r="BD177" s="1162"/>
      <c r="BE177" s="1162"/>
    </row>
    <row r="178" spans="2:57" s="1050" customFormat="1">
      <c r="B178" s="1164" t="s">
        <v>821</v>
      </c>
      <c r="C178" s="1068"/>
      <c r="D178" s="1068"/>
      <c r="E178" s="1076"/>
      <c r="F178" s="1076"/>
      <c r="G178" s="1076"/>
      <c r="H178" s="93"/>
      <c r="I178" s="1082"/>
      <c r="J178" s="1082"/>
      <c r="K178" s="1082"/>
      <c r="L178" s="1082"/>
      <c r="M178" s="1166"/>
      <c r="N178" s="1166"/>
      <c r="O178" s="1166"/>
      <c r="P178" s="1167"/>
      <c r="Q178" s="1054">
        <v>0</v>
      </c>
      <c r="R178" s="1054">
        <v>0</v>
      </c>
      <c r="S178" s="1054">
        <v>0</v>
      </c>
      <c r="T178" s="1054">
        <v>0</v>
      </c>
      <c r="U178" s="1054">
        <v>0</v>
      </c>
      <c r="V178" s="1054">
        <v>0</v>
      </c>
      <c r="W178" s="1054">
        <v>0</v>
      </c>
      <c r="X178" s="1054">
        <v>0</v>
      </c>
      <c r="Y178" s="1054">
        <v>0</v>
      </c>
      <c r="Z178" s="1054">
        <v>0</v>
      </c>
      <c r="AA178" s="1168"/>
      <c r="AB178" s="1168"/>
      <c r="AC178" s="1168"/>
      <c r="AD178" s="1168"/>
      <c r="AE178" s="1168"/>
      <c r="AF178" s="1168"/>
      <c r="AG178" s="1168"/>
      <c r="AH178" s="1168"/>
      <c r="AI178" s="1168"/>
      <c r="AJ178" s="1168"/>
      <c r="AK178" s="1168"/>
      <c r="AL178" s="1168"/>
      <c r="AM178" s="1168"/>
      <c r="AN178" s="1168"/>
      <c r="AO178" s="1168"/>
      <c r="AP178" s="1168"/>
      <c r="AQ178" s="1168"/>
      <c r="AR178" s="1168"/>
      <c r="AS178" s="1168"/>
      <c r="AT178" s="1168"/>
      <c r="AU178" s="1168"/>
      <c r="AV178" s="1168"/>
      <c r="AW178" s="1168"/>
      <c r="AX178" s="1168"/>
      <c r="AY178" s="1168"/>
      <c r="AZ178" s="1168"/>
      <c r="BA178" s="1168"/>
      <c r="BB178" s="1051"/>
      <c r="BC178" s="1162"/>
      <c r="BD178" s="1162"/>
      <c r="BE178" s="1162"/>
    </row>
    <row r="179" spans="2:57" s="1050" customFormat="1">
      <c r="B179" s="1164" t="s">
        <v>822</v>
      </c>
      <c r="C179" s="1068"/>
      <c r="D179" s="1068"/>
      <c r="E179" s="1076"/>
      <c r="F179" s="1076"/>
      <c r="G179" s="1076"/>
      <c r="H179" s="93"/>
      <c r="I179" s="1082"/>
      <c r="J179" s="1082"/>
      <c r="K179" s="1082"/>
      <c r="L179" s="1082"/>
      <c r="M179" s="1082"/>
      <c r="N179" s="1082"/>
      <c r="O179" s="1082"/>
      <c r="P179" s="1115">
        <v>0</v>
      </c>
      <c r="Q179" s="1054">
        <f>SUM(Q174:Q178)</f>
        <v>0</v>
      </c>
      <c r="R179" s="1054">
        <f t="shared" ref="R179:Z179" si="132">SUM(R174:R178)</f>
        <v>0</v>
      </c>
      <c r="S179" s="1054">
        <f t="shared" si="132"/>
        <v>0</v>
      </c>
      <c r="T179" s="1054">
        <f t="shared" si="132"/>
        <v>0</v>
      </c>
      <c r="U179" s="1054">
        <f t="shared" si="132"/>
        <v>0</v>
      </c>
      <c r="V179" s="1054">
        <f t="shared" si="132"/>
        <v>0</v>
      </c>
      <c r="W179" s="1054">
        <f t="shared" si="132"/>
        <v>0</v>
      </c>
      <c r="X179" s="1054">
        <f t="shared" si="132"/>
        <v>0</v>
      </c>
      <c r="Y179" s="1054">
        <f t="shared" si="132"/>
        <v>0</v>
      </c>
      <c r="Z179" s="1054">
        <f t="shared" si="132"/>
        <v>0</v>
      </c>
      <c r="AA179" s="1054"/>
      <c r="AB179" s="1054"/>
      <c r="AC179" s="1054"/>
      <c r="AD179" s="1054"/>
      <c r="AE179" s="1054"/>
      <c r="AF179" s="1054"/>
      <c r="AG179" s="1054"/>
      <c r="AH179" s="1054"/>
      <c r="AI179" s="1054"/>
      <c r="AJ179" s="1054"/>
      <c r="AK179" s="1054"/>
      <c r="AL179" s="1054"/>
      <c r="AM179" s="1054"/>
      <c r="AN179" s="1054"/>
      <c r="AO179" s="1054"/>
      <c r="AP179" s="1054"/>
      <c r="AQ179" s="1054"/>
      <c r="AR179" s="1054"/>
      <c r="AS179" s="1054"/>
      <c r="AT179" s="1054"/>
      <c r="AU179" s="1054"/>
      <c r="AV179" s="1054"/>
      <c r="AW179" s="1054"/>
      <c r="AX179" s="1054"/>
      <c r="AY179" s="1054"/>
      <c r="AZ179" s="1054"/>
      <c r="BA179" s="1054"/>
      <c r="BB179" s="1031"/>
      <c r="BC179" s="1162"/>
      <c r="BD179" s="1162"/>
      <c r="BE179" s="1162"/>
    </row>
    <row r="180" spans="2:57" s="1050" customFormat="1">
      <c r="B180" s="1164"/>
      <c r="C180" s="1068"/>
      <c r="D180" s="1068"/>
      <c r="E180" s="1076"/>
      <c r="F180" s="1076"/>
      <c r="G180" s="1076"/>
      <c r="H180" s="93"/>
      <c r="I180" s="93"/>
      <c r="J180" s="93"/>
      <c r="K180" s="93"/>
      <c r="L180" s="93"/>
      <c r="M180" s="93"/>
      <c r="N180" s="93"/>
      <c r="O180" s="93"/>
      <c r="P180" s="1129"/>
      <c r="Q180" s="93"/>
      <c r="R180" s="93"/>
      <c r="S180" s="93"/>
      <c r="T180" s="93"/>
      <c r="U180" s="93"/>
      <c r="V180" s="93"/>
      <c r="W180" s="93"/>
      <c r="X180" s="93"/>
      <c r="Y180" s="93"/>
      <c r="Z180" s="93"/>
      <c r="AA180" s="93"/>
      <c r="AB180" s="93"/>
      <c r="AC180" s="93"/>
      <c r="AD180" s="93"/>
      <c r="AE180" s="93"/>
      <c r="AF180" s="93"/>
      <c r="AG180" s="93"/>
      <c r="AH180" s="93"/>
      <c r="AI180" s="93"/>
      <c r="AJ180" s="93"/>
      <c r="AK180" s="93"/>
      <c r="AL180" s="93"/>
      <c r="AM180" s="93"/>
      <c r="AN180" s="93"/>
      <c r="AO180" s="93"/>
      <c r="AP180" s="93"/>
      <c r="AQ180" s="93"/>
      <c r="AR180" s="93"/>
      <c r="AS180" s="93"/>
      <c r="AT180" s="93"/>
      <c r="AU180" s="93"/>
      <c r="AV180" s="93"/>
      <c r="AW180" s="93"/>
      <c r="AX180" s="93"/>
      <c r="AY180" s="93"/>
      <c r="AZ180" s="93"/>
      <c r="BA180" s="93"/>
      <c r="BB180" s="1031"/>
      <c r="BC180" s="1162"/>
      <c r="BD180" s="1162"/>
      <c r="BE180" s="1162"/>
    </row>
    <row r="181" spans="2:57" s="1050" customFormat="1">
      <c r="B181" s="1165" t="s">
        <v>827</v>
      </c>
      <c r="C181" s="1068"/>
      <c r="D181" s="1068"/>
      <c r="E181" s="1076"/>
      <c r="F181" s="1076"/>
      <c r="G181" s="1076"/>
      <c r="H181" s="93"/>
      <c r="I181" s="93"/>
      <c r="J181" s="93"/>
      <c r="K181" s="93"/>
      <c r="L181" s="93"/>
      <c r="M181" s="93"/>
      <c r="N181" s="93"/>
      <c r="O181" s="93"/>
      <c r="P181" s="1129"/>
      <c r="Q181" s="93"/>
      <c r="R181" s="93"/>
      <c r="S181" s="93"/>
      <c r="T181" s="93"/>
      <c r="U181" s="93"/>
      <c r="V181" s="93"/>
      <c r="W181" s="93"/>
      <c r="X181" s="93"/>
      <c r="Y181" s="93"/>
      <c r="Z181" s="93"/>
      <c r="AA181" s="93"/>
      <c r="AB181" s="93"/>
      <c r="AC181" s="93"/>
      <c r="AD181" s="93"/>
      <c r="AE181" s="93"/>
      <c r="AF181" s="93"/>
      <c r="AG181" s="93"/>
      <c r="AH181" s="93"/>
      <c r="AI181" s="93"/>
      <c r="AJ181" s="93"/>
      <c r="AK181" s="93"/>
      <c r="AL181" s="93"/>
      <c r="AM181" s="93"/>
      <c r="AN181" s="93"/>
      <c r="AO181" s="93"/>
      <c r="AP181" s="93"/>
      <c r="AQ181" s="93"/>
      <c r="AR181" s="93"/>
      <c r="AS181" s="93"/>
      <c r="AT181" s="93"/>
      <c r="AU181" s="93"/>
      <c r="AV181" s="93"/>
      <c r="AW181" s="93"/>
      <c r="AX181" s="93"/>
      <c r="AY181" s="93"/>
      <c r="AZ181" s="93"/>
      <c r="BA181" s="93"/>
      <c r="BB181" s="1031"/>
      <c r="BC181" s="1162"/>
      <c r="BD181" s="1162"/>
      <c r="BE181" s="1162"/>
    </row>
    <row r="182" spans="2:57" s="1050" customFormat="1">
      <c r="B182" s="1164" t="s">
        <v>818</v>
      </c>
      <c r="C182" s="1068"/>
      <c r="D182" s="1068"/>
      <c r="E182" s="1076"/>
      <c r="F182" s="1076"/>
      <c r="G182" s="1076"/>
      <c r="H182" s="93"/>
      <c r="I182" s="1082"/>
      <c r="J182" s="1082"/>
      <c r="K182" s="1082"/>
      <c r="L182" s="1082"/>
      <c r="M182" s="1082"/>
      <c r="N182" s="1082"/>
      <c r="O182" s="1082"/>
      <c r="P182" s="1115"/>
      <c r="Q182" s="1054">
        <f>P186</f>
        <v>0</v>
      </c>
      <c r="R182" s="1054">
        <f t="shared" ref="R182:Z182" si="133">Q186</f>
        <v>0</v>
      </c>
      <c r="S182" s="1054">
        <f t="shared" si="133"/>
        <v>0</v>
      </c>
      <c r="T182" s="1054">
        <f t="shared" si="133"/>
        <v>0</v>
      </c>
      <c r="U182" s="1054">
        <f t="shared" si="133"/>
        <v>0</v>
      </c>
      <c r="V182" s="1054">
        <f t="shared" si="133"/>
        <v>0</v>
      </c>
      <c r="W182" s="1054">
        <f t="shared" si="133"/>
        <v>0</v>
      </c>
      <c r="X182" s="1054">
        <f t="shared" si="133"/>
        <v>0</v>
      </c>
      <c r="Y182" s="1054">
        <f t="shared" si="133"/>
        <v>0</v>
      </c>
      <c r="Z182" s="1054">
        <f t="shared" si="133"/>
        <v>0</v>
      </c>
      <c r="AA182" s="1054"/>
      <c r="AB182" s="1054"/>
      <c r="AC182" s="1054"/>
      <c r="AD182" s="1054"/>
      <c r="AE182" s="1054"/>
      <c r="AF182" s="1054"/>
      <c r="AG182" s="1054"/>
      <c r="AH182" s="1054"/>
      <c r="AI182" s="1054"/>
      <c r="AJ182" s="1054"/>
      <c r="AK182" s="1054"/>
      <c r="AL182" s="1054"/>
      <c r="AM182" s="1054"/>
      <c r="AN182" s="1054"/>
      <c r="AO182" s="1054"/>
      <c r="AP182" s="1054"/>
      <c r="AQ182" s="1054"/>
      <c r="AR182" s="1054"/>
      <c r="AS182" s="1054"/>
      <c r="AT182" s="1054"/>
      <c r="AU182" s="1054"/>
      <c r="AV182" s="1054"/>
      <c r="AW182" s="1054"/>
      <c r="AX182" s="1054"/>
      <c r="AY182" s="1054"/>
      <c r="AZ182" s="1054"/>
      <c r="BA182" s="1054"/>
      <c r="BB182" s="1031"/>
      <c r="BC182" s="1162"/>
      <c r="BD182" s="1162"/>
      <c r="BE182" s="1162"/>
    </row>
    <row r="183" spans="2:57" s="1050" customFormat="1">
      <c r="B183" s="1164" t="s">
        <v>819</v>
      </c>
      <c r="C183" s="1068"/>
      <c r="D183" s="1068"/>
      <c r="E183" s="1076"/>
      <c r="F183" s="1076"/>
      <c r="G183" s="1076"/>
      <c r="H183" s="93"/>
      <c r="I183" s="1082"/>
      <c r="J183" s="1082"/>
      <c r="K183" s="1082"/>
      <c r="L183" s="1082"/>
      <c r="M183" s="1082"/>
      <c r="N183" s="1082"/>
      <c r="O183" s="1082"/>
      <c r="P183" s="1115"/>
      <c r="Q183" s="1054">
        <v>0</v>
      </c>
      <c r="R183" s="1054">
        <v>0</v>
      </c>
      <c r="S183" s="1054">
        <v>0</v>
      </c>
      <c r="T183" s="1054">
        <v>0</v>
      </c>
      <c r="U183" s="1054">
        <v>0</v>
      </c>
      <c r="V183" s="1054">
        <v>0</v>
      </c>
      <c r="W183" s="1054">
        <v>0</v>
      </c>
      <c r="X183" s="1054">
        <v>0</v>
      </c>
      <c r="Y183" s="1054">
        <v>0</v>
      </c>
      <c r="Z183" s="1054">
        <v>0</v>
      </c>
      <c r="AA183" s="1054"/>
      <c r="AB183" s="1054"/>
      <c r="AC183" s="1054"/>
      <c r="AD183" s="1054"/>
      <c r="AE183" s="1054"/>
      <c r="AF183" s="1054"/>
      <c r="AG183" s="1054"/>
      <c r="AH183" s="1054"/>
      <c r="AI183" s="1054"/>
      <c r="AJ183" s="1054"/>
      <c r="AK183" s="1054"/>
      <c r="AL183" s="1054"/>
      <c r="AM183" s="1054"/>
      <c r="AN183" s="1054"/>
      <c r="AO183" s="1054"/>
      <c r="AP183" s="1054"/>
      <c r="AQ183" s="1054"/>
      <c r="AR183" s="1054"/>
      <c r="AS183" s="1054"/>
      <c r="AT183" s="1054"/>
      <c r="AU183" s="1054"/>
      <c r="AV183" s="1054"/>
      <c r="AW183" s="1054"/>
      <c r="AX183" s="1054"/>
      <c r="AY183" s="1054"/>
      <c r="AZ183" s="1054"/>
      <c r="BA183" s="1054"/>
      <c r="BB183" s="1031"/>
      <c r="BC183" s="1162"/>
      <c r="BD183" s="1162"/>
      <c r="BE183" s="1162"/>
    </row>
    <row r="184" spans="2:57" s="1050" customFormat="1">
      <c r="B184" s="1164" t="s">
        <v>828</v>
      </c>
      <c r="C184" s="1068"/>
      <c r="D184" s="1068"/>
      <c r="E184" s="1076"/>
      <c r="F184" s="1076"/>
      <c r="G184" s="1076"/>
      <c r="H184" s="93"/>
      <c r="I184" s="1082"/>
      <c r="J184" s="1082"/>
      <c r="K184" s="1082"/>
      <c r="L184" s="1082"/>
      <c r="M184" s="1082"/>
      <c r="N184" s="1082"/>
      <c r="O184" s="1082"/>
      <c r="P184" s="1115"/>
      <c r="Q184" s="1054">
        <v>0</v>
      </c>
      <c r="R184" s="1054">
        <v>0</v>
      </c>
      <c r="S184" s="1054">
        <v>0</v>
      </c>
      <c r="T184" s="1054">
        <v>0</v>
      </c>
      <c r="U184" s="1054">
        <v>0</v>
      </c>
      <c r="V184" s="1054">
        <v>0</v>
      </c>
      <c r="W184" s="1054">
        <v>0</v>
      </c>
      <c r="X184" s="1054">
        <v>0</v>
      </c>
      <c r="Y184" s="1054">
        <v>0</v>
      </c>
      <c r="Z184" s="1054">
        <v>0</v>
      </c>
      <c r="AA184" s="1054"/>
      <c r="AB184" s="1054"/>
      <c r="AC184" s="1054"/>
      <c r="AD184" s="1054"/>
      <c r="AE184" s="1054"/>
      <c r="AF184" s="1054"/>
      <c r="AG184" s="1054"/>
      <c r="AH184" s="1054"/>
      <c r="AI184" s="1054"/>
      <c r="AJ184" s="1054"/>
      <c r="AK184" s="1054"/>
      <c r="AL184" s="1054"/>
      <c r="AM184" s="1054"/>
      <c r="AN184" s="1054"/>
      <c r="AO184" s="1054"/>
      <c r="AP184" s="1054"/>
      <c r="AQ184" s="1054"/>
      <c r="AR184" s="1054"/>
      <c r="AS184" s="1054"/>
      <c r="AT184" s="1054"/>
      <c r="AU184" s="1054"/>
      <c r="AV184" s="1054"/>
      <c r="AW184" s="1054"/>
      <c r="AX184" s="1054"/>
      <c r="AY184" s="1054"/>
      <c r="AZ184" s="1054"/>
      <c r="BA184" s="1054"/>
      <c r="BB184" s="1031"/>
      <c r="BC184" s="1162"/>
      <c r="BD184" s="1162"/>
      <c r="BE184" s="1162"/>
    </row>
    <row r="185" spans="2:57" s="480" customFormat="1">
      <c r="B185" s="1164" t="s">
        <v>821</v>
      </c>
      <c r="C185" s="1080"/>
      <c r="D185" s="1080"/>
      <c r="E185" s="1081"/>
      <c r="F185" s="1081"/>
      <c r="G185" s="1081"/>
      <c r="H185" s="93"/>
      <c r="I185" s="1082"/>
      <c r="J185" s="1082"/>
      <c r="K185" s="1082"/>
      <c r="L185" s="1082"/>
      <c r="M185" s="1082"/>
      <c r="N185" s="1082"/>
      <c r="O185" s="1082"/>
      <c r="P185" s="1115"/>
      <c r="Q185" s="1054">
        <v>0</v>
      </c>
      <c r="R185" s="1054">
        <v>0</v>
      </c>
      <c r="S185" s="1054">
        <v>0</v>
      </c>
      <c r="T185" s="1054">
        <v>0</v>
      </c>
      <c r="U185" s="1054">
        <v>0</v>
      </c>
      <c r="V185" s="1054">
        <v>0</v>
      </c>
      <c r="W185" s="1054">
        <v>0</v>
      </c>
      <c r="X185" s="1054">
        <v>0</v>
      </c>
      <c r="Y185" s="1054">
        <v>0</v>
      </c>
      <c r="Z185" s="1054">
        <v>0</v>
      </c>
      <c r="AA185" s="1054"/>
      <c r="AB185" s="1054"/>
      <c r="AC185" s="1054"/>
      <c r="AD185" s="1054"/>
      <c r="AE185" s="1054"/>
      <c r="AF185" s="1054"/>
      <c r="AG185" s="1054"/>
      <c r="AH185" s="1054"/>
      <c r="AI185" s="1054"/>
      <c r="AJ185" s="1054"/>
      <c r="AK185" s="1054"/>
      <c r="AL185" s="1054"/>
      <c r="AM185" s="1054"/>
      <c r="AN185" s="1054"/>
      <c r="AO185" s="1054"/>
      <c r="AP185" s="1054"/>
      <c r="AQ185" s="1054"/>
      <c r="AR185" s="1054"/>
      <c r="AS185" s="1054"/>
      <c r="AT185" s="1054"/>
      <c r="AU185" s="1054"/>
      <c r="AV185" s="1054"/>
      <c r="AW185" s="1054"/>
      <c r="AX185" s="1054"/>
      <c r="AY185" s="1054"/>
      <c r="AZ185" s="1054"/>
      <c r="BA185" s="1054"/>
      <c r="BB185" s="1031"/>
      <c r="BC185" s="424"/>
      <c r="BD185" s="424"/>
      <c r="BE185" s="424"/>
    </row>
    <row r="186" spans="2:57" s="1050" customFormat="1">
      <c r="B186" s="1164" t="s">
        <v>822</v>
      </c>
      <c r="C186" s="1068"/>
      <c r="D186" s="1068"/>
      <c r="E186" s="1076"/>
      <c r="F186" s="1076"/>
      <c r="G186" s="1076"/>
      <c r="H186" s="93"/>
      <c r="I186" s="1082"/>
      <c r="J186" s="1082"/>
      <c r="K186" s="1082"/>
      <c r="L186" s="1082"/>
      <c r="M186" s="1082"/>
      <c r="N186" s="1082"/>
      <c r="O186" s="1082"/>
      <c r="P186" s="1115">
        <v>0</v>
      </c>
      <c r="Q186" s="1054">
        <f>SUM(Q182:Q185)</f>
        <v>0</v>
      </c>
      <c r="R186" s="1054">
        <f t="shared" ref="R186:Z186" si="134">SUM(R182:R185)</f>
        <v>0</v>
      </c>
      <c r="S186" s="1054">
        <f t="shared" si="134"/>
        <v>0</v>
      </c>
      <c r="T186" s="1054">
        <f t="shared" si="134"/>
        <v>0</v>
      </c>
      <c r="U186" s="1054">
        <f t="shared" si="134"/>
        <v>0</v>
      </c>
      <c r="V186" s="1054">
        <f t="shared" si="134"/>
        <v>0</v>
      </c>
      <c r="W186" s="1054">
        <f t="shared" si="134"/>
        <v>0</v>
      </c>
      <c r="X186" s="1054">
        <f t="shared" si="134"/>
        <v>0</v>
      </c>
      <c r="Y186" s="1054">
        <f t="shared" si="134"/>
        <v>0</v>
      </c>
      <c r="Z186" s="1054">
        <f t="shared" si="134"/>
        <v>0</v>
      </c>
      <c r="AA186" s="1054"/>
      <c r="AB186" s="1054"/>
      <c r="AC186" s="1054"/>
      <c r="AD186" s="1054"/>
      <c r="AE186" s="1054"/>
      <c r="AF186" s="1054"/>
      <c r="AG186" s="1054"/>
      <c r="AH186" s="1054"/>
      <c r="AI186" s="1054"/>
      <c r="AJ186" s="1054"/>
      <c r="AK186" s="1054"/>
      <c r="AL186" s="1054"/>
      <c r="AM186" s="1054"/>
      <c r="AN186" s="1054"/>
      <c r="AO186" s="1054"/>
      <c r="AP186" s="1054"/>
      <c r="AQ186" s="1054"/>
      <c r="AR186" s="1054"/>
      <c r="AS186" s="1054"/>
      <c r="AT186" s="1054"/>
      <c r="AU186" s="1054"/>
      <c r="AV186" s="1054"/>
      <c r="AW186" s="1054"/>
      <c r="AX186" s="1054"/>
      <c r="AY186" s="1054"/>
      <c r="AZ186" s="1054"/>
      <c r="BA186" s="1054"/>
      <c r="BB186" s="1031"/>
      <c r="BC186" s="1162"/>
      <c r="BD186" s="1162"/>
      <c r="BE186" s="1162"/>
    </row>
    <row r="187" spans="2:57" s="1050" customFormat="1">
      <c r="B187" s="1164"/>
      <c r="C187" s="1068"/>
      <c r="D187" s="1068"/>
      <c r="E187" s="1076"/>
      <c r="F187" s="1076"/>
      <c r="G187" s="1076"/>
      <c r="H187" s="93"/>
      <c r="I187" s="93"/>
      <c r="J187" s="93"/>
      <c r="K187" s="93"/>
      <c r="L187" s="93"/>
      <c r="M187" s="93"/>
      <c r="N187" s="93"/>
      <c r="O187" s="93"/>
      <c r="P187" s="1129"/>
      <c r="Q187" s="93"/>
      <c r="R187" s="93"/>
      <c r="S187" s="93"/>
      <c r="T187" s="93"/>
      <c r="U187" s="93"/>
      <c r="V187" s="93"/>
      <c r="W187" s="93"/>
      <c r="X187" s="93"/>
      <c r="Y187" s="93"/>
      <c r="Z187" s="93"/>
      <c r="AA187" s="93"/>
      <c r="AB187" s="93"/>
      <c r="AC187" s="93"/>
      <c r="AD187" s="93"/>
      <c r="AE187" s="93"/>
      <c r="AF187" s="93"/>
      <c r="AG187" s="93"/>
      <c r="AH187" s="93"/>
      <c r="AI187" s="93"/>
      <c r="AJ187" s="93"/>
      <c r="AK187" s="93"/>
      <c r="AL187" s="93"/>
      <c r="AM187" s="93"/>
      <c r="AN187" s="93"/>
      <c r="AO187" s="93"/>
      <c r="AP187" s="93"/>
      <c r="AQ187" s="93"/>
      <c r="AR187" s="93"/>
      <c r="AS187" s="93"/>
      <c r="AT187" s="93"/>
      <c r="AU187" s="93"/>
      <c r="AV187" s="93"/>
      <c r="AW187" s="93"/>
      <c r="AX187" s="93"/>
      <c r="AY187" s="93"/>
      <c r="AZ187" s="93"/>
      <c r="BA187" s="93"/>
      <c r="BB187" s="1031"/>
      <c r="BC187" s="1162"/>
      <c r="BD187" s="1162"/>
      <c r="BE187" s="1162"/>
    </row>
    <row r="188" spans="2:57" s="1050" customFormat="1">
      <c r="B188" s="1165" t="s">
        <v>829</v>
      </c>
      <c r="C188" s="1068"/>
      <c r="D188" s="1068"/>
      <c r="E188" s="1076"/>
      <c r="F188" s="1076"/>
      <c r="G188" s="1076"/>
      <c r="H188" s="93"/>
      <c r="I188" s="93"/>
      <c r="J188" s="93"/>
      <c r="K188" s="93"/>
      <c r="L188" s="93"/>
      <c r="M188" s="93"/>
      <c r="N188" s="93"/>
      <c r="O188" s="93"/>
      <c r="P188" s="1129"/>
      <c r="Q188" s="93"/>
      <c r="R188" s="93"/>
      <c r="S188" s="93"/>
      <c r="T188" s="93"/>
      <c r="U188" s="93"/>
      <c r="V188" s="93"/>
      <c r="W188" s="93"/>
      <c r="X188" s="93"/>
      <c r="Y188" s="93"/>
      <c r="Z188" s="93"/>
      <c r="AA188" s="93"/>
      <c r="AB188" s="93"/>
      <c r="AC188" s="93"/>
      <c r="AD188" s="93"/>
      <c r="AE188" s="93"/>
      <c r="AF188" s="93"/>
      <c r="AG188" s="93"/>
      <c r="AH188" s="93"/>
      <c r="AI188" s="93"/>
      <c r="AJ188" s="93"/>
      <c r="AK188" s="93"/>
      <c r="AL188" s="93"/>
      <c r="AM188" s="93"/>
      <c r="AN188" s="93"/>
      <c r="AO188" s="93"/>
      <c r="AP188" s="93"/>
      <c r="AQ188" s="93"/>
      <c r="AR188" s="93"/>
      <c r="AS188" s="93"/>
      <c r="AT188" s="93"/>
      <c r="AU188" s="93"/>
      <c r="AV188" s="93"/>
      <c r="AW188" s="93"/>
      <c r="AX188" s="93"/>
      <c r="AY188" s="93"/>
      <c r="AZ188" s="93"/>
      <c r="BA188" s="93"/>
      <c r="BB188" s="1031"/>
      <c r="BC188" s="1162"/>
      <c r="BD188" s="1162"/>
      <c r="BE188" s="1162"/>
    </row>
    <row r="189" spans="2:57" s="1050" customFormat="1">
      <c r="B189" s="1164" t="s">
        <v>818</v>
      </c>
      <c r="C189" s="1068"/>
      <c r="D189" s="1068"/>
      <c r="E189" s="1076"/>
      <c r="F189" s="1076"/>
      <c r="G189" s="1076"/>
      <c r="H189" s="93"/>
      <c r="I189" s="1082"/>
      <c r="J189" s="1082"/>
      <c r="K189" s="1082"/>
      <c r="L189" s="1082"/>
      <c r="M189" s="1082"/>
      <c r="N189" s="1082"/>
      <c r="O189" s="1082"/>
      <c r="P189" s="1115"/>
      <c r="Q189" s="1054">
        <f>P193</f>
        <v>0</v>
      </c>
      <c r="R189" s="1054">
        <f t="shared" ref="R189:Z189" si="135">Q193</f>
        <v>0</v>
      </c>
      <c r="S189" s="1054">
        <f t="shared" si="135"/>
        <v>0</v>
      </c>
      <c r="T189" s="1054">
        <f t="shared" si="135"/>
        <v>0</v>
      </c>
      <c r="U189" s="1054">
        <f t="shared" si="135"/>
        <v>0</v>
      </c>
      <c r="V189" s="1054">
        <f t="shared" si="135"/>
        <v>0</v>
      </c>
      <c r="W189" s="1054">
        <f t="shared" si="135"/>
        <v>0</v>
      </c>
      <c r="X189" s="1054">
        <f t="shared" si="135"/>
        <v>0</v>
      </c>
      <c r="Y189" s="1054">
        <f t="shared" si="135"/>
        <v>0</v>
      </c>
      <c r="Z189" s="1054">
        <f t="shared" si="135"/>
        <v>0</v>
      </c>
      <c r="AA189" s="1054"/>
      <c r="AB189" s="1054"/>
      <c r="AC189" s="1054"/>
      <c r="AD189" s="1054"/>
      <c r="AE189" s="1054"/>
      <c r="AF189" s="1054"/>
      <c r="AG189" s="1054"/>
      <c r="AH189" s="1054"/>
      <c r="AI189" s="1054"/>
      <c r="AJ189" s="1054"/>
      <c r="AK189" s="1054"/>
      <c r="AL189" s="1054"/>
      <c r="AM189" s="1054"/>
      <c r="AN189" s="1054"/>
      <c r="AO189" s="1054"/>
      <c r="AP189" s="1054"/>
      <c r="AQ189" s="1054"/>
      <c r="AR189" s="1054"/>
      <c r="AS189" s="1054"/>
      <c r="AT189" s="1054"/>
      <c r="AU189" s="1054"/>
      <c r="AV189" s="1054"/>
      <c r="AW189" s="1054"/>
      <c r="AX189" s="1054"/>
      <c r="AY189" s="1054"/>
      <c r="AZ189" s="1054"/>
      <c r="BA189" s="1054"/>
      <c r="BB189" s="1031"/>
      <c r="BC189" s="1162"/>
      <c r="BD189" s="1162"/>
      <c r="BE189" s="1162"/>
    </row>
    <row r="190" spans="2:57" s="1050" customFormat="1">
      <c r="B190" s="1164" t="s">
        <v>819</v>
      </c>
      <c r="C190" s="1068"/>
      <c r="D190" s="1068"/>
      <c r="E190" s="1076"/>
      <c r="F190" s="1076"/>
      <c r="G190" s="1076"/>
      <c r="H190" s="93"/>
      <c r="I190" s="1082"/>
      <c r="J190" s="1082"/>
      <c r="K190" s="1082"/>
      <c r="L190" s="1082"/>
      <c r="M190" s="1082"/>
      <c r="N190" s="1082"/>
      <c r="O190" s="1082"/>
      <c r="P190" s="1115"/>
      <c r="Q190" s="1054">
        <v>0</v>
      </c>
      <c r="R190" s="1054">
        <v>0</v>
      </c>
      <c r="S190" s="1054">
        <v>0</v>
      </c>
      <c r="T190" s="1054">
        <v>0</v>
      </c>
      <c r="U190" s="1054">
        <v>0</v>
      </c>
      <c r="V190" s="1054">
        <v>0</v>
      </c>
      <c r="W190" s="1054">
        <v>0</v>
      </c>
      <c r="X190" s="1054">
        <v>0</v>
      </c>
      <c r="Y190" s="1054">
        <v>0</v>
      </c>
      <c r="Z190" s="1054">
        <v>0</v>
      </c>
      <c r="AA190" s="1054"/>
      <c r="AB190" s="1054"/>
      <c r="AC190" s="1054"/>
      <c r="AD190" s="1054"/>
      <c r="AE190" s="1054"/>
      <c r="AF190" s="1054"/>
      <c r="AG190" s="1054"/>
      <c r="AH190" s="1054"/>
      <c r="AI190" s="1054"/>
      <c r="AJ190" s="1054"/>
      <c r="AK190" s="1054"/>
      <c r="AL190" s="1054"/>
      <c r="AM190" s="1054"/>
      <c r="AN190" s="1054"/>
      <c r="AO190" s="1054"/>
      <c r="AP190" s="1054"/>
      <c r="AQ190" s="1054"/>
      <c r="AR190" s="1054"/>
      <c r="AS190" s="1054"/>
      <c r="AT190" s="1054"/>
      <c r="AU190" s="1054"/>
      <c r="AV190" s="1054"/>
      <c r="AW190" s="1054"/>
      <c r="AX190" s="1054"/>
      <c r="AY190" s="1054"/>
      <c r="AZ190" s="1054"/>
      <c r="BA190" s="1054"/>
      <c r="BB190" s="1031"/>
      <c r="BC190" s="1162"/>
      <c r="BD190" s="1162"/>
      <c r="BE190" s="1162"/>
    </row>
    <row r="191" spans="2:57" s="1050" customFormat="1">
      <c r="B191" s="1164" t="s">
        <v>828</v>
      </c>
      <c r="C191" s="1068"/>
      <c r="D191" s="1068"/>
      <c r="E191" s="1076"/>
      <c r="F191" s="1076"/>
      <c r="G191" s="1076"/>
      <c r="H191" s="93"/>
      <c r="I191" s="1082"/>
      <c r="J191" s="1082"/>
      <c r="K191" s="1082"/>
      <c r="L191" s="1082"/>
      <c r="M191" s="1082"/>
      <c r="N191" s="1082"/>
      <c r="O191" s="1082"/>
      <c r="P191" s="1115"/>
      <c r="Q191" s="1054">
        <v>0</v>
      </c>
      <c r="R191" s="1054">
        <v>0</v>
      </c>
      <c r="S191" s="1054">
        <v>0</v>
      </c>
      <c r="T191" s="1054">
        <v>0</v>
      </c>
      <c r="U191" s="1054">
        <v>0</v>
      </c>
      <c r="V191" s="1054">
        <v>0</v>
      </c>
      <c r="W191" s="1054">
        <v>0</v>
      </c>
      <c r="X191" s="1054">
        <v>0</v>
      </c>
      <c r="Y191" s="1054">
        <v>0</v>
      </c>
      <c r="Z191" s="1054">
        <v>0</v>
      </c>
      <c r="AA191" s="1054"/>
      <c r="AB191" s="1054"/>
      <c r="AC191" s="1054"/>
      <c r="AD191" s="1054"/>
      <c r="AE191" s="1054"/>
      <c r="AF191" s="1054"/>
      <c r="AG191" s="1054"/>
      <c r="AH191" s="1054"/>
      <c r="AI191" s="1054"/>
      <c r="AJ191" s="1054"/>
      <c r="AK191" s="1054"/>
      <c r="AL191" s="1054"/>
      <c r="AM191" s="1054"/>
      <c r="AN191" s="1054"/>
      <c r="AO191" s="1054"/>
      <c r="AP191" s="1054"/>
      <c r="AQ191" s="1054"/>
      <c r="AR191" s="1054"/>
      <c r="AS191" s="1054"/>
      <c r="AT191" s="1054"/>
      <c r="AU191" s="1054"/>
      <c r="AV191" s="1054"/>
      <c r="AW191" s="1054"/>
      <c r="AX191" s="1054"/>
      <c r="AY191" s="1054"/>
      <c r="AZ191" s="1054"/>
      <c r="BA191" s="1054"/>
      <c r="BB191" s="1031"/>
      <c r="BC191" s="1162"/>
      <c r="BD191" s="1162"/>
      <c r="BE191" s="1162"/>
    </row>
    <row r="192" spans="2:57" s="1050" customFormat="1">
      <c r="B192" s="1164" t="s">
        <v>821</v>
      </c>
      <c r="C192" s="1068"/>
      <c r="D192" s="1068"/>
      <c r="E192" s="1076"/>
      <c r="F192" s="1076"/>
      <c r="G192" s="1076"/>
      <c r="H192" s="93"/>
      <c r="I192" s="1082"/>
      <c r="J192" s="1082"/>
      <c r="K192" s="1082"/>
      <c r="L192" s="1082"/>
      <c r="M192" s="1082"/>
      <c r="N192" s="1082"/>
      <c r="O192" s="1082"/>
      <c r="P192" s="1115"/>
      <c r="Q192" s="1054">
        <v>0</v>
      </c>
      <c r="R192" s="1054">
        <v>0</v>
      </c>
      <c r="S192" s="1054">
        <v>0</v>
      </c>
      <c r="T192" s="1054">
        <v>0</v>
      </c>
      <c r="U192" s="1054">
        <v>0</v>
      </c>
      <c r="V192" s="1054">
        <v>0</v>
      </c>
      <c r="W192" s="1054">
        <v>0</v>
      </c>
      <c r="X192" s="1054">
        <v>0</v>
      </c>
      <c r="Y192" s="1054">
        <v>0</v>
      </c>
      <c r="Z192" s="1054">
        <v>0</v>
      </c>
      <c r="AA192" s="1054"/>
      <c r="AB192" s="1054"/>
      <c r="AC192" s="1054"/>
      <c r="AD192" s="1054"/>
      <c r="AE192" s="1054"/>
      <c r="AF192" s="1054"/>
      <c r="AG192" s="1054"/>
      <c r="AH192" s="1054"/>
      <c r="AI192" s="1054"/>
      <c r="AJ192" s="1054"/>
      <c r="AK192" s="1054"/>
      <c r="AL192" s="1054"/>
      <c r="AM192" s="1054"/>
      <c r="AN192" s="1054"/>
      <c r="AO192" s="1054"/>
      <c r="AP192" s="1054"/>
      <c r="AQ192" s="1054"/>
      <c r="AR192" s="1054"/>
      <c r="AS192" s="1054"/>
      <c r="AT192" s="1054"/>
      <c r="AU192" s="1054"/>
      <c r="AV192" s="1054"/>
      <c r="AW192" s="1054"/>
      <c r="AX192" s="1054"/>
      <c r="AY192" s="1054"/>
      <c r="AZ192" s="1054"/>
      <c r="BA192" s="1054"/>
      <c r="BB192" s="1031"/>
      <c r="BC192" s="1162"/>
      <c r="BD192" s="1162"/>
      <c r="BE192" s="1162"/>
    </row>
    <row r="193" spans="2:57" s="1050" customFormat="1">
      <c r="B193" s="1164" t="s">
        <v>822</v>
      </c>
      <c r="C193" s="1068"/>
      <c r="D193" s="1068"/>
      <c r="E193" s="1076"/>
      <c r="F193" s="1076"/>
      <c r="G193" s="1076"/>
      <c r="H193" s="93"/>
      <c r="I193" s="1082"/>
      <c r="J193" s="1082"/>
      <c r="K193" s="1082"/>
      <c r="L193" s="1082"/>
      <c r="M193" s="1082"/>
      <c r="N193" s="1082"/>
      <c r="O193" s="1082"/>
      <c r="P193" s="1115">
        <v>0</v>
      </c>
      <c r="Q193" s="1054">
        <f>SUM(Q189:Q192)</f>
        <v>0</v>
      </c>
      <c r="R193" s="1054">
        <f t="shared" ref="R193:Z193" si="136">SUM(R189:R192)</f>
        <v>0</v>
      </c>
      <c r="S193" s="1054">
        <f t="shared" si="136"/>
        <v>0</v>
      </c>
      <c r="T193" s="1054">
        <f t="shared" si="136"/>
        <v>0</v>
      </c>
      <c r="U193" s="1054">
        <f t="shared" si="136"/>
        <v>0</v>
      </c>
      <c r="V193" s="1054">
        <f t="shared" si="136"/>
        <v>0</v>
      </c>
      <c r="W193" s="1054">
        <f t="shared" si="136"/>
        <v>0</v>
      </c>
      <c r="X193" s="1054">
        <f t="shared" si="136"/>
        <v>0</v>
      </c>
      <c r="Y193" s="1054">
        <f t="shared" si="136"/>
        <v>0</v>
      </c>
      <c r="Z193" s="1054">
        <f t="shared" si="136"/>
        <v>0</v>
      </c>
      <c r="AA193" s="1054"/>
      <c r="AB193" s="1054"/>
      <c r="AC193" s="1054"/>
      <c r="AD193" s="1054"/>
      <c r="AE193" s="1054"/>
      <c r="AF193" s="1054"/>
      <c r="AG193" s="1054"/>
      <c r="AH193" s="1054"/>
      <c r="AI193" s="1054"/>
      <c r="AJ193" s="1054"/>
      <c r="AK193" s="1054"/>
      <c r="AL193" s="1054"/>
      <c r="AM193" s="1054"/>
      <c r="AN193" s="1054"/>
      <c r="AO193" s="1054"/>
      <c r="AP193" s="1054"/>
      <c r="AQ193" s="1054"/>
      <c r="AR193" s="1054"/>
      <c r="AS193" s="1054"/>
      <c r="AT193" s="1054"/>
      <c r="AU193" s="1054"/>
      <c r="AV193" s="1054"/>
      <c r="AW193" s="1054"/>
      <c r="AX193" s="1054"/>
      <c r="AY193" s="1054"/>
      <c r="AZ193" s="1054"/>
      <c r="BA193" s="1054"/>
      <c r="BB193" s="1031"/>
      <c r="BC193" s="1162"/>
      <c r="BD193" s="1162"/>
      <c r="BE193" s="1162"/>
    </row>
    <row r="194" spans="2:57" s="1050" customFormat="1">
      <c r="B194" s="1164"/>
      <c r="C194" s="1068"/>
      <c r="D194" s="1068"/>
      <c r="E194" s="1076"/>
      <c r="F194" s="1076"/>
      <c r="G194" s="1076"/>
      <c r="H194" s="93"/>
      <c r="I194" s="93"/>
      <c r="J194" s="93"/>
      <c r="K194" s="93"/>
      <c r="L194" s="93"/>
      <c r="M194" s="93"/>
      <c r="N194" s="93"/>
      <c r="O194" s="93"/>
      <c r="P194" s="1129"/>
      <c r="Q194" s="93"/>
      <c r="R194" s="93"/>
      <c r="S194" s="93"/>
      <c r="T194" s="93"/>
      <c r="U194" s="93"/>
      <c r="V194" s="93"/>
      <c r="W194" s="93"/>
      <c r="X194" s="93"/>
      <c r="Y194" s="93"/>
      <c r="Z194" s="93"/>
      <c r="AA194" s="93"/>
      <c r="AB194" s="93"/>
      <c r="AC194" s="93"/>
      <c r="AD194" s="93"/>
      <c r="AE194" s="93"/>
      <c r="AF194" s="93"/>
      <c r="AG194" s="93"/>
      <c r="AH194" s="93"/>
      <c r="AI194" s="93"/>
      <c r="AJ194" s="93"/>
      <c r="AK194" s="93"/>
      <c r="AL194" s="93"/>
      <c r="AM194" s="93"/>
      <c r="AN194" s="93"/>
      <c r="AO194" s="93"/>
      <c r="AP194" s="93"/>
      <c r="AQ194" s="93"/>
      <c r="AR194" s="93"/>
      <c r="AS194" s="93"/>
      <c r="AT194" s="93"/>
      <c r="AU194" s="93"/>
      <c r="AV194" s="93"/>
      <c r="AW194" s="93"/>
      <c r="AX194" s="93"/>
      <c r="AY194" s="93"/>
      <c r="AZ194" s="93"/>
      <c r="BA194" s="93"/>
      <c r="BB194" s="1031"/>
      <c r="BC194" s="1162"/>
      <c r="BD194" s="1162"/>
      <c r="BE194" s="1162"/>
    </row>
    <row r="195" spans="2:57" s="1050" customFormat="1">
      <c r="B195" s="1165" t="s">
        <v>830</v>
      </c>
      <c r="C195" s="1068"/>
      <c r="D195" s="1068"/>
      <c r="E195" s="1076"/>
      <c r="F195" s="1076"/>
      <c r="G195" s="1076"/>
      <c r="H195" s="93"/>
      <c r="I195" s="93"/>
      <c r="J195" s="93"/>
      <c r="K195" s="93"/>
      <c r="L195" s="93"/>
      <c r="M195" s="93"/>
      <c r="N195" s="93"/>
      <c r="O195" s="93"/>
      <c r="P195" s="1129"/>
      <c r="Q195" s="93"/>
      <c r="R195" s="93"/>
      <c r="S195" s="93"/>
      <c r="T195" s="93"/>
      <c r="U195" s="93"/>
      <c r="V195" s="93"/>
      <c r="W195" s="93"/>
      <c r="X195" s="93"/>
      <c r="Y195" s="93"/>
      <c r="Z195" s="93"/>
      <c r="AA195" s="93"/>
      <c r="AB195" s="93"/>
      <c r="AC195" s="93"/>
      <c r="AD195" s="93"/>
      <c r="AE195" s="93"/>
      <c r="AF195" s="93"/>
      <c r="AG195" s="93"/>
      <c r="AH195" s="93"/>
      <c r="AI195" s="93"/>
      <c r="AJ195" s="93"/>
      <c r="AK195" s="93"/>
      <c r="AL195" s="93"/>
      <c r="AM195" s="93"/>
      <c r="AN195" s="93"/>
      <c r="AO195" s="93"/>
      <c r="AP195" s="93"/>
      <c r="AQ195" s="93"/>
      <c r="AR195" s="93"/>
      <c r="AS195" s="93"/>
      <c r="AT195" s="93"/>
      <c r="AU195" s="93"/>
      <c r="AV195" s="93"/>
      <c r="AW195" s="93"/>
      <c r="AX195" s="93"/>
      <c r="AY195" s="93"/>
      <c r="AZ195" s="93"/>
      <c r="BA195" s="93"/>
      <c r="BB195" s="1031"/>
      <c r="BC195" s="1162"/>
      <c r="BD195" s="1162"/>
      <c r="BE195" s="1162"/>
    </row>
    <row r="196" spans="2:57" s="1050" customFormat="1">
      <c r="B196" s="1164" t="s">
        <v>818</v>
      </c>
      <c r="C196" s="1068"/>
      <c r="D196" s="1068"/>
      <c r="E196" s="1076"/>
      <c r="F196" s="1076"/>
      <c r="G196" s="1076"/>
      <c r="H196" s="93"/>
      <c r="I196" s="1082"/>
      <c r="J196" s="1082"/>
      <c r="K196" s="1082"/>
      <c r="L196" s="1082"/>
      <c r="M196" s="1082"/>
      <c r="N196" s="1082"/>
      <c r="O196" s="1082"/>
      <c r="P196" s="1115"/>
      <c r="Q196" s="1054">
        <f>P200</f>
        <v>0</v>
      </c>
      <c r="R196" s="1054">
        <f t="shared" ref="R196:Z196" si="137">Q200</f>
        <v>0</v>
      </c>
      <c r="S196" s="1054">
        <f t="shared" si="137"/>
        <v>0</v>
      </c>
      <c r="T196" s="1054">
        <f t="shared" si="137"/>
        <v>0</v>
      </c>
      <c r="U196" s="1054">
        <f t="shared" si="137"/>
        <v>0</v>
      </c>
      <c r="V196" s="1054">
        <f t="shared" si="137"/>
        <v>0</v>
      </c>
      <c r="W196" s="1054">
        <f t="shared" si="137"/>
        <v>0</v>
      </c>
      <c r="X196" s="1054">
        <f t="shared" si="137"/>
        <v>0</v>
      </c>
      <c r="Y196" s="1054">
        <f t="shared" si="137"/>
        <v>0</v>
      </c>
      <c r="Z196" s="1054">
        <f t="shared" si="137"/>
        <v>0</v>
      </c>
      <c r="AA196" s="1054"/>
      <c r="AB196" s="1054"/>
      <c r="AC196" s="1054"/>
      <c r="AD196" s="1054"/>
      <c r="AE196" s="1054"/>
      <c r="AF196" s="1054"/>
      <c r="AG196" s="1054"/>
      <c r="AH196" s="1054"/>
      <c r="AI196" s="1054"/>
      <c r="AJ196" s="1054"/>
      <c r="AK196" s="1054"/>
      <c r="AL196" s="1054"/>
      <c r="AM196" s="1054"/>
      <c r="AN196" s="1054"/>
      <c r="AO196" s="1054"/>
      <c r="AP196" s="1054"/>
      <c r="AQ196" s="1054"/>
      <c r="AR196" s="1054"/>
      <c r="AS196" s="1054"/>
      <c r="AT196" s="1054"/>
      <c r="AU196" s="1054"/>
      <c r="AV196" s="1054"/>
      <c r="AW196" s="1054"/>
      <c r="AX196" s="1054"/>
      <c r="AY196" s="1054"/>
      <c r="AZ196" s="1054"/>
      <c r="BA196" s="1054"/>
      <c r="BB196" s="1031"/>
      <c r="BC196" s="1162"/>
      <c r="BD196" s="1162"/>
      <c r="BE196" s="1162"/>
    </row>
    <row r="197" spans="2:57" s="1050" customFormat="1">
      <c r="B197" s="1164" t="s">
        <v>819</v>
      </c>
      <c r="C197" s="1068"/>
      <c r="D197" s="1068"/>
      <c r="E197" s="1076"/>
      <c r="F197" s="1076"/>
      <c r="G197" s="1076"/>
      <c r="H197" s="93"/>
      <c r="I197" s="1082"/>
      <c r="J197" s="1082"/>
      <c r="K197" s="1082"/>
      <c r="L197" s="1082"/>
      <c r="M197" s="1082"/>
      <c r="N197" s="1082"/>
      <c r="O197" s="1082"/>
      <c r="P197" s="1115"/>
      <c r="Q197" s="1054">
        <v>0</v>
      </c>
      <c r="R197" s="1054">
        <v>0</v>
      </c>
      <c r="S197" s="1054">
        <v>0</v>
      </c>
      <c r="T197" s="1054">
        <v>0</v>
      </c>
      <c r="U197" s="1054">
        <v>0</v>
      </c>
      <c r="V197" s="1054">
        <v>0</v>
      </c>
      <c r="W197" s="1054">
        <v>0</v>
      </c>
      <c r="X197" s="1054">
        <v>0</v>
      </c>
      <c r="Y197" s="1054">
        <v>0</v>
      </c>
      <c r="Z197" s="1054">
        <v>0</v>
      </c>
      <c r="AA197" s="1054"/>
      <c r="AB197" s="1054"/>
      <c r="AC197" s="1054"/>
      <c r="AD197" s="1054"/>
      <c r="AE197" s="1054"/>
      <c r="AF197" s="1054"/>
      <c r="AG197" s="1054"/>
      <c r="AH197" s="1054"/>
      <c r="AI197" s="1054"/>
      <c r="AJ197" s="1054"/>
      <c r="AK197" s="1054"/>
      <c r="AL197" s="1054"/>
      <c r="AM197" s="1054"/>
      <c r="AN197" s="1054"/>
      <c r="AO197" s="1054"/>
      <c r="AP197" s="1054"/>
      <c r="AQ197" s="1054"/>
      <c r="AR197" s="1054"/>
      <c r="AS197" s="1054"/>
      <c r="AT197" s="1054"/>
      <c r="AU197" s="1054"/>
      <c r="AV197" s="1054"/>
      <c r="AW197" s="1054"/>
      <c r="AX197" s="1054"/>
      <c r="AY197" s="1054"/>
      <c r="AZ197" s="1054"/>
      <c r="BA197" s="1054"/>
      <c r="BB197" s="1031"/>
      <c r="BC197" s="1162"/>
      <c r="BD197" s="1162"/>
      <c r="BE197" s="1162"/>
    </row>
    <row r="198" spans="2:57" s="1050" customFormat="1">
      <c r="B198" s="1164" t="s">
        <v>828</v>
      </c>
      <c r="C198" s="1068"/>
      <c r="D198" s="1068"/>
      <c r="E198" s="1076"/>
      <c r="F198" s="1076"/>
      <c r="G198" s="1076"/>
      <c r="H198" s="93"/>
      <c r="I198" s="1082"/>
      <c r="J198" s="1082"/>
      <c r="K198" s="1082"/>
      <c r="L198" s="1082"/>
      <c r="M198" s="1082"/>
      <c r="N198" s="1082"/>
      <c r="O198" s="1082"/>
      <c r="P198" s="1115"/>
      <c r="Q198" s="1054">
        <v>0</v>
      </c>
      <c r="R198" s="1054">
        <v>0</v>
      </c>
      <c r="S198" s="1054">
        <v>0</v>
      </c>
      <c r="T198" s="1054">
        <v>0</v>
      </c>
      <c r="U198" s="1054">
        <v>0</v>
      </c>
      <c r="V198" s="1054">
        <v>0</v>
      </c>
      <c r="W198" s="1054">
        <v>0</v>
      </c>
      <c r="X198" s="1054">
        <v>0</v>
      </c>
      <c r="Y198" s="1054">
        <v>0</v>
      </c>
      <c r="Z198" s="1054">
        <v>0</v>
      </c>
      <c r="AA198" s="1054"/>
      <c r="AB198" s="1054"/>
      <c r="AC198" s="1054"/>
      <c r="AD198" s="1054"/>
      <c r="AE198" s="1054"/>
      <c r="AF198" s="1054"/>
      <c r="AG198" s="1054"/>
      <c r="AH198" s="1054"/>
      <c r="AI198" s="1054"/>
      <c r="AJ198" s="1054"/>
      <c r="AK198" s="1054"/>
      <c r="AL198" s="1054"/>
      <c r="AM198" s="1054"/>
      <c r="AN198" s="1054"/>
      <c r="AO198" s="1054"/>
      <c r="AP198" s="1054"/>
      <c r="AQ198" s="1054"/>
      <c r="AR198" s="1054"/>
      <c r="AS198" s="1054"/>
      <c r="AT198" s="1054"/>
      <c r="AU198" s="1054"/>
      <c r="AV198" s="1054"/>
      <c r="AW198" s="1054"/>
      <c r="AX198" s="1054"/>
      <c r="AY198" s="1054"/>
      <c r="AZ198" s="1054"/>
      <c r="BA198" s="1054"/>
      <c r="BB198" s="1031"/>
      <c r="BC198" s="1162"/>
      <c r="BD198" s="1162"/>
      <c r="BE198" s="1162"/>
    </row>
    <row r="199" spans="2:57" s="1050" customFormat="1">
      <c r="B199" s="1164" t="s">
        <v>821</v>
      </c>
      <c r="C199" s="1068"/>
      <c r="D199" s="1068"/>
      <c r="E199" s="1076"/>
      <c r="F199" s="1076"/>
      <c r="G199" s="1076"/>
      <c r="H199" s="93"/>
      <c r="I199" s="1082"/>
      <c r="J199" s="1082"/>
      <c r="K199" s="1082"/>
      <c r="L199" s="1082"/>
      <c r="M199" s="1082"/>
      <c r="N199" s="1082"/>
      <c r="O199" s="1082"/>
      <c r="P199" s="1115"/>
      <c r="Q199" s="1054">
        <v>0</v>
      </c>
      <c r="R199" s="1054">
        <v>0</v>
      </c>
      <c r="S199" s="1054">
        <v>0</v>
      </c>
      <c r="T199" s="1054">
        <v>0</v>
      </c>
      <c r="U199" s="1054">
        <v>0</v>
      </c>
      <c r="V199" s="1054">
        <v>0</v>
      </c>
      <c r="W199" s="1054">
        <v>0</v>
      </c>
      <c r="X199" s="1054">
        <v>0</v>
      </c>
      <c r="Y199" s="1054">
        <v>0</v>
      </c>
      <c r="Z199" s="1054">
        <v>0</v>
      </c>
      <c r="AA199" s="1054"/>
      <c r="AB199" s="1054"/>
      <c r="AC199" s="1054"/>
      <c r="AD199" s="1054"/>
      <c r="AE199" s="1054"/>
      <c r="AF199" s="1054"/>
      <c r="AG199" s="1054"/>
      <c r="AH199" s="1054"/>
      <c r="AI199" s="1054"/>
      <c r="AJ199" s="1054"/>
      <c r="AK199" s="1054"/>
      <c r="AL199" s="1054"/>
      <c r="AM199" s="1054"/>
      <c r="AN199" s="1054"/>
      <c r="AO199" s="1054"/>
      <c r="AP199" s="1054"/>
      <c r="AQ199" s="1054"/>
      <c r="AR199" s="1054"/>
      <c r="AS199" s="1054"/>
      <c r="AT199" s="1054"/>
      <c r="AU199" s="1054"/>
      <c r="AV199" s="1054"/>
      <c r="AW199" s="1054"/>
      <c r="AX199" s="1054"/>
      <c r="AY199" s="1054"/>
      <c r="AZ199" s="1054"/>
      <c r="BA199" s="1054"/>
      <c r="BB199" s="1031"/>
      <c r="BC199" s="1162"/>
      <c r="BD199" s="1162"/>
      <c r="BE199" s="1162"/>
    </row>
    <row r="200" spans="2:57" s="1050" customFormat="1">
      <c r="B200" s="1164" t="s">
        <v>822</v>
      </c>
      <c r="C200" s="1068"/>
      <c r="D200" s="1068"/>
      <c r="E200" s="1076"/>
      <c r="F200" s="1076"/>
      <c r="G200" s="1076"/>
      <c r="H200" s="93"/>
      <c r="I200" s="1082"/>
      <c r="J200" s="1082"/>
      <c r="K200" s="1082"/>
      <c r="L200" s="1082"/>
      <c r="M200" s="1082"/>
      <c r="N200" s="1082"/>
      <c r="O200" s="1082"/>
      <c r="P200" s="1115">
        <v>0</v>
      </c>
      <c r="Q200" s="1054">
        <f>SUM(Q196:Q199)</f>
        <v>0</v>
      </c>
      <c r="R200" s="1054">
        <f t="shared" ref="R200:Z200" si="138">SUM(R196:R199)</f>
        <v>0</v>
      </c>
      <c r="S200" s="1054">
        <f t="shared" si="138"/>
        <v>0</v>
      </c>
      <c r="T200" s="1054">
        <f t="shared" si="138"/>
        <v>0</v>
      </c>
      <c r="U200" s="1054">
        <f t="shared" si="138"/>
        <v>0</v>
      </c>
      <c r="V200" s="1054">
        <f t="shared" si="138"/>
        <v>0</v>
      </c>
      <c r="W200" s="1054">
        <f t="shared" si="138"/>
        <v>0</v>
      </c>
      <c r="X200" s="1054">
        <f t="shared" si="138"/>
        <v>0</v>
      </c>
      <c r="Y200" s="1054">
        <f t="shared" si="138"/>
        <v>0</v>
      </c>
      <c r="Z200" s="1054">
        <f t="shared" si="138"/>
        <v>0</v>
      </c>
      <c r="AA200" s="1054"/>
      <c r="AB200" s="1054"/>
      <c r="AC200" s="1054"/>
      <c r="AD200" s="1054"/>
      <c r="AE200" s="1054"/>
      <c r="AF200" s="1054"/>
      <c r="AG200" s="1054"/>
      <c r="AH200" s="1054"/>
      <c r="AI200" s="1054"/>
      <c r="AJ200" s="1054"/>
      <c r="AK200" s="1054"/>
      <c r="AL200" s="1054"/>
      <c r="AM200" s="1054"/>
      <c r="AN200" s="1054"/>
      <c r="AO200" s="1054"/>
      <c r="AP200" s="1054"/>
      <c r="AQ200" s="1054"/>
      <c r="AR200" s="1054"/>
      <c r="AS200" s="1054"/>
      <c r="AT200" s="1054"/>
      <c r="AU200" s="1054"/>
      <c r="AV200" s="1054"/>
      <c r="AW200" s="1054"/>
      <c r="AX200" s="1054"/>
      <c r="AY200" s="1054"/>
      <c r="AZ200" s="1054"/>
      <c r="BA200" s="1054"/>
      <c r="BB200" s="1031"/>
      <c r="BC200" s="1162"/>
      <c r="BD200" s="1162"/>
      <c r="BE200" s="1162"/>
    </row>
    <row r="201" spans="2:57" s="1050" customFormat="1">
      <c r="B201" s="1164"/>
      <c r="C201" s="1068"/>
      <c r="D201" s="1068"/>
      <c r="E201" s="1076"/>
      <c r="F201" s="1076"/>
      <c r="G201" s="1076"/>
      <c r="H201" s="93"/>
      <c r="I201" s="1082"/>
      <c r="J201" s="1082"/>
      <c r="K201" s="1082"/>
      <c r="L201" s="1082"/>
      <c r="M201" s="1082"/>
      <c r="N201" s="1082"/>
      <c r="O201" s="1082"/>
      <c r="P201" s="1115"/>
      <c r="Q201" s="1054"/>
      <c r="R201" s="1054"/>
      <c r="S201" s="1054"/>
      <c r="T201" s="1054"/>
      <c r="U201" s="1054"/>
      <c r="V201" s="1054"/>
      <c r="W201" s="1054"/>
      <c r="X201" s="1054"/>
      <c r="Y201" s="1054"/>
      <c r="Z201" s="1054"/>
      <c r="AA201" s="1054"/>
      <c r="AB201" s="1054"/>
      <c r="AC201" s="1054"/>
      <c r="AD201" s="1054"/>
      <c r="AE201" s="1054"/>
      <c r="AF201" s="1054"/>
      <c r="AG201" s="1054"/>
      <c r="AH201" s="1054"/>
      <c r="AI201" s="1054"/>
      <c r="AJ201" s="1054"/>
      <c r="AK201" s="1054"/>
      <c r="AL201" s="1054"/>
      <c r="AM201" s="1054"/>
      <c r="AN201" s="1054"/>
      <c r="AO201" s="1054"/>
      <c r="AP201" s="1054"/>
      <c r="AQ201" s="1054"/>
      <c r="AR201" s="1054"/>
      <c r="AS201" s="1054"/>
      <c r="AT201" s="1054"/>
      <c r="AU201" s="1054"/>
      <c r="AV201" s="1054"/>
      <c r="AW201" s="1054"/>
      <c r="AX201" s="1054"/>
      <c r="AY201" s="1054"/>
      <c r="AZ201" s="1054"/>
      <c r="BA201" s="1054"/>
      <c r="BB201" s="1031"/>
      <c r="BC201" s="1162"/>
      <c r="BD201" s="1162"/>
      <c r="BE201" s="1162"/>
    </row>
    <row r="202" spans="2:57" s="1050" customFormat="1">
      <c r="B202" s="1165" t="s">
        <v>831</v>
      </c>
      <c r="C202" s="1068"/>
      <c r="D202" s="1068"/>
      <c r="E202" s="1076"/>
      <c r="F202" s="1076"/>
      <c r="G202" s="1076"/>
      <c r="H202" s="93"/>
      <c r="I202" s="93"/>
      <c r="J202" s="93"/>
      <c r="K202" s="93"/>
      <c r="L202" s="93"/>
      <c r="M202" s="93"/>
      <c r="N202" s="93"/>
      <c r="O202" s="93"/>
      <c r="P202" s="1129"/>
      <c r="Q202" s="93"/>
      <c r="R202" s="93"/>
      <c r="S202" s="93"/>
      <c r="T202" s="93"/>
      <c r="U202" s="93"/>
      <c r="V202" s="93"/>
      <c r="W202" s="93"/>
      <c r="X202" s="93"/>
      <c r="Y202" s="93"/>
      <c r="Z202" s="93"/>
      <c r="AA202" s="93"/>
      <c r="AB202" s="93"/>
      <c r="AC202" s="93"/>
      <c r="AD202" s="93"/>
      <c r="AE202" s="93"/>
      <c r="AF202" s="93"/>
      <c r="AG202" s="93"/>
      <c r="AH202" s="93"/>
      <c r="AI202" s="93"/>
      <c r="AJ202" s="93"/>
      <c r="AK202" s="93"/>
      <c r="AL202" s="93"/>
      <c r="AM202" s="93"/>
      <c r="AN202" s="93"/>
      <c r="AO202" s="93"/>
      <c r="AP202" s="93"/>
      <c r="AQ202" s="93"/>
      <c r="AR202" s="93"/>
      <c r="AS202" s="93"/>
      <c r="AT202" s="93"/>
      <c r="AU202" s="93"/>
      <c r="AV202" s="93"/>
      <c r="AW202" s="93"/>
      <c r="AX202" s="93"/>
      <c r="AY202" s="93"/>
      <c r="AZ202" s="93"/>
      <c r="BA202" s="93"/>
      <c r="BB202" s="1031"/>
      <c r="BC202" s="1162"/>
      <c r="BD202" s="1162"/>
      <c r="BE202" s="1162"/>
    </row>
    <row r="203" spans="2:57" s="1050" customFormat="1">
      <c r="B203" s="1164" t="s">
        <v>818</v>
      </c>
      <c r="C203" s="1068"/>
      <c r="D203" s="1068"/>
      <c r="E203" s="1076"/>
      <c r="F203" s="1076"/>
      <c r="G203" s="1076"/>
      <c r="H203" s="93"/>
      <c r="I203" s="1082"/>
      <c r="J203" s="1082"/>
      <c r="K203" s="1082"/>
      <c r="L203" s="1082"/>
      <c r="M203" s="1082"/>
      <c r="N203" s="1082"/>
      <c r="O203" s="1082"/>
      <c r="P203" s="1115"/>
      <c r="Q203" s="1054">
        <f>P207</f>
        <v>0</v>
      </c>
      <c r="R203" s="1054">
        <f t="shared" ref="R203:Z203" si="139">Q207</f>
        <v>0</v>
      </c>
      <c r="S203" s="1054">
        <f t="shared" si="139"/>
        <v>0</v>
      </c>
      <c r="T203" s="1054">
        <f t="shared" si="139"/>
        <v>0</v>
      </c>
      <c r="U203" s="1054">
        <f t="shared" si="139"/>
        <v>0</v>
      </c>
      <c r="V203" s="1054">
        <f t="shared" si="139"/>
        <v>0</v>
      </c>
      <c r="W203" s="1054">
        <f t="shared" si="139"/>
        <v>0</v>
      </c>
      <c r="X203" s="1054">
        <f t="shared" si="139"/>
        <v>0</v>
      </c>
      <c r="Y203" s="1054">
        <f t="shared" si="139"/>
        <v>0</v>
      </c>
      <c r="Z203" s="1054">
        <f t="shared" si="139"/>
        <v>0</v>
      </c>
      <c r="AA203" s="1054"/>
      <c r="AB203" s="1054"/>
      <c r="AC203" s="1054"/>
      <c r="AD203" s="1054"/>
      <c r="AE203" s="1054"/>
      <c r="AF203" s="1054"/>
      <c r="AG203" s="1054"/>
      <c r="AH203" s="1054"/>
      <c r="AI203" s="1054"/>
      <c r="AJ203" s="1054"/>
      <c r="AK203" s="1054"/>
      <c r="AL203" s="1054"/>
      <c r="AM203" s="1054"/>
      <c r="AN203" s="1054"/>
      <c r="AO203" s="1054"/>
      <c r="AP203" s="1054"/>
      <c r="AQ203" s="1054"/>
      <c r="AR203" s="1054"/>
      <c r="AS203" s="1054"/>
      <c r="AT203" s="1054"/>
      <c r="AU203" s="1054"/>
      <c r="AV203" s="1054"/>
      <c r="AW203" s="1054"/>
      <c r="AX203" s="1054"/>
      <c r="AY203" s="1054"/>
      <c r="AZ203" s="1054"/>
      <c r="BA203" s="1054"/>
      <c r="BB203" s="1031"/>
      <c r="BC203" s="1162"/>
      <c r="BD203" s="1162"/>
      <c r="BE203" s="1162"/>
    </row>
    <row r="204" spans="2:57" s="1050" customFormat="1">
      <c r="B204" s="1164" t="s">
        <v>819</v>
      </c>
      <c r="C204" s="1068"/>
      <c r="D204" s="1068"/>
      <c r="E204" s="1076"/>
      <c r="F204" s="1076"/>
      <c r="G204" s="1076"/>
      <c r="H204" s="93"/>
      <c r="I204" s="1082"/>
      <c r="J204" s="1082"/>
      <c r="K204" s="1082"/>
      <c r="L204" s="1082"/>
      <c r="M204" s="1082"/>
      <c r="N204" s="1082"/>
      <c r="O204" s="1082"/>
      <c r="P204" s="1115"/>
      <c r="Q204" s="1054">
        <v>0</v>
      </c>
      <c r="R204" s="1054">
        <v>0</v>
      </c>
      <c r="S204" s="1054">
        <v>0</v>
      </c>
      <c r="T204" s="1054">
        <v>0</v>
      </c>
      <c r="U204" s="1054">
        <v>0</v>
      </c>
      <c r="V204" s="1054">
        <v>0</v>
      </c>
      <c r="W204" s="1054">
        <v>0</v>
      </c>
      <c r="X204" s="1054">
        <v>0</v>
      </c>
      <c r="Y204" s="1054">
        <v>0</v>
      </c>
      <c r="Z204" s="1054">
        <v>0</v>
      </c>
      <c r="AA204" s="1054"/>
      <c r="AB204" s="1054"/>
      <c r="AC204" s="1054"/>
      <c r="AD204" s="1054"/>
      <c r="AE204" s="1054"/>
      <c r="AF204" s="1054"/>
      <c r="AG204" s="1054"/>
      <c r="AH204" s="1054"/>
      <c r="AI204" s="1054"/>
      <c r="AJ204" s="1054"/>
      <c r="AK204" s="1054"/>
      <c r="AL204" s="1054"/>
      <c r="AM204" s="1054"/>
      <c r="AN204" s="1054"/>
      <c r="AO204" s="1054"/>
      <c r="AP204" s="1054"/>
      <c r="AQ204" s="1054"/>
      <c r="AR204" s="1054"/>
      <c r="AS204" s="1054"/>
      <c r="AT204" s="1054"/>
      <c r="AU204" s="1054"/>
      <c r="AV204" s="1054"/>
      <c r="AW204" s="1054"/>
      <c r="AX204" s="1054"/>
      <c r="AY204" s="1054"/>
      <c r="AZ204" s="1054"/>
      <c r="BA204" s="1054"/>
      <c r="BB204" s="1031"/>
      <c r="BC204" s="1162"/>
      <c r="BD204" s="1162"/>
      <c r="BE204" s="1162"/>
    </row>
    <row r="205" spans="2:57" s="1050" customFormat="1">
      <c r="B205" s="1164" t="s">
        <v>828</v>
      </c>
      <c r="C205" s="1068"/>
      <c r="D205" s="1068"/>
      <c r="E205" s="1076"/>
      <c r="F205" s="1076"/>
      <c r="G205" s="1076"/>
      <c r="H205" s="93"/>
      <c r="I205" s="1082"/>
      <c r="J205" s="1082"/>
      <c r="K205" s="1082"/>
      <c r="L205" s="1082"/>
      <c r="M205" s="1082"/>
      <c r="N205" s="1082"/>
      <c r="O205" s="1082"/>
      <c r="P205" s="1115"/>
      <c r="Q205" s="1054">
        <v>0</v>
      </c>
      <c r="R205" s="1054">
        <v>0</v>
      </c>
      <c r="S205" s="1054">
        <v>0</v>
      </c>
      <c r="T205" s="1054">
        <v>0</v>
      </c>
      <c r="U205" s="1054">
        <v>0</v>
      </c>
      <c r="V205" s="1054">
        <v>0</v>
      </c>
      <c r="W205" s="1054">
        <v>0</v>
      </c>
      <c r="X205" s="1054">
        <v>0</v>
      </c>
      <c r="Y205" s="1054">
        <v>0</v>
      </c>
      <c r="Z205" s="1054">
        <v>0</v>
      </c>
      <c r="AA205" s="1054"/>
      <c r="AB205" s="1054"/>
      <c r="AC205" s="1054"/>
      <c r="AD205" s="1054"/>
      <c r="AE205" s="1054"/>
      <c r="AF205" s="1054"/>
      <c r="AG205" s="1054"/>
      <c r="AH205" s="1054"/>
      <c r="AI205" s="1054"/>
      <c r="AJ205" s="1054"/>
      <c r="AK205" s="1054"/>
      <c r="AL205" s="1054"/>
      <c r="AM205" s="1054"/>
      <c r="AN205" s="1054"/>
      <c r="AO205" s="1054"/>
      <c r="AP205" s="1054"/>
      <c r="AQ205" s="1054"/>
      <c r="AR205" s="1054"/>
      <c r="AS205" s="1054"/>
      <c r="AT205" s="1054"/>
      <c r="AU205" s="1054"/>
      <c r="AV205" s="1054"/>
      <c r="AW205" s="1054"/>
      <c r="AX205" s="1054"/>
      <c r="AY205" s="1054"/>
      <c r="AZ205" s="1054"/>
      <c r="BA205" s="1054"/>
      <c r="BB205" s="1031"/>
      <c r="BC205" s="1162"/>
      <c r="BD205" s="1162"/>
      <c r="BE205" s="1162"/>
    </row>
    <row r="206" spans="2:57" s="1050" customFormat="1">
      <c r="B206" s="1164" t="s">
        <v>821</v>
      </c>
      <c r="C206" s="1068"/>
      <c r="D206" s="1068"/>
      <c r="E206" s="1076"/>
      <c r="F206" s="1076"/>
      <c r="G206" s="1076"/>
      <c r="H206" s="93"/>
      <c r="I206" s="1082"/>
      <c r="J206" s="1082"/>
      <c r="K206" s="1082"/>
      <c r="L206" s="1082"/>
      <c r="M206" s="1082"/>
      <c r="N206" s="1082"/>
      <c r="O206" s="1082"/>
      <c r="P206" s="1115"/>
      <c r="Q206" s="1054">
        <v>0</v>
      </c>
      <c r="R206" s="1054">
        <v>0</v>
      </c>
      <c r="S206" s="1054">
        <v>0</v>
      </c>
      <c r="T206" s="1054">
        <v>0</v>
      </c>
      <c r="U206" s="1054">
        <v>0</v>
      </c>
      <c r="V206" s="1054">
        <v>0</v>
      </c>
      <c r="W206" s="1054">
        <v>0</v>
      </c>
      <c r="X206" s="1054">
        <v>0</v>
      </c>
      <c r="Y206" s="1054">
        <v>0</v>
      </c>
      <c r="Z206" s="1054">
        <v>0</v>
      </c>
      <c r="AA206" s="1054"/>
      <c r="AB206" s="1054"/>
      <c r="AC206" s="1054"/>
      <c r="AD206" s="1054"/>
      <c r="AE206" s="1054"/>
      <c r="AF206" s="1054"/>
      <c r="AG206" s="1054"/>
      <c r="AH206" s="1054"/>
      <c r="AI206" s="1054"/>
      <c r="AJ206" s="1054"/>
      <c r="AK206" s="1054"/>
      <c r="AL206" s="1054"/>
      <c r="AM206" s="1054"/>
      <c r="AN206" s="1054"/>
      <c r="AO206" s="1054"/>
      <c r="AP206" s="1054"/>
      <c r="AQ206" s="1054"/>
      <c r="AR206" s="1054"/>
      <c r="AS206" s="1054"/>
      <c r="AT206" s="1054"/>
      <c r="AU206" s="1054"/>
      <c r="AV206" s="1054"/>
      <c r="AW206" s="1054"/>
      <c r="AX206" s="1054"/>
      <c r="AY206" s="1054"/>
      <c r="AZ206" s="1054"/>
      <c r="BA206" s="1054"/>
      <c r="BB206" s="1031"/>
      <c r="BC206" s="1162"/>
      <c r="BD206" s="1162"/>
      <c r="BE206" s="1162"/>
    </row>
    <row r="207" spans="2:57" s="1050" customFormat="1">
      <c r="B207" s="1164" t="s">
        <v>822</v>
      </c>
      <c r="C207" s="1068"/>
      <c r="D207" s="1068"/>
      <c r="E207" s="1076"/>
      <c r="F207" s="1076"/>
      <c r="G207" s="1076"/>
      <c r="H207" s="93"/>
      <c r="I207" s="1082"/>
      <c r="J207" s="1082"/>
      <c r="K207" s="1082"/>
      <c r="L207" s="1082"/>
      <c r="M207" s="1082"/>
      <c r="N207" s="1082"/>
      <c r="O207" s="1082"/>
      <c r="P207" s="1115">
        <v>0</v>
      </c>
      <c r="Q207" s="1054">
        <f>SUM(Q203:Q206)</f>
        <v>0</v>
      </c>
      <c r="R207" s="1054">
        <f t="shared" ref="R207:Z207" si="140">SUM(R203:R206)</f>
        <v>0</v>
      </c>
      <c r="S207" s="1054">
        <f t="shared" si="140"/>
        <v>0</v>
      </c>
      <c r="T207" s="1054">
        <f t="shared" si="140"/>
        <v>0</v>
      </c>
      <c r="U207" s="1054">
        <f t="shared" si="140"/>
        <v>0</v>
      </c>
      <c r="V207" s="1054">
        <f t="shared" si="140"/>
        <v>0</v>
      </c>
      <c r="W207" s="1054">
        <f t="shared" si="140"/>
        <v>0</v>
      </c>
      <c r="X207" s="1054">
        <f t="shared" si="140"/>
        <v>0</v>
      </c>
      <c r="Y207" s="1054">
        <f t="shared" si="140"/>
        <v>0</v>
      </c>
      <c r="Z207" s="1054">
        <f t="shared" si="140"/>
        <v>0</v>
      </c>
      <c r="AA207" s="1054"/>
      <c r="AB207" s="1054"/>
      <c r="AC207" s="1054"/>
      <c r="AD207" s="1054"/>
      <c r="AE207" s="1054"/>
      <c r="AF207" s="1054"/>
      <c r="AG207" s="1054"/>
      <c r="AH207" s="1054"/>
      <c r="AI207" s="1054"/>
      <c r="AJ207" s="1054"/>
      <c r="AK207" s="1054"/>
      <c r="AL207" s="1054"/>
      <c r="AM207" s="1054"/>
      <c r="AN207" s="1054"/>
      <c r="AO207" s="1054"/>
      <c r="AP207" s="1054"/>
      <c r="AQ207" s="1054"/>
      <c r="AR207" s="1054"/>
      <c r="AS207" s="1054"/>
      <c r="AT207" s="1054"/>
      <c r="AU207" s="1054"/>
      <c r="AV207" s="1054"/>
      <c r="AW207" s="1054"/>
      <c r="AX207" s="1054"/>
      <c r="AY207" s="1054"/>
      <c r="AZ207" s="1054"/>
      <c r="BA207" s="1054"/>
      <c r="BB207" s="1031"/>
      <c r="BC207" s="1162"/>
      <c r="BD207" s="1162"/>
      <c r="BE207" s="1162"/>
    </row>
    <row r="208" spans="2:57" s="1050" customFormat="1">
      <c r="B208" s="1164"/>
      <c r="C208" s="1068"/>
      <c r="D208" s="1068"/>
      <c r="E208" s="1076"/>
      <c r="F208" s="1076"/>
      <c r="G208" s="1076"/>
      <c r="H208" s="93"/>
      <c r="I208" s="1082"/>
      <c r="J208" s="1082"/>
      <c r="K208" s="1082"/>
      <c r="L208" s="1082"/>
      <c r="M208" s="1082"/>
      <c r="N208" s="1082"/>
      <c r="O208" s="1082"/>
      <c r="P208" s="1115"/>
      <c r="Q208" s="1054"/>
      <c r="R208" s="1054"/>
      <c r="S208" s="1054"/>
      <c r="T208" s="1054"/>
      <c r="U208" s="1054"/>
      <c r="V208" s="1054"/>
      <c r="W208" s="1054"/>
      <c r="X208" s="1054"/>
      <c r="Y208" s="1054"/>
      <c r="Z208" s="1054"/>
      <c r="AA208" s="1054"/>
      <c r="AB208" s="1054"/>
      <c r="AC208" s="1054"/>
      <c r="AD208" s="1054"/>
      <c r="AE208" s="1054"/>
      <c r="AF208" s="1054"/>
      <c r="AG208" s="1054"/>
      <c r="AH208" s="1054"/>
      <c r="AI208" s="1054"/>
      <c r="AJ208" s="1054"/>
      <c r="AK208" s="1054"/>
      <c r="AL208" s="1054"/>
      <c r="AM208" s="1054"/>
      <c r="AN208" s="1054"/>
      <c r="AO208" s="1054"/>
      <c r="AP208" s="1054"/>
      <c r="AQ208" s="1054"/>
      <c r="AR208" s="1054"/>
      <c r="AS208" s="1054"/>
      <c r="AT208" s="1054"/>
      <c r="AU208" s="1054"/>
      <c r="AV208" s="1054"/>
      <c r="AW208" s="1054"/>
      <c r="AX208" s="1054"/>
      <c r="AY208" s="1054"/>
      <c r="AZ208" s="1054"/>
      <c r="BA208" s="1054"/>
      <c r="BB208" s="1031"/>
      <c r="BC208" s="1162"/>
      <c r="BD208" s="1162"/>
      <c r="BE208" s="1162"/>
    </row>
    <row r="209" spans="2:57" s="1050" customFormat="1">
      <c r="B209" s="1165" t="s">
        <v>832</v>
      </c>
      <c r="C209" s="1068"/>
      <c r="D209" s="1068"/>
      <c r="E209" s="1076"/>
      <c r="F209" s="1076"/>
      <c r="G209" s="1076"/>
      <c r="H209" s="93"/>
      <c r="I209" s="93"/>
      <c r="J209" s="93"/>
      <c r="K209" s="93"/>
      <c r="L209" s="93"/>
      <c r="M209" s="93"/>
      <c r="N209" s="93"/>
      <c r="O209" s="93"/>
      <c r="P209" s="1129"/>
      <c r="Q209" s="93"/>
      <c r="R209" s="93"/>
      <c r="S209" s="93"/>
      <c r="T209" s="93"/>
      <c r="U209" s="93"/>
      <c r="V209" s="93"/>
      <c r="W209" s="93"/>
      <c r="X209" s="93"/>
      <c r="Y209" s="93"/>
      <c r="Z209" s="93"/>
      <c r="AA209" s="93"/>
      <c r="AB209" s="93"/>
      <c r="AC209" s="93"/>
      <c r="AD209" s="93"/>
      <c r="AE209" s="93"/>
      <c r="AF209" s="93"/>
      <c r="AG209" s="93"/>
      <c r="AH209" s="93"/>
      <c r="AI209" s="93"/>
      <c r="AJ209" s="93"/>
      <c r="AK209" s="93"/>
      <c r="AL209" s="93"/>
      <c r="AM209" s="93"/>
      <c r="AN209" s="93"/>
      <c r="AO209" s="93"/>
      <c r="AP209" s="93"/>
      <c r="AQ209" s="93"/>
      <c r="AR209" s="93"/>
      <c r="AS209" s="93"/>
      <c r="AT209" s="93"/>
      <c r="AU209" s="93"/>
      <c r="AV209" s="93"/>
      <c r="AW209" s="93"/>
      <c r="AX209" s="93"/>
      <c r="AY209" s="93"/>
      <c r="AZ209" s="93"/>
      <c r="BA209" s="93"/>
      <c r="BB209" s="1031"/>
      <c r="BC209" s="1162"/>
      <c r="BD209" s="1162"/>
      <c r="BE209" s="1162"/>
    </row>
    <row r="210" spans="2:57" s="1050" customFormat="1">
      <c r="B210" s="1164" t="s">
        <v>818</v>
      </c>
      <c r="C210" s="1068"/>
      <c r="D210" s="1068"/>
      <c r="E210" s="1076"/>
      <c r="F210" s="1076"/>
      <c r="G210" s="1076"/>
      <c r="H210" s="93"/>
      <c r="I210" s="1082"/>
      <c r="J210" s="1082"/>
      <c r="K210" s="1082"/>
      <c r="L210" s="1082"/>
      <c r="M210" s="1082"/>
      <c r="N210" s="1082"/>
      <c r="O210" s="1082"/>
      <c r="P210" s="1115"/>
      <c r="Q210" s="1054">
        <f>P214</f>
        <v>0</v>
      </c>
      <c r="R210" s="1054">
        <f t="shared" ref="R210:Z210" si="141">Q214</f>
        <v>0</v>
      </c>
      <c r="S210" s="1054">
        <f t="shared" si="141"/>
        <v>0</v>
      </c>
      <c r="T210" s="1054">
        <f t="shared" si="141"/>
        <v>0</v>
      </c>
      <c r="U210" s="1054">
        <f t="shared" si="141"/>
        <v>0</v>
      </c>
      <c r="V210" s="1054">
        <f t="shared" si="141"/>
        <v>0</v>
      </c>
      <c r="W210" s="1054">
        <f t="shared" si="141"/>
        <v>0</v>
      </c>
      <c r="X210" s="1054">
        <f t="shared" si="141"/>
        <v>0</v>
      </c>
      <c r="Y210" s="1054">
        <f t="shared" si="141"/>
        <v>0</v>
      </c>
      <c r="Z210" s="1054">
        <f t="shared" si="141"/>
        <v>0</v>
      </c>
      <c r="AA210" s="1054"/>
      <c r="AB210" s="1054"/>
      <c r="AC210" s="1054"/>
      <c r="AD210" s="1054"/>
      <c r="AE210" s="1054"/>
      <c r="AF210" s="1054"/>
      <c r="AG210" s="1054"/>
      <c r="AH210" s="1054"/>
      <c r="AI210" s="1054"/>
      <c r="AJ210" s="1054"/>
      <c r="AK210" s="1054"/>
      <c r="AL210" s="1054"/>
      <c r="AM210" s="1054"/>
      <c r="AN210" s="1054"/>
      <c r="AO210" s="1054"/>
      <c r="AP210" s="1054"/>
      <c r="AQ210" s="1054"/>
      <c r="AR210" s="1054"/>
      <c r="AS210" s="1054"/>
      <c r="AT210" s="1054"/>
      <c r="AU210" s="1054"/>
      <c r="AV210" s="1054"/>
      <c r="AW210" s="1054"/>
      <c r="AX210" s="1054"/>
      <c r="AY210" s="1054"/>
      <c r="AZ210" s="1054"/>
      <c r="BA210" s="1054"/>
      <c r="BB210" s="1031"/>
      <c r="BC210" s="1162"/>
      <c r="BD210" s="1162"/>
      <c r="BE210" s="1162"/>
    </row>
    <row r="211" spans="2:57" s="1050" customFormat="1">
      <c r="B211" s="1164" t="s">
        <v>819</v>
      </c>
      <c r="C211" s="1068"/>
      <c r="D211" s="1068"/>
      <c r="E211" s="1076"/>
      <c r="F211" s="1076"/>
      <c r="G211" s="1076"/>
      <c r="H211" s="93"/>
      <c r="I211" s="1082"/>
      <c r="J211" s="1082"/>
      <c r="K211" s="1082"/>
      <c r="L211" s="1082"/>
      <c r="M211" s="1082"/>
      <c r="N211" s="1082"/>
      <c r="O211" s="1082"/>
      <c r="P211" s="1115"/>
      <c r="Q211" s="1054">
        <v>0</v>
      </c>
      <c r="R211" s="1054">
        <v>0</v>
      </c>
      <c r="S211" s="1054">
        <v>0</v>
      </c>
      <c r="T211" s="1054">
        <v>0</v>
      </c>
      <c r="U211" s="1054">
        <v>0</v>
      </c>
      <c r="V211" s="1054">
        <v>0</v>
      </c>
      <c r="W211" s="1054">
        <v>0</v>
      </c>
      <c r="X211" s="1054">
        <v>0</v>
      </c>
      <c r="Y211" s="1054">
        <v>0</v>
      </c>
      <c r="Z211" s="1054">
        <v>0</v>
      </c>
      <c r="AA211" s="1054"/>
      <c r="AB211" s="1054"/>
      <c r="AC211" s="1054"/>
      <c r="AD211" s="1054"/>
      <c r="AE211" s="1054"/>
      <c r="AF211" s="1054"/>
      <c r="AG211" s="1054"/>
      <c r="AH211" s="1054"/>
      <c r="AI211" s="1054"/>
      <c r="AJ211" s="1054"/>
      <c r="AK211" s="1054"/>
      <c r="AL211" s="1054"/>
      <c r="AM211" s="1054"/>
      <c r="AN211" s="1054"/>
      <c r="AO211" s="1054"/>
      <c r="AP211" s="1054"/>
      <c r="AQ211" s="1054"/>
      <c r="AR211" s="1054"/>
      <c r="AS211" s="1054"/>
      <c r="AT211" s="1054"/>
      <c r="AU211" s="1054"/>
      <c r="AV211" s="1054"/>
      <c r="AW211" s="1054"/>
      <c r="AX211" s="1054"/>
      <c r="AY211" s="1054"/>
      <c r="AZ211" s="1054"/>
      <c r="BA211" s="1054"/>
      <c r="BB211" s="1031"/>
      <c r="BC211" s="1162"/>
      <c r="BD211" s="1162"/>
      <c r="BE211" s="1162"/>
    </row>
    <row r="212" spans="2:57" s="1050" customFormat="1">
      <c r="B212" s="1164" t="s">
        <v>828</v>
      </c>
      <c r="C212" s="1068"/>
      <c r="D212" s="1068"/>
      <c r="E212" s="1076"/>
      <c r="F212" s="1076"/>
      <c r="G212" s="1076"/>
      <c r="H212" s="93"/>
      <c r="I212" s="1082"/>
      <c r="J212" s="1082"/>
      <c r="K212" s="1082"/>
      <c r="L212" s="1082"/>
      <c r="M212" s="1082"/>
      <c r="N212" s="1082"/>
      <c r="O212" s="1082"/>
      <c r="P212" s="1115"/>
      <c r="Q212" s="1054">
        <v>0</v>
      </c>
      <c r="R212" s="1054">
        <v>0</v>
      </c>
      <c r="S212" s="1054">
        <v>0</v>
      </c>
      <c r="T212" s="1054">
        <v>0</v>
      </c>
      <c r="U212" s="1054">
        <v>0</v>
      </c>
      <c r="V212" s="1054">
        <v>0</v>
      </c>
      <c r="W212" s="1054">
        <v>0</v>
      </c>
      <c r="X212" s="1054">
        <v>0</v>
      </c>
      <c r="Y212" s="1054">
        <v>0</v>
      </c>
      <c r="Z212" s="1054">
        <v>0</v>
      </c>
      <c r="AA212" s="1054"/>
      <c r="AB212" s="1054"/>
      <c r="AC212" s="1054"/>
      <c r="AD212" s="1054"/>
      <c r="AE212" s="1054"/>
      <c r="AF212" s="1054"/>
      <c r="AG212" s="1054"/>
      <c r="AH212" s="1054"/>
      <c r="AI212" s="1054"/>
      <c r="AJ212" s="1054"/>
      <c r="AK212" s="1054"/>
      <c r="AL212" s="1054"/>
      <c r="AM212" s="1054"/>
      <c r="AN212" s="1054"/>
      <c r="AO212" s="1054"/>
      <c r="AP212" s="1054"/>
      <c r="AQ212" s="1054"/>
      <c r="AR212" s="1054"/>
      <c r="AS212" s="1054"/>
      <c r="AT212" s="1054"/>
      <c r="AU212" s="1054"/>
      <c r="AV212" s="1054"/>
      <c r="AW212" s="1054"/>
      <c r="AX212" s="1054"/>
      <c r="AY212" s="1054"/>
      <c r="AZ212" s="1054"/>
      <c r="BA212" s="1054"/>
      <c r="BB212" s="1031"/>
      <c r="BC212" s="1162"/>
      <c r="BD212" s="1162"/>
      <c r="BE212" s="1162"/>
    </row>
    <row r="213" spans="2:57" s="1050" customFormat="1">
      <c r="B213" s="1164" t="s">
        <v>821</v>
      </c>
      <c r="C213" s="1068"/>
      <c r="D213" s="1068"/>
      <c r="E213" s="1076"/>
      <c r="F213" s="1076"/>
      <c r="G213" s="1076"/>
      <c r="H213" s="93"/>
      <c r="I213" s="1082"/>
      <c r="J213" s="1082"/>
      <c r="K213" s="1082"/>
      <c r="L213" s="1082"/>
      <c r="M213" s="1082"/>
      <c r="N213" s="1082"/>
      <c r="O213" s="1082"/>
      <c r="P213" s="1115"/>
      <c r="Q213" s="1054">
        <v>0</v>
      </c>
      <c r="R213" s="1054">
        <v>0</v>
      </c>
      <c r="S213" s="1054">
        <v>0</v>
      </c>
      <c r="T213" s="1054">
        <v>0</v>
      </c>
      <c r="U213" s="1054">
        <v>0</v>
      </c>
      <c r="V213" s="1054">
        <v>0</v>
      </c>
      <c r="W213" s="1054">
        <v>0</v>
      </c>
      <c r="X213" s="1054">
        <v>0</v>
      </c>
      <c r="Y213" s="1054">
        <v>0</v>
      </c>
      <c r="Z213" s="1054">
        <v>0</v>
      </c>
      <c r="AA213" s="1054"/>
      <c r="AB213" s="1054"/>
      <c r="AC213" s="1054"/>
      <c r="AD213" s="1054"/>
      <c r="AE213" s="1054"/>
      <c r="AF213" s="1054"/>
      <c r="AG213" s="1054"/>
      <c r="AH213" s="1054"/>
      <c r="AI213" s="1054"/>
      <c r="AJ213" s="1054"/>
      <c r="AK213" s="1054"/>
      <c r="AL213" s="1054"/>
      <c r="AM213" s="1054"/>
      <c r="AN213" s="1054"/>
      <c r="AO213" s="1054"/>
      <c r="AP213" s="1054"/>
      <c r="AQ213" s="1054"/>
      <c r="AR213" s="1054"/>
      <c r="AS213" s="1054"/>
      <c r="AT213" s="1054"/>
      <c r="AU213" s="1054"/>
      <c r="AV213" s="1054"/>
      <c r="AW213" s="1054"/>
      <c r="AX213" s="1054"/>
      <c r="AY213" s="1054"/>
      <c r="AZ213" s="1054"/>
      <c r="BA213" s="1054"/>
      <c r="BB213" s="1031"/>
      <c r="BC213" s="1162"/>
      <c r="BD213" s="1162"/>
      <c r="BE213" s="1162"/>
    </row>
    <row r="214" spans="2:57" s="1050" customFormat="1">
      <c r="B214" s="1164" t="s">
        <v>822</v>
      </c>
      <c r="C214" s="1068"/>
      <c r="D214" s="1068"/>
      <c r="E214" s="1076"/>
      <c r="F214" s="1076"/>
      <c r="G214" s="1076"/>
      <c r="H214" s="93"/>
      <c r="I214" s="1082"/>
      <c r="J214" s="1082"/>
      <c r="K214" s="1082"/>
      <c r="L214" s="1082"/>
      <c r="M214" s="1082"/>
      <c r="N214" s="1082"/>
      <c r="O214" s="1082"/>
      <c r="P214" s="1138">
        <v>0</v>
      </c>
      <c r="Q214" s="1054">
        <f>SUM(Q210:Q213)</f>
        <v>0</v>
      </c>
      <c r="R214" s="1054">
        <f t="shared" ref="R214:Z214" si="142">SUM(R210:R213)</f>
        <v>0</v>
      </c>
      <c r="S214" s="1054">
        <f t="shared" si="142"/>
        <v>0</v>
      </c>
      <c r="T214" s="1054">
        <f t="shared" si="142"/>
        <v>0</v>
      </c>
      <c r="U214" s="1054">
        <f t="shared" si="142"/>
        <v>0</v>
      </c>
      <c r="V214" s="1054">
        <f t="shared" si="142"/>
        <v>0</v>
      </c>
      <c r="W214" s="1054">
        <f t="shared" si="142"/>
        <v>0</v>
      </c>
      <c r="X214" s="1054">
        <f t="shared" si="142"/>
        <v>0</v>
      </c>
      <c r="Y214" s="1054">
        <f t="shared" si="142"/>
        <v>0</v>
      </c>
      <c r="Z214" s="1054">
        <f t="shared" si="142"/>
        <v>0</v>
      </c>
      <c r="AA214" s="1054"/>
      <c r="AB214" s="1054"/>
      <c r="AC214" s="1054"/>
      <c r="AD214" s="1054"/>
      <c r="AE214" s="1054"/>
      <c r="AF214" s="1054"/>
      <c r="AG214" s="1054"/>
      <c r="AH214" s="1054"/>
      <c r="AI214" s="1054"/>
      <c r="AJ214" s="1054"/>
      <c r="AK214" s="1054"/>
      <c r="AL214" s="1054"/>
      <c r="AM214" s="1054"/>
      <c r="AN214" s="1054"/>
      <c r="AO214" s="1054"/>
      <c r="AP214" s="1054"/>
      <c r="AQ214" s="1054"/>
      <c r="AR214" s="1054"/>
      <c r="AS214" s="1054"/>
      <c r="AT214" s="1054"/>
      <c r="AU214" s="1054"/>
      <c r="AV214" s="1054"/>
      <c r="AW214" s="1054"/>
      <c r="AX214" s="1054"/>
      <c r="AY214" s="1054"/>
      <c r="AZ214" s="1054"/>
      <c r="BA214" s="1054"/>
      <c r="BB214" s="1031"/>
      <c r="BC214" s="1162"/>
      <c r="BD214" s="1162"/>
      <c r="BE214" s="1162"/>
    </row>
    <row r="215" spans="2:57" s="1050" customFormat="1">
      <c r="B215" s="1116" t="s">
        <v>808</v>
      </c>
      <c r="C215" s="1095"/>
      <c r="D215" s="1095"/>
      <c r="E215" s="1169"/>
      <c r="F215" s="1169"/>
      <c r="G215" s="1169"/>
      <c r="H215" s="1170"/>
      <c r="I215" s="1171"/>
      <c r="J215" s="1172"/>
      <c r="K215" s="1172">
        <f>SUM(K160,K167,K174,K182,K189,K196,K203,K210)</f>
        <v>346.37435172800002</v>
      </c>
      <c r="L215" s="1172">
        <f t="shared" ref="L215:Z215" si="143">SUM(L160,L167,L174,L182,L189,L196,L203,L210)</f>
        <v>698.50608688499995</v>
      </c>
      <c r="M215" s="1172">
        <f t="shared" si="143"/>
        <v>760.95529727300004</v>
      </c>
      <c r="N215" s="1172">
        <f t="shared" si="143"/>
        <v>66.117926734999998</v>
      </c>
      <c r="O215" s="1172">
        <f t="shared" si="143"/>
        <v>33.176188396000001</v>
      </c>
      <c r="P215" s="2540">
        <f t="shared" si="143"/>
        <v>88.189941648000001</v>
      </c>
      <c r="Q215" s="2522">
        <f t="shared" si="143"/>
        <v>601.16557409799998</v>
      </c>
      <c r="R215" s="2522">
        <f t="shared" si="143"/>
        <v>655.73942212749739</v>
      </c>
      <c r="S215" s="2522">
        <f t="shared" si="143"/>
        <v>705.21572376650136</v>
      </c>
      <c r="T215" s="2522">
        <f t="shared" si="143"/>
        <v>753.78340859097159</v>
      </c>
      <c r="U215" s="2522">
        <f t="shared" si="143"/>
        <v>834.0658206924611</v>
      </c>
      <c r="V215" s="2522">
        <f t="shared" si="143"/>
        <v>865.15270616276734</v>
      </c>
      <c r="W215" s="2522">
        <f t="shared" si="143"/>
        <v>890.43447318103404</v>
      </c>
      <c r="X215" s="2522">
        <f t="shared" si="143"/>
        <v>910.88682846351242</v>
      </c>
      <c r="Y215" s="2522">
        <f t="shared" si="143"/>
        <v>933.76707014317083</v>
      </c>
      <c r="Z215" s="2522">
        <f t="shared" si="143"/>
        <v>960.66162548930265</v>
      </c>
      <c r="AA215" s="1173"/>
      <c r="AB215" s="1173"/>
      <c r="AC215" s="1173"/>
      <c r="AD215" s="1173"/>
      <c r="AE215" s="1173"/>
      <c r="AF215" s="1173"/>
      <c r="AG215" s="1173"/>
      <c r="AH215" s="1173"/>
      <c r="AI215" s="1173"/>
      <c r="AJ215" s="1173"/>
      <c r="AK215" s="1173"/>
      <c r="AL215" s="1173"/>
      <c r="AM215" s="1173"/>
      <c r="AN215" s="1173"/>
      <c r="AO215" s="1173"/>
      <c r="AP215" s="1173"/>
      <c r="AQ215" s="1173"/>
      <c r="AR215" s="1173"/>
      <c r="AS215" s="1173"/>
      <c r="AT215" s="1173"/>
      <c r="AU215" s="1173"/>
      <c r="AV215" s="1173"/>
      <c r="AW215" s="1173"/>
      <c r="AX215" s="1173"/>
      <c r="AY215" s="1173"/>
      <c r="AZ215" s="1173"/>
      <c r="BA215" s="1173"/>
      <c r="BB215" s="1031"/>
      <c r="BC215" s="1162"/>
      <c r="BD215" s="1162"/>
      <c r="BE215" s="1162"/>
    </row>
    <row r="216" spans="2:57" s="1050" customFormat="1">
      <c r="B216" s="1117" t="s">
        <v>787</v>
      </c>
      <c r="C216" s="1068"/>
      <c r="D216" s="1068"/>
      <c r="E216" s="1076"/>
      <c r="F216" s="1076"/>
      <c r="G216" s="1076"/>
      <c r="H216" s="93"/>
      <c r="I216" s="1082"/>
      <c r="J216" s="1083"/>
      <c r="K216" s="1083">
        <f>SUM(K164,K171,K179,K186,K193,K200,K207,K214)</f>
        <v>698.50608688499995</v>
      </c>
      <c r="L216" s="1083">
        <f t="shared" ref="L216:Z216" si="144">SUM(L164,L171,L179,L186,L193,L200,L207,L214)</f>
        <v>760.95529727300004</v>
      </c>
      <c r="M216" s="1083">
        <f t="shared" si="144"/>
        <v>66.117926734999998</v>
      </c>
      <c r="N216" s="1083">
        <f t="shared" si="144"/>
        <v>33.176188396000001</v>
      </c>
      <c r="O216" s="1083">
        <f t="shared" si="144"/>
        <v>88.189941648000001</v>
      </c>
      <c r="P216" s="2534">
        <f t="shared" si="144"/>
        <v>601.16557409799998</v>
      </c>
      <c r="Q216" s="2523">
        <f t="shared" si="144"/>
        <v>655.73942212749739</v>
      </c>
      <c r="R216" s="2523">
        <f t="shared" si="144"/>
        <v>705.21572376650136</v>
      </c>
      <c r="S216" s="2523">
        <f t="shared" si="144"/>
        <v>753.78340859097159</v>
      </c>
      <c r="T216" s="2523">
        <f t="shared" si="144"/>
        <v>834.0658206924611</v>
      </c>
      <c r="U216" s="2523">
        <f t="shared" si="144"/>
        <v>865.15270616276734</v>
      </c>
      <c r="V216" s="2523">
        <f t="shared" si="144"/>
        <v>890.43447318103404</v>
      </c>
      <c r="W216" s="2523">
        <f t="shared" si="144"/>
        <v>910.88682846351242</v>
      </c>
      <c r="X216" s="2523">
        <f t="shared" si="144"/>
        <v>933.76707014317083</v>
      </c>
      <c r="Y216" s="2523">
        <f t="shared" si="144"/>
        <v>960.66162548930265</v>
      </c>
      <c r="Z216" s="2523">
        <f t="shared" si="144"/>
        <v>986.73028450902962</v>
      </c>
      <c r="AA216" s="1084"/>
      <c r="AB216" s="1084"/>
      <c r="AC216" s="1084"/>
      <c r="AD216" s="1084"/>
      <c r="AE216" s="1084"/>
      <c r="AF216" s="1084"/>
      <c r="AG216" s="1084"/>
      <c r="AH216" s="1084"/>
      <c r="AI216" s="1084"/>
      <c r="AJ216" s="1084"/>
      <c r="AK216" s="1084"/>
      <c r="AL216" s="1084"/>
      <c r="AM216" s="1084"/>
      <c r="AN216" s="1084"/>
      <c r="AO216" s="1084"/>
      <c r="AP216" s="1084"/>
      <c r="AQ216" s="1084"/>
      <c r="AR216" s="1084"/>
      <c r="AS216" s="1084"/>
      <c r="AT216" s="1084"/>
      <c r="AU216" s="1084"/>
      <c r="AV216" s="1084"/>
      <c r="AW216" s="1084"/>
      <c r="AX216" s="1084"/>
      <c r="AY216" s="1084"/>
      <c r="AZ216" s="1084"/>
      <c r="BA216" s="1084"/>
      <c r="BB216" s="1031"/>
      <c r="BC216" s="1162"/>
      <c r="BD216" s="1162"/>
      <c r="BE216" s="1162"/>
    </row>
    <row r="217" spans="2:57" s="480" customFormat="1">
      <c r="B217" s="1109" t="s">
        <v>809</v>
      </c>
      <c r="C217" s="1068"/>
      <c r="D217" s="1068"/>
      <c r="E217" s="126"/>
      <c r="F217" s="126"/>
      <c r="G217" s="126"/>
      <c r="H217" s="126"/>
      <c r="I217" s="1174"/>
      <c r="J217" s="1174"/>
      <c r="K217" s="1174"/>
      <c r="L217" s="1174"/>
      <c r="M217" s="1174"/>
      <c r="N217" s="1174"/>
      <c r="O217" s="1174"/>
      <c r="P217" s="1212"/>
      <c r="Q217" s="1174"/>
      <c r="R217" s="1174"/>
      <c r="S217" s="1174"/>
      <c r="T217" s="1174"/>
      <c r="U217" s="1174"/>
      <c r="V217" s="1174"/>
      <c r="W217" s="1174"/>
      <c r="X217" s="1174"/>
      <c r="Y217" s="1174"/>
      <c r="Z217" s="1174"/>
      <c r="AA217" s="1174"/>
      <c r="AB217" s="1174"/>
      <c r="AC217" s="1174"/>
      <c r="AD217" s="1174"/>
      <c r="AE217" s="1174"/>
      <c r="AF217" s="1174"/>
      <c r="AG217" s="1174"/>
      <c r="AH217" s="1174"/>
      <c r="AI217" s="1174"/>
      <c r="AJ217" s="1174"/>
      <c r="AK217" s="1174"/>
      <c r="AL217" s="1174"/>
      <c r="AM217" s="1174"/>
      <c r="AN217" s="1174"/>
      <c r="AO217" s="1174"/>
      <c r="AP217" s="1174"/>
      <c r="AQ217" s="1174"/>
      <c r="AR217" s="1174"/>
      <c r="AS217" s="1174"/>
      <c r="AT217" s="1174"/>
      <c r="AU217" s="1174"/>
      <c r="AV217" s="1174"/>
      <c r="AW217" s="1174"/>
      <c r="AX217" s="1174"/>
      <c r="AY217" s="1174"/>
      <c r="AZ217" s="1174"/>
      <c r="BA217" s="1174"/>
      <c r="BB217" s="1174"/>
      <c r="BC217" s="424"/>
      <c r="BD217" s="424"/>
      <c r="BE217" s="424"/>
    </row>
    <row r="218" spans="2:57">
      <c r="E218" s="1155"/>
      <c r="F218" s="1155"/>
      <c r="G218" s="1155"/>
      <c r="H218" s="1155"/>
      <c r="I218" s="1155"/>
      <c r="J218" s="1155"/>
      <c r="K218" s="1155"/>
      <c r="L218" s="1155"/>
      <c r="M218" s="1155"/>
      <c r="N218" s="1155"/>
      <c r="O218" s="1155"/>
      <c r="P218" s="1156"/>
      <c r="Q218" s="1155"/>
      <c r="R218" s="1155"/>
      <c r="S218" s="1155"/>
      <c r="T218" s="1155"/>
      <c r="U218" s="1155"/>
      <c r="V218" s="1155"/>
      <c r="W218" s="1155"/>
      <c r="X218" s="1155"/>
      <c r="Y218" s="1155"/>
      <c r="Z218" s="1155"/>
      <c r="AA218" s="1155"/>
      <c r="AB218" s="1155"/>
      <c r="AC218" s="1155"/>
      <c r="AD218" s="1155"/>
      <c r="AE218" s="1155"/>
      <c r="AF218" s="1155"/>
      <c r="AG218" s="1155"/>
      <c r="AH218" s="1155"/>
      <c r="AI218" s="1155"/>
      <c r="AJ218" s="1155"/>
      <c r="AK218" s="1155"/>
      <c r="AL218" s="1155"/>
      <c r="AM218" s="1155"/>
      <c r="AN218" s="1155"/>
      <c r="AO218" s="1155"/>
      <c r="AP218" s="1155"/>
      <c r="AQ218" s="1155"/>
      <c r="AR218" s="1155"/>
      <c r="AS218" s="1155"/>
      <c r="AT218" s="1155"/>
      <c r="AU218" s="1155"/>
      <c r="AV218" s="1155"/>
      <c r="AW218" s="1155"/>
      <c r="AX218" s="1155"/>
      <c r="AY218" s="1155"/>
      <c r="AZ218" s="1155"/>
      <c r="BA218" s="1155"/>
    </row>
    <row r="219" spans="2:57" s="480" customFormat="1" ht="65.25" customHeight="1">
      <c r="B219" s="1175" t="s">
        <v>833</v>
      </c>
      <c r="C219" s="1175" t="s">
        <v>834</v>
      </c>
      <c r="D219" s="1175" t="s">
        <v>835</v>
      </c>
      <c r="E219" s="1176" t="s">
        <v>836</v>
      </c>
      <c r="F219" s="1176" t="s">
        <v>837</v>
      </c>
      <c r="G219" s="93"/>
      <c r="H219" s="1177"/>
      <c r="I219" s="1177"/>
      <c r="J219" s="1177"/>
      <c r="K219" s="93"/>
      <c r="L219" s="93"/>
      <c r="M219" s="93"/>
      <c r="N219" s="93"/>
      <c r="O219" s="93"/>
      <c r="P219" s="1129"/>
      <c r="Q219" s="93"/>
      <c r="R219" s="93"/>
      <c r="S219" s="93"/>
      <c r="T219" s="93"/>
      <c r="U219" s="93"/>
      <c r="V219" s="93"/>
      <c r="W219" s="93"/>
      <c r="X219" s="93"/>
      <c r="Y219" s="93"/>
      <c r="Z219" s="93"/>
      <c r="AA219" s="93"/>
      <c r="AB219" s="93"/>
      <c r="AC219" s="93"/>
      <c r="AD219" s="93"/>
      <c r="AE219" s="93"/>
      <c r="AF219" s="93"/>
      <c r="AG219" s="93"/>
      <c r="AH219" s="93"/>
      <c r="AI219" s="93"/>
      <c r="AJ219" s="93"/>
      <c r="AK219" s="93"/>
      <c r="AL219" s="93"/>
      <c r="AM219" s="93"/>
      <c r="AN219" s="93"/>
      <c r="AO219" s="93"/>
      <c r="AP219" s="93"/>
      <c r="AQ219" s="93"/>
      <c r="AR219" s="93"/>
      <c r="AS219" s="93"/>
      <c r="AT219" s="93"/>
      <c r="AU219" s="93"/>
      <c r="AV219" s="93"/>
      <c r="AW219" s="93"/>
      <c r="AX219" s="93"/>
      <c r="AY219" s="93"/>
      <c r="AZ219" s="93"/>
      <c r="BA219" s="93"/>
      <c r="BB219" s="1031"/>
      <c r="BC219" s="424"/>
      <c r="BD219" s="424"/>
      <c r="BE219" s="424"/>
    </row>
    <row r="220" spans="2:57" s="480" customFormat="1">
      <c r="B220" s="1178" t="s">
        <v>838</v>
      </c>
      <c r="C220" s="1179">
        <v>5</v>
      </c>
      <c r="D220" s="1180">
        <v>12</v>
      </c>
      <c r="E220" s="1181">
        <f>IFERROR((AVERAGE(P23,P28)-P29)/P37,0)</f>
        <v>21.570905902184794</v>
      </c>
      <c r="F220" s="1182">
        <f t="shared" ref="F220:F223" si="145">IF(AND(E220&lt;D220,E220&gt;C220),ROUND(E220,0), IF(E220&gt;D220, D220,C220))</f>
        <v>12</v>
      </c>
      <c r="G220" s="93"/>
      <c r="H220" s="1158"/>
      <c r="I220" s="1158"/>
      <c r="J220" s="1158"/>
      <c r="K220" s="93"/>
      <c r="L220" s="93"/>
      <c r="M220" s="93"/>
      <c r="N220" s="93"/>
      <c r="O220" s="93"/>
      <c r="P220" s="1129"/>
      <c r="Q220" s="93"/>
      <c r="R220" s="93"/>
      <c r="S220" s="93"/>
      <c r="T220" s="93"/>
      <c r="U220" s="93"/>
      <c r="V220" s="93"/>
      <c r="W220" s="93"/>
      <c r="X220" s="93"/>
      <c r="Y220" s="93"/>
      <c r="Z220" s="93"/>
      <c r="AA220" s="93"/>
      <c r="AB220" s="93"/>
      <c r="AC220" s="93"/>
      <c r="AD220" s="93"/>
      <c r="AE220" s="93"/>
      <c r="AF220" s="93"/>
      <c r="AG220" s="93"/>
      <c r="AH220" s="93"/>
      <c r="AI220" s="93"/>
      <c r="AJ220" s="93"/>
      <c r="AK220" s="93"/>
      <c r="AL220" s="93"/>
      <c r="AM220" s="93"/>
      <c r="AN220" s="93"/>
      <c r="AO220" s="93"/>
      <c r="AP220" s="93"/>
      <c r="AQ220" s="93"/>
      <c r="AR220" s="93"/>
      <c r="AS220" s="93"/>
      <c r="AT220" s="93"/>
      <c r="AU220" s="93"/>
      <c r="AV220" s="93"/>
      <c r="AW220" s="93"/>
      <c r="AX220" s="93"/>
      <c r="AY220" s="93"/>
      <c r="AZ220" s="93"/>
      <c r="BA220" s="93"/>
      <c r="BB220" s="1031"/>
      <c r="BC220" s="424"/>
      <c r="BD220" s="424"/>
      <c r="BE220" s="424"/>
    </row>
    <row r="221" spans="2:57" s="480" customFormat="1">
      <c r="B221" s="1178" t="s">
        <v>839</v>
      </c>
      <c r="C221" s="1183">
        <v>3</v>
      </c>
      <c r="D221" s="1184">
        <v>6</v>
      </c>
      <c r="E221" s="1181">
        <f>IFERROR((AVERAGE(P58,P63)-P64)/P71,0)</f>
        <v>7.7699721918796163</v>
      </c>
      <c r="F221" s="1182">
        <f t="shared" si="145"/>
        <v>6</v>
      </c>
      <c r="G221" s="93"/>
      <c r="H221" s="1158"/>
      <c r="I221" s="1158"/>
      <c r="J221" s="1158"/>
      <c r="K221" s="93"/>
      <c r="L221" s="93"/>
      <c r="M221" s="93"/>
      <c r="N221" s="93"/>
      <c r="O221" s="93"/>
      <c r="P221" s="1129"/>
      <c r="Q221" s="93"/>
      <c r="R221" s="93"/>
      <c r="S221" s="93"/>
      <c r="T221" s="93"/>
      <c r="U221" s="93"/>
      <c r="V221" s="93"/>
      <c r="W221" s="93"/>
      <c r="X221" s="93"/>
      <c r="Y221" s="93"/>
      <c r="Z221" s="93"/>
      <c r="AA221" s="93"/>
      <c r="AB221" s="93"/>
      <c r="AC221" s="93"/>
      <c r="AD221" s="93"/>
      <c r="AE221" s="93"/>
      <c r="AF221" s="93"/>
      <c r="AG221" s="93"/>
      <c r="AH221" s="93"/>
      <c r="AI221" s="93"/>
      <c r="AJ221" s="93"/>
      <c r="AK221" s="93"/>
      <c r="AL221" s="93"/>
      <c r="AM221" s="93"/>
      <c r="AN221" s="93"/>
      <c r="AO221" s="93"/>
      <c r="AP221" s="93"/>
      <c r="AQ221" s="93"/>
      <c r="AR221" s="93"/>
      <c r="AS221" s="93"/>
      <c r="AT221" s="93"/>
      <c r="AU221" s="93"/>
      <c r="AV221" s="93"/>
      <c r="AW221" s="93"/>
      <c r="AX221" s="93"/>
      <c r="AY221" s="93"/>
      <c r="AZ221" s="93"/>
      <c r="BA221" s="93"/>
      <c r="BB221" s="1031"/>
      <c r="BC221" s="424"/>
      <c r="BD221" s="424"/>
      <c r="BE221" s="424"/>
    </row>
    <row r="222" spans="2:57" s="480" customFormat="1">
      <c r="B222" s="1178" t="s">
        <v>840</v>
      </c>
      <c r="C222" s="1183">
        <v>3</v>
      </c>
      <c r="D222" s="1184">
        <v>3</v>
      </c>
      <c r="E222" s="1181">
        <f>IFERROR((AVERAGE(P91,P96)-P97)/P104,0)</f>
        <v>21.386455003494913</v>
      </c>
      <c r="F222" s="1182">
        <f t="shared" si="145"/>
        <v>3</v>
      </c>
      <c r="G222" s="93"/>
      <c r="H222" s="1158"/>
      <c r="I222" s="1158"/>
      <c r="J222" s="1158"/>
      <c r="K222" s="93"/>
      <c r="L222" s="93"/>
      <c r="M222" s="93"/>
      <c r="N222" s="93"/>
      <c r="O222" s="93"/>
      <c r="P222" s="1129"/>
      <c r="Q222" s="93"/>
      <c r="R222" s="93"/>
      <c r="S222" s="93"/>
      <c r="T222" s="93"/>
      <c r="U222" s="93"/>
      <c r="V222" s="93"/>
      <c r="W222" s="93"/>
      <c r="X222" s="93"/>
      <c r="Y222" s="93"/>
      <c r="Z222" s="93"/>
      <c r="AA222" s="93"/>
      <c r="AB222" s="93"/>
      <c r="AC222" s="93"/>
      <c r="AD222" s="93"/>
      <c r="AE222" s="93"/>
      <c r="AF222" s="93"/>
      <c r="AG222" s="93"/>
      <c r="AH222" s="93"/>
      <c r="AI222" s="93"/>
      <c r="AJ222" s="93"/>
      <c r="AK222" s="93"/>
      <c r="AL222" s="93"/>
      <c r="AM222" s="93"/>
      <c r="AN222" s="93"/>
      <c r="AO222" s="93"/>
      <c r="AP222" s="93"/>
      <c r="AQ222" s="93"/>
      <c r="AR222" s="93"/>
      <c r="AS222" s="93"/>
      <c r="AT222" s="93"/>
      <c r="AU222" s="93"/>
      <c r="AV222" s="93"/>
      <c r="AW222" s="93"/>
      <c r="AX222" s="93"/>
      <c r="AY222" s="93"/>
      <c r="AZ222" s="93"/>
      <c r="BA222" s="93"/>
      <c r="BB222" s="1031"/>
      <c r="BC222" s="424"/>
      <c r="BD222" s="424"/>
      <c r="BE222" s="424"/>
    </row>
    <row r="223" spans="2:57" s="480" customFormat="1">
      <c r="B223" s="1178" t="s">
        <v>841</v>
      </c>
      <c r="C223" s="1183">
        <v>5</v>
      </c>
      <c r="D223" s="1184">
        <v>20</v>
      </c>
      <c r="E223" s="1181">
        <f>IFERROR((AVERAGE(P125+P130)-P131)/P138,0)</f>
        <v>0</v>
      </c>
      <c r="F223" s="1182">
        <f t="shared" si="145"/>
        <v>5</v>
      </c>
      <c r="G223" s="93"/>
      <c r="H223" s="1158"/>
      <c r="I223" s="1158"/>
      <c r="J223" s="1158"/>
      <c r="K223" s="93"/>
      <c r="L223" s="93"/>
      <c r="M223" s="93"/>
      <c r="N223" s="93"/>
      <c r="O223" s="93"/>
      <c r="P223" s="1129"/>
      <c r="Q223" s="93"/>
      <c r="R223" s="93"/>
      <c r="S223" s="93"/>
      <c r="T223" s="93"/>
      <c r="U223" s="93"/>
      <c r="V223" s="93"/>
      <c r="W223" s="93"/>
      <c r="X223" s="93"/>
      <c r="Y223" s="93"/>
      <c r="Z223" s="93"/>
      <c r="AA223" s="93"/>
      <c r="AB223" s="93"/>
      <c r="AC223" s="93"/>
      <c r="AD223" s="93"/>
      <c r="AE223" s="93"/>
      <c r="AF223" s="93"/>
      <c r="AG223" s="93"/>
      <c r="AH223" s="93"/>
      <c r="AI223" s="93"/>
      <c r="AJ223" s="93"/>
      <c r="AK223" s="93"/>
      <c r="AL223" s="93"/>
      <c r="AM223" s="93"/>
      <c r="AN223" s="93"/>
      <c r="AO223" s="93"/>
      <c r="AP223" s="93"/>
      <c r="AQ223" s="93"/>
      <c r="AR223" s="93"/>
      <c r="AS223" s="93"/>
      <c r="AT223" s="93"/>
      <c r="AU223" s="93"/>
      <c r="AV223" s="93"/>
      <c r="AW223" s="93"/>
      <c r="AX223" s="93"/>
      <c r="AY223" s="93"/>
      <c r="AZ223" s="93"/>
      <c r="BA223" s="93"/>
      <c r="BB223" s="1031"/>
      <c r="BC223" s="424"/>
      <c r="BD223" s="424"/>
      <c r="BE223" s="424"/>
    </row>
    <row r="224" spans="2:57" s="480" customFormat="1">
      <c r="B224" s="1080"/>
      <c r="C224" s="1185"/>
      <c r="D224" s="1185"/>
      <c r="E224" s="1158"/>
      <c r="F224" s="1158"/>
      <c r="G224" s="1158"/>
      <c r="H224" s="1158"/>
      <c r="I224" s="1158"/>
      <c r="J224" s="1158"/>
      <c r="K224" s="93"/>
      <c r="L224" s="93"/>
      <c r="M224" s="93"/>
      <c r="N224" s="93"/>
      <c r="O224" s="93"/>
      <c r="P224" s="1129"/>
      <c r="Q224" s="93"/>
      <c r="R224" s="93"/>
      <c r="S224" s="93"/>
      <c r="T224" s="93"/>
      <c r="U224" s="93"/>
      <c r="V224" s="93"/>
      <c r="W224" s="93"/>
      <c r="X224" s="93"/>
      <c r="Y224" s="93"/>
      <c r="Z224" s="93"/>
      <c r="AA224" s="93"/>
      <c r="AB224" s="93"/>
      <c r="AC224" s="93"/>
      <c r="AD224" s="93"/>
      <c r="AE224" s="93"/>
      <c r="AF224" s="93"/>
      <c r="AG224" s="93"/>
      <c r="AH224" s="93"/>
      <c r="AI224" s="93"/>
      <c r="AJ224" s="93"/>
      <c r="AK224" s="93"/>
      <c r="AL224" s="93"/>
      <c r="AM224" s="93"/>
      <c r="AN224" s="93"/>
      <c r="AO224" s="93"/>
      <c r="AP224" s="93"/>
      <c r="AQ224" s="93"/>
      <c r="AR224" s="93"/>
      <c r="AS224" s="93"/>
      <c r="AT224" s="93"/>
      <c r="AU224" s="93"/>
      <c r="AV224" s="93"/>
      <c r="AW224" s="93"/>
      <c r="AX224" s="93"/>
      <c r="AY224" s="93"/>
      <c r="AZ224" s="93"/>
      <c r="BA224" s="93"/>
      <c r="BB224" s="1031"/>
      <c r="BC224" s="424"/>
      <c r="BD224" s="424"/>
      <c r="BE224" s="424"/>
    </row>
    <row r="225" spans="2:57" s="480" customFormat="1">
      <c r="E225" s="93"/>
      <c r="F225" s="93"/>
      <c r="G225" s="93"/>
      <c r="H225" s="93"/>
      <c r="I225" s="93"/>
      <c r="J225" s="93"/>
      <c r="K225" s="93"/>
      <c r="L225" s="93"/>
      <c r="M225" s="93"/>
      <c r="N225" s="93"/>
      <c r="O225" s="93"/>
      <c r="P225" s="1129"/>
      <c r="Q225" s="93"/>
      <c r="R225" s="93"/>
      <c r="S225" s="93"/>
      <c r="T225" s="93"/>
      <c r="U225" s="93"/>
      <c r="V225" s="93"/>
      <c r="W225" s="93"/>
      <c r="X225" s="93"/>
      <c r="Y225" s="93"/>
      <c r="Z225" s="93"/>
      <c r="AA225" s="93"/>
      <c r="AB225" s="93"/>
      <c r="AC225" s="93"/>
      <c r="AD225" s="93"/>
      <c r="AE225" s="93"/>
      <c r="AF225" s="93"/>
      <c r="AG225" s="93"/>
      <c r="AH225" s="93"/>
      <c r="AI225" s="93"/>
      <c r="AJ225" s="93"/>
      <c r="AK225" s="93"/>
      <c r="AL225" s="93"/>
      <c r="AM225" s="93"/>
      <c r="AN225" s="93"/>
      <c r="AO225" s="93"/>
      <c r="AP225" s="93"/>
      <c r="AQ225" s="93"/>
      <c r="AR225" s="93"/>
      <c r="AS225" s="93"/>
      <c r="AT225" s="93"/>
      <c r="AU225" s="93"/>
      <c r="AV225" s="93"/>
      <c r="AW225" s="93"/>
      <c r="AX225" s="93"/>
      <c r="AY225" s="93"/>
      <c r="AZ225" s="93"/>
      <c r="BA225" s="93"/>
      <c r="BB225" s="1031"/>
      <c r="BC225" s="424"/>
      <c r="BD225" s="424"/>
      <c r="BE225" s="424"/>
    </row>
    <row r="226" spans="2:57">
      <c r="M226" s="1006"/>
      <c r="P226" s="1186"/>
    </row>
    <row r="227" spans="2:57">
      <c r="B227" s="1061" t="s">
        <v>842</v>
      </c>
      <c r="C227" s="1061"/>
      <c r="D227" s="1061"/>
      <c r="E227" s="1062"/>
      <c r="F227" s="1062"/>
      <c r="G227" s="1062"/>
      <c r="H227" s="1063"/>
      <c r="I227" s="1063"/>
      <c r="J227" s="1063"/>
      <c r="K227" s="1063"/>
      <c r="L227" s="1063"/>
      <c r="M227" s="1063"/>
      <c r="N227" s="1063"/>
      <c r="O227" s="1063"/>
      <c r="P227" s="1187"/>
      <c r="Q227" s="1064"/>
      <c r="R227" s="1064"/>
      <c r="S227" s="1064"/>
      <c r="T227" s="1064"/>
      <c r="U227" s="1064"/>
      <c r="V227" s="1064"/>
      <c r="W227" s="1064"/>
      <c r="X227" s="1064"/>
      <c r="Y227" s="1064"/>
      <c r="Z227" s="1064"/>
      <c r="AA227" s="1064"/>
      <c r="AB227" s="1064"/>
      <c r="AC227" s="1064"/>
      <c r="AD227" s="1064"/>
      <c r="AE227" s="1064"/>
      <c r="AF227" s="1064"/>
      <c r="AG227" s="1064"/>
      <c r="AH227" s="1064"/>
      <c r="AI227" s="1064"/>
      <c r="AJ227" s="1064"/>
      <c r="AK227" s="1064"/>
      <c r="AL227" s="1064"/>
      <c r="AM227" s="1064"/>
      <c r="AN227" s="1064"/>
      <c r="AO227" s="1064"/>
      <c r="AP227" s="1064"/>
      <c r="AQ227" s="1064"/>
      <c r="AR227" s="1064"/>
      <c r="AS227" s="1064"/>
      <c r="AT227" s="1064"/>
      <c r="AU227" s="1064"/>
      <c r="AV227" s="1064"/>
      <c r="AW227" s="1064"/>
      <c r="AX227" s="1064"/>
      <c r="AY227" s="1064"/>
      <c r="AZ227" s="1064"/>
      <c r="BA227" s="1064"/>
    </row>
    <row r="228" spans="2:57">
      <c r="M228" s="1006"/>
      <c r="P228" s="1186"/>
    </row>
    <row r="229" spans="2:57">
      <c r="B229" s="1072" t="s">
        <v>797</v>
      </c>
      <c r="M229" s="1188"/>
      <c r="N229" s="1188"/>
      <c r="O229" s="1188"/>
      <c r="P229" s="1213" t="s">
        <v>837</v>
      </c>
      <c r="Q229" s="1189">
        <f>F220</f>
        <v>12</v>
      </c>
      <c r="R229" s="1189">
        <f>Q229</f>
        <v>12</v>
      </c>
      <c r="S229" s="1189">
        <f t="shared" ref="S229:Z229" si="146">R229</f>
        <v>12</v>
      </c>
      <c r="T229" s="1189">
        <f t="shared" si="146"/>
        <v>12</v>
      </c>
      <c r="U229" s="1189">
        <f t="shared" si="146"/>
        <v>12</v>
      </c>
      <c r="V229" s="1189">
        <f t="shared" si="146"/>
        <v>12</v>
      </c>
      <c r="W229" s="1189">
        <f t="shared" si="146"/>
        <v>12</v>
      </c>
      <c r="X229" s="1189">
        <f t="shared" si="146"/>
        <v>12</v>
      </c>
      <c r="Y229" s="1189">
        <f t="shared" si="146"/>
        <v>12</v>
      </c>
      <c r="Z229" s="1189">
        <f t="shared" si="146"/>
        <v>12</v>
      </c>
      <c r="AA229" s="1189"/>
      <c r="AB229" s="1189"/>
      <c r="AC229" s="1189"/>
      <c r="AD229" s="1189"/>
      <c r="AE229" s="1189"/>
      <c r="AF229" s="1189"/>
      <c r="AG229" s="1189"/>
      <c r="AH229" s="1189"/>
      <c r="AI229" s="1189"/>
      <c r="AJ229" s="1189"/>
      <c r="AK229" s="1189"/>
      <c r="AL229" s="1189"/>
      <c r="AM229" s="1189"/>
      <c r="AN229" s="1189"/>
      <c r="AO229" s="1189"/>
      <c r="AP229" s="1189"/>
      <c r="AQ229" s="1189"/>
      <c r="AR229" s="1189"/>
      <c r="AS229" s="1189"/>
      <c r="AT229" s="1189"/>
      <c r="AU229" s="1189"/>
      <c r="AV229" s="1189"/>
      <c r="AW229" s="1189"/>
      <c r="AX229" s="1189"/>
      <c r="AY229" s="1189"/>
      <c r="AZ229" s="1189"/>
      <c r="BA229" s="1189"/>
    </row>
    <row r="230" spans="2:57" ht="14.4">
      <c r="B230" s="1190" t="str">
        <f>"TS cũ cuối năm "&amp;YEAR($P$3)</f>
        <v>TS cũ cuối năm 2024</v>
      </c>
      <c r="M230" s="1191"/>
      <c r="N230" s="1191"/>
      <c r="O230" s="1191"/>
      <c r="P230" s="1192">
        <f>P37</f>
        <v>739.80137280600002</v>
      </c>
      <c r="Q230" s="1193">
        <f>MIN(P230,P43)</f>
        <v>739.80137280600002</v>
      </c>
      <c r="R230" s="1193">
        <f>MIN(Q230,Q43)</f>
        <v>739.80137280600002</v>
      </c>
      <c r="S230" s="1193">
        <f t="shared" ref="S230:Z230" si="147">MIN(R230,R43)</f>
        <v>91.593705755002702</v>
      </c>
      <c r="T230" s="1193">
        <f t="shared" si="147"/>
        <v>0</v>
      </c>
      <c r="U230" s="1193">
        <f t="shared" si="147"/>
        <v>0</v>
      </c>
      <c r="V230" s="1193">
        <f t="shared" si="147"/>
        <v>0</v>
      </c>
      <c r="W230" s="1193">
        <f t="shared" si="147"/>
        <v>0</v>
      </c>
      <c r="X230" s="1193">
        <f t="shared" si="147"/>
        <v>0</v>
      </c>
      <c r="Y230" s="1193">
        <f t="shared" si="147"/>
        <v>0</v>
      </c>
      <c r="Z230" s="1193">
        <f t="shared" si="147"/>
        <v>0</v>
      </c>
      <c r="AA230" s="1193"/>
      <c r="AB230" s="1193"/>
      <c r="AC230" s="1193"/>
      <c r="AD230" s="1193"/>
      <c r="AE230" s="1193"/>
      <c r="AF230" s="1193"/>
      <c r="AG230" s="1194"/>
      <c r="AH230" s="1194"/>
      <c r="AI230" s="1194"/>
      <c r="AJ230" s="1194"/>
      <c r="AK230" s="1194"/>
      <c r="AL230" s="1194"/>
      <c r="AM230" s="1194"/>
      <c r="AN230" s="1194"/>
      <c r="AO230" s="1194"/>
      <c r="AP230" s="1194"/>
      <c r="AQ230" s="1194"/>
      <c r="AR230" s="1194"/>
      <c r="AS230" s="1194"/>
      <c r="AT230" s="1194"/>
      <c r="AU230" s="1194"/>
      <c r="AV230" s="1194"/>
      <c r="AW230" s="1194"/>
      <c r="AX230" s="1194"/>
      <c r="AY230" s="1194"/>
      <c r="AZ230" s="1194"/>
      <c r="BA230" s="1194"/>
    </row>
    <row r="231" spans="2:57" ht="14.4">
      <c r="B231" s="1190" t="str">
        <f>"TS mới tăng thêm năm "&amp;YEAR($P$3)+1</f>
        <v>TS mới tăng thêm năm 2025</v>
      </c>
      <c r="M231" s="1191"/>
      <c r="N231" s="1191"/>
      <c r="O231" s="1191"/>
      <c r="P231" s="1192"/>
      <c r="Q231" s="1193">
        <f>(Q26+Q27)/Q229</f>
        <v>48.278212282023674</v>
      </c>
      <c r="R231" s="1193">
        <f>MIN(Q231,Q44)</f>
        <v>48.278212282023674</v>
      </c>
      <c r="S231" s="1193">
        <f t="shared" ref="S231:Z231" si="148">MIN(R231,R44)</f>
        <v>48.278212282023674</v>
      </c>
      <c r="T231" s="1193">
        <f t="shared" si="148"/>
        <v>48.278212282023674</v>
      </c>
      <c r="U231" s="1193">
        <f t="shared" si="148"/>
        <v>48.278212282023674</v>
      </c>
      <c r="V231" s="1193">
        <f t="shared" si="148"/>
        <v>48.278212282023674</v>
      </c>
      <c r="W231" s="1193">
        <f t="shared" si="148"/>
        <v>48.278212282023674</v>
      </c>
      <c r="X231" s="1193">
        <f t="shared" si="148"/>
        <v>48.278212282023674</v>
      </c>
      <c r="Y231" s="1193">
        <f t="shared" si="148"/>
        <v>48.278212282023674</v>
      </c>
      <c r="Z231" s="1193">
        <f t="shared" si="148"/>
        <v>48.278212282023674</v>
      </c>
      <c r="AA231" s="1193"/>
      <c r="AB231" s="1193"/>
      <c r="AC231" s="1193"/>
      <c r="AD231" s="1193"/>
      <c r="AE231" s="1193"/>
      <c r="AF231" s="1193"/>
      <c r="AG231" s="1194"/>
      <c r="AH231" s="1194"/>
      <c r="AI231" s="1194"/>
      <c r="AJ231" s="1194"/>
      <c r="AK231" s="1194"/>
      <c r="AL231" s="1194"/>
      <c r="AM231" s="1194"/>
      <c r="AN231" s="1194"/>
      <c r="AO231" s="1194"/>
      <c r="AP231" s="1194"/>
      <c r="AQ231" s="1194"/>
      <c r="AR231" s="1194"/>
      <c r="AS231" s="1194"/>
      <c r="AT231" s="1194"/>
      <c r="AU231" s="1194"/>
      <c r="AV231" s="1194"/>
      <c r="AW231" s="1194"/>
      <c r="AX231" s="1194"/>
      <c r="AY231" s="1194"/>
      <c r="AZ231" s="1194"/>
      <c r="BA231" s="1194"/>
    </row>
    <row r="232" spans="2:57" ht="14.4">
      <c r="B232" s="1190" t="str">
        <f>"TS mới tăng thêm năm "&amp;YEAR($P$3)+2</f>
        <v>TS mới tăng thêm năm 2026</v>
      </c>
      <c r="M232" s="1191"/>
      <c r="N232" s="1191"/>
      <c r="O232" s="1191"/>
      <c r="P232" s="1192"/>
      <c r="Q232" s="1193"/>
      <c r="R232" s="1193">
        <f>(R26+R27)/R229</f>
        <v>43.768718529179132</v>
      </c>
      <c r="S232" s="1193">
        <f>MIN(R232,R45)</f>
        <v>43.768718529179132</v>
      </c>
      <c r="T232" s="1193">
        <f t="shared" ref="T232:Z232" si="149">MIN(S232,S45)</f>
        <v>43.768718529179132</v>
      </c>
      <c r="U232" s="1193">
        <f t="shared" si="149"/>
        <v>43.768718529179132</v>
      </c>
      <c r="V232" s="1193">
        <f t="shared" si="149"/>
        <v>43.768718529179132</v>
      </c>
      <c r="W232" s="1193">
        <f t="shared" si="149"/>
        <v>43.768718529179132</v>
      </c>
      <c r="X232" s="1193">
        <f t="shared" si="149"/>
        <v>43.768718529179132</v>
      </c>
      <c r="Y232" s="1193">
        <f t="shared" si="149"/>
        <v>43.768718529179132</v>
      </c>
      <c r="Z232" s="1193">
        <f t="shared" si="149"/>
        <v>43.768718529179132</v>
      </c>
      <c r="AA232" s="1193"/>
      <c r="AB232" s="1193"/>
      <c r="AC232" s="1193"/>
      <c r="AD232" s="1193"/>
      <c r="AE232" s="1193"/>
      <c r="AF232" s="1193"/>
      <c r="AG232" s="1194"/>
      <c r="AH232" s="1194"/>
      <c r="AI232" s="1194"/>
      <c r="AJ232" s="1194"/>
      <c r="AK232" s="1194"/>
      <c r="AL232" s="1194"/>
      <c r="AM232" s="1194"/>
      <c r="AN232" s="1194"/>
      <c r="AO232" s="1194"/>
      <c r="AP232" s="1194"/>
      <c r="AQ232" s="1194"/>
      <c r="AR232" s="1194"/>
      <c r="AS232" s="1194"/>
      <c r="AT232" s="1194"/>
      <c r="AU232" s="1194"/>
      <c r="AV232" s="1194"/>
      <c r="AW232" s="1194"/>
      <c r="AX232" s="1194"/>
      <c r="AY232" s="1194"/>
      <c r="AZ232" s="1194"/>
      <c r="BA232" s="1194"/>
    </row>
    <row r="233" spans="2:57" ht="14.4">
      <c r="B233" s="1190" t="str">
        <f>"TS mới tăng thêm năm "&amp;YEAR($P$3)+3</f>
        <v>TS mới tăng thêm năm 2027</v>
      </c>
      <c r="M233" s="1191"/>
      <c r="N233" s="1191"/>
      <c r="O233" s="1191"/>
      <c r="P233" s="1192"/>
      <c r="Q233" s="1193"/>
      <c r="R233" s="1193"/>
      <c r="S233" s="1193">
        <f>(S26+S27)/S229</f>
        <v>42.964919694408195</v>
      </c>
      <c r="T233" s="1193">
        <f>MIN(S233,S46)</f>
        <v>42.964919694408195</v>
      </c>
      <c r="U233" s="1193">
        <f t="shared" ref="U233:Z233" si="150">MIN(T233,T46)</f>
        <v>42.964919694408195</v>
      </c>
      <c r="V233" s="1193">
        <f t="shared" si="150"/>
        <v>42.964919694408195</v>
      </c>
      <c r="W233" s="1193">
        <f t="shared" si="150"/>
        <v>42.964919694408195</v>
      </c>
      <c r="X233" s="1193">
        <f t="shared" si="150"/>
        <v>42.964919694408195</v>
      </c>
      <c r="Y233" s="1193">
        <f t="shared" si="150"/>
        <v>42.964919694408195</v>
      </c>
      <c r="Z233" s="1193">
        <f t="shared" si="150"/>
        <v>42.964919694408195</v>
      </c>
      <c r="AA233" s="1193"/>
      <c r="AB233" s="1193"/>
      <c r="AC233" s="1193"/>
      <c r="AD233" s="1193"/>
      <c r="AE233" s="1193"/>
      <c r="AF233" s="1193"/>
      <c r="AG233" s="1194"/>
      <c r="AH233" s="1194"/>
      <c r="AI233" s="1194"/>
      <c r="AJ233" s="1194"/>
      <c r="AK233" s="1194"/>
      <c r="AL233" s="1194"/>
      <c r="AM233" s="1194"/>
      <c r="AN233" s="1194"/>
      <c r="AO233" s="1194"/>
      <c r="AP233" s="1194"/>
      <c r="AQ233" s="1194"/>
      <c r="AR233" s="1194"/>
      <c r="AS233" s="1194"/>
      <c r="AT233" s="1194"/>
      <c r="AU233" s="1194"/>
      <c r="AV233" s="1194"/>
      <c r="AW233" s="1194"/>
      <c r="AX233" s="1194"/>
      <c r="AY233" s="1194"/>
      <c r="AZ233" s="1194"/>
      <c r="BA233" s="1194"/>
    </row>
    <row r="234" spans="2:57" ht="14.4">
      <c r="B234" s="1190" t="str">
        <f>"TS mới tăng thêm năm "&amp;YEAR($P$3)+4</f>
        <v>TS mới tăng thêm năm 2028</v>
      </c>
      <c r="M234" s="1191"/>
      <c r="N234" s="1191"/>
      <c r="O234" s="1191"/>
      <c r="P234" s="1192"/>
      <c r="Q234" s="1193"/>
      <c r="R234" s="1193"/>
      <c r="S234" s="1193"/>
      <c r="T234" s="1193">
        <f>(T26+T27)/T229</f>
        <v>71.021037986063959</v>
      </c>
      <c r="U234" s="1193">
        <f>MIN(T234,T47)</f>
        <v>71.021037986063959</v>
      </c>
      <c r="V234" s="1193">
        <f t="shared" ref="V234:Z234" si="151">MIN(U234,U47)</f>
        <v>71.021037986063959</v>
      </c>
      <c r="W234" s="1193">
        <f t="shared" si="151"/>
        <v>71.021037986063959</v>
      </c>
      <c r="X234" s="1193">
        <f t="shared" si="151"/>
        <v>71.021037986063959</v>
      </c>
      <c r="Y234" s="1193">
        <f t="shared" si="151"/>
        <v>71.021037986063959</v>
      </c>
      <c r="Z234" s="1193">
        <f t="shared" si="151"/>
        <v>71.021037986063959</v>
      </c>
      <c r="AA234" s="1193"/>
      <c r="AB234" s="1193"/>
      <c r="AC234" s="1193"/>
      <c r="AD234" s="1193"/>
      <c r="AE234" s="1193"/>
      <c r="AF234" s="1193"/>
      <c r="AG234" s="1193"/>
      <c r="AH234" s="1193"/>
      <c r="AI234" s="1193"/>
      <c r="AJ234" s="1193"/>
      <c r="AK234" s="1194"/>
      <c r="AL234" s="1194"/>
      <c r="AM234" s="1194"/>
      <c r="AN234" s="1194"/>
      <c r="AO234" s="1194"/>
      <c r="AP234" s="1194"/>
      <c r="AQ234" s="1194"/>
      <c r="AR234" s="1194"/>
      <c r="AS234" s="1194"/>
      <c r="AT234" s="1194"/>
      <c r="AU234" s="1194"/>
      <c r="AV234" s="1194"/>
      <c r="AW234" s="1194"/>
      <c r="AX234" s="1194"/>
      <c r="AY234" s="1194"/>
      <c r="AZ234" s="1194"/>
      <c r="BA234" s="1194"/>
    </row>
    <row r="235" spans="2:57" ht="14.4">
      <c r="B235" s="1190" t="str">
        <f>"TS mới tăng thêm năm "&amp;YEAR($P$3)+5</f>
        <v>TS mới tăng thêm năm 2029</v>
      </c>
      <c r="M235" s="1191"/>
      <c r="N235" s="1191"/>
      <c r="O235" s="1191"/>
      <c r="P235" s="1192"/>
      <c r="Q235" s="1193"/>
      <c r="R235" s="1193"/>
      <c r="S235" s="1193"/>
      <c r="T235" s="1193"/>
      <c r="U235" s="1193">
        <f>(U26+U27)/U229</f>
        <v>27.500704277096329</v>
      </c>
      <c r="V235" s="1193">
        <f>MIN(U235,U48)</f>
        <v>27.500704277096329</v>
      </c>
      <c r="W235" s="1193">
        <f t="shared" ref="W235:Z235" si="152">MIN(V235,V48)</f>
        <v>27.500704277096329</v>
      </c>
      <c r="X235" s="1193">
        <f t="shared" si="152"/>
        <v>27.500704277096329</v>
      </c>
      <c r="Y235" s="1193">
        <f t="shared" si="152"/>
        <v>27.500704277096329</v>
      </c>
      <c r="Z235" s="1193">
        <f t="shared" si="152"/>
        <v>27.500704277096329</v>
      </c>
      <c r="AA235" s="1193"/>
      <c r="AB235" s="1193"/>
      <c r="AC235" s="1193"/>
      <c r="AD235" s="1193"/>
      <c r="AE235" s="1193"/>
      <c r="AF235" s="1193"/>
      <c r="AG235" s="1193"/>
      <c r="AH235" s="1193"/>
      <c r="AI235" s="1193"/>
      <c r="AJ235" s="1193"/>
      <c r="AK235" s="1193"/>
      <c r="AL235" s="1193"/>
      <c r="AM235" s="1193"/>
      <c r="AN235" s="1194"/>
      <c r="AO235" s="1194"/>
      <c r="AP235" s="1194"/>
      <c r="AQ235" s="1194"/>
      <c r="AR235" s="1194"/>
      <c r="AS235" s="1194"/>
      <c r="AT235" s="1194"/>
      <c r="AU235" s="1194"/>
      <c r="AV235" s="1194"/>
      <c r="AW235" s="1194"/>
      <c r="AX235" s="1194"/>
      <c r="AY235" s="1194"/>
      <c r="AZ235" s="1194"/>
      <c r="BA235" s="1194"/>
    </row>
    <row r="236" spans="2:57" ht="16.5" customHeight="1">
      <c r="B236" s="1190" t="str">
        <f>"TS mới tăng thêm năm "&amp;YEAR($P$3)+6</f>
        <v>TS mới tăng thêm năm 2030</v>
      </c>
      <c r="M236" s="1191"/>
      <c r="N236" s="1191"/>
      <c r="O236" s="1191"/>
      <c r="P236" s="1195"/>
      <c r="Q236" s="1194"/>
      <c r="R236" s="1194"/>
      <c r="S236" s="1194"/>
      <c r="T236" s="1194"/>
      <c r="U236" s="1194"/>
      <c r="V236" s="1194">
        <f>(V26+V27)/V229</f>
        <v>22.365263932146217</v>
      </c>
      <c r="W236" s="1194">
        <f>MIN(V236,V49)</f>
        <v>22.365263932146217</v>
      </c>
      <c r="X236" s="1194">
        <f t="shared" ref="X236:Z236" si="153">MIN(W236,W49)</f>
        <v>22.365263932146217</v>
      </c>
      <c r="Y236" s="1194">
        <f t="shared" si="153"/>
        <v>22.365263932146217</v>
      </c>
      <c r="Z236" s="1194">
        <f t="shared" si="153"/>
        <v>22.365263932146217</v>
      </c>
      <c r="AA236" s="1194"/>
      <c r="AB236" s="1194"/>
      <c r="AC236" s="1194"/>
      <c r="AD236" s="1194"/>
      <c r="AE236" s="1194"/>
      <c r="AF236" s="1194"/>
      <c r="AG236" s="1194"/>
      <c r="AH236" s="1194"/>
      <c r="AI236" s="1194"/>
      <c r="AJ236" s="1194"/>
      <c r="AK236" s="1194"/>
      <c r="AL236" s="1194"/>
      <c r="AM236" s="1194"/>
      <c r="AN236" s="1194"/>
      <c r="AO236" s="1194"/>
      <c r="AP236" s="1194"/>
      <c r="AQ236" s="1194"/>
      <c r="AR236" s="1194"/>
      <c r="AS236" s="1194"/>
      <c r="AT236" s="1194"/>
      <c r="AU236" s="1194"/>
      <c r="AV236" s="1194"/>
      <c r="AW236" s="1194"/>
      <c r="AX236" s="1194"/>
      <c r="AY236" s="1194"/>
      <c r="AZ236" s="1194"/>
      <c r="BA236" s="1194"/>
    </row>
    <row r="237" spans="2:57" ht="18" customHeight="1">
      <c r="B237" s="1190" t="str">
        <f>"TS mới tăng thêm năm "&amp;YEAR($P$3)+7</f>
        <v>TS mới tăng thêm năm 2031</v>
      </c>
      <c r="M237" s="1191"/>
      <c r="N237" s="1191"/>
      <c r="O237" s="1191"/>
      <c r="P237" s="1195"/>
      <c r="Q237" s="1194"/>
      <c r="R237" s="1194"/>
      <c r="S237" s="1194"/>
      <c r="T237" s="1194"/>
      <c r="U237" s="1194"/>
      <c r="V237" s="1194"/>
      <c r="W237" s="1194">
        <f>(W26+W27)/W229</f>
        <v>18.092972836754452</v>
      </c>
      <c r="X237" s="1194">
        <f>MIN(W237,W50)</f>
        <v>18.092972836754452</v>
      </c>
      <c r="Y237" s="1194">
        <f t="shared" ref="Y237:Z237" si="154">MIN(X237,X50)</f>
        <v>18.092972836754452</v>
      </c>
      <c r="Z237" s="1194">
        <f t="shared" si="154"/>
        <v>18.092972836754452</v>
      </c>
      <c r="AA237" s="1194"/>
      <c r="AB237" s="1194"/>
      <c r="AC237" s="1194"/>
      <c r="AD237" s="1194"/>
      <c r="AE237" s="1194"/>
      <c r="AF237" s="1194"/>
      <c r="AG237" s="1194"/>
      <c r="AH237" s="1194"/>
      <c r="AI237" s="1194"/>
      <c r="AJ237" s="1194"/>
      <c r="AK237" s="1194"/>
      <c r="AL237" s="1194"/>
      <c r="AM237" s="1194"/>
      <c r="AN237" s="1194"/>
      <c r="AO237" s="1194"/>
      <c r="AP237" s="1194"/>
      <c r="AQ237" s="1194"/>
      <c r="AR237" s="1194"/>
      <c r="AS237" s="1194"/>
      <c r="AT237" s="1194"/>
      <c r="AU237" s="1194"/>
      <c r="AV237" s="1194"/>
      <c r="AW237" s="1194"/>
      <c r="AX237" s="1194"/>
      <c r="AY237" s="1194"/>
      <c r="AZ237" s="1194"/>
      <c r="BA237" s="1194"/>
    </row>
    <row r="238" spans="2:57" ht="20.25" customHeight="1">
      <c r="B238" s="1190" t="str">
        <f>"TS mới tăng thêm năm "&amp;YEAR($P$3)+8</f>
        <v>TS mới tăng thêm năm 2032</v>
      </c>
      <c r="M238" s="1191"/>
      <c r="N238" s="1191"/>
      <c r="O238" s="1191"/>
      <c r="P238" s="1195"/>
      <c r="Q238" s="1194"/>
      <c r="R238" s="1194"/>
      <c r="S238" s="1194"/>
      <c r="T238" s="1194"/>
      <c r="U238" s="1194"/>
      <c r="V238" s="1194"/>
      <c r="W238" s="1194"/>
      <c r="X238" s="1194">
        <f>(X26+X27)/X229</f>
        <v>20.240778408689561</v>
      </c>
      <c r="Y238" s="1194">
        <f>MIN(X238,X51)</f>
        <v>20.240778408689561</v>
      </c>
      <c r="Z238" s="1194">
        <f>MIN(Y238,Y51)</f>
        <v>20.240778408689561</v>
      </c>
      <c r="AA238" s="1194"/>
      <c r="AB238" s="1194"/>
      <c r="AC238" s="1194"/>
      <c r="AD238" s="1194"/>
      <c r="AE238" s="1194"/>
      <c r="AF238" s="1194"/>
      <c r="AG238" s="1194"/>
      <c r="AH238" s="1194"/>
      <c r="AI238" s="1194"/>
      <c r="AJ238" s="1194"/>
      <c r="AK238" s="1194"/>
      <c r="AL238" s="1194"/>
      <c r="AM238" s="1194"/>
      <c r="AN238" s="1194"/>
      <c r="AO238" s="1194"/>
      <c r="AP238" s="1194"/>
      <c r="AQ238" s="1194"/>
      <c r="AR238" s="1194"/>
      <c r="AS238" s="1194"/>
      <c r="AT238" s="1194"/>
      <c r="AU238" s="1194"/>
      <c r="AV238" s="1194"/>
      <c r="AW238" s="1194"/>
      <c r="AX238" s="1194"/>
      <c r="AY238" s="1194"/>
      <c r="AZ238" s="1194"/>
      <c r="BA238" s="1194"/>
    </row>
    <row r="239" spans="2:57" ht="25.5" customHeight="1">
      <c r="B239" s="1190" t="str">
        <f>"TS mới tăng thêm năm "&amp;YEAR($P$3)+9</f>
        <v>TS mới tăng thêm năm 2033</v>
      </c>
      <c r="M239" s="1191"/>
      <c r="N239" s="1191"/>
      <c r="O239" s="1191"/>
      <c r="P239" s="1195"/>
      <c r="Q239" s="1194"/>
      <c r="R239" s="1194"/>
      <c r="S239" s="1194"/>
      <c r="T239" s="1194"/>
      <c r="U239" s="1194"/>
      <c r="V239" s="1194"/>
      <c r="W239" s="1194"/>
      <c r="X239" s="1194"/>
      <c r="Y239" s="1194">
        <f>(Y26+Y27)/Y229</f>
        <v>23.792001097840636</v>
      </c>
      <c r="Z239" s="1194">
        <f>MIN(Y239,Y52)</f>
        <v>23.792001097840636</v>
      </c>
      <c r="AA239" s="1194"/>
      <c r="AB239" s="1194"/>
      <c r="AC239" s="1194"/>
      <c r="AD239" s="1194"/>
      <c r="AE239" s="1194"/>
      <c r="AF239" s="1194"/>
      <c r="AG239" s="1194"/>
      <c r="AH239" s="1194"/>
      <c r="AI239" s="1194"/>
      <c r="AJ239" s="1194"/>
      <c r="AK239" s="1194"/>
      <c r="AL239" s="1194"/>
      <c r="AM239" s="1194"/>
      <c r="AN239" s="1194"/>
      <c r="AO239" s="1194"/>
      <c r="AP239" s="1194"/>
      <c r="AQ239" s="1194"/>
      <c r="AR239" s="1194"/>
      <c r="AS239" s="1194"/>
      <c r="AT239" s="1194"/>
      <c r="AU239" s="1194"/>
      <c r="AV239" s="1194"/>
      <c r="AW239" s="1194"/>
      <c r="AX239" s="1194"/>
      <c r="AY239" s="1194"/>
      <c r="AZ239" s="1194"/>
      <c r="BA239" s="1194"/>
    </row>
    <row r="240" spans="2:57" ht="20.25" customHeight="1">
      <c r="B240" s="1190" t="str">
        <f>"TS mới tăng thêm năm "&amp;YEAR($P$3)+10</f>
        <v>TS mới tăng thêm năm 2034</v>
      </c>
      <c r="M240" s="1191"/>
      <c r="N240" s="1191"/>
      <c r="O240" s="1191"/>
      <c r="P240" s="1195"/>
      <c r="Q240" s="1194"/>
      <c r="R240" s="1194"/>
      <c r="S240" s="1194"/>
      <c r="T240" s="1194"/>
      <c r="U240" s="1194"/>
      <c r="V240" s="1194"/>
      <c r="W240" s="1194"/>
      <c r="X240" s="1194"/>
      <c r="Y240" s="1194"/>
      <c r="Z240" s="1194">
        <f>(Z26+Z27)/Z229</f>
        <v>23.061380120782754</v>
      </c>
      <c r="AA240" s="1194"/>
      <c r="AB240" s="1194"/>
      <c r="AC240" s="1194"/>
      <c r="AD240" s="1194"/>
      <c r="AE240" s="1194"/>
      <c r="AF240" s="1194"/>
      <c r="AG240" s="1194"/>
      <c r="AH240" s="1194"/>
      <c r="AI240" s="1194"/>
      <c r="AJ240" s="1194"/>
      <c r="AK240" s="1194"/>
      <c r="AL240" s="1194"/>
      <c r="AM240" s="1194"/>
      <c r="AN240" s="1194"/>
      <c r="AO240" s="1194"/>
      <c r="AP240" s="1194"/>
      <c r="AQ240" s="1194"/>
      <c r="AR240" s="1194"/>
      <c r="AS240" s="1194"/>
      <c r="AT240" s="1194"/>
      <c r="AU240" s="1194"/>
      <c r="AV240" s="1194"/>
      <c r="AW240" s="1194"/>
      <c r="AX240" s="1194"/>
      <c r="AY240" s="1194"/>
      <c r="AZ240" s="1194"/>
      <c r="BA240" s="1194"/>
    </row>
    <row r="241" spans="2:54" ht="20.25" customHeight="1">
      <c r="B241" s="1190" t="str">
        <f>"TS mới tăng thêm năm "&amp;YEAR($P$3)+11</f>
        <v>TS mới tăng thêm năm 2035</v>
      </c>
      <c r="M241" s="1191"/>
      <c r="N241" s="1191"/>
      <c r="O241" s="1191"/>
      <c r="P241" s="1216"/>
      <c r="Q241" s="1194"/>
      <c r="R241" s="1194"/>
      <c r="S241" s="1194"/>
      <c r="T241" s="1194"/>
      <c r="U241" s="1194"/>
      <c r="V241" s="1194"/>
      <c r="W241" s="1194"/>
      <c r="X241" s="1194"/>
      <c r="Y241" s="1194"/>
      <c r="Z241" s="1194"/>
      <c r="AA241" s="1194"/>
      <c r="AB241" s="1194"/>
      <c r="AC241" s="1194"/>
      <c r="AD241" s="1194"/>
      <c r="AE241" s="1194"/>
      <c r="AF241" s="1194"/>
      <c r="AG241" s="1194"/>
      <c r="AH241" s="1194"/>
      <c r="AI241" s="1194"/>
      <c r="AJ241" s="1194"/>
      <c r="AK241" s="1194"/>
      <c r="AL241" s="1194"/>
      <c r="AM241" s="1194"/>
      <c r="AN241" s="1194"/>
      <c r="AO241" s="1194"/>
      <c r="AP241" s="1194"/>
      <c r="AQ241" s="1194"/>
      <c r="AR241" s="1194"/>
      <c r="AS241" s="1194"/>
      <c r="AT241" s="1194"/>
      <c r="AU241" s="1194"/>
      <c r="AV241" s="1194"/>
      <c r="AW241" s="1194"/>
      <c r="AX241" s="1194"/>
      <c r="AY241" s="1194"/>
      <c r="AZ241" s="1194"/>
      <c r="BA241" s="1194"/>
    </row>
    <row r="242" spans="2:54" ht="14.4">
      <c r="B242" s="1196" t="s">
        <v>585</v>
      </c>
      <c r="C242" s="1197"/>
      <c r="D242" s="1197"/>
      <c r="E242" s="1197"/>
      <c r="F242" s="1197"/>
      <c r="G242" s="1197"/>
      <c r="H242" s="1198"/>
      <c r="I242" s="1198"/>
      <c r="J242" s="1198"/>
      <c r="K242" s="1198"/>
      <c r="L242" s="1198"/>
      <c r="M242" s="1197"/>
      <c r="N242" s="1197"/>
      <c r="O242" s="1197"/>
      <c r="P242" s="1186">
        <f>SUM(P230:P240)</f>
        <v>739.80137280600002</v>
      </c>
      <c r="Q242" s="1203">
        <f t="shared" ref="Q242:Z242" si="155">SUM(Q230:Q240)</f>
        <v>788.07958508802369</v>
      </c>
      <c r="R242" s="1203">
        <f t="shared" si="155"/>
        <v>831.84830361720287</v>
      </c>
      <c r="S242" s="1203">
        <f t="shared" si="155"/>
        <v>226.6055562606137</v>
      </c>
      <c r="T242" s="1203">
        <f t="shared" si="155"/>
        <v>206.03288849167495</v>
      </c>
      <c r="U242" s="1203">
        <f t="shared" si="155"/>
        <v>233.53359276877129</v>
      </c>
      <c r="V242" s="1203">
        <f t="shared" si="155"/>
        <v>255.89885670091749</v>
      </c>
      <c r="W242" s="1203">
        <f t="shared" si="155"/>
        <v>273.99182953767195</v>
      </c>
      <c r="X242" s="1203">
        <f t="shared" si="155"/>
        <v>294.2326079463615</v>
      </c>
      <c r="Y242" s="1203">
        <f t="shared" si="155"/>
        <v>318.02460904420212</v>
      </c>
      <c r="Z242" s="1203">
        <f t="shared" si="155"/>
        <v>341.08598916498488</v>
      </c>
      <c r="AA242" s="1204"/>
      <c r="AB242" s="1204"/>
      <c r="AC242" s="1204"/>
      <c r="AD242" s="1204"/>
      <c r="AE242" s="1204"/>
      <c r="AF242" s="1204"/>
      <c r="AG242" s="1204"/>
      <c r="AH242" s="1204"/>
      <c r="AI242" s="1204"/>
      <c r="AJ242" s="1204"/>
      <c r="AK242" s="1204"/>
      <c r="AL242" s="1204"/>
      <c r="AM242" s="1204"/>
      <c r="AN242" s="1204"/>
      <c r="AO242" s="1204"/>
      <c r="AP242" s="1204"/>
      <c r="AQ242" s="1204"/>
      <c r="AR242" s="1204"/>
      <c r="AS242" s="1204"/>
      <c r="AT242" s="1204"/>
      <c r="AU242" s="1203"/>
      <c r="AV242" s="1203"/>
      <c r="AW242" s="1203"/>
      <c r="AX242" s="1203"/>
      <c r="AY242" s="1203"/>
      <c r="AZ242" s="1203"/>
      <c r="BA242" s="1203"/>
    </row>
    <row r="243" spans="2:54">
      <c r="M243" s="1006"/>
      <c r="P243" s="1186"/>
    </row>
    <row r="244" spans="2:54">
      <c r="B244" s="1072" t="s">
        <v>810</v>
      </c>
      <c r="M244" s="1006"/>
      <c r="N244" s="1189"/>
      <c r="O244" s="1188"/>
      <c r="P244" s="1213" t="s">
        <v>837</v>
      </c>
      <c r="Q244" s="1189">
        <f>F221</f>
        <v>6</v>
      </c>
      <c r="R244" s="1189">
        <f>Q244</f>
        <v>6</v>
      </c>
      <c r="S244" s="1189">
        <f t="shared" ref="S244:AA244" si="156">R244</f>
        <v>6</v>
      </c>
      <c r="T244" s="1189">
        <f t="shared" si="156"/>
        <v>6</v>
      </c>
      <c r="U244" s="1189">
        <f t="shared" si="156"/>
        <v>6</v>
      </c>
      <c r="V244" s="1189">
        <f t="shared" si="156"/>
        <v>6</v>
      </c>
      <c r="W244" s="1189">
        <f t="shared" si="156"/>
        <v>6</v>
      </c>
      <c r="X244" s="1189">
        <f t="shared" si="156"/>
        <v>6</v>
      </c>
      <c r="Y244" s="1189">
        <f t="shared" si="156"/>
        <v>6</v>
      </c>
      <c r="Z244" s="1189">
        <f t="shared" si="156"/>
        <v>6</v>
      </c>
      <c r="AA244" s="1189">
        <f t="shared" si="156"/>
        <v>6</v>
      </c>
      <c r="AB244" s="1189"/>
      <c r="AC244" s="1189"/>
      <c r="AD244" s="1189"/>
      <c r="AE244" s="1189"/>
      <c r="AF244" s="1189"/>
      <c r="AG244" s="1189"/>
      <c r="AH244" s="1189"/>
      <c r="AI244" s="1189"/>
      <c r="AJ244" s="1189"/>
      <c r="AK244" s="1189"/>
      <c r="AL244" s="1189"/>
      <c r="AM244" s="1189"/>
      <c r="AN244" s="1189"/>
      <c r="AO244" s="1189"/>
      <c r="AP244" s="1189"/>
      <c r="AQ244" s="1189"/>
      <c r="AR244" s="1189"/>
      <c r="AS244" s="1189"/>
      <c r="AT244" s="1189"/>
      <c r="AU244" s="1189"/>
      <c r="AV244" s="1189"/>
      <c r="AW244" s="1189"/>
      <c r="AX244" s="1189"/>
      <c r="AY244" s="1189"/>
      <c r="AZ244" s="1189"/>
      <c r="BA244" s="1189"/>
    </row>
    <row r="245" spans="2:54" ht="14.4">
      <c r="B245" s="1190" t="str">
        <f>"TS cũ cuối năm "&amp;YEAR($P$3)</f>
        <v>TS cũ cuối năm 2024</v>
      </c>
      <c r="M245" s="1191"/>
      <c r="N245" s="1191"/>
      <c r="O245" s="1191"/>
      <c r="P245" s="1192">
        <f>P71</f>
        <v>0.77113698100000005</v>
      </c>
      <c r="Q245" s="1193">
        <f>MIN(P245,P77)</f>
        <v>0.77113698100000005</v>
      </c>
      <c r="R245" s="1193">
        <f>MIN(Q245,Q77)</f>
        <v>0.77113698100000005</v>
      </c>
      <c r="S245" s="1193">
        <f t="shared" ref="S245:Z245" si="157">MIN(R245,R77)</f>
        <v>0.77113698100000005</v>
      </c>
      <c r="T245" s="1193">
        <f t="shared" si="157"/>
        <v>0.77113698100000005</v>
      </c>
      <c r="U245" s="1193">
        <f t="shared" si="157"/>
        <v>0.77113698100000005</v>
      </c>
      <c r="V245" s="1193">
        <f t="shared" si="157"/>
        <v>0.77113698100000005</v>
      </c>
      <c r="W245" s="1193">
        <f t="shared" si="157"/>
        <v>0.77113698100000005</v>
      </c>
      <c r="X245" s="1193">
        <f t="shared" si="157"/>
        <v>0.77113698100000005</v>
      </c>
      <c r="Y245" s="1193">
        <f t="shared" si="157"/>
        <v>0.77113698100000005</v>
      </c>
      <c r="Z245" s="1193">
        <f t="shared" si="157"/>
        <v>0.77113698100000005</v>
      </c>
      <c r="AA245" s="1193"/>
      <c r="AB245" s="1193"/>
      <c r="AC245" s="1193"/>
      <c r="AD245" s="1193"/>
      <c r="AE245" s="1193"/>
      <c r="AF245" s="1193"/>
      <c r="AG245" s="1193"/>
      <c r="AH245" s="1193"/>
      <c r="AI245" s="1193"/>
      <c r="AJ245" s="1193"/>
      <c r="AK245" s="1193"/>
      <c r="AL245" s="1193"/>
      <c r="AM245" s="1193"/>
      <c r="AN245" s="1193"/>
      <c r="AO245" s="1193"/>
      <c r="AP245" s="1193"/>
      <c r="AQ245" s="1193"/>
      <c r="AR245" s="1193"/>
      <c r="AS245" s="1193"/>
      <c r="AT245" s="1194"/>
      <c r="AU245" s="1194"/>
      <c r="AV245" s="1194"/>
      <c r="AW245" s="1194"/>
      <c r="AX245" s="1194"/>
      <c r="AY245" s="1194"/>
      <c r="AZ245" s="1194"/>
      <c r="BA245" s="1194"/>
    </row>
    <row r="246" spans="2:54" ht="14.4">
      <c r="B246" s="1190" t="str">
        <f>"TS mới tăng thêm năm "&amp;YEAR($P$3)+1</f>
        <v>TS mới tăng thêm năm 2025</v>
      </c>
      <c r="M246" s="1191"/>
      <c r="N246" s="1191"/>
      <c r="O246" s="1191"/>
      <c r="P246" s="1195"/>
      <c r="Q246" s="1193">
        <f>(Q61+Q62)/Q244</f>
        <v>0.16319389391935099</v>
      </c>
      <c r="R246" s="1193">
        <f>MIN(Q246,Q78)</f>
        <v>0.16319389391935099</v>
      </c>
      <c r="S246" s="1193">
        <f t="shared" ref="S246:Z246" si="158">MIN(R246,R78)</f>
        <v>0.16319389391935099</v>
      </c>
      <c r="T246" s="1193">
        <f t="shared" si="158"/>
        <v>0.16319389391935099</v>
      </c>
      <c r="U246" s="1193">
        <f t="shared" si="158"/>
        <v>0.16319389391935099</v>
      </c>
      <c r="V246" s="1193">
        <f t="shared" si="158"/>
        <v>0.16319389391935094</v>
      </c>
      <c r="W246" s="1193">
        <f t="shared" si="158"/>
        <v>0</v>
      </c>
      <c r="X246" s="1193">
        <f t="shared" si="158"/>
        <v>0</v>
      </c>
      <c r="Y246" s="1193">
        <f t="shared" si="158"/>
        <v>0</v>
      </c>
      <c r="Z246" s="1193">
        <f t="shared" si="158"/>
        <v>0</v>
      </c>
      <c r="AA246" s="1193"/>
      <c r="AB246" s="1193"/>
      <c r="AC246" s="1193"/>
      <c r="AD246" s="1193"/>
      <c r="AE246" s="1193"/>
      <c r="AF246" s="1193"/>
      <c r="AG246" s="1193"/>
      <c r="AH246" s="1193"/>
      <c r="AI246" s="1193"/>
      <c r="AJ246" s="1193"/>
      <c r="AK246" s="1193"/>
      <c r="AL246" s="1193"/>
      <c r="AM246" s="1193"/>
      <c r="AN246" s="1193"/>
      <c r="AO246" s="1193"/>
      <c r="AP246" s="1193"/>
      <c r="AQ246" s="1193"/>
      <c r="AR246" s="1193"/>
      <c r="AS246" s="1193"/>
      <c r="AT246" s="1193"/>
      <c r="AU246" s="1193"/>
      <c r="AV246" s="1193"/>
      <c r="AW246" s="1193"/>
      <c r="AX246" s="1193"/>
      <c r="AY246" s="1193"/>
      <c r="AZ246" s="1193"/>
      <c r="BA246" s="1193"/>
      <c r="BB246" s="1193"/>
    </row>
    <row r="247" spans="2:54" ht="14.4">
      <c r="B247" s="1190" t="str">
        <f>"TS mới tăng thêm năm "&amp;YEAR($P$3)+2</f>
        <v>TS mới tăng thêm năm 2026</v>
      </c>
      <c r="M247" s="1191"/>
      <c r="N247" s="1191"/>
      <c r="O247" s="1191"/>
      <c r="P247" s="1195"/>
      <c r="Q247" s="1194"/>
      <c r="R247" s="1193">
        <f>(R61+R62)/R244</f>
        <v>0.14795054064784416</v>
      </c>
      <c r="S247" s="1193">
        <f>MIN(R247,R79)</f>
        <v>0.14795054064784416</v>
      </c>
      <c r="T247" s="1193">
        <f t="shared" ref="T247:Z247" si="159">MIN(S247,S79)</f>
        <v>0.14795054064784416</v>
      </c>
      <c r="U247" s="1193">
        <f t="shared" si="159"/>
        <v>0.14795054064784416</v>
      </c>
      <c r="V247" s="1193">
        <f t="shared" si="159"/>
        <v>0.14795054064784416</v>
      </c>
      <c r="W247" s="1193">
        <f t="shared" si="159"/>
        <v>0.14795054064784399</v>
      </c>
      <c r="X247" s="1193">
        <f t="shared" si="159"/>
        <v>0</v>
      </c>
      <c r="Y247" s="1193">
        <f t="shared" si="159"/>
        <v>0</v>
      </c>
      <c r="Z247" s="1193">
        <f t="shared" si="159"/>
        <v>0</v>
      </c>
      <c r="AA247" s="1193"/>
      <c r="AB247" s="1193"/>
      <c r="AC247" s="1193"/>
      <c r="AD247" s="1193"/>
      <c r="AE247" s="1193"/>
      <c r="AF247" s="1193"/>
      <c r="AG247" s="1193"/>
      <c r="AH247" s="1193"/>
      <c r="AI247" s="1193"/>
      <c r="AJ247" s="1193"/>
      <c r="AK247" s="1193"/>
      <c r="AL247" s="1193"/>
      <c r="AM247" s="1193"/>
      <c r="AN247" s="1193"/>
      <c r="AO247" s="1193"/>
      <c r="AP247" s="1193"/>
      <c r="AQ247" s="1193"/>
      <c r="AR247" s="1193"/>
      <c r="AS247" s="1193"/>
      <c r="AT247" s="1193"/>
      <c r="AU247" s="1193"/>
      <c r="AV247" s="1194"/>
      <c r="AW247" s="1194"/>
      <c r="AX247" s="1194"/>
      <c r="AY247" s="1194"/>
      <c r="AZ247" s="1194"/>
      <c r="BA247" s="1194"/>
    </row>
    <row r="248" spans="2:54" ht="14.4">
      <c r="B248" s="1190" t="str">
        <f>"TS mới tăng thêm năm "&amp;YEAR($P$3)+3</f>
        <v>TS mới tăng thêm năm 2027</v>
      </c>
      <c r="M248" s="1191"/>
      <c r="N248" s="1191"/>
      <c r="O248" s="1191"/>
      <c r="P248" s="1195"/>
      <c r="Q248" s="1194"/>
      <c r="R248" s="1194"/>
      <c r="S248" s="1193">
        <f>(S61+S62)/S244</f>
        <v>0.14523347521452135</v>
      </c>
      <c r="T248" s="1193">
        <f>MIN(S248,S80)</f>
        <v>0.14523347521452135</v>
      </c>
      <c r="U248" s="1193">
        <f t="shared" ref="U248:Z248" si="160">MIN(T248,T80)</f>
        <v>0.14523347521452135</v>
      </c>
      <c r="V248" s="1193">
        <f t="shared" si="160"/>
        <v>0.14523347521452135</v>
      </c>
      <c r="W248" s="1193">
        <f t="shared" si="160"/>
        <v>0.14523347521452135</v>
      </c>
      <c r="X248" s="1193">
        <f t="shared" si="160"/>
        <v>0.14523347521452135</v>
      </c>
      <c r="Y248" s="1193">
        <f t="shared" si="160"/>
        <v>0</v>
      </c>
      <c r="Z248" s="1193">
        <f t="shared" si="160"/>
        <v>0</v>
      </c>
      <c r="AA248" s="1193"/>
      <c r="AB248" s="1193"/>
      <c r="AC248" s="1193"/>
      <c r="AD248" s="1193"/>
      <c r="AE248" s="1193"/>
      <c r="AF248" s="1193"/>
      <c r="AG248" s="1193"/>
      <c r="AH248" s="1193"/>
      <c r="AI248" s="1193"/>
      <c r="AJ248" s="1193"/>
      <c r="AK248" s="1193"/>
      <c r="AL248" s="1193"/>
      <c r="AM248" s="1193"/>
      <c r="AN248" s="1193"/>
      <c r="AO248" s="1193"/>
      <c r="AP248" s="1193"/>
      <c r="AQ248" s="1193"/>
      <c r="AR248" s="1193"/>
      <c r="AS248" s="1193"/>
      <c r="AT248" s="1193"/>
      <c r="AU248" s="1193"/>
      <c r="AV248" s="1193"/>
      <c r="AW248" s="1193"/>
      <c r="AX248" s="1193"/>
      <c r="AY248" s="1194"/>
      <c r="AZ248" s="1194"/>
      <c r="BA248" s="1194"/>
    </row>
    <row r="249" spans="2:54" ht="14.4">
      <c r="B249" s="1190" t="str">
        <f>"TS mới tăng thêm năm "&amp;YEAR($P$3)+4</f>
        <v>TS mới tăng thêm năm 2028</v>
      </c>
      <c r="M249" s="1191"/>
      <c r="N249" s="1191"/>
      <c r="O249" s="1191"/>
      <c r="P249" s="1195"/>
      <c r="Q249" s="1194"/>
      <c r="R249" s="1194"/>
      <c r="S249" s="1194"/>
      <c r="T249" s="1193">
        <f>(T61+T62)/T244</f>
        <v>0.24007102150829876</v>
      </c>
      <c r="U249" s="1193">
        <f>MIN(T249,T81)</f>
        <v>0.24007102150829876</v>
      </c>
      <c r="V249" s="1193">
        <f t="shared" ref="V249:Z249" si="161">MIN(U249,U81)</f>
        <v>0.24007102150829876</v>
      </c>
      <c r="W249" s="1193">
        <f t="shared" si="161"/>
        <v>0.24007102150829876</v>
      </c>
      <c r="X249" s="1193">
        <f t="shared" si="161"/>
        <v>0.24007102150829876</v>
      </c>
      <c r="Y249" s="1193">
        <f t="shared" si="161"/>
        <v>0.24007102150829876</v>
      </c>
      <c r="Z249" s="1193">
        <f t="shared" si="161"/>
        <v>0</v>
      </c>
      <c r="AA249" s="1193"/>
      <c r="AB249" s="1193"/>
      <c r="AC249" s="1193"/>
      <c r="AD249" s="1193"/>
      <c r="AE249" s="1193"/>
      <c r="AF249" s="1193"/>
      <c r="AG249" s="1193"/>
      <c r="AH249" s="1193"/>
      <c r="AI249" s="1193"/>
      <c r="AJ249" s="1193"/>
      <c r="AK249" s="1193"/>
      <c r="AL249" s="1193"/>
      <c r="AM249" s="1193"/>
      <c r="AN249" s="1193"/>
      <c r="AO249" s="1193"/>
      <c r="AP249" s="1193"/>
      <c r="AQ249" s="1193"/>
      <c r="AR249" s="1193"/>
      <c r="AS249" s="1193"/>
      <c r="AT249" s="1193"/>
      <c r="AU249" s="1193"/>
      <c r="AV249" s="1194"/>
      <c r="AW249" s="1194"/>
      <c r="AX249" s="1194"/>
      <c r="AY249" s="1194"/>
      <c r="AZ249" s="1194"/>
      <c r="BA249" s="1194"/>
    </row>
    <row r="250" spans="2:54" ht="24.75" customHeight="1">
      <c r="B250" s="1190" t="str">
        <f>"TS mới tăng thêm năm "&amp;YEAR($P$3)+5</f>
        <v>TS mới tăng thêm năm 2029</v>
      </c>
      <c r="M250" s="1191"/>
      <c r="N250" s="1191"/>
      <c r="O250" s="1191"/>
      <c r="P250" s="1195"/>
      <c r="Q250" s="1194"/>
      <c r="R250" s="1194"/>
      <c r="S250" s="1194"/>
      <c r="T250" s="1194"/>
      <c r="U250" s="1193">
        <f>(U61+U62)/U244</f>
        <v>9.2960091195733466E-2</v>
      </c>
      <c r="V250" s="1193">
        <f>MIN(U250,U82)</f>
        <v>9.2960091195733466E-2</v>
      </c>
      <c r="W250" s="1193">
        <f t="shared" ref="W250:Z250" si="162">MIN(V250,V82)</f>
        <v>9.2960091195733466E-2</v>
      </c>
      <c r="X250" s="1193">
        <f t="shared" si="162"/>
        <v>9.2960091195733466E-2</v>
      </c>
      <c r="Y250" s="1193">
        <f t="shared" si="162"/>
        <v>9.2960091195733466E-2</v>
      </c>
      <c r="Z250" s="1193">
        <f t="shared" si="162"/>
        <v>9.2960091195733466E-2</v>
      </c>
      <c r="AA250" s="1193"/>
      <c r="AB250" s="1193"/>
      <c r="AC250" s="1193"/>
      <c r="AD250" s="1193"/>
      <c r="AE250" s="1193"/>
      <c r="AF250" s="1193"/>
      <c r="AG250" s="1193"/>
      <c r="AH250" s="1193"/>
      <c r="AI250" s="1193"/>
      <c r="AJ250" s="1193"/>
      <c r="AK250" s="1193"/>
      <c r="AL250" s="1193"/>
      <c r="AM250" s="1193"/>
      <c r="AN250" s="1193"/>
      <c r="AO250" s="1193"/>
      <c r="AP250" s="1193"/>
      <c r="AQ250" s="1193"/>
      <c r="AR250" s="1193"/>
      <c r="AS250" s="1193"/>
      <c r="AT250" s="1193"/>
      <c r="AU250" s="1193"/>
      <c r="AV250" s="1193"/>
      <c r="AW250" s="1193"/>
      <c r="AX250" s="1193"/>
      <c r="AY250" s="1194"/>
      <c r="AZ250" s="1194"/>
      <c r="BA250" s="1194"/>
    </row>
    <row r="251" spans="2:54" ht="26.25" customHeight="1">
      <c r="B251" s="1190" t="str">
        <f>"TS mới tăng thêm năm "&amp;YEAR($P$3)+6</f>
        <v>TS mới tăng thêm năm 2030</v>
      </c>
      <c r="M251" s="1191"/>
      <c r="N251" s="1191"/>
      <c r="O251" s="1191"/>
      <c r="P251" s="1195"/>
      <c r="Q251" s="1194"/>
      <c r="R251" s="1194"/>
      <c r="S251" s="1194"/>
      <c r="T251" s="1194"/>
      <c r="U251" s="1194"/>
      <c r="V251" s="1193">
        <f>(V61+V62)/V244</f>
        <v>7.5600862937917485E-2</v>
      </c>
      <c r="W251" s="1193">
        <f>MIN(V251,V83)</f>
        <v>7.5600862937917485E-2</v>
      </c>
      <c r="X251" s="1193">
        <f t="shared" ref="X251:Z251" si="163">MIN(W251,W83)</f>
        <v>7.5600862937917485E-2</v>
      </c>
      <c r="Y251" s="1193">
        <f t="shared" si="163"/>
        <v>7.5600862937917485E-2</v>
      </c>
      <c r="Z251" s="1193">
        <f t="shared" si="163"/>
        <v>7.5600862937917485E-2</v>
      </c>
      <c r="AA251" s="1193"/>
      <c r="AB251" s="1193"/>
      <c r="AC251" s="1193"/>
      <c r="AD251" s="1193"/>
      <c r="AE251" s="1193"/>
      <c r="AF251" s="1193"/>
      <c r="AG251" s="1193"/>
      <c r="AH251" s="1193"/>
      <c r="AI251" s="1193"/>
      <c r="AJ251" s="1193"/>
      <c r="AK251" s="1193"/>
      <c r="AL251" s="1193"/>
      <c r="AM251" s="1193"/>
      <c r="AN251" s="1193"/>
      <c r="AO251" s="1193"/>
      <c r="AP251" s="1193"/>
      <c r="AQ251" s="1193"/>
      <c r="AR251" s="1193"/>
      <c r="AS251" s="1193"/>
      <c r="AT251" s="1193"/>
      <c r="AU251" s="1193"/>
      <c r="AV251" s="1193"/>
      <c r="AW251" s="1193"/>
      <c r="AX251" s="1193"/>
      <c r="AY251" s="1193"/>
      <c r="AZ251" s="1193"/>
      <c r="BA251" s="1193"/>
    </row>
    <row r="252" spans="2:54" ht="25.5" customHeight="1">
      <c r="B252" s="1190" t="str">
        <f>"TS mới tăng thêm năm "&amp;YEAR($P$3)+7</f>
        <v>TS mới tăng thêm năm 2031</v>
      </c>
      <c r="M252" s="1191"/>
      <c r="N252" s="1191"/>
      <c r="O252" s="1191"/>
      <c r="P252" s="1195"/>
      <c r="Q252" s="1194"/>
      <c r="R252" s="1194"/>
      <c r="S252" s="1194"/>
      <c r="T252" s="1194"/>
      <c r="U252" s="1194"/>
      <c r="V252" s="1194"/>
      <c r="W252" s="1193">
        <f>(W61+W62)/W244</f>
        <v>6.11593211562729E-2</v>
      </c>
      <c r="X252" s="1193">
        <f>MIN(W252,W84)</f>
        <v>6.11593211562729E-2</v>
      </c>
      <c r="Y252" s="1193">
        <f t="shared" ref="Y252:Z252" si="164">MIN(X252,X84)</f>
        <v>6.11593211562729E-2</v>
      </c>
      <c r="Z252" s="1193">
        <f t="shared" si="164"/>
        <v>6.11593211562729E-2</v>
      </c>
      <c r="AA252" s="1193"/>
      <c r="AB252" s="1193"/>
      <c r="AC252" s="1193"/>
      <c r="AD252" s="1193"/>
      <c r="AE252" s="1193"/>
      <c r="AF252" s="1193"/>
      <c r="AG252" s="1193"/>
      <c r="AH252" s="1193"/>
      <c r="AI252" s="1193"/>
      <c r="AJ252" s="1193"/>
      <c r="AK252" s="1193"/>
      <c r="AL252" s="1193"/>
      <c r="AM252" s="1193"/>
      <c r="AN252" s="1193"/>
      <c r="AO252" s="1193"/>
      <c r="AP252" s="1193"/>
      <c r="AQ252" s="1193"/>
      <c r="AR252" s="1193"/>
      <c r="AS252" s="1193"/>
      <c r="AT252" s="1193"/>
      <c r="AU252" s="1193"/>
      <c r="AV252" s="1193"/>
      <c r="AW252" s="1193"/>
      <c r="AX252" s="1193"/>
      <c r="AY252" s="1194"/>
      <c r="AZ252" s="1194"/>
      <c r="BA252" s="1194"/>
    </row>
    <row r="253" spans="2:54" ht="21" customHeight="1">
      <c r="B253" s="1190" t="str">
        <f>"TS mới tăng thêm năm "&amp;YEAR($P$3)+8</f>
        <v>TS mới tăng thêm năm 2032</v>
      </c>
      <c r="M253" s="1191"/>
      <c r="N253" s="1191"/>
      <c r="O253" s="1191"/>
      <c r="P253" s="1195"/>
      <c r="Q253" s="1194"/>
      <c r="R253" s="1194"/>
      <c r="S253" s="1194"/>
      <c r="T253" s="1194"/>
      <c r="U253" s="1194"/>
      <c r="V253" s="1194"/>
      <c r="W253" s="1194"/>
      <c r="X253" s="1193">
        <f>(X61+X62)/X244</f>
        <v>6.8419506198300256E-2</v>
      </c>
      <c r="Y253" s="1193">
        <f>MIN(X253,X85)</f>
        <v>6.8419506198300256E-2</v>
      </c>
      <c r="Z253" s="1193">
        <f>MIN(Y253,Y85)</f>
        <v>6.8419506198300256E-2</v>
      </c>
      <c r="AA253" s="1193"/>
      <c r="AB253" s="1193"/>
      <c r="AC253" s="1193"/>
      <c r="AD253" s="1193"/>
      <c r="AE253" s="1193"/>
      <c r="AF253" s="1193"/>
      <c r="AG253" s="1193"/>
      <c r="AH253" s="1193"/>
      <c r="AI253" s="1193"/>
      <c r="AJ253" s="1193"/>
      <c r="AK253" s="1193"/>
      <c r="AL253" s="1193"/>
      <c r="AM253" s="1193"/>
      <c r="AN253" s="1193"/>
      <c r="AO253" s="1193"/>
      <c r="AP253" s="1193"/>
      <c r="AQ253" s="1193"/>
      <c r="AR253" s="1193"/>
      <c r="AS253" s="1193"/>
      <c r="AT253" s="1193"/>
      <c r="AU253" s="1193"/>
      <c r="AV253" s="1193"/>
      <c r="AW253" s="1193"/>
      <c r="AX253" s="1193"/>
      <c r="AY253" s="1193"/>
      <c r="AZ253" s="1193"/>
      <c r="BA253" s="1193"/>
    </row>
    <row r="254" spans="2:54" ht="24.75" customHeight="1">
      <c r="B254" s="1190" t="str">
        <f>"TS mới tăng thêm năm "&amp;YEAR($P$3)+9</f>
        <v>TS mới tăng thêm năm 2033</v>
      </c>
      <c r="M254" s="1191"/>
      <c r="N254" s="1191"/>
      <c r="O254" s="1191"/>
      <c r="P254" s="1195"/>
      <c r="Q254" s="1194"/>
      <c r="R254" s="1194"/>
      <c r="S254" s="1194"/>
      <c r="T254" s="1194"/>
      <c r="U254" s="1194"/>
      <c r="V254" s="1194"/>
      <c r="W254" s="1194"/>
      <c r="X254" s="1194"/>
      <c r="Y254" s="1193">
        <f>(Y61+Y62)/Y244</f>
        <v>8.0423634591287638E-2</v>
      </c>
      <c r="Z254" s="1193">
        <f>MIN(Y254,Y86)</f>
        <v>8.0423634591287638E-2</v>
      </c>
      <c r="AA254" s="1193"/>
      <c r="AB254" s="1193"/>
      <c r="AC254" s="1193"/>
      <c r="AD254" s="1193"/>
      <c r="AE254" s="1193"/>
      <c r="AF254" s="1193"/>
      <c r="AG254" s="1193"/>
      <c r="AH254" s="1193"/>
      <c r="AI254" s="1193"/>
      <c r="AJ254" s="1193"/>
      <c r="AK254" s="1193"/>
      <c r="AL254" s="1193"/>
      <c r="AM254" s="1193"/>
      <c r="AN254" s="1193"/>
      <c r="AO254" s="1193"/>
      <c r="AP254" s="1193"/>
      <c r="AQ254" s="1193"/>
      <c r="AR254" s="1193"/>
      <c r="AS254" s="1193"/>
      <c r="AT254" s="1193"/>
      <c r="AU254" s="1193"/>
      <c r="AV254" s="1193"/>
      <c r="AW254" s="1193"/>
      <c r="AX254" s="1193"/>
      <c r="AY254" s="1194"/>
      <c r="AZ254" s="1194"/>
      <c r="BA254" s="1194"/>
    </row>
    <row r="255" spans="2:54" ht="24.75" customHeight="1">
      <c r="B255" s="1190" t="str">
        <f>"TS mới tăng thêm năm "&amp;YEAR($P$3)+10</f>
        <v>TS mới tăng thêm năm 2034</v>
      </c>
      <c r="M255" s="1191"/>
      <c r="N255" s="1191"/>
      <c r="O255" s="1191"/>
      <c r="P255" s="1195"/>
      <c r="Q255" s="1194"/>
      <c r="R255" s="1194"/>
      <c r="S255" s="1194"/>
      <c r="T255" s="1194"/>
      <c r="U255" s="1194"/>
      <c r="V255" s="1194"/>
      <c r="W255" s="1194"/>
      <c r="X255" s="1194"/>
      <c r="Y255" s="1194"/>
      <c r="Z255" s="1193">
        <f>(Z61+Z62)/Z244</f>
        <v>7.7953930834886692E-2</v>
      </c>
      <c r="AA255" s="1193"/>
      <c r="AB255" s="1193"/>
      <c r="AC255" s="1193"/>
      <c r="AD255" s="1193"/>
      <c r="AE255" s="1193"/>
      <c r="AF255" s="1193"/>
      <c r="AG255" s="1193"/>
      <c r="AH255" s="1193"/>
      <c r="AI255" s="1193"/>
      <c r="AJ255" s="1193"/>
      <c r="AK255" s="1193"/>
      <c r="AL255" s="1193"/>
      <c r="AM255" s="1193"/>
      <c r="AN255" s="1193"/>
      <c r="AO255" s="1193"/>
      <c r="AP255" s="1193"/>
      <c r="AQ255" s="1193"/>
      <c r="AR255" s="1193"/>
      <c r="AS255" s="1193"/>
      <c r="AT255" s="1194"/>
      <c r="AU255" s="1194"/>
      <c r="AV255" s="1194"/>
      <c r="AW255" s="1194"/>
      <c r="AX255" s="1194"/>
      <c r="AY255" s="1194"/>
      <c r="AZ255" s="1194"/>
      <c r="BA255" s="1194"/>
    </row>
    <row r="256" spans="2:54" ht="33" customHeight="1">
      <c r="B256" s="1190" t="str">
        <f>"TS mới tăng thêm năm "&amp;YEAR($P$3)+11</f>
        <v>TS mới tăng thêm năm 2035</v>
      </c>
      <c r="M256" s="1191"/>
      <c r="N256" s="1191"/>
      <c r="O256" s="1191"/>
      <c r="P256" s="1195"/>
      <c r="Q256" s="1218"/>
      <c r="R256" s="1217"/>
      <c r="S256" s="1217"/>
      <c r="T256" s="1217"/>
      <c r="U256" s="1217"/>
      <c r="V256" s="1217"/>
      <c r="W256" s="1217"/>
      <c r="X256" s="1217"/>
      <c r="Y256" s="1217"/>
      <c r="Z256" s="1217"/>
      <c r="AA256" s="1193"/>
      <c r="AB256" s="1193"/>
      <c r="AC256" s="1193"/>
      <c r="AD256" s="1193"/>
      <c r="AE256" s="1193"/>
      <c r="AF256" s="1193"/>
      <c r="AG256" s="1193"/>
      <c r="AH256" s="1193"/>
      <c r="AI256" s="1193"/>
      <c r="AJ256" s="1193"/>
      <c r="AK256" s="1193"/>
      <c r="AL256" s="1193"/>
      <c r="AM256" s="1193"/>
      <c r="AN256" s="1193"/>
      <c r="AO256" s="1193"/>
      <c r="AP256" s="1193"/>
      <c r="AQ256" s="1193"/>
      <c r="AR256" s="1193"/>
      <c r="AS256" s="1193"/>
      <c r="AT256" s="1193"/>
      <c r="AU256" s="1193"/>
      <c r="AV256" s="1193"/>
      <c r="AW256" s="1193"/>
      <c r="AX256" s="1193"/>
      <c r="AY256" s="1194"/>
      <c r="AZ256" s="1194"/>
      <c r="BA256" s="1194"/>
    </row>
    <row r="257" spans="2:55" ht="14.4">
      <c r="B257" s="1196" t="s">
        <v>585</v>
      </c>
      <c r="C257" s="1197"/>
      <c r="D257" s="1197"/>
      <c r="E257" s="1197"/>
      <c r="F257" s="1197"/>
      <c r="G257" s="1197"/>
      <c r="H257" s="1198"/>
      <c r="I257" s="1198"/>
      <c r="J257" s="1198"/>
      <c r="K257" s="1198"/>
      <c r="L257" s="1198"/>
      <c r="M257" s="1197"/>
      <c r="N257" s="1199"/>
      <c r="O257" s="1199"/>
      <c r="P257" s="1214">
        <f>SUM(P245:P255)</f>
        <v>0.77113698100000005</v>
      </c>
      <c r="Q257" s="1193">
        <f t="shared" ref="Q257:Y257" si="165">SUM(Q245:Q255)</f>
        <v>0.93433087491935107</v>
      </c>
      <c r="R257" s="1193">
        <f t="shared" si="165"/>
        <v>1.0822814155671951</v>
      </c>
      <c r="S257" s="1193">
        <f t="shared" si="165"/>
        <v>1.2275148907817166</v>
      </c>
      <c r="T257" s="1193">
        <f t="shared" si="165"/>
        <v>1.4675859122900154</v>
      </c>
      <c r="U257" s="1193">
        <f t="shared" si="165"/>
        <v>1.560546003485749</v>
      </c>
      <c r="V257" s="1193">
        <f t="shared" si="165"/>
        <v>1.6361468664236665</v>
      </c>
      <c r="W257" s="1193">
        <f t="shared" si="165"/>
        <v>1.5341122936605882</v>
      </c>
      <c r="X257" s="1193">
        <f t="shared" si="165"/>
        <v>1.4545812592110443</v>
      </c>
      <c r="Y257" s="1193">
        <f t="shared" si="165"/>
        <v>1.3897714185878105</v>
      </c>
      <c r="Z257" s="1193">
        <f>SUM(Z245:Z255)</f>
        <v>1.2276543279143983</v>
      </c>
      <c r="AA257" s="1193"/>
      <c r="AB257" s="1193"/>
      <c r="AC257" s="1193"/>
      <c r="AD257" s="1193"/>
      <c r="AE257" s="1193"/>
      <c r="AF257" s="1193"/>
      <c r="AG257" s="1193"/>
      <c r="AH257" s="1193"/>
      <c r="AI257" s="1193"/>
      <c r="AJ257" s="1193"/>
      <c r="AK257" s="1193"/>
      <c r="AL257" s="1193"/>
      <c r="AM257" s="1193"/>
      <c r="AN257" s="1193"/>
      <c r="AO257" s="1193"/>
      <c r="AP257" s="1193"/>
      <c r="AQ257" s="1193"/>
      <c r="AR257" s="1193"/>
      <c r="AS257" s="1193"/>
      <c r="AT257" s="1193"/>
      <c r="AU257" s="1193"/>
      <c r="AV257" s="1193"/>
      <c r="AW257" s="1193"/>
      <c r="AX257" s="1194"/>
      <c r="AY257" s="1194"/>
      <c r="AZ257" s="1194"/>
      <c r="BA257" s="1194"/>
    </row>
    <row r="258" spans="2:55">
      <c r="M258" s="1006"/>
      <c r="P258" s="1186"/>
    </row>
    <row r="259" spans="2:55">
      <c r="M259" s="1006"/>
      <c r="P259" s="1186"/>
    </row>
    <row r="260" spans="2:55">
      <c r="B260" s="1072" t="s">
        <v>811</v>
      </c>
      <c r="M260" s="1006"/>
      <c r="N260" s="1189"/>
      <c r="P260" s="1213" t="s">
        <v>837</v>
      </c>
      <c r="Q260" s="1189">
        <f>F222</f>
        <v>3</v>
      </c>
      <c r="R260" s="1189">
        <f>Q260</f>
        <v>3</v>
      </c>
      <c r="S260" s="1189">
        <f t="shared" ref="S260:Z260" si="166">R260</f>
        <v>3</v>
      </c>
      <c r="T260" s="1189">
        <f t="shared" si="166"/>
        <v>3</v>
      </c>
      <c r="U260" s="1189">
        <f t="shared" si="166"/>
        <v>3</v>
      </c>
      <c r="V260" s="1189">
        <f t="shared" si="166"/>
        <v>3</v>
      </c>
      <c r="W260" s="1189">
        <f t="shared" si="166"/>
        <v>3</v>
      </c>
      <c r="X260" s="1189">
        <f t="shared" si="166"/>
        <v>3</v>
      </c>
      <c r="Y260" s="1189">
        <f t="shared" si="166"/>
        <v>3</v>
      </c>
      <c r="Z260" s="1189">
        <f t="shared" si="166"/>
        <v>3</v>
      </c>
      <c r="AA260" s="1189"/>
      <c r="AB260" s="1189"/>
      <c r="AC260" s="1189"/>
      <c r="AD260" s="1189"/>
      <c r="AE260" s="1189"/>
      <c r="AF260" s="1189"/>
      <c r="AG260" s="1189"/>
      <c r="AH260" s="1189"/>
      <c r="AI260" s="1189"/>
      <c r="AJ260" s="1189"/>
      <c r="AK260" s="1189"/>
      <c r="AL260" s="1189"/>
      <c r="AM260" s="1189"/>
      <c r="AN260" s="1189"/>
      <c r="AO260" s="1189"/>
      <c r="AP260" s="1189"/>
      <c r="AQ260" s="1189"/>
      <c r="AR260" s="1189"/>
      <c r="AS260" s="1189"/>
      <c r="AT260" s="1189"/>
      <c r="AU260" s="1189"/>
      <c r="AV260" s="1189"/>
      <c r="AW260" s="1189"/>
      <c r="AX260" s="1189"/>
      <c r="AY260" s="1189"/>
      <c r="AZ260" s="1189"/>
      <c r="BA260" s="1189"/>
    </row>
    <row r="261" spans="2:55" ht="14.4">
      <c r="B261" s="1190" t="str">
        <f>"TS cũ cuối năm "&amp;YEAR($P$3)</f>
        <v>TS cũ cuối năm 2024</v>
      </c>
      <c r="M261" s="1191"/>
      <c r="N261" s="1191"/>
      <c r="O261" s="1191"/>
      <c r="P261" s="1192">
        <f>P104</f>
        <v>24.274428648000001</v>
      </c>
      <c r="Q261" s="1193">
        <f>MIN(P261,P110)</f>
        <v>24.274428648000001</v>
      </c>
      <c r="R261" s="1193">
        <f>MIN(Q261,Q110)</f>
        <v>24.274428648000001</v>
      </c>
      <c r="S261" s="1193">
        <f t="shared" ref="S261:Z261" si="167">MIN(R261,R110)</f>
        <v>24.274428648000001</v>
      </c>
      <c r="T261" s="1193">
        <f t="shared" si="167"/>
        <v>24.274428648000001</v>
      </c>
      <c r="U261" s="1193">
        <f t="shared" si="167"/>
        <v>24.274428648000001</v>
      </c>
      <c r="V261" s="1193">
        <f t="shared" si="167"/>
        <v>24.274428648000001</v>
      </c>
      <c r="W261" s="1193">
        <f t="shared" si="167"/>
        <v>24.274428648000001</v>
      </c>
      <c r="X261" s="1193">
        <f t="shared" si="167"/>
        <v>24.274428648000001</v>
      </c>
      <c r="Y261" s="1193">
        <f t="shared" si="167"/>
        <v>24.274428648000001</v>
      </c>
      <c r="Z261" s="1193">
        <f t="shared" si="167"/>
        <v>24.274428648000001</v>
      </c>
      <c r="AA261" s="1193"/>
      <c r="AB261" s="1193"/>
      <c r="AC261" s="1193"/>
      <c r="AD261" s="1193"/>
      <c r="AE261" s="1193"/>
      <c r="AF261" s="1193"/>
      <c r="AG261" s="1193"/>
      <c r="AH261" s="1193"/>
      <c r="AI261" s="1193"/>
      <c r="AJ261" s="1193"/>
      <c r="AK261" s="1193"/>
      <c r="AL261" s="1193"/>
      <c r="AM261" s="1193"/>
      <c r="AN261" s="1193"/>
      <c r="AO261" s="1193"/>
      <c r="AP261" s="1193"/>
      <c r="AQ261" s="1193"/>
      <c r="AR261" s="1193"/>
      <c r="AS261" s="1194"/>
      <c r="AT261" s="1194"/>
      <c r="AU261" s="1194"/>
      <c r="AV261" s="1194"/>
      <c r="AW261" s="1194"/>
      <c r="AX261" s="1194"/>
      <c r="AY261" s="1194"/>
      <c r="AZ261" s="1194"/>
      <c r="BA261" s="1194"/>
    </row>
    <row r="262" spans="2:55" ht="14.4">
      <c r="B262" s="1190" t="str">
        <f>"TS mới tăng thêm năm "&amp;YEAR($P$3)+1</f>
        <v>TS mới tăng thêm năm 2025</v>
      </c>
      <c r="M262" s="1191"/>
      <c r="N262" s="1191"/>
      <c r="O262" s="1191"/>
      <c r="P262" s="1195"/>
      <c r="Q262" s="1193">
        <f>(Q94+Q95)/Q260</f>
        <v>52.907629898108134</v>
      </c>
      <c r="R262" s="1193">
        <f>MIN(Q262,Q111)</f>
        <v>52.907629898108134</v>
      </c>
      <c r="S262" s="1193">
        <f t="shared" ref="S262:Z262" si="168">MIN(R262,R111)</f>
        <v>52.907629898108134</v>
      </c>
      <c r="T262" s="1193">
        <f t="shared" si="168"/>
        <v>0</v>
      </c>
      <c r="U262" s="1193">
        <f t="shared" si="168"/>
        <v>0</v>
      </c>
      <c r="V262" s="1193">
        <f t="shared" si="168"/>
        <v>0</v>
      </c>
      <c r="W262" s="1193">
        <f t="shared" si="168"/>
        <v>0</v>
      </c>
      <c r="X262" s="1193">
        <f t="shared" si="168"/>
        <v>0</v>
      </c>
      <c r="Y262" s="1193">
        <f t="shared" si="168"/>
        <v>0</v>
      </c>
      <c r="Z262" s="1193">
        <f t="shared" si="168"/>
        <v>0</v>
      </c>
      <c r="AA262" s="1193"/>
      <c r="AB262" s="1193"/>
      <c r="AC262" s="1193"/>
      <c r="AD262" s="1193"/>
      <c r="AE262" s="1193"/>
      <c r="AF262" s="1193"/>
      <c r="AG262" s="1193"/>
      <c r="AH262" s="1193"/>
      <c r="AI262" s="1193"/>
      <c r="AJ262" s="1193"/>
      <c r="AK262" s="1193"/>
      <c r="AL262" s="1193"/>
      <c r="AM262" s="1193"/>
      <c r="AN262" s="1193"/>
      <c r="AO262" s="1193"/>
      <c r="AP262" s="1193"/>
      <c r="AQ262" s="1193"/>
      <c r="AR262" s="1193"/>
      <c r="AS262" s="1193"/>
      <c r="AT262" s="1193"/>
      <c r="AU262" s="1193"/>
      <c r="AV262" s="1193"/>
      <c r="AW262" s="1193"/>
      <c r="AX262" s="1193"/>
      <c r="AY262" s="1193"/>
      <c r="AZ262" s="1193"/>
      <c r="BA262" s="1193"/>
    </row>
    <row r="263" spans="2:55" ht="14.4">
      <c r="B263" s="1190" t="str">
        <f>"TS mới tăng thêm năm "&amp;YEAR($P$3)+2</f>
        <v>TS mới tăng thêm năm 2026</v>
      </c>
      <c r="M263" s="1191"/>
      <c r="N263" s="1191"/>
      <c r="O263" s="1191"/>
      <c r="P263" s="1195"/>
      <c r="Q263" s="1194"/>
      <c r="R263" s="1193">
        <f>(R94+R95)/R260</f>
        <v>47.965718936086724</v>
      </c>
      <c r="S263" s="1193">
        <f>MIN(R263,R112)</f>
        <v>47.965718936086724</v>
      </c>
      <c r="T263" s="1193">
        <f t="shared" ref="T263:Z263" si="169">MIN(S263,S112)</f>
        <v>47.965718936086724</v>
      </c>
      <c r="U263" s="1193">
        <f t="shared" si="169"/>
        <v>0</v>
      </c>
      <c r="V263" s="1193">
        <f t="shared" si="169"/>
        <v>0</v>
      </c>
      <c r="W263" s="1193">
        <f t="shared" si="169"/>
        <v>0</v>
      </c>
      <c r="X263" s="1193">
        <f t="shared" si="169"/>
        <v>0</v>
      </c>
      <c r="Y263" s="1193">
        <f t="shared" si="169"/>
        <v>0</v>
      </c>
      <c r="Z263" s="1193">
        <f t="shared" si="169"/>
        <v>0</v>
      </c>
      <c r="AA263" s="1193"/>
      <c r="AB263" s="1193"/>
      <c r="AC263" s="1193"/>
      <c r="AD263" s="1193"/>
      <c r="AE263" s="1193"/>
      <c r="AF263" s="1193"/>
      <c r="AG263" s="1193"/>
      <c r="AH263" s="1193"/>
      <c r="AI263" s="1193"/>
      <c r="AJ263" s="1193"/>
      <c r="AK263" s="1193"/>
      <c r="AL263" s="1193"/>
      <c r="AM263" s="1193"/>
      <c r="AN263" s="1193"/>
      <c r="AO263" s="1193"/>
      <c r="AP263" s="1193"/>
      <c r="AQ263" s="1193"/>
      <c r="AR263" s="1193"/>
      <c r="AS263" s="1193"/>
      <c r="AT263" s="1193"/>
      <c r="AU263" s="1193"/>
      <c r="AV263" s="1193"/>
      <c r="AW263" s="1193"/>
      <c r="AX263" s="1193"/>
      <c r="AY263" s="1194"/>
      <c r="AZ263" s="1194"/>
      <c r="BA263" s="1194"/>
    </row>
    <row r="264" spans="2:55" ht="14.4">
      <c r="B264" s="1190" t="str">
        <f>"TS mới tăng thêm năm "&amp;YEAR($P$3)+3</f>
        <v>TS mới tăng thêm năm 2027</v>
      </c>
      <c r="M264" s="1191"/>
      <c r="N264" s="1191"/>
      <c r="O264" s="1191"/>
      <c r="P264" s="1195"/>
      <c r="Q264" s="1194"/>
      <c r="R264" s="1194"/>
      <c r="S264" s="1193">
        <f>(S94+S95)/S260</f>
        <v>47.084843500721313</v>
      </c>
      <c r="T264" s="1193">
        <f>MIN(S264,S113)</f>
        <v>47.084843500721313</v>
      </c>
      <c r="U264" s="1193">
        <f t="shared" ref="U264:Z264" si="170">MIN(T264,T113)</f>
        <v>47.084843500721298</v>
      </c>
      <c r="V264" s="1193">
        <f t="shared" si="170"/>
        <v>0</v>
      </c>
      <c r="W264" s="1193">
        <f t="shared" si="170"/>
        <v>0</v>
      </c>
      <c r="X264" s="1193">
        <f t="shared" si="170"/>
        <v>0</v>
      </c>
      <c r="Y264" s="1193">
        <f t="shared" si="170"/>
        <v>0</v>
      </c>
      <c r="Z264" s="1193">
        <f t="shared" si="170"/>
        <v>0</v>
      </c>
      <c r="AA264" s="1193"/>
      <c r="AB264" s="1193"/>
      <c r="AC264" s="1193"/>
      <c r="AD264" s="1193"/>
      <c r="AE264" s="1193"/>
      <c r="AF264" s="1193"/>
      <c r="AG264" s="1193"/>
      <c r="AH264" s="1193"/>
      <c r="AI264" s="1193"/>
      <c r="AJ264" s="1193"/>
      <c r="AK264" s="1193"/>
      <c r="AL264" s="1193"/>
      <c r="AM264" s="1193"/>
      <c r="AN264" s="1193"/>
      <c r="AO264" s="1193"/>
      <c r="AP264" s="1193"/>
      <c r="AQ264" s="1193"/>
      <c r="AR264" s="1193"/>
      <c r="AS264" s="1193"/>
      <c r="AT264" s="1193"/>
      <c r="AU264" s="1193"/>
      <c r="AV264" s="1193"/>
      <c r="AW264" s="1193"/>
      <c r="AX264" s="1193"/>
      <c r="AY264" s="1193"/>
      <c r="AZ264" s="1193"/>
      <c r="BA264" s="1193"/>
    </row>
    <row r="265" spans="2:55" ht="14.4">
      <c r="B265" s="1190" t="str">
        <f>"TS mới tăng thêm năm "&amp;YEAR($P$3)+4</f>
        <v>TS mới tăng thêm năm 2028</v>
      </c>
      <c r="M265" s="1191"/>
      <c r="N265" s="1191"/>
      <c r="O265" s="1191"/>
      <c r="P265" s="1195"/>
      <c r="Q265" s="1194"/>
      <c r="R265" s="1194"/>
      <c r="S265" s="1194"/>
      <c r="T265" s="1193">
        <f>(T94+T95)/T260</f>
        <v>77.831274505275573</v>
      </c>
      <c r="U265" s="1193">
        <f>MIN(T265,T114)</f>
        <v>77.831274505275573</v>
      </c>
      <c r="V265" s="1193">
        <f t="shared" ref="V265:Z265" si="171">MIN(U265,U114)</f>
        <v>77.831274505275573</v>
      </c>
      <c r="W265" s="1193">
        <f t="shared" si="171"/>
        <v>0</v>
      </c>
      <c r="X265" s="1193">
        <f t="shared" si="171"/>
        <v>0</v>
      </c>
      <c r="Y265" s="1193">
        <f t="shared" si="171"/>
        <v>0</v>
      </c>
      <c r="Z265" s="1193">
        <f t="shared" si="171"/>
        <v>0</v>
      </c>
      <c r="AA265" s="1193"/>
      <c r="AB265" s="1193"/>
      <c r="AC265" s="1193"/>
      <c r="AD265" s="1193"/>
      <c r="AE265" s="1193"/>
      <c r="AF265" s="1193"/>
      <c r="AG265" s="1193"/>
      <c r="AH265" s="1193"/>
      <c r="AI265" s="1193"/>
      <c r="AJ265" s="1193"/>
      <c r="AK265" s="1193"/>
      <c r="AL265" s="1193"/>
      <c r="AM265" s="1193"/>
      <c r="AN265" s="1193"/>
      <c r="AO265" s="1193"/>
      <c r="AP265" s="1193"/>
      <c r="AQ265" s="1193"/>
      <c r="AR265" s="1193"/>
      <c r="AS265" s="1193"/>
      <c r="AT265" s="1193"/>
      <c r="AU265" s="1193"/>
      <c r="AV265" s="1193"/>
      <c r="AW265" s="1193"/>
      <c r="AX265" s="1193"/>
      <c r="AY265" s="1193"/>
      <c r="AZ265" s="1193"/>
      <c r="BA265" s="1193"/>
    </row>
    <row r="266" spans="2:55" ht="25.2" customHeight="1">
      <c r="B266" s="1190" t="str">
        <f>"TS mới tăng thêm năm "&amp;YEAR($P$3)+5</f>
        <v>TS mới tăng thêm năm 2029</v>
      </c>
      <c r="M266" s="1191"/>
      <c r="N266" s="1191"/>
      <c r="O266" s="1191"/>
      <c r="P266" s="1195"/>
      <c r="Q266" s="1194"/>
      <c r="R266" s="1194"/>
      <c r="S266" s="1194"/>
      <c r="T266" s="1194"/>
      <c r="U266" s="1193">
        <f>(U94+U95)/12</f>
        <v>7.534439527971597</v>
      </c>
      <c r="V266" s="1193">
        <f>MIN(U266,U115)</f>
        <v>7.534439527971597</v>
      </c>
      <c r="W266" s="1193">
        <f t="shared" ref="W266:Z266" si="172">MIN(V266,V115)</f>
        <v>7.534439527971597</v>
      </c>
      <c r="X266" s="1193">
        <f t="shared" si="172"/>
        <v>7.534439527971597</v>
      </c>
      <c r="Y266" s="1193">
        <f t="shared" si="172"/>
        <v>7.534439527971597</v>
      </c>
      <c r="Z266" s="1193">
        <f t="shared" si="172"/>
        <v>7.534439527971597</v>
      </c>
      <c r="AA266" s="1193"/>
      <c r="AB266" s="1193"/>
      <c r="AC266" s="1193"/>
      <c r="AD266" s="1193"/>
      <c r="AE266" s="1193"/>
      <c r="AF266" s="1193"/>
      <c r="AG266" s="1193"/>
      <c r="AH266" s="1193"/>
      <c r="AI266" s="1193"/>
      <c r="AJ266" s="1193"/>
      <c r="AK266" s="1193"/>
      <c r="AL266" s="1193"/>
      <c r="AM266" s="1193"/>
      <c r="AN266" s="1193"/>
      <c r="AO266" s="1193"/>
      <c r="AP266" s="1193"/>
      <c r="AQ266" s="1193"/>
      <c r="AR266" s="1193"/>
      <c r="AS266" s="1193"/>
      <c r="AT266" s="1193"/>
      <c r="AU266" s="1193"/>
      <c r="AV266" s="1193"/>
      <c r="AW266" s="1193"/>
      <c r="AX266" s="1193"/>
      <c r="AY266" s="1193"/>
      <c r="AZ266" s="1193"/>
      <c r="BA266" s="1193"/>
    </row>
    <row r="267" spans="2:55" ht="27" customHeight="1">
      <c r="B267" s="1190" t="str">
        <f>"TS mới tăng thêm năm "&amp;YEAR($P$3)+6</f>
        <v>TS mới tăng thêm năm 2030</v>
      </c>
      <c r="M267" s="1191"/>
      <c r="N267" s="1191"/>
      <c r="O267" s="1191"/>
      <c r="P267" s="1195"/>
      <c r="Q267" s="1194"/>
      <c r="R267" s="1194"/>
      <c r="S267" s="1194"/>
      <c r="T267" s="1194"/>
      <c r="U267" s="1194"/>
      <c r="V267" s="1193">
        <f>(V94+V95)/V260</f>
        <v>24.509878281804074</v>
      </c>
      <c r="W267" s="1193">
        <f>MIN(V267,V116)</f>
        <v>24.509878281804074</v>
      </c>
      <c r="X267" s="1193">
        <f t="shared" ref="X267:Z267" si="173">MIN(W267,W116)</f>
        <v>24.509878281804067</v>
      </c>
      <c r="Y267" s="1193">
        <f t="shared" si="173"/>
        <v>0</v>
      </c>
      <c r="Z267" s="1193">
        <f t="shared" si="173"/>
        <v>0</v>
      </c>
      <c r="AA267" s="1193"/>
      <c r="AB267" s="1193"/>
      <c r="AC267" s="1193"/>
      <c r="AD267" s="1193"/>
      <c r="AE267" s="1193"/>
      <c r="AF267" s="1193"/>
      <c r="AG267" s="1193"/>
      <c r="AH267" s="1193"/>
      <c r="AI267" s="1193"/>
      <c r="AJ267" s="1193"/>
      <c r="AK267" s="1193"/>
      <c r="AL267" s="1193"/>
      <c r="AM267" s="1193"/>
      <c r="AN267" s="1193"/>
      <c r="AO267" s="1193"/>
      <c r="AP267" s="1193"/>
      <c r="AQ267" s="1193"/>
      <c r="AR267" s="1193"/>
      <c r="AS267" s="1193"/>
      <c r="AT267" s="1193"/>
      <c r="AU267" s="1193"/>
      <c r="AV267" s="1193"/>
      <c r="AW267" s="1193"/>
      <c r="AX267" s="1193"/>
      <c r="AY267" s="1193"/>
      <c r="AZ267" s="1193"/>
      <c r="BA267" s="1193"/>
    </row>
    <row r="268" spans="2:55" ht="28.2" customHeight="1">
      <c r="B268" s="1190" t="str">
        <f>"TS mới tăng thêm năm "&amp;YEAR($P$3)+7</f>
        <v>TS mới tăng thêm năm 2031</v>
      </c>
      <c r="M268" s="1191"/>
      <c r="N268" s="1191"/>
      <c r="O268" s="1191"/>
      <c r="P268" s="1195"/>
      <c r="Q268" s="1194"/>
      <c r="R268" s="1194"/>
      <c r="S268" s="1194"/>
      <c r="T268" s="1194"/>
      <c r="U268" s="1194"/>
      <c r="V268" s="1194"/>
      <c r="W268" s="1193">
        <f>SUM(W94,W95)/W260</f>
        <v>19.827915437539122</v>
      </c>
      <c r="X268" s="1193">
        <f>MIN(W268,W117)</f>
        <v>19.827915437539122</v>
      </c>
      <c r="Y268" s="1193">
        <f t="shared" ref="Y268:Z268" si="174">MIN(X268,X117)</f>
        <v>19.827915437539122</v>
      </c>
      <c r="Z268" s="1193">
        <f t="shared" si="174"/>
        <v>0</v>
      </c>
      <c r="AA268" s="1193"/>
      <c r="AB268" s="1193"/>
      <c r="AC268" s="1193"/>
      <c r="AD268" s="1193"/>
      <c r="AE268" s="1193"/>
      <c r="AF268" s="1193"/>
      <c r="AG268" s="1193"/>
      <c r="AH268" s="1193"/>
      <c r="AI268" s="1193"/>
      <c r="AJ268" s="1193"/>
      <c r="AK268" s="1193"/>
      <c r="AL268" s="1193"/>
      <c r="AM268" s="1193"/>
      <c r="AN268" s="1193"/>
      <c r="AO268" s="1193"/>
      <c r="AP268" s="1193"/>
      <c r="AQ268" s="1193"/>
      <c r="AR268" s="1193"/>
      <c r="AS268" s="1193"/>
      <c r="AT268" s="1193"/>
      <c r="AU268" s="1193"/>
      <c r="AV268" s="1193"/>
      <c r="AW268" s="1193"/>
      <c r="AX268" s="1193"/>
      <c r="AY268" s="1193"/>
      <c r="AZ268" s="1193"/>
      <c r="BA268" s="1193"/>
    </row>
    <row r="269" spans="2:55" ht="30.6" customHeight="1">
      <c r="B269" s="1190" t="str">
        <f>"TS mới tăng thêm năm "&amp;YEAR($P$3)+8</f>
        <v>TS mới tăng thêm năm 2032</v>
      </c>
      <c r="M269" s="1191"/>
      <c r="N269" s="1191"/>
      <c r="O269" s="1191"/>
      <c r="P269" s="1195"/>
      <c r="Q269" s="1194"/>
      <c r="R269" s="1194"/>
      <c r="S269" s="1194"/>
      <c r="T269" s="1194"/>
      <c r="U269" s="1194"/>
      <c r="V269" s="1194"/>
      <c r="W269" s="1194"/>
      <c r="X269" s="1193">
        <f>SUM(X94,X95)/X260</f>
        <v>22.181674968426918</v>
      </c>
      <c r="Y269" s="1193">
        <f>MIN(X269,X118)</f>
        <v>22.181674968426918</v>
      </c>
      <c r="Z269" s="1193">
        <f>MIN(Y269,Y118)</f>
        <v>22.181674968426918</v>
      </c>
      <c r="AA269" s="1193"/>
      <c r="AB269" s="1193"/>
      <c r="AC269" s="1193"/>
      <c r="AD269" s="1193"/>
      <c r="AE269" s="1193"/>
      <c r="AF269" s="1193"/>
      <c r="AG269" s="1193"/>
      <c r="AH269" s="1193"/>
      <c r="AI269" s="1193"/>
      <c r="AJ269" s="1193"/>
      <c r="AK269" s="1193"/>
      <c r="AL269" s="1193"/>
      <c r="AM269" s="1193"/>
      <c r="AN269" s="1193"/>
      <c r="AO269" s="1193"/>
      <c r="AP269" s="1193"/>
      <c r="AQ269" s="1193"/>
      <c r="AR269" s="1193"/>
      <c r="AS269" s="1193"/>
      <c r="AT269" s="1193"/>
      <c r="AU269" s="1193"/>
      <c r="AV269" s="1193"/>
      <c r="AW269" s="1193"/>
      <c r="AX269" s="1193"/>
      <c r="AY269" s="1193"/>
      <c r="AZ269" s="1193"/>
      <c r="BA269" s="1193"/>
    </row>
    <row r="270" spans="2:55" ht="32.4" customHeight="1">
      <c r="B270" s="1190" t="str">
        <f>"TS mới tăng thêm năm "&amp;YEAR($P$3)+9</f>
        <v>TS mới tăng thêm năm 2033</v>
      </c>
      <c r="M270" s="1191"/>
      <c r="N270" s="1191"/>
      <c r="O270" s="1191"/>
      <c r="P270" s="1195"/>
      <c r="Q270" s="1194"/>
      <c r="R270" s="1194"/>
      <c r="S270" s="1194"/>
      <c r="T270" s="1194"/>
      <c r="U270" s="1194"/>
      <c r="V270" s="1194"/>
      <c r="W270" s="1194"/>
      <c r="X270" s="1194"/>
      <c r="Y270" s="1193">
        <f>SUM(Y94:Y95)/Y260</f>
        <v>26.073425860647273</v>
      </c>
      <c r="Z270" s="1193">
        <f>MIN(Y270,Y119)</f>
        <v>26.073425860647273</v>
      </c>
      <c r="AA270" s="1193"/>
      <c r="AB270" s="1193"/>
      <c r="AC270" s="1193"/>
      <c r="AD270" s="1193"/>
      <c r="AE270" s="1193"/>
      <c r="AF270" s="1193"/>
      <c r="AG270" s="1193"/>
      <c r="AH270" s="1193"/>
      <c r="AI270" s="1193"/>
      <c r="AJ270" s="1193"/>
      <c r="AK270" s="1193"/>
      <c r="AL270" s="1193"/>
      <c r="AM270" s="1193"/>
      <c r="AN270" s="1193"/>
      <c r="AO270" s="1193"/>
      <c r="AP270" s="1193"/>
      <c r="AQ270" s="1193"/>
      <c r="AR270" s="1193"/>
      <c r="AS270" s="1193"/>
      <c r="AT270" s="1193"/>
      <c r="AU270" s="1193"/>
      <c r="AV270" s="1193"/>
      <c r="AW270" s="1193"/>
      <c r="AX270" s="1193"/>
      <c r="AY270" s="1193"/>
      <c r="AZ270" s="1193"/>
      <c r="BA270" s="1193"/>
    </row>
    <row r="271" spans="2:55" ht="30.6" customHeight="1">
      <c r="B271" s="1190" t="str">
        <f>"TS mới tăng thêm năm "&amp;YEAR($P$3)+10</f>
        <v>TS mới tăng thêm năm 2034</v>
      </c>
      <c r="M271" s="1191"/>
      <c r="N271" s="1191"/>
      <c r="O271" s="1191"/>
      <c r="P271" s="1195"/>
      <c r="Q271" s="1194"/>
      <c r="R271" s="1194"/>
      <c r="S271" s="1194"/>
      <c r="T271" s="1194"/>
      <c r="U271" s="1194"/>
      <c r="V271" s="1194"/>
      <c r="W271" s="1194"/>
      <c r="X271" s="1194"/>
      <c r="Y271" s="1194"/>
      <c r="Z271" s="1193">
        <f>SUM(Z94:Z95)/Z260</f>
        <v>25.272745337844114</v>
      </c>
      <c r="AA271" s="1193"/>
      <c r="AB271" s="1193"/>
      <c r="AC271" s="1193"/>
      <c r="AD271" s="1193"/>
      <c r="AE271" s="1193"/>
      <c r="AF271" s="1193"/>
      <c r="AG271" s="1193"/>
      <c r="AH271" s="1193"/>
      <c r="AI271" s="1193"/>
      <c r="AJ271" s="1193"/>
      <c r="AK271" s="1193"/>
      <c r="AL271" s="1193"/>
      <c r="AM271" s="1193"/>
      <c r="AN271" s="1193"/>
      <c r="AO271" s="1193"/>
      <c r="AP271" s="1193"/>
      <c r="AQ271" s="1193"/>
      <c r="AR271" s="1193"/>
      <c r="AS271" s="1193"/>
      <c r="AT271" s="1193"/>
      <c r="AU271" s="1193"/>
      <c r="AV271" s="1193"/>
      <c r="AW271" s="1193"/>
      <c r="AX271" s="1193"/>
      <c r="AY271" s="1193"/>
      <c r="AZ271" s="1193"/>
      <c r="BA271" s="1193"/>
      <c r="BB271" s="1206"/>
      <c r="BC271" s="1207"/>
    </row>
    <row r="272" spans="2:55" ht="28.2" customHeight="1">
      <c r="B272" s="1190" t="str">
        <f>"TS mới tăng thêm năm "&amp;YEAR($P$3)+11</f>
        <v>TS mới tăng thêm năm 2035</v>
      </c>
      <c r="M272" s="1191"/>
      <c r="N272" s="1191"/>
      <c r="O272" s="1191"/>
      <c r="P272" s="1216"/>
      <c r="Q272" s="1217"/>
      <c r="R272" s="1217"/>
      <c r="S272" s="1217"/>
      <c r="T272" s="1217"/>
      <c r="U272" s="1217"/>
      <c r="V272" s="1217"/>
      <c r="W272" s="1217"/>
      <c r="X272" s="1217"/>
      <c r="Y272" s="1217"/>
      <c r="Z272" s="1217"/>
      <c r="AA272" s="1193"/>
      <c r="AB272" s="1193"/>
      <c r="AC272" s="1193"/>
      <c r="AD272" s="1193"/>
      <c r="AE272" s="1193"/>
      <c r="AF272" s="1193"/>
      <c r="AG272" s="1193"/>
      <c r="AH272" s="1193"/>
      <c r="AI272" s="1193"/>
      <c r="AJ272" s="1193"/>
      <c r="AK272" s="1193"/>
      <c r="AL272" s="1193"/>
      <c r="AM272" s="1193"/>
      <c r="AN272" s="1193"/>
      <c r="AO272" s="1193"/>
      <c r="AP272" s="1193"/>
      <c r="AQ272" s="1193"/>
      <c r="AR272" s="1193"/>
      <c r="AS272" s="1193"/>
      <c r="AT272" s="1193"/>
      <c r="AU272" s="1193"/>
      <c r="AV272" s="1193"/>
      <c r="AW272" s="1193"/>
      <c r="AX272" s="1193"/>
      <c r="AY272" s="1193"/>
      <c r="AZ272" s="1193"/>
      <c r="BA272" s="1193"/>
      <c r="BB272" s="1207"/>
      <c r="BC272" s="1207"/>
    </row>
    <row r="273" spans="2:55" ht="14.4">
      <c r="B273" s="1196" t="s">
        <v>585</v>
      </c>
      <c r="C273" s="1197"/>
      <c r="D273" s="1197"/>
      <c r="E273" s="1197"/>
      <c r="F273" s="1197"/>
      <c r="G273" s="1197"/>
      <c r="H273" s="1198"/>
      <c r="I273" s="1198"/>
      <c r="J273" s="1198"/>
      <c r="K273" s="1198"/>
      <c r="L273" s="1198"/>
      <c r="M273" s="1197"/>
      <c r="N273" s="1197"/>
      <c r="O273" s="1197"/>
      <c r="P273" s="1215">
        <f>SUM(P261:P271)</f>
        <v>24.274428648000001</v>
      </c>
      <c r="Q273" s="1205">
        <f t="shared" ref="Q273:Y273" si="175">SUM(Q261:Q271)</f>
        <v>77.182058546108138</v>
      </c>
      <c r="R273" s="1205">
        <f t="shared" si="175"/>
        <v>125.14777748219487</v>
      </c>
      <c r="S273" s="1205">
        <f t="shared" si="175"/>
        <v>172.23262098291619</v>
      </c>
      <c r="T273" s="1205">
        <f t="shared" si="175"/>
        <v>197.15626559008359</v>
      </c>
      <c r="U273" s="1205">
        <f t="shared" si="175"/>
        <v>156.72498618196846</v>
      </c>
      <c r="V273" s="1205">
        <f t="shared" si="175"/>
        <v>134.15002096305125</v>
      </c>
      <c r="W273" s="1205">
        <f t="shared" si="175"/>
        <v>76.146661895314793</v>
      </c>
      <c r="X273" s="1205">
        <f t="shared" si="175"/>
        <v>98.328336863741697</v>
      </c>
      <c r="Y273" s="1205">
        <f t="shared" si="175"/>
        <v>99.89188444258491</v>
      </c>
      <c r="Z273" s="1205">
        <f>SUM(Z261:Z271)</f>
        <v>105.33671434288991</v>
      </c>
      <c r="AA273" s="1204"/>
      <c r="AB273" s="1204"/>
      <c r="AC273" s="1204"/>
      <c r="AD273" s="1204"/>
      <c r="AE273" s="1204"/>
      <c r="AF273" s="1204"/>
      <c r="AG273" s="1204"/>
      <c r="AH273" s="1204"/>
      <c r="AI273" s="1204"/>
      <c r="AJ273" s="1204"/>
      <c r="AK273" s="1204"/>
      <c r="AL273" s="1204"/>
      <c r="AM273" s="1204"/>
      <c r="AN273" s="1204"/>
      <c r="AO273" s="1204"/>
      <c r="AP273" s="1204"/>
      <c r="AQ273" s="1204"/>
      <c r="AR273" s="1204"/>
      <c r="AS273" s="1204"/>
      <c r="AT273" s="1204"/>
      <c r="AU273" s="1204"/>
      <c r="AV273" s="1204"/>
      <c r="AW273" s="1204"/>
      <c r="AX273" s="1204"/>
      <c r="AY273" s="1204"/>
      <c r="AZ273" s="1204"/>
      <c r="BA273" s="1204"/>
      <c r="BB273" s="1208"/>
      <c r="BC273" s="1207"/>
    </row>
    <row r="274" spans="2:55">
      <c r="M274" s="1006"/>
      <c r="P274" s="1186"/>
      <c r="BB274" s="1207"/>
      <c r="BC274" s="1207"/>
    </row>
    <row r="275" spans="2:55">
      <c r="M275" s="1006"/>
      <c r="P275" s="1186"/>
    </row>
    <row r="276" spans="2:55">
      <c r="B276" s="1072" t="s">
        <v>813</v>
      </c>
      <c r="M276" s="1006"/>
      <c r="N276" s="1189"/>
      <c r="O276" s="1189"/>
      <c r="P276" s="1213" t="s">
        <v>837</v>
      </c>
      <c r="Q276" s="1189">
        <f>F223</f>
        <v>5</v>
      </c>
      <c r="R276" s="1189">
        <f>Q276</f>
        <v>5</v>
      </c>
      <c r="S276" s="1189">
        <f t="shared" ref="S276:Z276" si="176">R276</f>
        <v>5</v>
      </c>
      <c r="T276" s="1189">
        <f t="shared" si="176"/>
        <v>5</v>
      </c>
      <c r="U276" s="1189">
        <f t="shared" si="176"/>
        <v>5</v>
      </c>
      <c r="V276" s="1189">
        <f t="shared" si="176"/>
        <v>5</v>
      </c>
      <c r="W276" s="1189">
        <f t="shared" si="176"/>
        <v>5</v>
      </c>
      <c r="X276" s="1189">
        <f t="shared" si="176"/>
        <v>5</v>
      </c>
      <c r="Y276" s="1189">
        <f t="shared" si="176"/>
        <v>5</v>
      </c>
      <c r="Z276" s="1189">
        <f t="shared" si="176"/>
        <v>5</v>
      </c>
      <c r="AA276" s="1189"/>
      <c r="AB276" s="1189"/>
      <c r="AC276" s="1189"/>
      <c r="AD276" s="1189"/>
      <c r="AE276" s="1189"/>
      <c r="AF276" s="1189"/>
      <c r="AG276" s="1189"/>
      <c r="AH276" s="1189"/>
      <c r="AI276" s="1189"/>
      <c r="AJ276" s="1189"/>
      <c r="AK276" s="1189"/>
      <c r="AL276" s="1189"/>
      <c r="AM276" s="1189"/>
      <c r="AN276" s="1189"/>
      <c r="AO276" s="1189"/>
      <c r="AP276" s="1189"/>
      <c r="AQ276" s="1189"/>
      <c r="AR276" s="1189"/>
      <c r="AS276" s="1189"/>
      <c r="AT276" s="1189"/>
      <c r="AU276" s="1189"/>
      <c r="AV276" s="1189"/>
      <c r="AW276" s="1189"/>
      <c r="AX276" s="1189"/>
      <c r="AY276" s="1189"/>
      <c r="AZ276" s="1189"/>
      <c r="BA276" s="1189"/>
    </row>
    <row r="277" spans="2:55" ht="14.4">
      <c r="B277" s="1190" t="str">
        <f>"TS cũ cuối năm "&amp;YEAR($P$3)</f>
        <v>TS cũ cuối năm 2024</v>
      </c>
      <c r="M277" s="1191"/>
      <c r="N277" s="1191"/>
      <c r="O277" s="1191"/>
      <c r="P277" s="2521">
        <f>P142</f>
        <v>0</v>
      </c>
      <c r="Q277" s="1193">
        <f>MIN(P277,P144)</f>
        <v>0</v>
      </c>
      <c r="R277" s="1193">
        <f>MIN(Q277,Q144)</f>
        <v>0</v>
      </c>
      <c r="S277" s="1193">
        <f t="shared" ref="S277:Z277" si="177">MIN(R277,R144)</f>
        <v>0</v>
      </c>
      <c r="T277" s="1193">
        <f t="shared" si="177"/>
        <v>0</v>
      </c>
      <c r="U277" s="1193">
        <f t="shared" si="177"/>
        <v>0</v>
      </c>
      <c r="V277" s="1193">
        <f t="shared" si="177"/>
        <v>0</v>
      </c>
      <c r="W277" s="1193">
        <f t="shared" si="177"/>
        <v>0</v>
      </c>
      <c r="X277" s="1193">
        <f t="shared" si="177"/>
        <v>0</v>
      </c>
      <c r="Y277" s="1193">
        <f t="shared" si="177"/>
        <v>0</v>
      </c>
      <c r="Z277" s="1193">
        <f t="shared" si="177"/>
        <v>0</v>
      </c>
      <c r="AA277" s="1193"/>
      <c r="AB277" s="1193"/>
      <c r="AC277" s="1193"/>
      <c r="AD277" s="1193"/>
      <c r="AE277" s="1193"/>
      <c r="AF277" s="1193"/>
      <c r="AG277" s="1193"/>
      <c r="AH277" s="1193"/>
      <c r="AI277" s="1193"/>
      <c r="AJ277" s="1193"/>
      <c r="AK277" s="1193"/>
      <c r="AL277" s="1193"/>
      <c r="AM277" s="1193"/>
      <c r="AN277" s="1193"/>
      <c r="AO277" s="1193"/>
      <c r="AP277" s="1193"/>
      <c r="AQ277" s="1193"/>
      <c r="AR277" s="1193"/>
      <c r="AS277" s="1193"/>
      <c r="AT277" s="1193"/>
      <c r="AU277" s="1194"/>
      <c r="AV277" s="1194"/>
      <c r="AW277" s="1194"/>
      <c r="AX277" s="1194"/>
      <c r="AY277" s="1194"/>
      <c r="AZ277" s="1194"/>
      <c r="BA277" s="1194"/>
    </row>
    <row r="278" spans="2:55" ht="14.4">
      <c r="B278" s="1190" t="str">
        <f>"TS mới tăng thêm năm "&amp;YEAR($P$3)+1</f>
        <v>TS mới tăng thêm năm 2025</v>
      </c>
      <c r="F278" s="1201"/>
      <c r="M278" s="1191"/>
      <c r="N278" s="1191"/>
      <c r="O278" s="1191"/>
      <c r="P278" s="1195"/>
      <c r="Q278" s="1193">
        <f>Q128/Q276</f>
        <v>0</v>
      </c>
      <c r="R278" s="1193">
        <f>MIN(Q278,Q145)</f>
        <v>0</v>
      </c>
      <c r="S278" s="1193">
        <f t="shared" ref="S278:Z278" si="178">MIN(R278,R145)</f>
        <v>0</v>
      </c>
      <c r="T278" s="1193">
        <f t="shared" si="178"/>
        <v>0</v>
      </c>
      <c r="U278" s="1193">
        <f t="shared" si="178"/>
        <v>0</v>
      </c>
      <c r="V278" s="1193">
        <f t="shared" si="178"/>
        <v>0</v>
      </c>
      <c r="W278" s="1193">
        <f t="shared" si="178"/>
        <v>0</v>
      </c>
      <c r="X278" s="1193">
        <f t="shared" si="178"/>
        <v>0</v>
      </c>
      <c r="Y278" s="1193">
        <f t="shared" si="178"/>
        <v>0</v>
      </c>
      <c r="Z278" s="1193">
        <f t="shared" si="178"/>
        <v>0</v>
      </c>
      <c r="AA278" s="1193"/>
      <c r="AB278" s="1193"/>
      <c r="AC278" s="1193"/>
      <c r="AD278" s="1193"/>
      <c r="AE278" s="1193"/>
      <c r="AF278" s="1193"/>
      <c r="AG278" s="1193"/>
      <c r="AH278" s="1193"/>
      <c r="AI278" s="1193"/>
      <c r="AJ278" s="1193"/>
      <c r="AK278" s="1193"/>
      <c r="AL278" s="1193"/>
      <c r="AM278" s="1193"/>
      <c r="AN278" s="1193"/>
      <c r="AO278" s="1193"/>
      <c r="AP278" s="1193"/>
      <c r="AQ278" s="1193"/>
      <c r="AR278" s="1193"/>
      <c r="AS278" s="1193"/>
      <c r="AT278" s="1193"/>
      <c r="AU278" s="1193"/>
      <c r="AV278" s="1193"/>
      <c r="AW278" s="1193"/>
      <c r="AX278" s="1194"/>
      <c r="AY278" s="1194"/>
      <c r="AZ278" s="1194"/>
      <c r="BA278" s="1194"/>
    </row>
    <row r="279" spans="2:55" ht="14.4">
      <c r="B279" s="1190" t="str">
        <f>"TS mới tăng thêm năm "&amp;YEAR($P$3)+2</f>
        <v>TS mới tăng thêm năm 2026</v>
      </c>
      <c r="M279" s="1191"/>
      <c r="N279" s="1191"/>
      <c r="O279" s="1191"/>
      <c r="P279" s="1195"/>
      <c r="Q279" s="1194"/>
      <c r="R279" s="1193">
        <f>R128/R276</f>
        <v>0</v>
      </c>
      <c r="S279" s="1193">
        <f>MIN(R279,R146)</f>
        <v>0</v>
      </c>
      <c r="T279" s="1193">
        <f t="shared" ref="T279:Z279" si="179">MIN(S279,S146)</f>
        <v>0</v>
      </c>
      <c r="U279" s="1193">
        <f t="shared" si="179"/>
        <v>0</v>
      </c>
      <c r="V279" s="1193">
        <f t="shared" si="179"/>
        <v>0</v>
      </c>
      <c r="W279" s="1193">
        <f t="shared" si="179"/>
        <v>0</v>
      </c>
      <c r="X279" s="1193">
        <f t="shared" si="179"/>
        <v>0</v>
      </c>
      <c r="Y279" s="1193">
        <f t="shared" si="179"/>
        <v>0</v>
      </c>
      <c r="Z279" s="1193">
        <f t="shared" si="179"/>
        <v>0</v>
      </c>
      <c r="AA279" s="1193"/>
      <c r="AB279" s="1193"/>
      <c r="AC279" s="1193"/>
      <c r="AD279" s="1193"/>
      <c r="AE279" s="1193"/>
      <c r="AF279" s="1193"/>
      <c r="AG279" s="1193"/>
      <c r="AH279" s="1193"/>
      <c r="AI279" s="1193"/>
      <c r="AJ279" s="1193"/>
      <c r="AK279" s="1193"/>
      <c r="AL279" s="1193"/>
      <c r="AM279" s="1193"/>
      <c r="AN279" s="1193"/>
      <c r="AO279" s="1193"/>
      <c r="AP279" s="1193"/>
      <c r="AQ279" s="1193"/>
      <c r="AR279" s="1193"/>
      <c r="AS279" s="1193"/>
      <c r="AT279" s="1193"/>
      <c r="AU279" s="1193"/>
      <c r="AV279" s="1193"/>
      <c r="AW279" s="1193"/>
      <c r="AX279" s="1193"/>
      <c r="AY279" s="1193"/>
      <c r="AZ279" s="1193"/>
      <c r="BA279" s="1193"/>
    </row>
    <row r="280" spans="2:55" ht="14.4">
      <c r="B280" s="1190" t="str">
        <f>"TS mới tăng thêm năm "&amp;YEAR($P$3)+3</f>
        <v>TS mới tăng thêm năm 2027</v>
      </c>
      <c r="M280" s="1191"/>
      <c r="N280" s="1191"/>
      <c r="O280" s="1191"/>
      <c r="P280" s="1195"/>
      <c r="Q280" s="1194"/>
      <c r="R280" s="1194"/>
      <c r="S280" s="1193">
        <f>S128/S276</f>
        <v>0</v>
      </c>
      <c r="T280" s="1193">
        <f>MIN(S280,S147)</f>
        <v>0</v>
      </c>
      <c r="U280" s="1193">
        <f t="shared" ref="U280:Z280" si="180">MIN(T280,T147)</f>
        <v>0</v>
      </c>
      <c r="V280" s="1193">
        <f t="shared" si="180"/>
        <v>0</v>
      </c>
      <c r="W280" s="1193">
        <f t="shared" si="180"/>
        <v>0</v>
      </c>
      <c r="X280" s="1193">
        <f t="shared" si="180"/>
        <v>0</v>
      </c>
      <c r="Y280" s="1193">
        <f t="shared" si="180"/>
        <v>0</v>
      </c>
      <c r="Z280" s="1193">
        <f t="shared" si="180"/>
        <v>0</v>
      </c>
      <c r="AA280" s="1193"/>
      <c r="AB280" s="1193"/>
      <c r="AC280" s="1193"/>
      <c r="AD280" s="1193"/>
      <c r="AE280" s="1193"/>
      <c r="AF280" s="1193"/>
      <c r="AG280" s="1193"/>
      <c r="AH280" s="1193"/>
      <c r="AI280" s="1193"/>
      <c r="AJ280" s="1193"/>
      <c r="AK280" s="1193"/>
      <c r="AL280" s="1193"/>
      <c r="AM280" s="1193"/>
      <c r="AN280" s="1193"/>
      <c r="AO280" s="1193"/>
      <c r="AP280" s="1193"/>
      <c r="AQ280" s="1193"/>
      <c r="AR280" s="1193"/>
      <c r="AS280" s="1193"/>
      <c r="AT280" s="1193"/>
      <c r="AU280" s="1193"/>
      <c r="AV280" s="1193"/>
      <c r="AW280" s="1193"/>
      <c r="AX280" s="1193"/>
      <c r="AY280" s="1194"/>
      <c r="AZ280" s="1194"/>
      <c r="BA280" s="1194"/>
    </row>
    <row r="281" spans="2:55" ht="14.4">
      <c r="B281" s="1190" t="str">
        <f>"TS mới tăng thêm năm "&amp;YEAR($P$3)+4</f>
        <v>TS mới tăng thêm năm 2028</v>
      </c>
      <c r="M281" s="1191"/>
      <c r="N281" s="1191"/>
      <c r="O281" s="1191"/>
      <c r="P281" s="1195"/>
      <c r="Q281" s="1194"/>
      <c r="R281" s="1194"/>
      <c r="S281" s="1194"/>
      <c r="T281" s="1193">
        <f>T128</f>
        <v>0</v>
      </c>
      <c r="U281" s="1193">
        <f>MIN(T281,T148)</f>
        <v>0</v>
      </c>
      <c r="V281" s="1193">
        <f t="shared" ref="V281:Z281" si="181">MIN(U281,U148)</f>
        <v>0</v>
      </c>
      <c r="W281" s="1193">
        <f t="shared" si="181"/>
        <v>0</v>
      </c>
      <c r="X281" s="1193">
        <f t="shared" si="181"/>
        <v>0</v>
      </c>
      <c r="Y281" s="1193">
        <f t="shared" si="181"/>
        <v>0</v>
      </c>
      <c r="Z281" s="1193">
        <f t="shared" si="181"/>
        <v>0</v>
      </c>
      <c r="AA281" s="1193"/>
      <c r="AB281" s="1193"/>
      <c r="AC281" s="1193"/>
      <c r="AD281" s="1193"/>
      <c r="AE281" s="1193"/>
      <c r="AF281" s="1193"/>
      <c r="AG281" s="1193"/>
      <c r="AH281" s="1193"/>
      <c r="AI281" s="1193"/>
      <c r="AJ281" s="1193"/>
      <c r="AK281" s="1193"/>
      <c r="AL281" s="1193"/>
      <c r="AM281" s="1193"/>
      <c r="AN281" s="1193"/>
      <c r="AO281" s="1193"/>
      <c r="AP281" s="1193"/>
      <c r="AQ281" s="1193"/>
      <c r="AR281" s="1193"/>
      <c r="AS281" s="1193"/>
      <c r="AT281" s="1193"/>
      <c r="AU281" s="1193"/>
      <c r="AV281" s="1193"/>
      <c r="AW281" s="1193"/>
      <c r="AX281" s="1193"/>
      <c r="AY281" s="1193"/>
      <c r="AZ281" s="1193"/>
      <c r="BA281" s="1193"/>
    </row>
    <row r="282" spans="2:55" ht="21.75" customHeight="1">
      <c r="B282" s="1190" t="str">
        <f>"TS mới tăng thêm năm "&amp;YEAR($P$3)+5</f>
        <v>TS mới tăng thêm năm 2029</v>
      </c>
      <c r="M282" s="1191"/>
      <c r="N282" s="1191"/>
      <c r="O282" s="1191"/>
      <c r="P282" s="1195"/>
      <c r="Q282" s="1194"/>
      <c r="R282" s="1194"/>
      <c r="S282" s="1194"/>
      <c r="T282" s="1194"/>
      <c r="U282" s="1193">
        <f>U128/U276</f>
        <v>0</v>
      </c>
      <c r="V282" s="1193">
        <f>MIN(U282,U149)</f>
        <v>0</v>
      </c>
      <c r="W282" s="1193">
        <f t="shared" ref="W282:Z282" si="182">MIN(V282,V149)</f>
        <v>0</v>
      </c>
      <c r="X282" s="1193">
        <f t="shared" si="182"/>
        <v>0</v>
      </c>
      <c r="Y282" s="1193">
        <f t="shared" si="182"/>
        <v>0</v>
      </c>
      <c r="Z282" s="1193">
        <f t="shared" si="182"/>
        <v>0</v>
      </c>
      <c r="AA282" s="1193"/>
      <c r="AB282" s="1193"/>
      <c r="AC282" s="1193"/>
      <c r="AD282" s="1193"/>
      <c r="AE282" s="1193"/>
      <c r="AF282" s="1193"/>
      <c r="AG282" s="1193"/>
      <c r="AH282" s="1193"/>
      <c r="AI282" s="1193"/>
      <c r="AJ282" s="1193"/>
      <c r="AK282" s="1193"/>
      <c r="AL282" s="1193"/>
      <c r="AM282" s="1193"/>
      <c r="AN282" s="1193"/>
      <c r="AO282" s="1193"/>
      <c r="AP282" s="1193"/>
      <c r="AQ282" s="1193"/>
      <c r="AR282" s="1193"/>
      <c r="AS282" s="1193"/>
      <c r="AT282" s="1193"/>
      <c r="AU282" s="1193"/>
      <c r="AV282" s="1193"/>
      <c r="AW282" s="1193"/>
      <c r="AX282" s="1193"/>
      <c r="AY282" s="1193"/>
      <c r="AZ282" s="1193"/>
      <c r="BA282" s="1193"/>
    </row>
    <row r="283" spans="2:55" ht="24.75" customHeight="1">
      <c r="B283" s="1190" t="str">
        <f>"TS mới tăng thêm năm "&amp;YEAR($P$3)+6</f>
        <v>TS mới tăng thêm năm 2030</v>
      </c>
      <c r="M283" s="1191"/>
      <c r="N283" s="1191"/>
      <c r="O283" s="1191"/>
      <c r="P283" s="1195"/>
      <c r="Q283" s="1194"/>
      <c r="R283" s="1194"/>
      <c r="S283" s="1194"/>
      <c r="T283" s="1194"/>
      <c r="U283" s="1194"/>
      <c r="V283" s="1193">
        <f>V128</f>
        <v>0</v>
      </c>
      <c r="W283" s="1193">
        <f>MIN(V283,V150)</f>
        <v>0</v>
      </c>
      <c r="X283" s="1193">
        <f>MIN(W283,W150)</f>
        <v>0</v>
      </c>
      <c r="Y283" s="1193">
        <f>MIN(X283,X150)</f>
        <v>0</v>
      </c>
      <c r="Z283" s="1193">
        <f>MIN(Y283,Y150)</f>
        <v>0</v>
      </c>
      <c r="AA283" s="1193"/>
      <c r="AB283" s="1193"/>
      <c r="AC283" s="1193"/>
      <c r="AD283" s="1193"/>
      <c r="AE283" s="1193"/>
      <c r="AF283" s="1193"/>
      <c r="AG283" s="1193"/>
      <c r="AH283" s="1193"/>
      <c r="AI283" s="1193"/>
      <c r="AJ283" s="1193"/>
      <c r="AK283" s="1193"/>
      <c r="AL283" s="1193"/>
      <c r="AM283" s="1193"/>
      <c r="AN283" s="1193"/>
      <c r="AO283" s="1193"/>
      <c r="AP283" s="1193"/>
      <c r="AQ283" s="1193"/>
      <c r="AR283" s="1193"/>
      <c r="AS283" s="1193"/>
      <c r="AT283" s="1193"/>
      <c r="AU283" s="1193"/>
      <c r="AV283" s="1193"/>
      <c r="AW283" s="1193"/>
      <c r="AX283" s="1193"/>
      <c r="AY283" s="1193"/>
      <c r="AZ283" s="1193"/>
      <c r="BA283" s="1193"/>
    </row>
    <row r="284" spans="2:55" ht="27" customHeight="1">
      <c r="B284" s="1190" t="str">
        <f>"TS mới tăng thêm năm "&amp;YEAR($P$3)+7</f>
        <v>TS mới tăng thêm năm 2031</v>
      </c>
      <c r="M284" s="1191"/>
      <c r="N284" s="1191"/>
      <c r="O284" s="1191"/>
      <c r="P284" s="1195"/>
      <c r="Q284" s="1194"/>
      <c r="R284" s="1194"/>
      <c r="S284" s="1194"/>
      <c r="T284" s="1194"/>
      <c r="U284" s="1194"/>
      <c r="V284" s="1194"/>
      <c r="W284" s="1193">
        <f>W128/W276</f>
        <v>0</v>
      </c>
      <c r="X284" s="1193">
        <f>MIN(W284,W151)</f>
        <v>0</v>
      </c>
      <c r="Y284" s="1193">
        <f t="shared" ref="Y284:Z284" si="183">MIN(X284,X151)</f>
        <v>0</v>
      </c>
      <c r="Z284" s="1193">
        <f t="shared" si="183"/>
        <v>0</v>
      </c>
      <c r="AA284" s="1193"/>
      <c r="AB284" s="1193"/>
      <c r="AC284" s="1193"/>
      <c r="AD284" s="1193"/>
      <c r="AE284" s="1193"/>
      <c r="AF284" s="1193"/>
      <c r="AG284" s="1193"/>
      <c r="AH284" s="1193"/>
      <c r="AI284" s="1193"/>
      <c r="AJ284" s="1193"/>
      <c r="AK284" s="1193"/>
      <c r="AL284" s="1193"/>
      <c r="AM284" s="1193"/>
      <c r="AN284" s="1193"/>
      <c r="AO284" s="1193"/>
      <c r="AP284" s="1193"/>
      <c r="AQ284" s="1193"/>
      <c r="AR284" s="1193"/>
      <c r="AS284" s="1193"/>
      <c r="AT284" s="1193"/>
      <c r="AU284" s="1193"/>
      <c r="AV284" s="1193"/>
      <c r="AW284" s="1193"/>
      <c r="AX284" s="1193"/>
      <c r="AY284" s="1193"/>
      <c r="AZ284" s="1193"/>
      <c r="BA284" s="1193"/>
    </row>
    <row r="285" spans="2:55" ht="28.5" customHeight="1">
      <c r="B285" s="1190" t="str">
        <f>"TS mới tăng thêm năm "&amp;YEAR($P$3)+8</f>
        <v>TS mới tăng thêm năm 2032</v>
      </c>
      <c r="M285" s="1191"/>
      <c r="N285" s="1191"/>
      <c r="O285" s="1191"/>
      <c r="P285" s="1195"/>
      <c r="Q285" s="1194"/>
      <c r="R285" s="1194"/>
      <c r="S285" s="1194"/>
      <c r="T285" s="1194"/>
      <c r="U285" s="1194"/>
      <c r="V285" s="1194"/>
      <c r="W285" s="1194"/>
      <c r="X285" s="1193">
        <f>X128/X276</f>
        <v>0</v>
      </c>
      <c r="Y285" s="1193">
        <f>MIN(X285,X152)</f>
        <v>0</v>
      </c>
      <c r="Z285" s="1193">
        <f>MIN(Y285,Y152)</f>
        <v>0</v>
      </c>
      <c r="AA285" s="1193"/>
      <c r="AB285" s="1193"/>
      <c r="AC285" s="1193"/>
      <c r="AD285" s="1193"/>
      <c r="AE285" s="1193"/>
      <c r="AF285" s="1193"/>
      <c r="AG285" s="1193"/>
      <c r="AH285" s="1193"/>
      <c r="AI285" s="1193"/>
      <c r="AJ285" s="1193"/>
      <c r="AK285" s="1193"/>
      <c r="AL285" s="1193"/>
      <c r="AM285" s="1193"/>
      <c r="AN285" s="1193"/>
      <c r="AO285" s="1193"/>
      <c r="AP285" s="1193"/>
      <c r="AQ285" s="1193"/>
      <c r="AR285" s="1193"/>
      <c r="AS285" s="1193"/>
      <c r="AT285" s="1193"/>
      <c r="AU285" s="1193"/>
      <c r="AV285" s="1193"/>
      <c r="AW285" s="1193"/>
      <c r="AX285" s="1193"/>
      <c r="AY285" s="1193"/>
      <c r="AZ285" s="1193"/>
      <c r="BA285" s="1193"/>
    </row>
    <row r="286" spans="2:55" ht="24.75" customHeight="1">
      <c r="B286" s="1190" t="str">
        <f>"TS mới tăng thêm năm "&amp;YEAR($P$3)+9</f>
        <v>TS mới tăng thêm năm 2033</v>
      </c>
      <c r="M286" s="1191"/>
      <c r="N286" s="1191"/>
      <c r="O286" s="1191"/>
      <c r="P286" s="1195"/>
      <c r="Q286" s="1194"/>
      <c r="R286" s="1194"/>
      <c r="S286" s="1194"/>
      <c r="T286" s="1194"/>
      <c r="U286" s="1194"/>
      <c r="V286" s="1194"/>
      <c r="W286" s="1194"/>
      <c r="X286" s="1194"/>
      <c r="Y286" s="1193">
        <f>Y128/Y276</f>
        <v>0</v>
      </c>
      <c r="Z286" s="1193">
        <f>MIN(Y286,Y153)</f>
        <v>0</v>
      </c>
      <c r="AA286" s="1193"/>
      <c r="AB286" s="1193"/>
      <c r="AC286" s="1193"/>
      <c r="AD286" s="1193"/>
      <c r="AE286" s="1193"/>
      <c r="AF286" s="1193"/>
      <c r="AG286" s="1193"/>
      <c r="AH286" s="1193"/>
      <c r="AI286" s="1193"/>
      <c r="AJ286" s="1193"/>
      <c r="AK286" s="1193"/>
      <c r="AL286" s="1193"/>
      <c r="AM286" s="1193"/>
      <c r="AN286" s="1193"/>
      <c r="AO286" s="1193"/>
      <c r="AP286" s="1193"/>
      <c r="AQ286" s="1193"/>
      <c r="AR286" s="1193"/>
      <c r="AS286" s="1193"/>
      <c r="AT286" s="1193"/>
      <c r="AU286" s="1193"/>
      <c r="AV286" s="1193"/>
      <c r="AW286" s="1193"/>
      <c r="AX286" s="1193"/>
      <c r="AY286" s="1193"/>
      <c r="AZ286" s="1193"/>
      <c r="BA286" s="1193"/>
    </row>
    <row r="287" spans="2:55" ht="21.75" customHeight="1">
      <c r="B287" s="1190" t="str">
        <f>"TS mới tăng thêm năm "&amp;YEAR($P$3)+10</f>
        <v>TS mới tăng thêm năm 2034</v>
      </c>
      <c r="M287" s="1191"/>
      <c r="N287" s="1191"/>
      <c r="O287" s="1191"/>
      <c r="P287" s="1195"/>
      <c r="Q287" s="1194"/>
      <c r="R287" s="1194"/>
      <c r="S287" s="1194"/>
      <c r="T287" s="1194"/>
      <c r="U287" s="1194"/>
      <c r="V287" s="1194"/>
      <c r="W287" s="1194"/>
      <c r="X287" s="1194"/>
      <c r="Y287" s="1194"/>
      <c r="Z287" s="1193">
        <f>Z128/Z276</f>
        <v>0</v>
      </c>
      <c r="AA287" s="1193"/>
      <c r="AB287" s="1193"/>
      <c r="AC287" s="1193"/>
      <c r="AD287" s="1193"/>
      <c r="AE287" s="1193"/>
      <c r="AF287" s="1193"/>
      <c r="AG287" s="1193"/>
      <c r="AH287" s="1193"/>
      <c r="AI287" s="1193"/>
      <c r="AJ287" s="1193"/>
      <c r="AK287" s="1193"/>
      <c r="AL287" s="1193"/>
      <c r="AM287" s="1193"/>
      <c r="AN287" s="1193"/>
      <c r="AO287" s="1193"/>
      <c r="AP287" s="1193"/>
      <c r="AQ287" s="1193"/>
      <c r="AR287" s="1193"/>
      <c r="AS287" s="1193"/>
      <c r="AT287" s="1193"/>
      <c r="AU287" s="1193"/>
      <c r="AV287" s="1193"/>
      <c r="AW287" s="1193"/>
      <c r="AX287" s="1193"/>
      <c r="AY287" s="1193"/>
      <c r="AZ287" s="1193"/>
      <c r="BA287" s="1193"/>
      <c r="BC287" s="1207"/>
    </row>
    <row r="288" spans="2:55" ht="24" customHeight="1">
      <c r="B288" s="1190" t="str">
        <f>"TS mới tăng thêm năm "&amp;YEAR($P$3)+11</f>
        <v>TS mới tăng thêm năm 2035</v>
      </c>
      <c r="M288" s="1191"/>
      <c r="N288" s="1191"/>
      <c r="O288" s="1191"/>
      <c r="P288" s="1195"/>
      <c r="Q288" s="1194"/>
      <c r="R288" s="1194"/>
      <c r="S288" s="1194"/>
      <c r="T288" s="1194"/>
      <c r="U288" s="1194"/>
      <c r="V288" s="1194"/>
      <c r="W288" s="1194"/>
      <c r="X288" s="1194"/>
      <c r="Y288" s="1194"/>
      <c r="Z288" s="1194"/>
      <c r="AA288" s="1193"/>
      <c r="AB288" s="1193"/>
      <c r="AC288" s="1193"/>
      <c r="AD288" s="1193"/>
      <c r="AE288" s="1193"/>
      <c r="AF288" s="1193"/>
      <c r="AG288" s="1193"/>
      <c r="AH288" s="1193"/>
      <c r="AI288" s="1193"/>
      <c r="AJ288" s="1193"/>
      <c r="AK288" s="1193"/>
      <c r="AL288" s="1193"/>
      <c r="AM288" s="1193"/>
      <c r="AN288" s="1193"/>
      <c r="AO288" s="1193"/>
      <c r="AP288" s="1193"/>
      <c r="AQ288" s="1193"/>
      <c r="AR288" s="1193"/>
      <c r="AS288" s="1193"/>
      <c r="AT288" s="1193"/>
      <c r="AU288" s="1193"/>
      <c r="AV288" s="1193"/>
      <c r="AW288" s="1193"/>
      <c r="AX288" s="1193"/>
      <c r="AY288" s="1193"/>
      <c r="AZ288" s="1193"/>
      <c r="BA288" s="1193"/>
      <c r="BC288" s="1207"/>
    </row>
    <row r="289" spans="2:55" ht="14.4">
      <c r="B289" s="1196" t="s">
        <v>585</v>
      </c>
      <c r="C289" s="1197"/>
      <c r="D289" s="1197"/>
      <c r="E289" s="1197"/>
      <c r="F289" s="1197"/>
      <c r="G289" s="1197"/>
      <c r="H289" s="1198"/>
      <c r="I289" s="1198"/>
      <c r="J289" s="1198"/>
      <c r="K289" s="1198"/>
      <c r="L289" s="1198"/>
      <c r="M289" s="1197"/>
      <c r="N289" s="1199"/>
      <c r="O289" s="1199"/>
      <c r="P289" s="2541">
        <f t="shared" ref="P289:Y289" si="184">SUM(P277:P287)</f>
        <v>0</v>
      </c>
      <c r="Q289" s="1200">
        <f t="shared" si="184"/>
        <v>0</v>
      </c>
      <c r="R289" s="1200">
        <f t="shared" si="184"/>
        <v>0</v>
      </c>
      <c r="S289" s="1200">
        <f t="shared" si="184"/>
        <v>0</v>
      </c>
      <c r="T289" s="1200">
        <f t="shared" si="184"/>
        <v>0</v>
      </c>
      <c r="U289" s="1200">
        <f t="shared" si="184"/>
        <v>0</v>
      </c>
      <c r="V289" s="1200">
        <f t="shared" si="184"/>
        <v>0</v>
      </c>
      <c r="W289" s="1200">
        <f t="shared" si="184"/>
        <v>0</v>
      </c>
      <c r="X289" s="1200">
        <f t="shared" si="184"/>
        <v>0</v>
      </c>
      <c r="Y289" s="1200">
        <f t="shared" si="184"/>
        <v>0</v>
      </c>
      <c r="Z289" s="1200">
        <f>SUM(Z277:Z287)</f>
        <v>0</v>
      </c>
      <c r="AA289" s="1200"/>
      <c r="AB289" s="1200"/>
      <c r="AC289" s="1200"/>
      <c r="AD289" s="1200"/>
      <c r="AE289" s="1200"/>
      <c r="AF289" s="1200"/>
      <c r="AG289" s="1200"/>
      <c r="AH289" s="1200"/>
      <c r="AI289" s="1200"/>
      <c r="AJ289" s="1200"/>
      <c r="AK289" s="1200"/>
      <c r="AL289" s="1200"/>
      <c r="AM289" s="1200"/>
      <c r="AN289" s="1200"/>
      <c r="AO289" s="1200"/>
      <c r="AP289" s="1200"/>
      <c r="AQ289" s="1200"/>
      <c r="AR289" s="1200"/>
      <c r="AS289" s="1200"/>
      <c r="AT289" s="1200"/>
      <c r="AU289" s="1200"/>
      <c r="AV289" s="1200"/>
      <c r="AW289" s="1200"/>
      <c r="AX289" s="1200"/>
      <c r="AY289" s="1200"/>
      <c r="AZ289" s="1200"/>
      <c r="BA289" s="1200"/>
      <c r="BB289" s="1200"/>
      <c r="BC289" s="1209"/>
    </row>
    <row r="290" spans="2:55">
      <c r="M290" s="1006"/>
      <c r="P290" s="1186"/>
      <c r="BC290" s="1207"/>
    </row>
    <row r="291" spans="2:55">
      <c r="M291" s="1006"/>
      <c r="P291" s="1186"/>
      <c r="BC291" s="1207"/>
    </row>
    <row r="292" spans="2:55">
      <c r="M292" s="1006"/>
      <c r="P292" s="1186"/>
    </row>
    <row r="293" spans="2:55">
      <c r="M293" s="1006"/>
      <c r="P293" s="1186"/>
    </row>
    <row r="294" spans="2:55">
      <c r="M294" s="1006"/>
      <c r="P294" s="1186"/>
    </row>
    <row r="295" spans="2:55">
      <c r="M295" s="1006"/>
      <c r="P295" s="1186"/>
    </row>
    <row r="296" spans="2:55">
      <c r="M296" s="1006"/>
      <c r="P296" s="1186"/>
    </row>
    <row r="297" spans="2:55">
      <c r="M297" s="1006"/>
      <c r="P297" s="1186"/>
    </row>
    <row r="298" spans="2:55">
      <c r="M298" s="1006"/>
      <c r="P298" s="1186"/>
    </row>
    <row r="299" spans="2:55">
      <c r="M299" s="1006"/>
      <c r="P299" s="1186"/>
    </row>
    <row r="300" spans="2:55">
      <c r="M300" s="1006"/>
      <c r="P300" s="1186"/>
    </row>
    <row r="301" spans="2:55">
      <c r="M301" s="1006"/>
      <c r="P301" s="1186"/>
    </row>
    <row r="302" spans="2:55">
      <c r="M302" s="1006"/>
      <c r="P302" s="1186"/>
    </row>
    <row r="303" spans="2:55">
      <c r="M303" s="1006"/>
      <c r="P303" s="1186"/>
    </row>
    <row r="304" spans="2:55">
      <c r="M304" s="1006"/>
      <c r="P304" s="1186"/>
    </row>
    <row r="305" spans="13:16">
      <c r="M305" s="1006"/>
      <c r="P305" s="1186"/>
    </row>
    <row r="306" spans="13:16">
      <c r="M306" s="1006"/>
      <c r="P306" s="1186"/>
    </row>
    <row r="307" spans="13:16">
      <c r="M307" s="1006"/>
      <c r="P307" s="1186"/>
    </row>
    <row r="308" spans="13:16">
      <c r="M308" s="1006"/>
      <c r="P308" s="1186"/>
    </row>
    <row r="309" spans="13:16">
      <c r="M309" s="1006"/>
      <c r="P309" s="1186"/>
    </row>
    <row r="310" spans="13:16">
      <c r="M310" s="1006"/>
      <c r="P310" s="1186"/>
    </row>
    <row r="311" spans="13:16">
      <c r="M311" s="1006"/>
      <c r="P311" s="1186"/>
    </row>
    <row r="312" spans="13:16">
      <c r="M312" s="1006"/>
    </row>
    <row r="313" spans="13:16">
      <c r="M313" s="1006"/>
    </row>
    <row r="314" spans="13:16">
      <c r="M314" s="1006"/>
    </row>
    <row r="315" spans="13:16">
      <c r="M315" s="1006"/>
    </row>
    <row r="316" spans="13:16">
      <c r="M316" s="1006"/>
    </row>
    <row r="317" spans="13:16">
      <c r="M317" s="1006"/>
    </row>
    <row r="318" spans="13:16">
      <c r="M318" s="1006"/>
    </row>
    <row r="319" spans="13:16">
      <c r="M319" s="1006"/>
    </row>
    <row r="320" spans="13:16">
      <c r="M320" s="1006"/>
    </row>
    <row r="321" spans="13:13">
      <c r="M321" s="1006"/>
    </row>
    <row r="322" spans="13:13">
      <c r="M322" s="1006"/>
    </row>
    <row r="323" spans="13:13">
      <c r="M323" s="1006"/>
    </row>
    <row r="324" spans="13:13">
      <c r="M324" s="1006"/>
    </row>
    <row r="325" spans="13:13">
      <c r="M325" s="1006"/>
    </row>
    <row r="326" spans="13:13">
      <c r="M326" s="1006"/>
    </row>
    <row r="327" spans="13:13">
      <c r="M327" s="1006"/>
    </row>
  </sheetData>
  <mergeCells count="4">
    <mergeCell ref="BC17:BM17"/>
    <mergeCell ref="BC2:BC3"/>
    <mergeCell ref="G11:AA11"/>
    <mergeCell ref="BC12:BD12"/>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40B00-D26F-4D67-8F5B-136D2241EAE2}">
  <dimension ref="A1:BJ517"/>
  <sheetViews>
    <sheetView zoomScale="85" zoomScaleNormal="85" workbookViewId="0">
      <pane ySplit="4" topLeftCell="A23" activePane="bottomLeft" state="frozen"/>
      <selection pane="bottomLeft" activeCell="A31" sqref="A31:XFD31"/>
    </sheetView>
  </sheetViews>
  <sheetFormatPr defaultColWidth="9.109375" defaultRowHeight="13.2"/>
  <cols>
    <col min="1" max="1" width="7.33203125" style="74" customWidth="1"/>
    <col min="2" max="2" width="47.6640625" style="5" customWidth="1"/>
    <col min="3" max="3" width="7.33203125" style="5" customWidth="1"/>
    <col min="4" max="4" width="11.6640625" style="5" customWidth="1"/>
    <col min="5" max="5" width="10.33203125" style="75" customWidth="1"/>
    <col min="6" max="6" width="17.88671875" style="75" customWidth="1"/>
    <col min="7" max="8" width="10" style="75" customWidth="1"/>
    <col min="9" max="9" width="9.5546875" style="75" customWidth="1"/>
    <col min="10" max="10" width="10" style="75" customWidth="1"/>
    <col min="11" max="11" width="12.109375" style="75" customWidth="1"/>
    <col min="12" max="12" width="10.33203125" style="75" customWidth="1"/>
    <col min="13" max="13" width="10.33203125" style="355" customWidth="1"/>
    <col min="14" max="14" width="11.33203125" style="75" bestFit="1" customWidth="1"/>
    <col min="15" max="15" width="9.6640625" style="75" customWidth="1"/>
    <col min="16" max="16" width="12.109375" style="75" customWidth="1"/>
    <col min="17" max="17" width="14.6640625" style="75" customWidth="1"/>
    <col min="18" max="22" width="9.6640625" style="75" customWidth="1"/>
    <col min="23" max="23" width="11.33203125" style="75" customWidth="1"/>
    <col min="24" max="24" width="12.6640625" style="75" customWidth="1"/>
    <col min="25" max="25" width="14.109375" style="75" customWidth="1"/>
    <col min="26" max="26" width="12.88671875" style="75" customWidth="1"/>
    <col min="27" max="27" width="1.6640625" style="75" customWidth="1"/>
    <col min="28" max="28" width="1.6640625" style="75" hidden="1" customWidth="1"/>
    <col min="29" max="30" width="9.6640625" style="75" hidden="1" customWidth="1"/>
    <col min="31" max="31" width="2.33203125" style="75" hidden="1" customWidth="1"/>
    <col min="32" max="53" width="9.6640625" style="75" hidden="1" customWidth="1"/>
    <col min="54" max="54" width="16.77734375" style="75" customWidth="1"/>
    <col min="55" max="55" width="46.44140625" style="75" customWidth="1"/>
    <col min="56" max="56" width="22.21875" style="5" customWidth="1"/>
    <col min="57" max="57" width="21.21875" style="5" customWidth="1"/>
    <col min="58" max="58" width="14.33203125" style="5" customWidth="1"/>
    <col min="59" max="59" width="11.109375" style="5" customWidth="1"/>
    <col min="60" max="61" width="9.109375" style="5"/>
    <col min="62" max="62" width="19.5546875" style="5" customWidth="1"/>
    <col min="63" max="16384" width="9.109375" style="5"/>
  </cols>
  <sheetData>
    <row r="1" spans="1:57">
      <c r="B1" s="3">
        <f>1</f>
        <v>1</v>
      </c>
      <c r="D1" s="1001"/>
      <c r="E1" s="2498"/>
      <c r="F1" s="2498"/>
      <c r="G1" s="2498"/>
      <c r="H1" s="2498"/>
      <c r="I1" s="2498"/>
      <c r="J1" s="2498"/>
      <c r="K1" s="2498"/>
      <c r="M1" s="75"/>
      <c r="N1" s="76">
        <v>1</v>
      </c>
      <c r="O1" s="76">
        <v>2</v>
      </c>
      <c r="P1" s="77">
        <v>3</v>
      </c>
      <c r="Q1" s="6">
        <v>1</v>
      </c>
      <c r="R1" s="6">
        <v>2</v>
      </c>
      <c r="S1" s="6">
        <v>3</v>
      </c>
      <c r="T1" s="6">
        <v>4</v>
      </c>
      <c r="U1" s="6">
        <v>5</v>
      </c>
      <c r="V1" s="6">
        <v>6</v>
      </c>
      <c r="W1" s="6">
        <v>7</v>
      </c>
      <c r="X1" s="6">
        <v>8</v>
      </c>
      <c r="Y1" s="6">
        <v>9</v>
      </c>
      <c r="Z1" s="6">
        <v>10</v>
      </c>
      <c r="AA1" s="6">
        <v>14</v>
      </c>
      <c r="AB1" s="6">
        <v>15</v>
      </c>
      <c r="AC1" s="6">
        <v>16</v>
      </c>
      <c r="AD1" s="6">
        <v>17</v>
      </c>
      <c r="AE1" s="6">
        <v>18</v>
      </c>
      <c r="AF1" s="6">
        <v>19</v>
      </c>
      <c r="AG1" s="6">
        <v>20</v>
      </c>
      <c r="AH1" s="6">
        <v>21</v>
      </c>
      <c r="AI1" s="6">
        <v>22</v>
      </c>
      <c r="AJ1" s="6">
        <v>23</v>
      </c>
      <c r="AK1" s="6">
        <v>24</v>
      </c>
      <c r="AL1" s="6">
        <v>25</v>
      </c>
      <c r="AM1" s="6">
        <v>26</v>
      </c>
      <c r="AN1" s="6">
        <v>27</v>
      </c>
      <c r="AO1" s="6">
        <v>28</v>
      </c>
      <c r="AP1" s="6">
        <v>29</v>
      </c>
      <c r="AQ1" s="6">
        <v>30</v>
      </c>
      <c r="AR1" s="6">
        <v>31</v>
      </c>
      <c r="AS1" s="6">
        <v>32</v>
      </c>
      <c r="AT1" s="6">
        <v>33</v>
      </c>
      <c r="AU1" s="6">
        <v>34</v>
      </c>
      <c r="AV1" s="6">
        <v>35</v>
      </c>
      <c r="AW1" s="6">
        <v>36</v>
      </c>
      <c r="AX1" s="6">
        <v>37</v>
      </c>
      <c r="AY1" s="6">
        <v>38</v>
      </c>
      <c r="AZ1" s="6">
        <v>39</v>
      </c>
      <c r="BA1" s="6">
        <v>40</v>
      </c>
    </row>
    <row r="2" spans="1:57" ht="15" customHeight="1">
      <c r="B2" s="18"/>
      <c r="C2" s="18"/>
      <c r="D2" s="18"/>
      <c r="E2" s="78" t="str">
        <f t="shared" ref="E2:K2" ca="1" si="0">IF(TODAY()&lt;E3,"Proj","")</f>
        <v/>
      </c>
      <c r="F2" s="78" t="str">
        <f t="shared" ca="1" si="0"/>
        <v/>
      </c>
      <c r="G2" s="78" t="str">
        <f t="shared" ca="1" si="0"/>
        <v/>
      </c>
      <c r="H2" s="78"/>
      <c r="I2" s="78"/>
      <c r="J2" s="78"/>
      <c r="K2" s="78" t="str">
        <f t="shared" ca="1" si="0"/>
        <v/>
      </c>
      <c r="L2" s="78" t="str">
        <f ca="1">IF(TODAY()&lt;L3,"Proj","")</f>
        <v/>
      </c>
      <c r="M2" s="78" t="str">
        <f t="shared" ref="M2:BA2" ca="1" si="1">IF(TODAY()&lt;M3,"Proj","")</f>
        <v/>
      </c>
      <c r="N2" s="78" t="str">
        <f t="shared" ca="1" si="1"/>
        <v/>
      </c>
      <c r="O2" s="78" t="str">
        <f t="shared" ca="1" si="1"/>
        <v/>
      </c>
      <c r="P2" s="79" t="str">
        <f t="shared" ca="1" si="1"/>
        <v/>
      </c>
      <c r="Q2" s="9" t="str">
        <f t="shared" ca="1" si="1"/>
        <v>Proj</v>
      </c>
      <c r="R2" s="9" t="str">
        <f t="shared" ca="1" si="1"/>
        <v>Proj</v>
      </c>
      <c r="S2" s="9" t="str">
        <f t="shared" ca="1" si="1"/>
        <v>Proj</v>
      </c>
      <c r="T2" s="9" t="str">
        <f t="shared" ca="1" si="1"/>
        <v>Proj</v>
      </c>
      <c r="U2" s="9" t="str">
        <f t="shared" ca="1" si="1"/>
        <v>Proj</v>
      </c>
      <c r="V2" s="9" t="str">
        <f t="shared" ca="1" si="1"/>
        <v>Proj</v>
      </c>
      <c r="W2" s="9" t="str">
        <f t="shared" ca="1" si="1"/>
        <v>Proj</v>
      </c>
      <c r="X2" s="9" t="str">
        <f t="shared" ca="1" si="1"/>
        <v>Proj</v>
      </c>
      <c r="Y2" s="9" t="str">
        <f t="shared" ca="1" si="1"/>
        <v>Proj</v>
      </c>
      <c r="Z2" s="9" t="str">
        <f t="shared" ca="1" si="1"/>
        <v>Proj</v>
      </c>
      <c r="AA2" s="9" t="str">
        <f t="shared" ca="1" si="1"/>
        <v>Proj</v>
      </c>
      <c r="AB2" s="9" t="str">
        <f t="shared" ca="1" si="1"/>
        <v>Proj</v>
      </c>
      <c r="AC2" s="9" t="str">
        <f t="shared" ca="1" si="1"/>
        <v>Proj</v>
      </c>
      <c r="AD2" s="9" t="str">
        <f t="shared" ca="1" si="1"/>
        <v>Proj</v>
      </c>
      <c r="AE2" s="9" t="str">
        <f t="shared" ca="1" si="1"/>
        <v>Proj</v>
      </c>
      <c r="AF2" s="9" t="str">
        <f t="shared" ca="1" si="1"/>
        <v>Proj</v>
      </c>
      <c r="AG2" s="9" t="str">
        <f t="shared" ca="1" si="1"/>
        <v>Proj</v>
      </c>
      <c r="AH2" s="9" t="str">
        <f t="shared" ca="1" si="1"/>
        <v>Proj</v>
      </c>
      <c r="AI2" s="9" t="str">
        <f t="shared" ca="1" si="1"/>
        <v>Proj</v>
      </c>
      <c r="AJ2" s="9" t="str">
        <f t="shared" ca="1" si="1"/>
        <v>Proj</v>
      </c>
      <c r="AK2" s="9" t="str">
        <f t="shared" ca="1" si="1"/>
        <v>Proj</v>
      </c>
      <c r="AL2" s="9" t="str">
        <f t="shared" ca="1" si="1"/>
        <v>Proj</v>
      </c>
      <c r="AM2" s="9" t="str">
        <f t="shared" ca="1" si="1"/>
        <v>Proj</v>
      </c>
      <c r="AN2" s="9" t="str">
        <f t="shared" ca="1" si="1"/>
        <v>Proj</v>
      </c>
      <c r="AO2" s="9" t="str">
        <f t="shared" ca="1" si="1"/>
        <v>Proj</v>
      </c>
      <c r="AP2" s="9" t="str">
        <f t="shared" ca="1" si="1"/>
        <v>Proj</v>
      </c>
      <c r="AQ2" s="9" t="str">
        <f t="shared" ca="1" si="1"/>
        <v>Proj</v>
      </c>
      <c r="AR2" s="9" t="str">
        <f t="shared" ca="1" si="1"/>
        <v>Proj</v>
      </c>
      <c r="AS2" s="9" t="str">
        <f t="shared" ca="1" si="1"/>
        <v>Proj</v>
      </c>
      <c r="AT2" s="9" t="str">
        <f t="shared" ca="1" si="1"/>
        <v>Proj</v>
      </c>
      <c r="AU2" s="9" t="str">
        <f t="shared" ca="1" si="1"/>
        <v>Proj</v>
      </c>
      <c r="AV2" s="9" t="str">
        <f t="shared" ca="1" si="1"/>
        <v>Proj</v>
      </c>
      <c r="AW2" s="9" t="str">
        <f t="shared" ca="1" si="1"/>
        <v>Proj</v>
      </c>
      <c r="AX2" s="9" t="str">
        <f t="shared" ca="1" si="1"/>
        <v>Proj</v>
      </c>
      <c r="AY2" s="9" t="str">
        <f t="shared" ca="1" si="1"/>
        <v>Proj</v>
      </c>
      <c r="AZ2" s="9" t="str">
        <f t="shared" ca="1" si="1"/>
        <v>Proj</v>
      </c>
      <c r="BA2" s="9" t="str">
        <f t="shared" ca="1" si="1"/>
        <v>Proj</v>
      </c>
      <c r="BB2" s="78"/>
      <c r="BC2" s="80"/>
    </row>
    <row r="3" spans="1:57" ht="15" customHeight="1" thickBot="1">
      <c r="B3" s="81" t="s">
        <v>313</v>
      </c>
      <c r="C3" s="81"/>
      <c r="D3" s="82">
        <v>41274</v>
      </c>
      <c r="E3" s="14">
        <f t="shared" ref="E3:BA3" si="2">DATE(YEAR(D3),MONTH(D3)+13,0)</f>
        <v>41639</v>
      </c>
      <c r="F3" s="14">
        <f t="shared" si="2"/>
        <v>42004</v>
      </c>
      <c r="G3" s="14">
        <f t="shared" si="2"/>
        <v>42369</v>
      </c>
      <c r="H3" s="14">
        <f t="shared" si="2"/>
        <v>42735</v>
      </c>
      <c r="I3" s="14">
        <f t="shared" si="2"/>
        <v>43100</v>
      </c>
      <c r="J3" s="14">
        <f t="shared" si="2"/>
        <v>43465</v>
      </c>
      <c r="K3" s="14">
        <f t="shared" si="2"/>
        <v>43830</v>
      </c>
      <c r="L3" s="14">
        <f t="shared" si="2"/>
        <v>44196</v>
      </c>
      <c r="M3" s="14">
        <f t="shared" si="2"/>
        <v>44561</v>
      </c>
      <c r="N3" s="14">
        <f t="shared" si="2"/>
        <v>44926</v>
      </c>
      <c r="O3" s="14">
        <f t="shared" si="2"/>
        <v>45291</v>
      </c>
      <c r="P3" s="15">
        <f t="shared" si="2"/>
        <v>45657</v>
      </c>
      <c r="Q3" s="16">
        <f t="shared" si="2"/>
        <v>46022</v>
      </c>
      <c r="R3" s="16">
        <f t="shared" si="2"/>
        <v>46387</v>
      </c>
      <c r="S3" s="16">
        <f t="shared" si="2"/>
        <v>46752</v>
      </c>
      <c r="T3" s="16">
        <f t="shared" si="2"/>
        <v>47118</v>
      </c>
      <c r="U3" s="16">
        <f t="shared" si="2"/>
        <v>47483</v>
      </c>
      <c r="V3" s="16">
        <f t="shared" si="2"/>
        <v>47848</v>
      </c>
      <c r="W3" s="16">
        <f t="shared" si="2"/>
        <v>48213</v>
      </c>
      <c r="X3" s="16">
        <f t="shared" si="2"/>
        <v>48579</v>
      </c>
      <c r="Y3" s="16">
        <f t="shared" si="2"/>
        <v>48944</v>
      </c>
      <c r="Z3" s="16">
        <f t="shared" si="2"/>
        <v>49309</v>
      </c>
      <c r="AA3" s="16">
        <f t="shared" si="2"/>
        <v>49674</v>
      </c>
      <c r="AB3" s="16">
        <f t="shared" si="2"/>
        <v>50040</v>
      </c>
      <c r="AC3" s="16">
        <f t="shared" si="2"/>
        <v>50405</v>
      </c>
      <c r="AD3" s="16">
        <f t="shared" si="2"/>
        <v>50770</v>
      </c>
      <c r="AE3" s="16">
        <f t="shared" si="2"/>
        <v>51135</v>
      </c>
      <c r="AF3" s="16">
        <f t="shared" si="2"/>
        <v>51501</v>
      </c>
      <c r="AG3" s="16">
        <f t="shared" si="2"/>
        <v>51866</v>
      </c>
      <c r="AH3" s="16">
        <f t="shared" si="2"/>
        <v>52231</v>
      </c>
      <c r="AI3" s="16">
        <f t="shared" si="2"/>
        <v>52596</v>
      </c>
      <c r="AJ3" s="16">
        <f t="shared" si="2"/>
        <v>52962</v>
      </c>
      <c r="AK3" s="16">
        <f t="shared" si="2"/>
        <v>53327</v>
      </c>
      <c r="AL3" s="16">
        <f t="shared" si="2"/>
        <v>53692</v>
      </c>
      <c r="AM3" s="16">
        <f t="shared" si="2"/>
        <v>54057</v>
      </c>
      <c r="AN3" s="16">
        <f t="shared" si="2"/>
        <v>54423</v>
      </c>
      <c r="AO3" s="16">
        <f t="shared" si="2"/>
        <v>54788</v>
      </c>
      <c r="AP3" s="16">
        <f t="shared" si="2"/>
        <v>55153</v>
      </c>
      <c r="AQ3" s="16">
        <f t="shared" si="2"/>
        <v>55518</v>
      </c>
      <c r="AR3" s="16">
        <f t="shared" si="2"/>
        <v>55884</v>
      </c>
      <c r="AS3" s="16">
        <f t="shared" si="2"/>
        <v>56249</v>
      </c>
      <c r="AT3" s="16">
        <f t="shared" si="2"/>
        <v>56614</v>
      </c>
      <c r="AU3" s="16">
        <f t="shared" si="2"/>
        <v>56979</v>
      </c>
      <c r="AV3" s="16">
        <f t="shared" si="2"/>
        <v>57345</v>
      </c>
      <c r="AW3" s="16">
        <f t="shared" si="2"/>
        <v>57710</v>
      </c>
      <c r="AX3" s="16">
        <f t="shared" si="2"/>
        <v>58075</v>
      </c>
      <c r="AY3" s="16">
        <f t="shared" si="2"/>
        <v>58440</v>
      </c>
      <c r="AZ3" s="16">
        <f t="shared" si="2"/>
        <v>58806</v>
      </c>
      <c r="BA3" s="16">
        <f t="shared" si="2"/>
        <v>59171</v>
      </c>
      <c r="BB3" s="14"/>
      <c r="BC3" s="83" t="s">
        <v>314</v>
      </c>
    </row>
    <row r="4" spans="1:57" ht="15" customHeight="1" thickTop="1">
      <c r="D4" s="84"/>
      <c r="E4" s="85"/>
      <c r="F4" s="85"/>
      <c r="G4" s="85"/>
      <c r="H4" s="85"/>
      <c r="I4" s="85"/>
      <c r="J4" s="85"/>
      <c r="K4" s="85"/>
      <c r="L4" s="85"/>
      <c r="M4" s="85"/>
      <c r="N4" s="85"/>
      <c r="O4" s="85"/>
      <c r="P4" s="2597" t="s">
        <v>289</v>
      </c>
      <c r="Q4" s="2594">
        <f ca="1">Q94</f>
        <v>2210.9020273718311</v>
      </c>
      <c r="R4" s="2594">
        <f t="shared" ref="R4:Z4" ca="1" si="3">R94</f>
        <v>2502.7951607172677</v>
      </c>
      <c r="S4" s="2594">
        <f t="shared" ca="1" si="3"/>
        <v>2929.8525050377962</v>
      </c>
      <c r="T4" s="2594">
        <f t="shared" ca="1" si="3"/>
        <v>4577.6437785326798</v>
      </c>
      <c r="U4" s="2594">
        <f t="shared" ca="1" si="3"/>
        <v>3913.8244386097244</v>
      </c>
      <c r="V4" s="2594">
        <f t="shared" ca="1" si="3"/>
        <v>3417.0536954042805</v>
      </c>
      <c r="W4" s="2594">
        <f t="shared" ca="1" si="3"/>
        <v>3420.2135273071681</v>
      </c>
      <c r="X4" s="2594">
        <f t="shared" ca="1" si="3"/>
        <v>3799.2048491106098</v>
      </c>
      <c r="Y4" s="2594">
        <f t="shared" ca="1" si="3"/>
        <v>4378.444015844525</v>
      </c>
      <c r="Z4" s="2594">
        <f t="shared" ca="1" si="3"/>
        <v>4342.133221721695</v>
      </c>
      <c r="AA4" s="85"/>
      <c r="AB4" s="85"/>
      <c r="AC4" s="85"/>
      <c r="AD4" s="85"/>
      <c r="AE4" s="85"/>
      <c r="AF4" s="85"/>
      <c r="AG4" s="85"/>
      <c r="AH4" s="85"/>
      <c r="AI4" s="85"/>
      <c r="AJ4" s="85"/>
      <c r="AK4" s="85"/>
      <c r="AL4" s="85"/>
      <c r="AM4" s="85"/>
      <c r="AN4" s="85"/>
      <c r="AO4" s="85"/>
      <c r="AP4" s="85"/>
      <c r="AQ4" s="85"/>
      <c r="AR4" s="85"/>
      <c r="AS4" s="85"/>
      <c r="AT4" s="85"/>
      <c r="AU4" s="85"/>
      <c r="AV4" s="85"/>
      <c r="AW4" s="85"/>
      <c r="AX4" s="85"/>
      <c r="AY4" s="85"/>
      <c r="AZ4" s="85"/>
      <c r="BA4" s="85"/>
      <c r="BB4" s="85"/>
      <c r="BD4" s="84"/>
      <c r="BE4" s="84"/>
    </row>
    <row r="5" spans="1:57" s="95" customFormat="1" ht="15" customHeight="1">
      <c r="A5" s="86">
        <v>1</v>
      </c>
      <c r="B5" s="87" t="s">
        <v>315</v>
      </c>
      <c r="C5" s="87"/>
      <c r="D5" s="88"/>
      <c r="E5" s="89"/>
      <c r="F5" s="89"/>
      <c r="G5" s="89"/>
      <c r="H5" s="89"/>
      <c r="I5" s="90"/>
      <c r="J5" s="90"/>
      <c r="K5" s="90">
        <f>'Consol. Rev.'!K8</f>
        <v>7042.9669301169997</v>
      </c>
      <c r="L5" s="90">
        <f>'Consol. Rev.'!L8</f>
        <v>7561.275100418</v>
      </c>
      <c r="M5" s="90">
        <f>'Consol. Rev.'!M8</f>
        <v>9869.7629046370002</v>
      </c>
      <c r="N5" s="90">
        <f>'Consol. Rev.'!N8</f>
        <v>15924.526874399</v>
      </c>
      <c r="O5" s="90">
        <f>'Consol. Rev.'!O8</f>
        <v>12570.542089828001</v>
      </c>
      <c r="P5" s="90">
        <f>'Consol. Rev.'!P8-'Doanh thu KVF'!P9</f>
        <v>13455.585149639999</v>
      </c>
      <c r="Q5" s="142">
        <f>'Consol. Rev.'!Q8</f>
        <v>17736.964394084251</v>
      </c>
      <c r="R5" s="142">
        <f>'Consol. Rev.'!R8</f>
        <v>18589.767949026176</v>
      </c>
      <c r="S5" s="142">
        <f>'Consol. Rev.'!S8</f>
        <v>19115.742512480145</v>
      </c>
      <c r="T5" s="142">
        <f>'Consol. Rev.'!T8</f>
        <v>22528.626786304212</v>
      </c>
      <c r="U5" s="142">
        <f>'Consol. Rev.'!U8</f>
        <v>21832.704154820331</v>
      </c>
      <c r="V5" s="142">
        <f>'Consol. Rev.'!V8</f>
        <v>20430.772302231147</v>
      </c>
      <c r="W5" s="142">
        <f>'Consol. Rev.'!W8</f>
        <v>20957.485887710034</v>
      </c>
      <c r="X5" s="142">
        <f>'Consol. Rev.'!X8</f>
        <v>21416.211179616723</v>
      </c>
      <c r="Y5" s="142">
        <f>'Consol. Rev.'!Y8</f>
        <v>22526.684294601619</v>
      </c>
      <c r="Z5" s="142">
        <f>'Consol. Rev.'!Z8</f>
        <v>22829.839724003701</v>
      </c>
      <c r="AA5" s="91"/>
      <c r="AB5" s="92"/>
      <c r="AC5" s="92"/>
      <c r="AD5" s="92"/>
      <c r="AE5" s="92"/>
      <c r="AF5" s="92"/>
      <c r="AG5" s="92"/>
      <c r="AH5" s="92"/>
      <c r="AI5" s="92"/>
      <c r="AJ5" s="92"/>
      <c r="AK5" s="92"/>
      <c r="AL5" s="92"/>
      <c r="AM5" s="92"/>
      <c r="AN5" s="92"/>
      <c r="AO5" s="92"/>
      <c r="AP5" s="92"/>
      <c r="AQ5" s="92"/>
      <c r="AR5" s="92"/>
      <c r="AS5" s="92"/>
      <c r="AT5" s="92"/>
      <c r="AU5" s="92"/>
      <c r="AV5" s="92"/>
      <c r="AW5" s="92"/>
      <c r="AX5" s="92"/>
      <c r="AY5" s="92"/>
      <c r="AZ5" s="92"/>
      <c r="BA5" s="92"/>
      <c r="BB5" s="93"/>
      <c r="BC5" s="94"/>
    </row>
    <row r="6" spans="1:57" s="102" customFormat="1" ht="15" customHeight="1">
      <c r="A6" s="96"/>
      <c r="B6" s="97" t="s">
        <v>316</v>
      </c>
      <c r="C6" s="97"/>
      <c r="D6" s="98"/>
      <c r="E6" s="99"/>
      <c r="F6" s="99"/>
      <c r="G6" s="99"/>
      <c r="H6" s="99"/>
      <c r="I6" s="99"/>
      <c r="J6" s="99"/>
      <c r="K6" s="99"/>
      <c r="L6" s="99">
        <f>L5/K5-1</f>
        <v>7.3592304982240009E-2</v>
      </c>
      <c r="M6" s="99">
        <f t="shared" ref="M6:Z6" si="4">M5/L5-1</f>
        <v>0.30530403583535581</v>
      </c>
      <c r="N6" s="99">
        <f t="shared" si="4"/>
        <v>0.61346599997020768</v>
      </c>
      <c r="O6" s="99">
        <f t="shared" si="4"/>
        <v>-0.21061754682099965</v>
      </c>
      <c r="P6" s="99">
        <f t="shared" si="4"/>
        <v>7.0406117213367425E-2</v>
      </c>
      <c r="Q6" s="100">
        <f t="shared" si="4"/>
        <v>0.3181860318099059</v>
      </c>
      <c r="R6" s="100">
        <f t="shared" si="4"/>
        <v>4.8080581095734543E-2</v>
      </c>
      <c r="S6" s="100">
        <f t="shared" si="4"/>
        <v>2.8293767027980588E-2</v>
      </c>
      <c r="T6" s="100">
        <f t="shared" si="4"/>
        <v>0.17853788685403615</v>
      </c>
      <c r="U6" s="100">
        <f t="shared" si="4"/>
        <v>-3.0890592581832466E-2</v>
      </c>
      <c r="V6" s="100">
        <f t="shared" si="4"/>
        <v>-6.4212469634901237E-2</v>
      </c>
      <c r="W6" s="100">
        <f t="shared" si="4"/>
        <v>2.5780405052106881E-2</v>
      </c>
      <c r="X6" s="100">
        <f t="shared" si="4"/>
        <v>2.1888374128678167E-2</v>
      </c>
      <c r="Y6" s="100">
        <f t="shared" si="4"/>
        <v>5.185198752811182E-2</v>
      </c>
      <c r="Z6" s="100">
        <f t="shared" si="4"/>
        <v>1.3457614331405798E-2</v>
      </c>
      <c r="AA6" s="100"/>
      <c r="AB6" s="100"/>
      <c r="AC6" s="100"/>
      <c r="AD6" s="100"/>
      <c r="AE6" s="100"/>
      <c r="AF6" s="100"/>
      <c r="AG6" s="100"/>
      <c r="AH6" s="100"/>
      <c r="AI6" s="100"/>
      <c r="AJ6" s="100"/>
      <c r="AK6" s="100"/>
      <c r="AL6" s="100"/>
      <c r="AM6" s="100"/>
      <c r="AN6" s="100"/>
      <c r="AO6" s="100"/>
      <c r="AP6" s="100"/>
      <c r="AQ6" s="100"/>
      <c r="AR6" s="100"/>
      <c r="AS6" s="100"/>
      <c r="AT6" s="100"/>
      <c r="AU6" s="100"/>
      <c r="AV6" s="100"/>
      <c r="AW6" s="100"/>
      <c r="AX6" s="100"/>
      <c r="AY6" s="100"/>
      <c r="AZ6" s="100"/>
      <c r="BA6" s="100"/>
      <c r="BB6" s="98"/>
      <c r="BC6" s="101"/>
    </row>
    <row r="7" spans="1:57" s="88" customFormat="1" ht="15" customHeight="1">
      <c r="A7" s="103"/>
      <c r="B7" s="104" t="s">
        <v>317</v>
      </c>
      <c r="C7" s="104"/>
      <c r="D7" s="105"/>
      <c r="E7" s="106"/>
      <c r="F7" s="106"/>
      <c r="G7" s="106"/>
      <c r="H7" s="106"/>
      <c r="I7" s="107"/>
      <c r="J7" s="107"/>
      <c r="K7" s="107">
        <f>'Consol. Rev.'!K14</f>
        <v>7042.9669301169997</v>
      </c>
      <c r="L7" s="107">
        <f>'Consol. Rev.'!L14</f>
        <v>7561.275100418</v>
      </c>
      <c r="M7" s="107">
        <f>'Consol. Rev.'!M14</f>
        <v>9869.7629046370002</v>
      </c>
      <c r="N7" s="107">
        <f>'Consol. Rev.'!N14</f>
        <v>15924.526874399</v>
      </c>
      <c r="O7" s="107">
        <f>'Consol. Rev.'!O14</f>
        <v>12570.542089828001</v>
      </c>
      <c r="P7" s="107">
        <f>'Consol. Rev.'!P14-'Doanh thu KVF'!P9</f>
        <v>13455.585149639999</v>
      </c>
      <c r="Q7" s="108">
        <f>'Consol. Rev.'!Q14</f>
        <v>17736.964394084247</v>
      </c>
      <c r="R7" s="108">
        <f>'Consol. Rev.'!R14</f>
        <v>18589.767949026176</v>
      </c>
      <c r="S7" s="108">
        <f>'Consol. Rev.'!S14</f>
        <v>19115.742512480145</v>
      </c>
      <c r="T7" s="108">
        <f>'Consol. Rev.'!T14</f>
        <v>22528.626786304212</v>
      </c>
      <c r="U7" s="108">
        <f>'Consol. Rev.'!U14</f>
        <v>21832.704154820331</v>
      </c>
      <c r="V7" s="108">
        <f>'Consol. Rev.'!V14</f>
        <v>20430.772302231144</v>
      </c>
      <c r="W7" s="108">
        <f>'Consol. Rev.'!W14</f>
        <v>20957.485887710031</v>
      </c>
      <c r="X7" s="108">
        <f>'Consol. Rev.'!X14</f>
        <v>21416.211179616723</v>
      </c>
      <c r="Y7" s="108">
        <f>'Consol. Rev.'!Y14</f>
        <v>22526.684294601619</v>
      </c>
      <c r="Z7" s="108">
        <f>'Consol. Rev.'!Z14</f>
        <v>22829.839724003705</v>
      </c>
      <c r="AA7" s="108"/>
      <c r="AB7" s="109"/>
      <c r="AC7" s="109"/>
      <c r="AD7" s="109"/>
      <c r="AE7" s="109"/>
      <c r="AF7" s="109"/>
      <c r="AG7" s="109"/>
      <c r="AH7" s="109"/>
      <c r="AI7" s="109"/>
      <c r="AJ7" s="109"/>
      <c r="AK7" s="109"/>
      <c r="AL7" s="109"/>
      <c r="AM7" s="109"/>
      <c r="AN7" s="109"/>
      <c r="AO7" s="109"/>
      <c r="AP7" s="109"/>
      <c r="AQ7" s="109"/>
      <c r="AR7" s="109"/>
      <c r="AS7" s="109"/>
      <c r="AT7" s="109"/>
      <c r="AU7" s="109"/>
      <c r="AV7" s="109"/>
      <c r="AW7" s="109"/>
      <c r="AX7" s="109"/>
      <c r="AY7" s="109"/>
      <c r="AZ7" s="109"/>
      <c r="BA7" s="109"/>
      <c r="BB7" s="110"/>
      <c r="BC7" s="111"/>
    </row>
    <row r="8" spans="1:57" ht="15" customHeight="1">
      <c r="B8" s="112"/>
      <c r="C8" s="112"/>
      <c r="D8" s="113"/>
      <c r="E8" s="114"/>
      <c r="F8" s="114"/>
      <c r="G8" s="114"/>
      <c r="H8" s="114"/>
      <c r="I8" s="114"/>
      <c r="J8" s="114"/>
      <c r="K8" s="114"/>
      <c r="L8" s="114"/>
      <c r="M8" s="114"/>
      <c r="N8" s="114"/>
      <c r="O8" s="114"/>
      <c r="P8" s="115"/>
      <c r="Q8" s="114"/>
      <c r="R8" s="114"/>
      <c r="S8" s="114"/>
      <c r="T8" s="114"/>
      <c r="U8" s="114"/>
      <c r="V8" s="114"/>
      <c r="W8" s="114"/>
      <c r="X8" s="114"/>
      <c r="Y8" s="114"/>
      <c r="Z8" s="114"/>
      <c r="AA8" s="114"/>
      <c r="AB8" s="114"/>
      <c r="AC8" s="114"/>
      <c r="AD8" s="114"/>
      <c r="AE8" s="114"/>
      <c r="AF8" s="114"/>
      <c r="AG8" s="114"/>
      <c r="AH8" s="114"/>
      <c r="AI8" s="114"/>
      <c r="AJ8" s="114"/>
      <c r="AK8" s="114"/>
      <c r="AL8" s="114"/>
      <c r="AM8" s="114"/>
      <c r="AN8" s="114"/>
      <c r="AO8" s="114"/>
      <c r="AP8" s="114"/>
      <c r="AQ8" s="114"/>
      <c r="AR8" s="114"/>
      <c r="AS8" s="114"/>
      <c r="AT8" s="114"/>
      <c r="AU8" s="114"/>
      <c r="AV8" s="114"/>
      <c r="AW8" s="114"/>
      <c r="AX8" s="114"/>
      <c r="AY8" s="114"/>
      <c r="AZ8" s="114"/>
      <c r="BA8" s="114"/>
      <c r="BB8" s="116"/>
      <c r="BC8" s="117"/>
      <c r="BD8" s="84"/>
      <c r="BE8" s="84"/>
    </row>
    <row r="9" spans="1:57" s="95" customFormat="1" ht="15" customHeight="1">
      <c r="A9" s="86">
        <v>2</v>
      </c>
      <c r="B9" s="87" t="s">
        <v>318</v>
      </c>
      <c r="C9" s="87"/>
      <c r="E9" s="89"/>
      <c r="F9" s="89"/>
      <c r="G9" s="89"/>
      <c r="H9" s="89"/>
      <c r="I9" s="90"/>
      <c r="J9" s="90"/>
      <c r="K9" s="90">
        <f>'Consol. Rev.'!K29</f>
        <v>6083.7747332669996</v>
      </c>
      <c r="L9" s="90">
        <f>'Consol. Rev.'!L29</f>
        <v>6244.4273005289997</v>
      </c>
      <c r="M9" s="90">
        <f>'Consol. Rev.'!M29</f>
        <v>7088.8259803250003</v>
      </c>
      <c r="N9" s="90">
        <f>'Consol. Rev.'!N29</f>
        <v>10221.097432230999</v>
      </c>
      <c r="O9" s="90">
        <f>'Consol. Rev.'!O29</f>
        <v>10538.742407968</v>
      </c>
      <c r="P9" s="90">
        <f>'Consol. Rev.'!P29-'Doanh thu KVF'!P39</f>
        <v>10942.100894030998</v>
      </c>
      <c r="Q9" s="142">
        <f>'Consol. Rev.'!Q29</f>
        <v>13918.243617704722</v>
      </c>
      <c r="R9" s="142">
        <f>'Consol. Rev.'!R29</f>
        <v>14383.611091165716</v>
      </c>
      <c r="S9" s="142">
        <f>'Consol. Rev.'!S29</f>
        <v>14457.705791708804</v>
      </c>
      <c r="T9" s="142">
        <f>'Consol. Rev.'!T29</f>
        <v>15696.22576356595</v>
      </c>
      <c r="U9" s="142">
        <f>'Consol. Rev.'!U29</f>
        <v>15887.412317123406</v>
      </c>
      <c r="V9" s="142">
        <f>'Consol. Rev.'!V29</f>
        <v>15334.882212559627</v>
      </c>
      <c r="W9" s="142">
        <f>'Consol. Rev.'!W29</f>
        <v>15944.619188827763</v>
      </c>
      <c r="X9" s="142">
        <f>'Consol. Rev.'!X29</f>
        <v>16006.513359806648</v>
      </c>
      <c r="Y9" s="142">
        <f>'Consol. Rev.'!Y29</f>
        <v>16419.679663426457</v>
      </c>
      <c r="Z9" s="142">
        <f>'Consol. Rev.'!Z29</f>
        <v>16800.954631290275</v>
      </c>
      <c r="AA9" s="91"/>
      <c r="AB9" s="92"/>
      <c r="AC9" s="92"/>
      <c r="AD9" s="92"/>
      <c r="AE9" s="92"/>
      <c r="AF9" s="92"/>
      <c r="AG9" s="92"/>
      <c r="AH9" s="92"/>
      <c r="AI9" s="92"/>
      <c r="AJ9" s="92"/>
      <c r="AK9" s="92"/>
      <c r="AL9" s="92"/>
      <c r="AM9" s="92"/>
      <c r="AN9" s="92"/>
      <c r="AO9" s="92"/>
      <c r="AP9" s="92"/>
      <c r="AQ9" s="92"/>
      <c r="AR9" s="92"/>
      <c r="AS9" s="92"/>
      <c r="AT9" s="92"/>
      <c r="AU9" s="92"/>
      <c r="AV9" s="92"/>
      <c r="AW9" s="92"/>
      <c r="AX9" s="92"/>
      <c r="AY9" s="92"/>
      <c r="AZ9" s="92"/>
      <c r="BA9" s="92"/>
      <c r="BB9" s="2734" t="s">
        <v>1503</v>
      </c>
      <c r="BC9" s="2735"/>
    </row>
    <row r="10" spans="1:57" ht="15" customHeight="1">
      <c r="B10" s="118" t="s">
        <v>319</v>
      </c>
      <c r="C10" s="118"/>
      <c r="D10" s="119"/>
      <c r="E10" s="119"/>
      <c r="F10" s="119"/>
      <c r="G10" s="119"/>
      <c r="H10" s="119"/>
      <c r="I10" s="119"/>
      <c r="J10" s="119"/>
      <c r="K10" s="119">
        <f>K9/K5</f>
        <v>0.86380850480096383</v>
      </c>
      <c r="L10" s="119">
        <f t="shared" ref="L10:Z10" si="5">L9/L5</f>
        <v>0.82584315708653389</v>
      </c>
      <c r="M10" s="119">
        <f t="shared" si="5"/>
        <v>0.71823670424692132</v>
      </c>
      <c r="N10" s="119">
        <f t="shared" si="5"/>
        <v>0.64184622330368291</v>
      </c>
      <c r="O10" s="119">
        <f t="shared" si="5"/>
        <v>0.83836817319882173</v>
      </c>
      <c r="P10" s="119">
        <f t="shared" si="5"/>
        <v>0.81320141579452243</v>
      </c>
      <c r="Q10" s="121">
        <f t="shared" si="5"/>
        <v>0.78470268691224454</v>
      </c>
      <c r="R10" s="121">
        <f t="shared" si="5"/>
        <v>0.77373806551034441</v>
      </c>
      <c r="S10" s="121">
        <f t="shared" si="5"/>
        <v>0.75632457291521704</v>
      </c>
      <c r="T10" s="121">
        <f t="shared" si="5"/>
        <v>0.69672359138676521</v>
      </c>
      <c r="U10" s="121">
        <f t="shared" si="5"/>
        <v>0.72768870976597311</v>
      </c>
      <c r="V10" s="121">
        <f t="shared" si="5"/>
        <v>0.75057770630065601</v>
      </c>
      <c r="W10" s="121">
        <f t="shared" si="5"/>
        <v>0.76080782180929751</v>
      </c>
      <c r="X10" s="121">
        <f t="shared" si="5"/>
        <v>0.74740173346073202</v>
      </c>
      <c r="Y10" s="121">
        <f t="shared" si="5"/>
        <v>0.72889908912876866</v>
      </c>
      <c r="Z10" s="121">
        <f t="shared" si="5"/>
        <v>0.7359208314382274</v>
      </c>
      <c r="AA10" s="120"/>
      <c r="AB10" s="121"/>
      <c r="AC10" s="121"/>
      <c r="AD10" s="121"/>
      <c r="AE10" s="121"/>
      <c r="AF10" s="121"/>
      <c r="AG10" s="121"/>
      <c r="AH10" s="121"/>
      <c r="AI10" s="121"/>
      <c r="AJ10" s="121"/>
      <c r="AK10" s="121"/>
      <c r="AL10" s="121"/>
      <c r="AM10" s="121"/>
      <c r="AN10" s="121"/>
      <c r="AO10" s="121"/>
      <c r="AP10" s="121"/>
      <c r="AQ10" s="121"/>
      <c r="AR10" s="121"/>
      <c r="AS10" s="121"/>
      <c r="AT10" s="121"/>
      <c r="AU10" s="121"/>
      <c r="AV10" s="121"/>
      <c r="AW10" s="121"/>
      <c r="AX10" s="121"/>
      <c r="AY10" s="121"/>
      <c r="AZ10" s="121"/>
      <c r="BA10" s="121"/>
      <c r="BB10" s="2736"/>
      <c r="BC10" s="2736"/>
      <c r="BD10" s="84"/>
      <c r="BE10" s="84"/>
    </row>
    <row r="11" spans="1:57" s="88" customFormat="1" ht="15" customHeight="1">
      <c r="A11" s="103"/>
      <c r="B11" s="104" t="s">
        <v>320</v>
      </c>
      <c r="C11" s="104"/>
      <c r="D11" s="110"/>
      <c r="E11" s="106"/>
      <c r="F11" s="106"/>
      <c r="G11" s="106"/>
      <c r="H11" s="106"/>
      <c r="I11" s="107"/>
      <c r="J11" s="107"/>
      <c r="K11" s="107">
        <f>'Consol. Rev.'!K35</f>
        <v>6083.7747332669996</v>
      </c>
      <c r="L11" s="107">
        <f>'Consol. Rev.'!L35</f>
        <v>6244.4273005289997</v>
      </c>
      <c r="M11" s="107">
        <f>'Consol. Rev.'!M35</f>
        <v>7088.8259803250003</v>
      </c>
      <c r="N11" s="107">
        <f>'Consol. Rev.'!N35</f>
        <v>10221.097432230999</v>
      </c>
      <c r="O11" s="107">
        <f>'Consol. Rev.'!O35</f>
        <v>10538.742407968</v>
      </c>
      <c r="P11" s="107">
        <f>'Consol. Rev.'!P35-'Doanh thu KVF'!P39</f>
        <v>10942.100894030998</v>
      </c>
      <c r="Q11" s="108">
        <f>'Consol. Rev.'!Q35</f>
        <v>13918.243617704722</v>
      </c>
      <c r="R11" s="108">
        <f>'Consol. Rev.'!R35</f>
        <v>14383.611091165716</v>
      </c>
      <c r="S11" s="108">
        <f>'Consol. Rev.'!S35</f>
        <v>14457.705791708804</v>
      </c>
      <c r="T11" s="108">
        <f>'Consol. Rev.'!T35</f>
        <v>15696.22576356595</v>
      </c>
      <c r="U11" s="108">
        <f>'Consol. Rev.'!U35</f>
        <v>15887.412317123406</v>
      </c>
      <c r="V11" s="108">
        <f>'Consol. Rev.'!V35</f>
        <v>15334.882212559625</v>
      </c>
      <c r="W11" s="108">
        <f>'Consol. Rev.'!W35</f>
        <v>15944.619188827761</v>
      </c>
      <c r="X11" s="108">
        <f>'Consol. Rev.'!X35</f>
        <v>16006.513359806648</v>
      </c>
      <c r="Y11" s="108">
        <f>'Consol. Rev.'!Y35</f>
        <v>16419.679663426454</v>
      </c>
      <c r="Z11" s="108">
        <f>'Consol. Rev.'!Z35</f>
        <v>16800.954631290278</v>
      </c>
      <c r="AA11" s="108"/>
      <c r="AB11" s="109"/>
      <c r="AC11" s="109"/>
      <c r="AD11" s="109"/>
      <c r="AE11" s="109"/>
      <c r="AF11" s="109"/>
      <c r="AG11" s="109"/>
      <c r="AH11" s="109"/>
      <c r="AI11" s="109"/>
      <c r="AJ11" s="109"/>
      <c r="AK11" s="109"/>
      <c r="AL11" s="109"/>
      <c r="AM11" s="109"/>
      <c r="AN11" s="109"/>
      <c r="AO11" s="109"/>
      <c r="AP11" s="109"/>
      <c r="AQ11" s="109"/>
      <c r="AR11" s="109"/>
      <c r="AS11" s="109"/>
      <c r="AT11" s="109"/>
      <c r="AU11" s="109"/>
      <c r="AV11" s="109"/>
      <c r="AW11" s="109"/>
      <c r="AX11" s="109"/>
      <c r="AY11" s="109"/>
      <c r="AZ11" s="109"/>
      <c r="BA11" s="109"/>
      <c r="BB11" s="110"/>
      <c r="BC11" s="111"/>
    </row>
    <row r="12" spans="1:57" s="88" customFormat="1" ht="15" customHeight="1">
      <c r="A12" s="103"/>
      <c r="B12" s="122"/>
      <c r="C12" s="122"/>
      <c r="E12" s="123"/>
      <c r="F12" s="123"/>
      <c r="G12" s="123"/>
      <c r="H12" s="123"/>
      <c r="I12" s="123"/>
      <c r="J12" s="123"/>
      <c r="K12" s="123"/>
      <c r="L12" s="123"/>
      <c r="M12" s="123"/>
      <c r="N12" s="124"/>
      <c r="O12" s="124"/>
      <c r="P12" s="125"/>
      <c r="Q12" s="124"/>
      <c r="R12" s="124"/>
      <c r="S12" s="124"/>
      <c r="T12" s="124"/>
      <c r="U12" s="124"/>
      <c r="V12" s="124"/>
      <c r="W12" s="124"/>
      <c r="X12" s="124"/>
      <c r="Y12" s="124"/>
      <c r="Z12" s="124"/>
      <c r="AA12" s="124"/>
      <c r="AB12" s="124"/>
      <c r="AC12" s="124"/>
      <c r="AD12" s="124"/>
      <c r="AE12" s="124"/>
      <c r="AF12" s="124"/>
      <c r="AG12" s="124"/>
      <c r="AH12" s="124"/>
      <c r="AI12" s="124"/>
      <c r="AJ12" s="124"/>
      <c r="AK12" s="124"/>
      <c r="AL12" s="124"/>
      <c r="AM12" s="124"/>
      <c r="AN12" s="124"/>
      <c r="AO12" s="124"/>
      <c r="AP12" s="124"/>
      <c r="AQ12" s="124"/>
      <c r="AR12" s="124"/>
      <c r="AS12" s="124"/>
      <c r="AT12" s="124"/>
      <c r="AU12" s="124"/>
      <c r="AV12" s="124"/>
      <c r="AW12" s="124"/>
      <c r="AX12" s="124"/>
      <c r="AY12" s="124"/>
      <c r="AZ12" s="124"/>
      <c r="BA12" s="124"/>
      <c r="BB12" s="126"/>
      <c r="BC12" s="94"/>
    </row>
    <row r="13" spans="1:57" s="95" customFormat="1" ht="15" customHeight="1">
      <c r="A13" s="86"/>
      <c r="B13" s="127" t="s">
        <v>321</v>
      </c>
      <c r="C13" s="127"/>
      <c r="E13" s="128"/>
      <c r="F13" s="128"/>
      <c r="G13" s="128"/>
      <c r="H13" s="128"/>
      <c r="I13" s="129"/>
      <c r="J13" s="129"/>
      <c r="K13" s="129">
        <f>K5-K9</f>
        <v>959.19219685000007</v>
      </c>
      <c r="L13" s="129">
        <f t="shared" ref="L13:Z13" si="6">L5-L9</f>
        <v>1316.8477998890003</v>
      </c>
      <c r="M13" s="129">
        <f t="shared" si="6"/>
        <v>2780.936924312</v>
      </c>
      <c r="N13" s="129">
        <f t="shared" si="6"/>
        <v>5703.4294421680006</v>
      </c>
      <c r="O13" s="129">
        <f t="shared" si="6"/>
        <v>2031.7996818600004</v>
      </c>
      <c r="P13" s="129">
        <f t="shared" si="6"/>
        <v>2513.4842556090007</v>
      </c>
      <c r="Q13" s="91">
        <f t="shared" si="6"/>
        <v>3818.7207763795286</v>
      </c>
      <c r="R13" s="91">
        <f t="shared" si="6"/>
        <v>4206.1568578604601</v>
      </c>
      <c r="S13" s="91">
        <f t="shared" si="6"/>
        <v>4658.0367207713407</v>
      </c>
      <c r="T13" s="91">
        <f t="shared" si="6"/>
        <v>6832.4010227382623</v>
      </c>
      <c r="U13" s="91">
        <f t="shared" si="6"/>
        <v>5945.2918376969246</v>
      </c>
      <c r="V13" s="91">
        <f t="shared" si="6"/>
        <v>5095.8900896715204</v>
      </c>
      <c r="W13" s="91">
        <f t="shared" si="6"/>
        <v>5012.8666988822715</v>
      </c>
      <c r="X13" s="91">
        <f t="shared" si="6"/>
        <v>5409.6978198100751</v>
      </c>
      <c r="Y13" s="91">
        <f t="shared" si="6"/>
        <v>6107.0046311751612</v>
      </c>
      <c r="Z13" s="91">
        <f t="shared" si="6"/>
        <v>6028.8850927134263</v>
      </c>
      <c r="AA13" s="91"/>
      <c r="AB13" s="92"/>
      <c r="AC13" s="92"/>
      <c r="AD13" s="92"/>
      <c r="AE13" s="92"/>
      <c r="AF13" s="92"/>
      <c r="AG13" s="92"/>
      <c r="AH13" s="92"/>
      <c r="AI13" s="92"/>
      <c r="AJ13" s="92"/>
      <c r="AK13" s="92"/>
      <c r="AL13" s="92"/>
      <c r="AM13" s="92"/>
      <c r="AN13" s="92"/>
      <c r="AO13" s="92"/>
      <c r="AP13" s="92"/>
      <c r="AQ13" s="92"/>
      <c r="AR13" s="92"/>
      <c r="AS13" s="92"/>
      <c r="AT13" s="92"/>
      <c r="AU13" s="92"/>
      <c r="AV13" s="92"/>
      <c r="AW13" s="92"/>
      <c r="AX13" s="92"/>
      <c r="AY13" s="92"/>
      <c r="AZ13" s="92"/>
      <c r="BA13" s="92"/>
      <c r="BB13" s="93"/>
      <c r="BC13" s="94"/>
    </row>
    <row r="14" spans="1:57" s="2656" customFormat="1" ht="15" customHeight="1">
      <c r="A14" s="2650"/>
      <c r="B14" s="2651" t="s">
        <v>322</v>
      </c>
      <c r="C14" s="2651"/>
      <c r="D14" s="2652"/>
      <c r="E14" s="2652"/>
      <c r="F14" s="2652"/>
      <c r="G14" s="2652"/>
      <c r="H14" s="2652"/>
      <c r="I14" s="2652"/>
      <c r="J14" s="2652"/>
      <c r="K14" s="2652">
        <f>K13/K5</f>
        <v>0.1361914951990362</v>
      </c>
      <c r="L14" s="2652">
        <f t="shared" ref="L14:Z14" si="7">L13/L5</f>
        <v>0.17415684291346611</v>
      </c>
      <c r="M14" s="2652">
        <f t="shared" si="7"/>
        <v>0.28176329575307868</v>
      </c>
      <c r="N14" s="2652">
        <f t="shared" si="7"/>
        <v>0.35815377669631715</v>
      </c>
      <c r="O14" s="2652">
        <f t="shared" si="7"/>
        <v>0.16163182680117821</v>
      </c>
      <c r="P14" s="2652">
        <f t="shared" si="7"/>
        <v>0.18679858420547754</v>
      </c>
      <c r="Q14" s="2652">
        <f t="shared" si="7"/>
        <v>0.21529731308775552</v>
      </c>
      <c r="R14" s="2652">
        <f t="shared" si="7"/>
        <v>0.22626193448965562</v>
      </c>
      <c r="S14" s="2652">
        <f t="shared" si="7"/>
        <v>0.24367542708478293</v>
      </c>
      <c r="T14" s="2652">
        <f t="shared" si="7"/>
        <v>0.30327640861323479</v>
      </c>
      <c r="U14" s="2652">
        <f t="shared" si="7"/>
        <v>0.27231129023402695</v>
      </c>
      <c r="V14" s="2652">
        <f t="shared" si="7"/>
        <v>0.24942229369934402</v>
      </c>
      <c r="W14" s="2652">
        <f t="shared" si="7"/>
        <v>0.23919217819070251</v>
      </c>
      <c r="X14" s="2652">
        <f t="shared" si="7"/>
        <v>0.25259826653926798</v>
      </c>
      <c r="Y14" s="2652">
        <f t="shared" si="7"/>
        <v>0.27110091087123139</v>
      </c>
      <c r="Z14" s="2652">
        <f t="shared" si="7"/>
        <v>0.26407916856177266</v>
      </c>
      <c r="AA14" s="2653"/>
      <c r="AB14" s="2652"/>
      <c r="AC14" s="2652"/>
      <c r="AD14" s="2652"/>
      <c r="AE14" s="2652"/>
      <c r="AF14" s="2652"/>
      <c r="AG14" s="2652"/>
      <c r="AH14" s="2652"/>
      <c r="AI14" s="2652"/>
      <c r="AJ14" s="2652"/>
      <c r="AK14" s="2652"/>
      <c r="AL14" s="2652"/>
      <c r="AM14" s="2652"/>
      <c r="AN14" s="2652"/>
      <c r="AO14" s="2652"/>
      <c r="AP14" s="2652"/>
      <c r="AQ14" s="2652"/>
      <c r="AR14" s="2652"/>
      <c r="AS14" s="2652"/>
      <c r="AT14" s="2652"/>
      <c r="AU14" s="2652"/>
      <c r="AV14" s="2652"/>
      <c r="AW14" s="2652"/>
      <c r="AX14" s="2652"/>
      <c r="AY14" s="2652"/>
      <c r="AZ14" s="2652"/>
      <c r="BA14" s="2652"/>
      <c r="BB14" s="2652"/>
      <c r="BC14" s="2654"/>
      <c r="BD14" s="2655"/>
      <c r="BE14" s="2655"/>
    </row>
    <row r="15" spans="1:57" s="88" customFormat="1" ht="15" customHeight="1">
      <c r="A15" s="103"/>
      <c r="B15" s="104" t="s">
        <v>323</v>
      </c>
      <c r="C15" s="104"/>
      <c r="D15" s="105"/>
      <c r="E15" s="136"/>
      <c r="F15" s="136"/>
      <c r="G15" s="136"/>
      <c r="H15" s="136"/>
      <c r="I15" s="137"/>
      <c r="J15" s="137"/>
      <c r="K15" s="137">
        <f>K7-K11</f>
        <v>959.19219685000007</v>
      </c>
      <c r="L15" s="137">
        <f t="shared" ref="L15:Z15" si="8">L7-L11</f>
        <v>1316.8477998890003</v>
      </c>
      <c r="M15" s="137">
        <f t="shared" si="8"/>
        <v>2780.936924312</v>
      </c>
      <c r="N15" s="137">
        <f t="shared" si="8"/>
        <v>5703.4294421680006</v>
      </c>
      <c r="O15" s="137">
        <f t="shared" si="8"/>
        <v>2031.7996818600004</v>
      </c>
      <c r="P15" s="137">
        <f t="shared" si="8"/>
        <v>2513.4842556090007</v>
      </c>
      <c r="Q15" s="138">
        <f t="shared" si="8"/>
        <v>3818.720776379525</v>
      </c>
      <c r="R15" s="138">
        <f t="shared" si="8"/>
        <v>4206.1568578604601</v>
      </c>
      <c r="S15" s="138">
        <f t="shared" si="8"/>
        <v>4658.0367207713407</v>
      </c>
      <c r="T15" s="138">
        <f t="shared" si="8"/>
        <v>6832.4010227382623</v>
      </c>
      <c r="U15" s="138">
        <f t="shared" si="8"/>
        <v>5945.2918376969246</v>
      </c>
      <c r="V15" s="138">
        <f t="shared" si="8"/>
        <v>5095.8900896715186</v>
      </c>
      <c r="W15" s="138">
        <f t="shared" si="8"/>
        <v>5012.8666988822697</v>
      </c>
      <c r="X15" s="138">
        <f t="shared" si="8"/>
        <v>5409.6978198100751</v>
      </c>
      <c r="Y15" s="138">
        <f t="shared" si="8"/>
        <v>6107.0046311751648</v>
      </c>
      <c r="Z15" s="138">
        <f t="shared" si="8"/>
        <v>6028.8850927134263</v>
      </c>
      <c r="AA15" s="138"/>
      <c r="AB15" s="139"/>
      <c r="AC15" s="139"/>
      <c r="AD15" s="139"/>
      <c r="AE15" s="139"/>
      <c r="AF15" s="139"/>
      <c r="AG15" s="139"/>
      <c r="AH15" s="139"/>
      <c r="AI15" s="139"/>
      <c r="AJ15" s="139"/>
      <c r="AK15" s="139"/>
      <c r="AL15" s="139"/>
      <c r="AM15" s="139"/>
      <c r="AN15" s="139"/>
      <c r="AO15" s="139"/>
      <c r="AP15" s="139"/>
      <c r="AQ15" s="139"/>
      <c r="AR15" s="139"/>
      <c r="AS15" s="139"/>
      <c r="AT15" s="139"/>
      <c r="AU15" s="139"/>
      <c r="AV15" s="139"/>
      <c r="AW15" s="139"/>
      <c r="AX15" s="139"/>
      <c r="AY15" s="139"/>
      <c r="AZ15" s="139"/>
      <c r="BA15" s="139"/>
      <c r="BB15" s="105"/>
      <c r="BC15" s="111"/>
    </row>
    <row r="16" spans="1:57">
      <c r="D16" s="84"/>
      <c r="E16" s="140"/>
      <c r="F16" s="140"/>
      <c r="G16" s="140"/>
      <c r="H16" s="140"/>
      <c r="I16" s="140"/>
      <c r="J16" s="140"/>
      <c r="K16" s="140"/>
      <c r="L16" s="140"/>
      <c r="M16" s="140"/>
      <c r="N16" s="140"/>
      <c r="O16" s="140"/>
      <c r="P16" s="141"/>
      <c r="Q16" s="140"/>
      <c r="R16" s="140"/>
      <c r="S16" s="140"/>
      <c r="T16" s="140"/>
      <c r="U16" s="140"/>
      <c r="V16" s="140"/>
      <c r="W16" s="140"/>
      <c r="X16" s="140"/>
      <c r="Y16" s="140"/>
      <c r="Z16" s="140"/>
      <c r="AA16" s="140"/>
      <c r="AB16" s="140"/>
      <c r="AC16" s="140"/>
      <c r="AD16" s="140"/>
      <c r="AE16" s="140"/>
      <c r="AF16" s="140"/>
      <c r="AG16" s="140"/>
      <c r="AH16" s="140"/>
      <c r="AI16" s="140"/>
      <c r="AJ16" s="140"/>
      <c r="AK16" s="140"/>
      <c r="AL16" s="140"/>
      <c r="AM16" s="140"/>
      <c r="AN16" s="140"/>
      <c r="AO16" s="140"/>
      <c r="AP16" s="140"/>
      <c r="AQ16" s="140"/>
      <c r="AR16" s="140"/>
      <c r="AS16" s="140"/>
      <c r="AT16" s="140"/>
      <c r="AU16" s="140"/>
      <c r="AV16" s="140"/>
      <c r="AW16" s="140"/>
      <c r="AX16" s="140"/>
      <c r="AY16" s="140"/>
      <c r="AZ16" s="140"/>
      <c r="BA16" s="140"/>
      <c r="BB16" s="85"/>
      <c r="BD16" s="84"/>
      <c r="BE16" s="84"/>
    </row>
    <row r="17" spans="1:57" s="95" customFormat="1" ht="15" customHeight="1">
      <c r="A17" s="86"/>
      <c r="B17" s="87" t="s">
        <v>324</v>
      </c>
      <c r="C17" s="87"/>
      <c r="E17" s="89"/>
      <c r="F17" s="89"/>
      <c r="G17" s="89"/>
      <c r="H17" s="89"/>
      <c r="I17" s="90"/>
      <c r="J17" s="90"/>
      <c r="K17" s="90">
        <f>K21+K25</f>
        <v>565.37789901099995</v>
      </c>
      <c r="L17" s="90">
        <f t="shared" ref="L17:Z17" si="9">L21+L25</f>
        <v>673.40697816300008</v>
      </c>
      <c r="M17" s="90">
        <f t="shared" si="9"/>
        <v>948.89299045899998</v>
      </c>
      <c r="N17" s="90">
        <f t="shared" si="9"/>
        <v>1350.8891326049998</v>
      </c>
      <c r="O17" s="90">
        <f t="shared" si="9"/>
        <v>1349.1883473359999</v>
      </c>
      <c r="P17" s="90">
        <f t="shared" si="9"/>
        <v>1495.4168026570001</v>
      </c>
      <c r="Q17" s="984">
        <f t="shared" si="9"/>
        <v>1724.7512553462252</v>
      </c>
      <c r="R17" s="984">
        <f t="shared" si="9"/>
        <v>1807.870911056124</v>
      </c>
      <c r="S17" s="984">
        <f t="shared" si="9"/>
        <v>1832.946110728062</v>
      </c>
      <c r="T17" s="984">
        <f t="shared" si="9"/>
        <v>2162.524552421728</v>
      </c>
      <c r="U17" s="984">
        <f t="shared" si="9"/>
        <v>2178.072073711126</v>
      </c>
      <c r="V17" s="984">
        <f t="shared" si="9"/>
        <v>2032.1553044460118</v>
      </c>
      <c r="W17" s="984">
        <f t="shared" si="9"/>
        <v>2038.6793832514034</v>
      </c>
      <c r="X17" s="984">
        <f t="shared" si="9"/>
        <v>2082.4465745460379</v>
      </c>
      <c r="Y17" s="984">
        <f t="shared" si="9"/>
        <v>2195.9907520780707</v>
      </c>
      <c r="Z17" s="984">
        <f t="shared" si="9"/>
        <v>2237.9732920368097</v>
      </c>
      <c r="AA17" s="142"/>
      <c r="AB17" s="143"/>
      <c r="AC17" s="143"/>
      <c r="AD17" s="143"/>
      <c r="AE17" s="143"/>
      <c r="AF17" s="143"/>
      <c r="AG17" s="143"/>
      <c r="AH17" s="143"/>
      <c r="AI17" s="143"/>
      <c r="AJ17" s="143"/>
      <c r="AK17" s="143"/>
      <c r="AL17" s="143"/>
      <c r="AM17" s="143"/>
      <c r="AN17" s="143"/>
      <c r="AO17" s="143"/>
      <c r="AP17" s="143"/>
      <c r="AQ17" s="143"/>
      <c r="AR17" s="143"/>
      <c r="AS17" s="143"/>
      <c r="AT17" s="143"/>
      <c r="AU17" s="143"/>
      <c r="AV17" s="143"/>
      <c r="AW17" s="143"/>
      <c r="AX17" s="143"/>
      <c r="AY17" s="143"/>
      <c r="AZ17" s="143"/>
      <c r="BA17" s="143"/>
      <c r="BC17" s="94"/>
    </row>
    <row r="18" spans="1:57" s="150" customFormat="1">
      <c r="A18" s="144"/>
      <c r="B18" s="145" t="s">
        <v>319</v>
      </c>
      <c r="C18" s="145"/>
      <c r="D18" s="146"/>
      <c r="E18" s="147"/>
      <c r="F18" s="147"/>
      <c r="G18" s="147"/>
      <c r="H18" s="147"/>
      <c r="I18" s="147"/>
      <c r="J18" s="147"/>
      <c r="K18" s="147">
        <f>K17/K5</f>
        <v>8.0275529421179284E-2</v>
      </c>
      <c r="L18" s="147">
        <f t="shared" ref="L18:Z18" si="10">L17/L5</f>
        <v>8.9059975892924859E-2</v>
      </c>
      <c r="M18" s="147">
        <f t="shared" si="10"/>
        <v>9.6141416934462751E-2</v>
      </c>
      <c r="N18" s="147">
        <f t="shared" si="10"/>
        <v>8.4830723277358466E-2</v>
      </c>
      <c r="O18" s="147">
        <f t="shared" si="10"/>
        <v>0.10732936874916112</v>
      </c>
      <c r="P18" s="147">
        <f t="shared" si="10"/>
        <v>0.11113725534983587</v>
      </c>
      <c r="Q18" s="2508">
        <f t="shared" si="10"/>
        <v>9.7240498262570543E-2</v>
      </c>
      <c r="R18" s="2508">
        <f t="shared" si="10"/>
        <v>9.7250859505797607E-2</v>
      </c>
      <c r="S18" s="2508">
        <f t="shared" si="10"/>
        <v>9.5886733645391048E-2</v>
      </c>
      <c r="T18" s="2508">
        <f t="shared" si="10"/>
        <v>9.5990074003817566E-2</v>
      </c>
      <c r="U18" s="2508">
        <f t="shared" si="10"/>
        <v>9.9761901149118107E-2</v>
      </c>
      <c r="V18" s="2508">
        <f t="shared" si="10"/>
        <v>9.9465417869890785E-2</v>
      </c>
      <c r="W18" s="2508">
        <f t="shared" si="10"/>
        <v>9.7276905931113294E-2</v>
      </c>
      <c r="X18" s="2508">
        <f t="shared" si="10"/>
        <v>9.7236927534971512E-2</v>
      </c>
      <c r="Y18" s="2508">
        <f t="shared" si="10"/>
        <v>9.748397604188587E-2</v>
      </c>
      <c r="Z18" s="2508">
        <f t="shared" si="10"/>
        <v>9.8028427667136209E-2</v>
      </c>
      <c r="AA18" s="148"/>
      <c r="AB18" s="149"/>
      <c r="AC18" s="149"/>
      <c r="AD18" s="149"/>
      <c r="AE18" s="149"/>
      <c r="AF18" s="149"/>
      <c r="AG18" s="149"/>
      <c r="AH18" s="149"/>
      <c r="AI18" s="149"/>
      <c r="AJ18" s="149"/>
      <c r="AK18" s="149"/>
      <c r="AL18" s="149"/>
      <c r="AM18" s="149"/>
      <c r="AN18" s="149"/>
      <c r="AO18" s="149"/>
      <c r="AP18" s="149"/>
      <c r="AQ18" s="149"/>
      <c r="AR18" s="149"/>
      <c r="AS18" s="149"/>
      <c r="AT18" s="149"/>
      <c r="AU18" s="149"/>
      <c r="AV18" s="149"/>
      <c r="AW18" s="149"/>
      <c r="AX18" s="149"/>
      <c r="AY18" s="149"/>
      <c r="AZ18" s="149"/>
      <c r="BA18" s="149"/>
      <c r="BB18" s="146"/>
      <c r="BC18" s="117"/>
    </row>
    <row r="19" spans="1:57" s="88" customFormat="1">
      <c r="A19" s="103"/>
      <c r="B19" s="104" t="s">
        <v>325</v>
      </c>
      <c r="C19" s="104"/>
      <c r="D19" s="105"/>
      <c r="E19" s="106"/>
      <c r="F19" s="106"/>
      <c r="G19" s="106"/>
      <c r="H19" s="106"/>
      <c r="I19" s="107"/>
      <c r="J19" s="107"/>
      <c r="K19" s="107">
        <f>-('IS Raw'!F24+'IS Raw'!F25)</f>
        <v>565.37789901099995</v>
      </c>
      <c r="L19" s="107">
        <f>-('IS Raw'!G24+'IS Raw'!G25)</f>
        <v>673.40697816300008</v>
      </c>
      <c r="M19" s="107">
        <f>-('IS Raw'!H24+'IS Raw'!H25)</f>
        <v>948.89299045899998</v>
      </c>
      <c r="N19" s="107">
        <f>-('IS Raw'!I24+'IS Raw'!I25)</f>
        <v>1350.889132605</v>
      </c>
      <c r="O19" s="107">
        <f>-('IS Raw'!J24+'IS Raw'!J25)</f>
        <v>1349.1883473359999</v>
      </c>
      <c r="P19" s="107">
        <f>-('IS Raw'!K24+'IS Raw'!K25)</f>
        <v>1495.4168026570001</v>
      </c>
      <c r="Q19" s="2509">
        <f>Q17</f>
        <v>1724.7512553462252</v>
      </c>
      <c r="R19" s="2509">
        <f t="shared" ref="R19:X19" si="11">R17</f>
        <v>1807.870911056124</v>
      </c>
      <c r="S19" s="2509">
        <f t="shared" si="11"/>
        <v>1832.946110728062</v>
      </c>
      <c r="T19" s="2509">
        <f t="shared" si="11"/>
        <v>2162.524552421728</v>
      </c>
      <c r="U19" s="2509">
        <f t="shared" si="11"/>
        <v>2178.072073711126</v>
      </c>
      <c r="V19" s="2509">
        <f t="shared" si="11"/>
        <v>2032.1553044460118</v>
      </c>
      <c r="W19" s="2509">
        <f t="shared" si="11"/>
        <v>2038.6793832514034</v>
      </c>
      <c r="X19" s="2509">
        <f t="shared" si="11"/>
        <v>2082.4465745460379</v>
      </c>
      <c r="Y19" s="2509">
        <f>Y17</f>
        <v>2195.9907520780707</v>
      </c>
      <c r="Z19" s="2509">
        <f>Z17</f>
        <v>2237.9732920368097</v>
      </c>
      <c r="AA19" s="108"/>
      <c r="AB19" s="109"/>
      <c r="AC19" s="109"/>
      <c r="AD19" s="109"/>
      <c r="AE19" s="109"/>
      <c r="AF19" s="109"/>
      <c r="AG19" s="109"/>
      <c r="AH19" s="109"/>
      <c r="AI19" s="109"/>
      <c r="AJ19" s="109"/>
      <c r="AK19" s="109"/>
      <c r="AL19" s="109"/>
      <c r="AM19" s="109"/>
      <c r="AN19" s="109"/>
      <c r="AO19" s="109"/>
      <c r="AP19" s="109"/>
      <c r="AQ19" s="109"/>
      <c r="AR19" s="109"/>
      <c r="AS19" s="109"/>
      <c r="AT19" s="109"/>
      <c r="AU19" s="109"/>
      <c r="AV19" s="109"/>
      <c r="AW19" s="109"/>
      <c r="AX19" s="109"/>
      <c r="AY19" s="109"/>
      <c r="AZ19" s="109"/>
      <c r="BA19" s="109"/>
      <c r="BB19" s="110"/>
      <c r="BC19" s="111"/>
    </row>
    <row r="20" spans="1:57" s="18" customFormat="1">
      <c r="A20" s="17"/>
      <c r="D20" s="151"/>
      <c r="E20" s="20"/>
      <c r="F20" s="20"/>
      <c r="G20" s="20"/>
      <c r="H20" s="20"/>
      <c r="I20" s="20"/>
      <c r="J20" s="20"/>
      <c r="K20" s="20"/>
      <c r="L20" s="20"/>
      <c r="M20" s="20"/>
      <c r="N20" s="152"/>
      <c r="O20" s="152"/>
      <c r="P20" s="153"/>
      <c r="Q20" s="152"/>
      <c r="R20" s="152"/>
      <c r="S20" s="152"/>
      <c r="T20" s="152"/>
      <c r="U20" s="152"/>
      <c r="V20" s="152"/>
      <c r="W20" s="152"/>
      <c r="X20" s="152"/>
      <c r="Y20" s="152"/>
      <c r="Z20" s="152"/>
      <c r="AA20" s="152"/>
      <c r="AB20" s="152"/>
      <c r="AC20" s="152"/>
      <c r="AD20" s="152"/>
      <c r="AE20" s="152"/>
      <c r="AF20" s="152"/>
      <c r="AG20" s="152"/>
      <c r="AH20" s="152"/>
      <c r="AI20" s="152"/>
      <c r="AJ20" s="152"/>
      <c r="AK20" s="152"/>
      <c r="AL20" s="152"/>
      <c r="AM20" s="152"/>
      <c r="AN20" s="152"/>
      <c r="AO20" s="152"/>
      <c r="AP20" s="152"/>
      <c r="AQ20" s="152"/>
      <c r="AR20" s="152"/>
      <c r="AS20" s="152"/>
      <c r="AT20" s="152"/>
      <c r="AU20" s="152"/>
      <c r="AV20" s="152"/>
      <c r="AW20" s="152"/>
      <c r="AX20" s="152"/>
      <c r="AY20" s="152"/>
      <c r="AZ20" s="152"/>
      <c r="BA20" s="152"/>
      <c r="BB20" s="154"/>
      <c r="BC20" s="94"/>
      <c r="BD20" s="151"/>
      <c r="BE20" s="151"/>
    </row>
    <row r="21" spans="1:57" s="95" customFormat="1">
      <c r="A21" s="86">
        <v>3</v>
      </c>
      <c r="B21" s="155" t="s">
        <v>326</v>
      </c>
      <c r="C21" s="155"/>
      <c r="D21" s="156"/>
      <c r="E21" s="157"/>
      <c r="F21" s="157"/>
      <c r="G21" s="157"/>
      <c r="H21" s="157"/>
      <c r="I21" s="158"/>
      <c r="J21" s="158"/>
      <c r="K21" s="158">
        <f>'Consol. Rev.'!K101</f>
        <v>364.05869725299999</v>
      </c>
      <c r="L21" s="158">
        <f>'Consol. Rev.'!L101</f>
        <v>369.00031515100005</v>
      </c>
      <c r="M21" s="158">
        <f>'Consol. Rev.'!M101</f>
        <v>420.40125284399994</v>
      </c>
      <c r="N21" s="158">
        <f>'Consol. Rev.'!N101</f>
        <v>698.29487364399995</v>
      </c>
      <c r="O21" s="158">
        <f>'Consol. Rev.'!O101</f>
        <v>800.63145817099996</v>
      </c>
      <c r="P21" s="158">
        <f>'Consol. Rev.'!P101</f>
        <v>1014.369800748</v>
      </c>
      <c r="Q21" s="2499">
        <f>'Consol. Rev.'!Q101</f>
        <v>971.02815441611381</v>
      </c>
      <c r="R21" s="2499">
        <f>'Consol. Rev.'!R101</f>
        <v>1021.8879648796777</v>
      </c>
      <c r="S21" s="2499">
        <f>'Consol. Rev.'!S101</f>
        <v>1060.8773076408329</v>
      </c>
      <c r="T21" s="2499">
        <f>'Consol. Rev.'!T101</f>
        <v>1286.5053336863157</v>
      </c>
      <c r="U21" s="2499">
        <f>'Consol. Rev.'!U101</f>
        <v>1293.4801753900231</v>
      </c>
      <c r="V21" s="2499">
        <f>'Consol. Rev.'!V101</f>
        <v>1195.2993372058004</v>
      </c>
      <c r="W21" s="2499">
        <f>'Consol. Rev.'!W101</f>
        <v>1188.0729414620519</v>
      </c>
      <c r="X21" s="2499">
        <f>'Consol. Rev.'!X101</f>
        <v>1220.6867943713241</v>
      </c>
      <c r="Y21" s="2499">
        <f>'Consol. Rev.'!Y101</f>
        <v>1291.6556929410824</v>
      </c>
      <c r="Z21" s="2499">
        <f>'Consol. Rev.'!Z101</f>
        <v>1316.1204604526908</v>
      </c>
      <c r="AA21" s="91"/>
      <c r="AB21" s="92"/>
      <c r="AC21" s="92"/>
      <c r="AD21" s="92"/>
      <c r="AE21" s="92"/>
      <c r="AF21" s="92"/>
      <c r="AG21" s="92"/>
      <c r="AH21" s="92"/>
      <c r="AI21" s="92"/>
      <c r="AJ21" s="92"/>
      <c r="AK21" s="92"/>
      <c r="AL21" s="92"/>
      <c r="AM21" s="92"/>
      <c r="AN21" s="92"/>
      <c r="AO21" s="92"/>
      <c r="AP21" s="92"/>
      <c r="AQ21" s="92"/>
      <c r="AR21" s="92"/>
      <c r="AS21" s="92"/>
      <c r="AT21" s="92"/>
      <c r="AU21" s="92"/>
      <c r="AV21" s="92"/>
      <c r="AW21" s="92"/>
      <c r="AX21" s="92"/>
      <c r="AY21" s="92"/>
      <c r="AZ21" s="92"/>
      <c r="BA21" s="92"/>
      <c r="BB21" s="93"/>
      <c r="BC21" s="94"/>
    </row>
    <row r="22" spans="1:57" s="150" customFormat="1">
      <c r="A22" s="159"/>
      <c r="B22" s="160" t="s">
        <v>319</v>
      </c>
      <c r="C22" s="160"/>
      <c r="D22" s="146"/>
      <c r="E22" s="147"/>
      <c r="F22" s="147"/>
      <c r="G22" s="147"/>
      <c r="H22" s="147"/>
      <c r="I22" s="147"/>
      <c r="J22" s="147"/>
      <c r="K22" s="147">
        <f>K21/K5</f>
        <v>5.1691098490924216E-2</v>
      </c>
      <c r="L22" s="147">
        <f t="shared" ref="L22:Z22" si="12">L21/L5</f>
        <v>4.8801334464156861E-2</v>
      </c>
      <c r="M22" s="147">
        <f t="shared" si="12"/>
        <v>4.2594868479210124E-2</v>
      </c>
      <c r="N22" s="147">
        <f t="shared" si="12"/>
        <v>4.3850274432115831E-2</v>
      </c>
      <c r="O22" s="147">
        <f t="shared" si="12"/>
        <v>6.3691084477483728E-2</v>
      </c>
      <c r="P22" s="147">
        <f t="shared" si="12"/>
        <v>7.5386524589392476E-2</v>
      </c>
      <c r="Q22" s="149">
        <f t="shared" si="12"/>
        <v>5.4746017009538427E-2</v>
      </c>
      <c r="R22" s="149">
        <f t="shared" si="12"/>
        <v>5.4970452976160426E-2</v>
      </c>
      <c r="S22" s="149">
        <f t="shared" si="12"/>
        <v>5.5497572587003365E-2</v>
      </c>
      <c r="T22" s="149">
        <f t="shared" si="12"/>
        <v>5.7105359589356711E-2</v>
      </c>
      <c r="U22" s="149">
        <f t="shared" si="12"/>
        <v>5.9245074096991431E-2</v>
      </c>
      <c r="V22" s="149">
        <f t="shared" si="12"/>
        <v>5.8504853341998599E-2</v>
      </c>
      <c r="W22" s="149">
        <f t="shared" si="12"/>
        <v>5.6689669162977512E-2</v>
      </c>
      <c r="X22" s="149">
        <f t="shared" si="12"/>
        <v>5.699826099647054E-2</v>
      </c>
      <c r="Y22" s="149">
        <f t="shared" si="12"/>
        <v>5.7338917527717109E-2</v>
      </c>
      <c r="Z22" s="149">
        <f t="shared" si="12"/>
        <v>5.7649132729955102E-2</v>
      </c>
      <c r="AA22" s="148"/>
      <c r="AB22" s="149"/>
      <c r="AC22" s="149"/>
      <c r="AD22" s="149"/>
      <c r="AE22" s="149"/>
      <c r="AF22" s="149"/>
      <c r="AG22" s="149"/>
      <c r="AH22" s="149"/>
      <c r="AI22" s="149"/>
      <c r="AJ22" s="149"/>
      <c r="AK22" s="149"/>
      <c r="AL22" s="149"/>
      <c r="AM22" s="149"/>
      <c r="AN22" s="149"/>
      <c r="AO22" s="149"/>
      <c r="AP22" s="149"/>
      <c r="AQ22" s="149"/>
      <c r="AR22" s="149"/>
      <c r="AS22" s="149"/>
      <c r="AT22" s="149"/>
      <c r="AU22" s="149"/>
      <c r="AV22" s="149"/>
      <c r="AW22" s="149"/>
      <c r="AX22" s="149"/>
      <c r="AY22" s="149"/>
      <c r="AZ22" s="149"/>
      <c r="BA22" s="149"/>
      <c r="BB22" s="146"/>
      <c r="BC22" s="117"/>
    </row>
    <row r="23" spans="1:57" s="88" customFormat="1">
      <c r="A23" s="103"/>
      <c r="B23" s="161" t="s">
        <v>327</v>
      </c>
      <c r="C23" s="161"/>
      <c r="D23" s="105"/>
      <c r="E23" s="106"/>
      <c r="F23" s="106"/>
      <c r="G23" s="106"/>
      <c r="H23" s="106"/>
      <c r="I23" s="107"/>
      <c r="J23" s="107"/>
      <c r="K23" s="107">
        <f>-'IS Raw'!F24</f>
        <v>364.05869725299999</v>
      </c>
      <c r="L23" s="107">
        <f>-'IS Raw'!G24</f>
        <v>369.000315151</v>
      </c>
      <c r="M23" s="107">
        <f>-'IS Raw'!H24</f>
        <v>420.401252844</v>
      </c>
      <c r="N23" s="107">
        <f>-'IS Raw'!I24</f>
        <v>698.29487364399995</v>
      </c>
      <c r="O23" s="107">
        <f>-'IS Raw'!J24</f>
        <v>800.63145817099996</v>
      </c>
      <c r="P23" s="107">
        <f>-'IS Raw'!K24</f>
        <v>1014.369800748</v>
      </c>
      <c r="Q23" s="108">
        <f t="shared" ref="Q23:Z23" si="13">Q21</f>
        <v>971.02815441611381</v>
      </c>
      <c r="R23" s="108">
        <f t="shared" si="13"/>
        <v>1021.8879648796777</v>
      </c>
      <c r="S23" s="108">
        <f t="shared" si="13"/>
        <v>1060.8773076408329</v>
      </c>
      <c r="T23" s="108">
        <f t="shared" si="13"/>
        <v>1286.5053336863157</v>
      </c>
      <c r="U23" s="108">
        <f t="shared" si="13"/>
        <v>1293.4801753900231</v>
      </c>
      <c r="V23" s="108">
        <f t="shared" si="13"/>
        <v>1195.2993372058004</v>
      </c>
      <c r="W23" s="108">
        <f t="shared" si="13"/>
        <v>1188.0729414620519</v>
      </c>
      <c r="X23" s="108">
        <f t="shared" si="13"/>
        <v>1220.6867943713241</v>
      </c>
      <c r="Y23" s="108">
        <f t="shared" si="13"/>
        <v>1291.6556929410824</v>
      </c>
      <c r="Z23" s="108">
        <f t="shared" si="13"/>
        <v>1316.1204604526908</v>
      </c>
      <c r="AA23" s="108"/>
      <c r="AB23" s="109"/>
      <c r="AC23" s="109"/>
      <c r="AD23" s="109"/>
      <c r="AE23" s="109"/>
      <c r="AF23" s="109"/>
      <c r="AG23" s="109"/>
      <c r="AH23" s="109"/>
      <c r="AI23" s="109"/>
      <c r="AJ23" s="109"/>
      <c r="AK23" s="109"/>
      <c r="AL23" s="109"/>
      <c r="AM23" s="109"/>
      <c r="AN23" s="109"/>
      <c r="AO23" s="109"/>
      <c r="AP23" s="109"/>
      <c r="AQ23" s="109"/>
      <c r="AR23" s="109"/>
      <c r="AS23" s="109"/>
      <c r="AT23" s="109"/>
      <c r="AU23" s="109"/>
      <c r="AV23" s="109"/>
      <c r="AW23" s="109"/>
      <c r="AX23" s="109"/>
      <c r="AY23" s="109"/>
      <c r="AZ23" s="109"/>
      <c r="BA23" s="109"/>
      <c r="BB23" s="110"/>
      <c r="BC23" s="111"/>
    </row>
    <row r="24" spans="1:57" s="166" customFormat="1">
      <c r="A24" s="162"/>
      <c r="B24" s="163"/>
      <c r="C24" s="163"/>
      <c r="D24" s="147"/>
      <c r="E24" s="164"/>
      <c r="F24" s="164"/>
      <c r="G24" s="164"/>
      <c r="H24" s="164"/>
      <c r="I24" s="164"/>
      <c r="J24" s="164"/>
      <c r="K24" s="164"/>
      <c r="L24" s="164"/>
      <c r="M24" s="164"/>
      <c r="N24" s="164"/>
      <c r="O24" s="164"/>
      <c r="P24" s="165"/>
      <c r="Q24" s="164"/>
      <c r="R24" s="164"/>
      <c r="S24" s="164"/>
      <c r="T24" s="164"/>
      <c r="U24" s="164"/>
      <c r="V24" s="164"/>
      <c r="W24" s="164"/>
      <c r="X24" s="164"/>
      <c r="Y24" s="164"/>
      <c r="Z24" s="164"/>
      <c r="AA24" s="164"/>
      <c r="AB24" s="164"/>
      <c r="AC24" s="164"/>
      <c r="AD24" s="164"/>
      <c r="AE24" s="164"/>
      <c r="AF24" s="164"/>
      <c r="AG24" s="164"/>
      <c r="AH24" s="164"/>
      <c r="AI24" s="164"/>
      <c r="AJ24" s="164"/>
      <c r="AK24" s="164"/>
      <c r="AL24" s="164"/>
      <c r="AM24" s="164"/>
      <c r="AN24" s="164"/>
      <c r="AO24" s="164"/>
      <c r="AP24" s="164"/>
      <c r="AQ24" s="164"/>
      <c r="AR24" s="164"/>
      <c r="AS24" s="164"/>
      <c r="AT24" s="164"/>
      <c r="AU24" s="164"/>
      <c r="AV24" s="164"/>
      <c r="AW24" s="164"/>
      <c r="AX24" s="164"/>
      <c r="AY24" s="164"/>
      <c r="AZ24" s="164"/>
      <c r="BA24" s="164"/>
      <c r="BB24" s="147"/>
      <c r="BC24" s="117"/>
    </row>
    <row r="25" spans="1:57" s="95" customFormat="1">
      <c r="A25" s="86">
        <v>4</v>
      </c>
      <c r="B25" s="155" t="s">
        <v>328</v>
      </c>
      <c r="C25" s="155"/>
      <c r="D25" s="156"/>
      <c r="E25" s="157"/>
      <c r="F25" s="157"/>
      <c r="G25" s="157"/>
      <c r="H25" s="157"/>
      <c r="I25" s="158"/>
      <c r="J25" s="158"/>
      <c r="K25" s="158">
        <f>'Consol. Rev.'!K125</f>
        <v>201.31920175799999</v>
      </c>
      <c r="L25" s="158">
        <f>'Consol. Rev.'!L125</f>
        <v>304.40666301200002</v>
      </c>
      <c r="M25" s="158">
        <f>'Consol. Rev.'!M125</f>
        <v>528.49173761500003</v>
      </c>
      <c r="N25" s="158">
        <f>'Consol. Rev.'!N125</f>
        <v>652.59425896099992</v>
      </c>
      <c r="O25" s="158">
        <f>'Consol. Rev.'!O125</f>
        <v>548.55688916500003</v>
      </c>
      <c r="P25" s="158">
        <f>'Consol. Rev.'!P125</f>
        <v>481.04700190899996</v>
      </c>
      <c r="Q25" s="2499">
        <f>'Consol. Rev.'!Q125</f>
        <v>753.72310093011151</v>
      </c>
      <c r="R25" s="2499">
        <f>'Consol. Rev.'!R125</f>
        <v>785.98294617644638</v>
      </c>
      <c r="S25" s="2499">
        <f>'Consol. Rev.'!S125</f>
        <v>772.06880308722907</v>
      </c>
      <c r="T25" s="2499">
        <f>'Consol. Rev.'!T125</f>
        <v>876.01921873541255</v>
      </c>
      <c r="U25" s="2499">
        <f>'Consol. Rev.'!U125</f>
        <v>884.59189832110269</v>
      </c>
      <c r="V25" s="2499">
        <f>'Consol. Rev.'!V125</f>
        <v>836.85596724021138</v>
      </c>
      <c r="W25" s="2499">
        <f>'Consol. Rev.'!W125</f>
        <v>850.60644178935149</v>
      </c>
      <c r="X25" s="2499">
        <f>'Consol. Rev.'!X125</f>
        <v>861.75978017471391</v>
      </c>
      <c r="Y25" s="2499">
        <f>'Consol. Rev.'!Y125</f>
        <v>904.33505913698821</v>
      </c>
      <c r="Z25" s="2499">
        <f>'Consol. Rev.'!Z125</f>
        <v>921.85283158411858</v>
      </c>
      <c r="AA25" s="91"/>
      <c r="AB25" s="92"/>
      <c r="AC25" s="92"/>
      <c r="AD25" s="92"/>
      <c r="AE25" s="92"/>
      <c r="AF25" s="92"/>
      <c r="AG25" s="92"/>
      <c r="AH25" s="92"/>
      <c r="AI25" s="92"/>
      <c r="AJ25" s="92"/>
      <c r="AK25" s="92"/>
      <c r="AL25" s="92"/>
      <c r="AM25" s="92"/>
      <c r="AN25" s="92"/>
      <c r="AO25" s="92"/>
      <c r="AP25" s="92"/>
      <c r="AQ25" s="92"/>
      <c r="AR25" s="92"/>
      <c r="AS25" s="92"/>
      <c r="AT25" s="92"/>
      <c r="AU25" s="92"/>
      <c r="AV25" s="92"/>
      <c r="AW25" s="92"/>
      <c r="AX25" s="92"/>
      <c r="AY25" s="92"/>
      <c r="AZ25" s="92"/>
      <c r="BA25" s="92"/>
      <c r="BB25" s="93"/>
      <c r="BC25" s="94"/>
    </row>
    <row r="26" spans="1:57" s="150" customFormat="1">
      <c r="A26" s="159"/>
      <c r="B26" s="160" t="s">
        <v>319</v>
      </c>
      <c r="C26" s="160"/>
      <c r="D26" s="146"/>
      <c r="E26" s="147"/>
      <c r="F26" s="147"/>
      <c r="G26" s="147"/>
      <c r="H26" s="147"/>
      <c r="I26" s="147"/>
      <c r="J26" s="147"/>
      <c r="K26" s="147">
        <f>K25/K5</f>
        <v>2.8584430930255075E-2</v>
      </c>
      <c r="L26" s="147">
        <f t="shared" ref="L26:Z26" si="14">L25/L5</f>
        <v>4.0258641428767998E-2</v>
      </c>
      <c r="M26" s="147">
        <f t="shared" si="14"/>
        <v>5.3546548455252627E-2</v>
      </c>
      <c r="N26" s="147">
        <f t="shared" si="14"/>
        <v>4.0980448845242642E-2</v>
      </c>
      <c r="O26" s="147">
        <f t="shared" si="14"/>
        <v>4.3638284271677402E-2</v>
      </c>
      <c r="P26" s="147">
        <f t="shared" si="14"/>
        <v>3.575073076044339E-2</v>
      </c>
      <c r="Q26" s="149">
        <f t="shared" si="14"/>
        <v>4.2494481253032124E-2</v>
      </c>
      <c r="R26" s="149">
        <f t="shared" si="14"/>
        <v>4.2280406529637181E-2</v>
      </c>
      <c r="S26" s="149">
        <f t="shared" si="14"/>
        <v>4.038916105838769E-2</v>
      </c>
      <c r="T26" s="149">
        <f t="shared" si="14"/>
        <v>3.8884714414460862E-2</v>
      </c>
      <c r="U26" s="149">
        <f t="shared" si="14"/>
        <v>4.0516827052126669E-2</v>
      </c>
      <c r="V26" s="149">
        <f t="shared" si="14"/>
        <v>4.0960564527892186E-2</v>
      </c>
      <c r="W26" s="149">
        <f t="shared" si="14"/>
        <v>4.0587236768135783E-2</v>
      </c>
      <c r="X26" s="149">
        <f t="shared" si="14"/>
        <v>4.0238666538500972E-2</v>
      </c>
      <c r="Y26" s="149">
        <f t="shared" si="14"/>
        <v>4.0145058514168754E-2</v>
      </c>
      <c r="Z26" s="149">
        <f t="shared" si="14"/>
        <v>4.03792949371811E-2</v>
      </c>
      <c r="AA26" s="148"/>
      <c r="AB26" s="149"/>
      <c r="AC26" s="149"/>
      <c r="AD26" s="149"/>
      <c r="AE26" s="149"/>
      <c r="AF26" s="149"/>
      <c r="AG26" s="149"/>
      <c r="AH26" s="149"/>
      <c r="AI26" s="149"/>
      <c r="AJ26" s="149"/>
      <c r="AK26" s="149"/>
      <c r="AL26" s="149"/>
      <c r="AM26" s="149"/>
      <c r="AN26" s="149"/>
      <c r="AO26" s="149"/>
      <c r="AP26" s="149"/>
      <c r="AQ26" s="149"/>
      <c r="AR26" s="149"/>
      <c r="AS26" s="149"/>
      <c r="AT26" s="149"/>
      <c r="AU26" s="149"/>
      <c r="AV26" s="149"/>
      <c r="AW26" s="149"/>
      <c r="AX26" s="149"/>
      <c r="AY26" s="149"/>
      <c r="AZ26" s="149"/>
      <c r="BA26" s="149"/>
      <c r="BB26" s="146"/>
      <c r="BC26" s="117"/>
    </row>
    <row r="27" spans="1:57" s="88" customFormat="1">
      <c r="A27" s="103"/>
      <c r="B27" s="161" t="s">
        <v>329</v>
      </c>
      <c r="C27" s="161"/>
      <c r="D27" s="105"/>
      <c r="E27" s="136"/>
      <c r="F27" s="136"/>
      <c r="G27" s="136"/>
      <c r="H27" s="136"/>
      <c r="I27" s="137"/>
      <c r="J27" s="137"/>
      <c r="K27" s="137">
        <f>-'IS Raw'!F25</f>
        <v>201.31920175799999</v>
      </c>
      <c r="L27" s="137">
        <f>-'IS Raw'!G25</f>
        <v>304.40666301200002</v>
      </c>
      <c r="M27" s="137">
        <f>-'IS Raw'!H25</f>
        <v>528.49173761500003</v>
      </c>
      <c r="N27" s="137">
        <f>-'IS Raw'!I25</f>
        <v>652.59425896100004</v>
      </c>
      <c r="O27" s="137">
        <f>-'IS Raw'!J25</f>
        <v>548.55688916500003</v>
      </c>
      <c r="P27" s="137">
        <f>-'IS Raw'!K25</f>
        <v>481.04700190900002</v>
      </c>
      <c r="Q27" s="138">
        <f t="shared" ref="Q27:Z27" si="15">Q25</f>
        <v>753.72310093011151</v>
      </c>
      <c r="R27" s="138">
        <f t="shared" si="15"/>
        <v>785.98294617644638</v>
      </c>
      <c r="S27" s="138">
        <f t="shared" si="15"/>
        <v>772.06880308722907</v>
      </c>
      <c r="T27" s="138">
        <f t="shared" si="15"/>
        <v>876.01921873541255</v>
      </c>
      <c r="U27" s="138">
        <f t="shared" si="15"/>
        <v>884.59189832110269</v>
      </c>
      <c r="V27" s="138">
        <f t="shared" si="15"/>
        <v>836.85596724021138</v>
      </c>
      <c r="W27" s="138">
        <f t="shared" si="15"/>
        <v>850.60644178935149</v>
      </c>
      <c r="X27" s="138">
        <f t="shared" si="15"/>
        <v>861.75978017471391</v>
      </c>
      <c r="Y27" s="138">
        <f t="shared" si="15"/>
        <v>904.33505913698821</v>
      </c>
      <c r="Z27" s="138">
        <f t="shared" si="15"/>
        <v>921.85283158411858</v>
      </c>
      <c r="AA27" s="138"/>
      <c r="AB27" s="139"/>
      <c r="AC27" s="139"/>
      <c r="AD27" s="139"/>
      <c r="AE27" s="139"/>
      <c r="AF27" s="139"/>
      <c r="AG27" s="139"/>
      <c r="AH27" s="139"/>
      <c r="AI27" s="139"/>
      <c r="AJ27" s="139"/>
      <c r="AK27" s="139"/>
      <c r="AL27" s="139"/>
      <c r="AM27" s="139"/>
      <c r="AN27" s="139"/>
      <c r="AO27" s="139"/>
      <c r="AP27" s="139"/>
      <c r="AQ27" s="139"/>
      <c r="AR27" s="139"/>
      <c r="AS27" s="139"/>
      <c r="AT27" s="139"/>
      <c r="AU27" s="139"/>
      <c r="AV27" s="139"/>
      <c r="AW27" s="139"/>
      <c r="AX27" s="139"/>
      <c r="AY27" s="139"/>
      <c r="AZ27" s="139"/>
      <c r="BA27" s="139"/>
      <c r="BB27" s="110"/>
      <c r="BC27" s="111"/>
    </row>
    <row r="28" spans="1:57">
      <c r="D28" s="84"/>
      <c r="E28" s="140"/>
      <c r="F28" s="140"/>
      <c r="G28" s="140"/>
      <c r="H28" s="140"/>
      <c r="I28" s="140"/>
      <c r="J28" s="140"/>
      <c r="K28" s="140"/>
      <c r="L28" s="140"/>
      <c r="M28" s="140"/>
      <c r="N28" s="140"/>
      <c r="O28" s="140"/>
      <c r="P28" s="141"/>
      <c r="Q28" s="140"/>
      <c r="R28" s="140"/>
      <c r="S28" s="140"/>
      <c r="T28" s="140"/>
      <c r="U28" s="140"/>
      <c r="V28" s="140"/>
      <c r="W28" s="140"/>
      <c r="X28" s="140"/>
      <c r="Y28" s="140"/>
      <c r="Z28" s="140"/>
      <c r="AA28" s="140"/>
      <c r="AB28" s="140"/>
      <c r="AC28" s="140"/>
      <c r="AD28" s="140"/>
      <c r="AE28" s="140"/>
      <c r="AF28" s="140"/>
      <c r="AG28" s="140"/>
      <c r="AH28" s="140"/>
      <c r="AI28" s="140"/>
      <c r="AJ28" s="140"/>
      <c r="AK28" s="140"/>
      <c r="AL28" s="140"/>
      <c r="AM28" s="140"/>
      <c r="AN28" s="140"/>
      <c r="AO28" s="140"/>
      <c r="AP28" s="140"/>
      <c r="AQ28" s="140"/>
      <c r="AR28" s="140"/>
      <c r="AS28" s="140"/>
      <c r="AT28" s="140"/>
      <c r="AU28" s="140"/>
      <c r="AV28" s="140"/>
      <c r="AW28" s="140"/>
      <c r="AX28" s="140"/>
      <c r="AY28" s="140"/>
      <c r="AZ28" s="140"/>
      <c r="BA28" s="140"/>
      <c r="BB28" s="85"/>
      <c r="BD28" s="84"/>
      <c r="BE28" s="84"/>
    </row>
    <row r="29" spans="1:57" s="95" customFormat="1">
      <c r="A29" s="86"/>
      <c r="B29" s="87" t="s">
        <v>330</v>
      </c>
      <c r="C29" s="87"/>
      <c r="E29" s="128"/>
      <c r="F29" s="128"/>
      <c r="G29" s="128"/>
      <c r="H29" s="128"/>
      <c r="I29" s="129"/>
      <c r="J29" s="129"/>
      <c r="K29" s="129">
        <f>K9+K17</f>
        <v>6649.1526322779991</v>
      </c>
      <c r="L29" s="129">
        <f t="shared" ref="L29:Z29" si="16">L9+L17</f>
        <v>6917.8342786920002</v>
      </c>
      <c r="M29" s="129">
        <f t="shared" si="16"/>
        <v>8037.7189707840007</v>
      </c>
      <c r="N29" s="129">
        <f t="shared" si="16"/>
        <v>11571.986564835999</v>
      </c>
      <c r="O29" s="129">
        <f t="shared" si="16"/>
        <v>11887.930755304</v>
      </c>
      <c r="P29" s="129">
        <f t="shared" si="16"/>
        <v>12437.517696687999</v>
      </c>
      <c r="Q29" s="91">
        <f t="shared" si="16"/>
        <v>15642.994873050948</v>
      </c>
      <c r="R29" s="91">
        <f t="shared" si="16"/>
        <v>16191.482002221841</v>
      </c>
      <c r="S29" s="91">
        <f t="shared" si="16"/>
        <v>16290.651902436866</v>
      </c>
      <c r="T29" s="91">
        <f t="shared" si="16"/>
        <v>17858.75031598768</v>
      </c>
      <c r="U29" s="91">
        <f t="shared" si="16"/>
        <v>18065.484390834532</v>
      </c>
      <c r="V29" s="91">
        <f t="shared" si="16"/>
        <v>17367.03751700564</v>
      </c>
      <c r="W29" s="91">
        <f t="shared" si="16"/>
        <v>17983.298572079166</v>
      </c>
      <c r="X29" s="91">
        <f t="shared" si="16"/>
        <v>18088.959934352686</v>
      </c>
      <c r="Y29" s="91">
        <f t="shared" si="16"/>
        <v>18615.67041550453</v>
      </c>
      <c r="Z29" s="91">
        <f t="shared" si="16"/>
        <v>19038.927923327086</v>
      </c>
      <c r="AA29" s="91"/>
      <c r="AB29" s="92"/>
      <c r="AC29" s="92"/>
      <c r="AD29" s="92"/>
      <c r="AE29" s="92"/>
      <c r="AF29" s="92"/>
      <c r="AG29" s="92"/>
      <c r="AH29" s="92"/>
      <c r="AI29" s="92"/>
      <c r="AJ29" s="92"/>
      <c r="AK29" s="92"/>
      <c r="AL29" s="92"/>
      <c r="AM29" s="92"/>
      <c r="AN29" s="92"/>
      <c r="AO29" s="92"/>
      <c r="AP29" s="92"/>
      <c r="AQ29" s="92"/>
      <c r="AR29" s="92"/>
      <c r="AS29" s="92"/>
      <c r="AT29" s="92"/>
      <c r="AU29" s="92"/>
      <c r="AV29" s="92"/>
      <c r="AW29" s="92"/>
      <c r="AX29" s="92"/>
      <c r="AY29" s="92"/>
      <c r="AZ29" s="92"/>
      <c r="BA29" s="92"/>
      <c r="BB29" s="93"/>
      <c r="BC29" s="94"/>
    </row>
    <row r="30" spans="1:57" s="150" customFormat="1">
      <c r="A30" s="144"/>
      <c r="B30" s="167" t="s">
        <v>319</v>
      </c>
      <c r="C30" s="167"/>
      <c r="D30" s="168"/>
      <c r="E30" s="119"/>
      <c r="F30" s="119"/>
      <c r="G30" s="119"/>
      <c r="H30" s="119"/>
      <c r="I30" s="169"/>
      <c r="J30" s="169"/>
      <c r="K30" s="169">
        <f>K29/K5</f>
        <v>0.94408403422214304</v>
      </c>
      <c r="L30" s="169">
        <f t="shared" ref="L30:Z30" si="17">L29/L5</f>
        <v>0.9149031329794588</v>
      </c>
      <c r="M30" s="169">
        <f t="shared" si="17"/>
        <v>0.81437812118138408</v>
      </c>
      <c r="N30" s="169">
        <f t="shared" si="17"/>
        <v>0.72667694658104132</v>
      </c>
      <c r="O30" s="169">
        <f t="shared" si="17"/>
        <v>0.94569754194798283</v>
      </c>
      <c r="P30" s="169">
        <f t="shared" si="17"/>
        <v>0.9243386711443583</v>
      </c>
      <c r="Q30" s="120">
        <f t="shared" si="17"/>
        <v>0.88194318517481507</v>
      </c>
      <c r="R30" s="120">
        <f t="shared" si="17"/>
        <v>0.870988925016142</v>
      </c>
      <c r="S30" s="120">
        <f t="shared" si="17"/>
        <v>0.85221130656060817</v>
      </c>
      <c r="T30" s="120">
        <f t="shared" si="17"/>
        <v>0.79271366539058286</v>
      </c>
      <c r="U30" s="120">
        <f t="shared" si="17"/>
        <v>0.8274506109150912</v>
      </c>
      <c r="V30" s="120">
        <f t="shared" si="17"/>
        <v>0.85004312417054684</v>
      </c>
      <c r="W30" s="120">
        <f t="shared" si="17"/>
        <v>0.85808472774041078</v>
      </c>
      <c r="X30" s="120">
        <f t="shared" si="17"/>
        <v>0.84463866099570362</v>
      </c>
      <c r="Y30" s="120">
        <f t="shared" si="17"/>
        <v>0.82638306517065452</v>
      </c>
      <c r="Z30" s="120">
        <f t="shared" si="17"/>
        <v>0.83394925910536366</v>
      </c>
      <c r="AA30" s="120"/>
      <c r="AB30" s="121"/>
      <c r="AC30" s="121"/>
      <c r="AD30" s="121"/>
      <c r="AE30" s="121"/>
      <c r="AF30" s="121"/>
      <c r="AG30" s="121"/>
      <c r="AH30" s="121"/>
      <c r="AI30" s="121"/>
      <c r="AJ30" s="121"/>
      <c r="AK30" s="121"/>
      <c r="AL30" s="121"/>
      <c r="AM30" s="121"/>
      <c r="AN30" s="121"/>
      <c r="AO30" s="121"/>
      <c r="AP30" s="121"/>
      <c r="AQ30" s="121"/>
      <c r="AR30" s="121"/>
      <c r="AS30" s="121"/>
      <c r="AT30" s="121"/>
      <c r="AU30" s="121"/>
      <c r="AV30" s="121"/>
      <c r="AW30" s="121"/>
      <c r="AX30" s="121"/>
      <c r="AY30" s="121"/>
      <c r="AZ30" s="121"/>
      <c r="BA30" s="121"/>
      <c r="BB30" s="168"/>
      <c r="BC30" s="117"/>
    </row>
    <row r="31" spans="1:57" s="88" customFormat="1">
      <c r="A31" s="103"/>
      <c r="B31" s="104" t="s">
        <v>331</v>
      </c>
      <c r="C31" s="104"/>
      <c r="D31" s="105"/>
      <c r="E31" s="106"/>
      <c r="F31" s="106"/>
      <c r="G31" s="106"/>
      <c r="H31" s="106"/>
      <c r="I31" s="107"/>
      <c r="J31" s="107"/>
      <c r="K31" s="107">
        <f>K11+K19</f>
        <v>6649.1526322779991</v>
      </c>
      <c r="L31" s="107">
        <f t="shared" ref="L31:Z31" si="18">L11+L19</f>
        <v>6917.8342786920002</v>
      </c>
      <c r="M31" s="107">
        <f t="shared" si="18"/>
        <v>8037.7189707840007</v>
      </c>
      <c r="N31" s="107">
        <f t="shared" si="18"/>
        <v>11571.986564835999</v>
      </c>
      <c r="O31" s="107">
        <f t="shared" si="18"/>
        <v>11887.930755304</v>
      </c>
      <c r="P31" s="107">
        <f t="shared" si="18"/>
        <v>12437.517696687999</v>
      </c>
      <c r="Q31" s="108">
        <f t="shared" si="18"/>
        <v>15642.994873050948</v>
      </c>
      <c r="R31" s="108">
        <f t="shared" si="18"/>
        <v>16191.482002221841</v>
      </c>
      <c r="S31" s="108">
        <f t="shared" si="18"/>
        <v>16290.651902436866</v>
      </c>
      <c r="T31" s="108">
        <f t="shared" si="18"/>
        <v>17858.75031598768</v>
      </c>
      <c r="U31" s="108">
        <f t="shared" si="18"/>
        <v>18065.484390834532</v>
      </c>
      <c r="V31" s="108">
        <f t="shared" si="18"/>
        <v>17367.037517005636</v>
      </c>
      <c r="W31" s="108">
        <f t="shared" si="18"/>
        <v>17983.298572079166</v>
      </c>
      <c r="X31" s="108">
        <f t="shared" si="18"/>
        <v>18088.959934352686</v>
      </c>
      <c r="Y31" s="108">
        <f t="shared" si="18"/>
        <v>18615.670415504523</v>
      </c>
      <c r="Z31" s="108">
        <f t="shared" si="18"/>
        <v>19038.927923327086</v>
      </c>
      <c r="AA31" s="108"/>
      <c r="AB31" s="109"/>
      <c r="AC31" s="109"/>
      <c r="AD31" s="109"/>
      <c r="AE31" s="109"/>
      <c r="AF31" s="109"/>
      <c r="AG31" s="109"/>
      <c r="AH31" s="109"/>
      <c r="AI31" s="109"/>
      <c r="AJ31" s="109"/>
      <c r="AK31" s="109"/>
      <c r="AL31" s="109"/>
      <c r="AM31" s="109"/>
      <c r="AN31" s="109"/>
      <c r="AO31" s="109"/>
      <c r="AP31" s="109"/>
      <c r="AQ31" s="109"/>
      <c r="AR31" s="109"/>
      <c r="AS31" s="109"/>
      <c r="AT31" s="109"/>
      <c r="AU31" s="109"/>
      <c r="AV31" s="109"/>
      <c r="AW31" s="109"/>
      <c r="AX31" s="109"/>
      <c r="AY31" s="109"/>
      <c r="AZ31" s="109"/>
      <c r="BA31" s="109"/>
      <c r="BB31" s="110"/>
      <c r="BC31" s="111"/>
    </row>
    <row r="32" spans="1:57">
      <c r="B32" s="112"/>
      <c r="C32" s="112"/>
      <c r="D32" s="84"/>
      <c r="E32" s="114"/>
      <c r="F32" s="114"/>
      <c r="G32" s="114"/>
      <c r="H32" s="114"/>
      <c r="I32" s="114"/>
      <c r="J32" s="114"/>
      <c r="K32" s="114"/>
      <c r="L32" s="114"/>
      <c r="M32" s="114"/>
      <c r="N32" s="170"/>
      <c r="O32" s="170"/>
      <c r="P32" s="171"/>
      <c r="Q32" s="170"/>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2"/>
      <c r="BC32" s="173"/>
      <c r="BD32" s="84"/>
      <c r="BE32" s="84"/>
    </row>
    <row r="33" spans="1:57" s="95" customFormat="1">
      <c r="A33" s="86"/>
      <c r="B33" s="87" t="s">
        <v>332</v>
      </c>
      <c r="C33" s="87"/>
      <c r="E33" s="89"/>
      <c r="F33" s="89"/>
      <c r="G33" s="89"/>
      <c r="H33" s="89"/>
      <c r="I33" s="174"/>
      <c r="J33" s="174"/>
      <c r="K33" s="174">
        <f>K13-K17+K37</f>
        <v>1712.65494033</v>
      </c>
      <c r="L33" s="174">
        <f t="shared" ref="L33:Z33" si="19">L13-L17+L37</f>
        <v>1961.5932744320003</v>
      </c>
      <c r="M33" s="174">
        <f t="shared" si="19"/>
        <v>3217.8548777280002</v>
      </c>
      <c r="N33" s="174">
        <f t="shared" si="19"/>
        <v>5750.569707300001</v>
      </c>
      <c r="O33" s="174">
        <f t="shared" si="19"/>
        <v>1765.9920331760006</v>
      </c>
      <c r="P33" s="174">
        <f t="shared" si="19"/>
        <v>1286.1489113670007</v>
      </c>
      <c r="Q33" s="854">
        <f t="shared" si="19"/>
        <v>2960.1654955423546</v>
      </c>
      <c r="R33" s="854">
        <f t="shared" si="19"/>
        <v>3356.3643093193014</v>
      </c>
      <c r="S33" s="854">
        <f t="shared" si="19"/>
        <v>3225.1563021775901</v>
      </c>
      <c r="T33" s="854">
        <f t="shared" si="19"/>
        <v>5074.5332103105829</v>
      </c>
      <c r="U33" s="854">
        <f t="shared" si="19"/>
        <v>4159.0388889400238</v>
      </c>
      <c r="V33" s="854">
        <f t="shared" si="19"/>
        <v>3455.419809755901</v>
      </c>
      <c r="W33" s="854">
        <f t="shared" si="19"/>
        <v>3325.8599193575155</v>
      </c>
      <c r="X33" s="854">
        <f t="shared" si="19"/>
        <v>3721.2667713333512</v>
      </c>
      <c r="Y33" s="854">
        <f t="shared" si="19"/>
        <v>4330.320144002465</v>
      </c>
      <c r="Z33" s="854">
        <f t="shared" si="19"/>
        <v>4238.5621585124063</v>
      </c>
      <c r="AA33" s="142"/>
      <c r="AB33" s="143"/>
      <c r="AC33" s="143"/>
      <c r="AD33" s="143"/>
      <c r="AE33" s="143"/>
      <c r="AF33" s="143"/>
      <c r="AG33" s="143"/>
      <c r="AH33" s="143"/>
      <c r="AI33" s="143"/>
      <c r="AJ33" s="143"/>
      <c r="AK33" s="143"/>
      <c r="AL33" s="143"/>
      <c r="AM33" s="143"/>
      <c r="AN33" s="143"/>
      <c r="AO33" s="143"/>
      <c r="AP33" s="143"/>
      <c r="AQ33" s="143"/>
      <c r="AR33" s="143"/>
      <c r="AS33" s="143"/>
      <c r="AT33" s="143"/>
      <c r="AU33" s="143"/>
      <c r="AV33" s="143"/>
      <c r="AW33" s="143"/>
      <c r="AX33" s="143"/>
      <c r="AY33" s="143"/>
      <c r="AZ33" s="143"/>
      <c r="BA33" s="143"/>
      <c r="BC33" s="94"/>
    </row>
    <row r="34" spans="1:57" s="150" customFormat="1">
      <c r="A34" s="159"/>
      <c r="B34" s="145" t="s">
        <v>333</v>
      </c>
      <c r="C34" s="145"/>
      <c r="E34" s="166"/>
      <c r="F34" s="166"/>
      <c r="G34" s="166"/>
      <c r="H34" s="166"/>
      <c r="I34" s="175"/>
      <c r="J34" s="175"/>
      <c r="K34" s="175">
        <f>K33/K5</f>
        <v>0.24317236717474533</v>
      </c>
      <c r="L34" s="175">
        <f t="shared" ref="L34:Z34" si="20">L33/L5</f>
        <v>0.25942625395597102</v>
      </c>
      <c r="M34" s="175">
        <f t="shared" si="20"/>
        <v>0.32603162900865545</v>
      </c>
      <c r="N34" s="175">
        <f t="shared" si="20"/>
        <v>0.36111400688110118</v>
      </c>
      <c r="O34" s="175">
        <f t="shared" si="20"/>
        <v>0.14048654549313586</v>
      </c>
      <c r="P34" s="175">
        <f t="shared" si="20"/>
        <v>9.5584762540142018E-2</v>
      </c>
      <c r="Q34" s="132">
        <f t="shared" si="20"/>
        <v>0.16689245294587435</v>
      </c>
      <c r="R34" s="132">
        <f t="shared" si="20"/>
        <v>0.18054901591685141</v>
      </c>
      <c r="S34" s="132">
        <f t="shared" si="20"/>
        <v>0.16871729152409193</v>
      </c>
      <c r="T34" s="132">
        <f t="shared" si="20"/>
        <v>0.2252482256661793</v>
      </c>
      <c r="U34" s="132">
        <f t="shared" si="20"/>
        <v>0.1904958203732986</v>
      </c>
      <c r="V34" s="132">
        <f t="shared" si="20"/>
        <v>0.16912820321425398</v>
      </c>
      <c r="W34" s="132">
        <f t="shared" si="20"/>
        <v>0.15869555810164609</v>
      </c>
      <c r="X34" s="132">
        <f t="shared" si="20"/>
        <v>0.1737593424029707</v>
      </c>
      <c r="Y34" s="132">
        <f t="shared" si="20"/>
        <v>0.19223069349092797</v>
      </c>
      <c r="Z34" s="132">
        <f t="shared" si="20"/>
        <v>0.18565886619238534</v>
      </c>
      <c r="AA34" s="132"/>
      <c r="AB34" s="176"/>
      <c r="AC34" s="176"/>
      <c r="AD34" s="176"/>
      <c r="AE34" s="176"/>
      <c r="AF34" s="176"/>
      <c r="AG34" s="176"/>
      <c r="AH34" s="176"/>
      <c r="AI34" s="176"/>
      <c r="AJ34" s="176"/>
      <c r="AK34" s="176"/>
      <c r="AL34" s="176"/>
      <c r="AM34" s="176"/>
      <c r="AN34" s="176"/>
      <c r="AO34" s="176"/>
      <c r="AP34" s="176"/>
      <c r="AQ34" s="176"/>
      <c r="AR34" s="176"/>
      <c r="AS34" s="176"/>
      <c r="AT34" s="176"/>
      <c r="AU34" s="176"/>
      <c r="AV34" s="176"/>
      <c r="AW34" s="176"/>
      <c r="AX34" s="176"/>
      <c r="AY34" s="176"/>
      <c r="AZ34" s="176"/>
      <c r="BA34" s="176"/>
      <c r="BC34" s="117"/>
    </row>
    <row r="35" spans="1:57" s="88" customFormat="1">
      <c r="A35" s="103"/>
      <c r="B35" s="104" t="s">
        <v>334</v>
      </c>
      <c r="C35" s="104"/>
      <c r="D35" s="105"/>
      <c r="E35" s="106"/>
      <c r="F35" s="106"/>
      <c r="G35" s="106"/>
      <c r="H35" s="106"/>
      <c r="I35" s="107"/>
      <c r="J35" s="107"/>
      <c r="K35" s="107">
        <f>K15-K19+K40</f>
        <v>1712.65494033</v>
      </c>
      <c r="L35" s="107">
        <f t="shared" ref="L35:Z35" si="21">L15-L19+L40</f>
        <v>1961.5932744320003</v>
      </c>
      <c r="M35" s="107">
        <f t="shared" si="21"/>
        <v>3217.8548777280002</v>
      </c>
      <c r="N35" s="107">
        <f t="shared" si="21"/>
        <v>5750.569707300001</v>
      </c>
      <c r="O35" s="107">
        <f t="shared" si="21"/>
        <v>1765.9920331760006</v>
      </c>
      <c r="P35" s="107">
        <f t="shared" si="21"/>
        <v>1286.1489113670007</v>
      </c>
      <c r="Q35" s="108">
        <f t="shared" si="21"/>
        <v>2960.165495542351</v>
      </c>
      <c r="R35" s="108">
        <f t="shared" si="21"/>
        <v>3356.3643093193014</v>
      </c>
      <c r="S35" s="108">
        <f t="shared" si="21"/>
        <v>3225.1563021775901</v>
      </c>
      <c r="T35" s="108">
        <f t="shared" si="21"/>
        <v>5074.5332103105829</v>
      </c>
      <c r="U35" s="108">
        <f t="shared" si="21"/>
        <v>4159.0388889400238</v>
      </c>
      <c r="V35" s="108">
        <f t="shared" si="21"/>
        <v>3455.4198097558992</v>
      </c>
      <c r="W35" s="108">
        <f t="shared" si="21"/>
        <v>3325.8599193575137</v>
      </c>
      <c r="X35" s="108">
        <f t="shared" si="21"/>
        <v>3721.2667713333512</v>
      </c>
      <c r="Y35" s="108">
        <f t="shared" si="21"/>
        <v>4330.3201440024686</v>
      </c>
      <c r="Z35" s="108">
        <f t="shared" si="21"/>
        <v>4238.5621585124063</v>
      </c>
      <c r="AA35" s="108"/>
      <c r="AB35" s="109"/>
      <c r="AC35" s="109"/>
      <c r="AD35" s="109"/>
      <c r="AE35" s="109"/>
      <c r="AF35" s="109"/>
      <c r="AG35" s="109"/>
      <c r="AH35" s="109"/>
      <c r="AI35" s="109"/>
      <c r="AJ35" s="109"/>
      <c r="AK35" s="109"/>
      <c r="AL35" s="109"/>
      <c r="AM35" s="109"/>
      <c r="AN35" s="109"/>
      <c r="AO35" s="109"/>
      <c r="AP35" s="109"/>
      <c r="AQ35" s="109"/>
      <c r="AR35" s="109"/>
      <c r="AS35" s="109"/>
      <c r="AT35" s="109"/>
      <c r="AU35" s="109"/>
      <c r="AV35" s="109"/>
      <c r="AW35" s="109"/>
      <c r="AX35" s="109"/>
      <c r="AY35" s="109"/>
      <c r="AZ35" s="109"/>
      <c r="BA35" s="109"/>
      <c r="BB35" s="110"/>
      <c r="BC35" s="111"/>
    </row>
    <row r="36" spans="1:57">
      <c r="D36" s="84"/>
      <c r="E36" s="140"/>
      <c r="F36" s="140"/>
      <c r="G36" s="140"/>
      <c r="H36" s="140"/>
      <c r="I36" s="140"/>
      <c r="J36" s="140"/>
      <c r="K36" s="140"/>
      <c r="L36" s="140"/>
      <c r="M36" s="140"/>
      <c r="N36" s="140"/>
      <c r="O36" s="140"/>
      <c r="P36" s="141"/>
      <c r="Q36" s="140"/>
      <c r="R36" s="140"/>
      <c r="S36" s="140"/>
      <c r="T36" s="140"/>
      <c r="U36" s="140"/>
      <c r="V36" s="140"/>
      <c r="W36" s="140"/>
      <c r="X36" s="140"/>
      <c r="Y36" s="140"/>
      <c r="Z36" s="140"/>
      <c r="AA36" s="140"/>
      <c r="AB36" s="140"/>
      <c r="AC36" s="140"/>
      <c r="AD36" s="140"/>
      <c r="AE36" s="140"/>
      <c r="AF36" s="140"/>
      <c r="AG36" s="140"/>
      <c r="AH36" s="140"/>
      <c r="AI36" s="140"/>
      <c r="AJ36" s="140"/>
      <c r="AK36" s="140"/>
      <c r="AL36" s="140"/>
      <c r="AM36" s="140"/>
      <c r="AN36" s="140"/>
      <c r="AO36" s="140"/>
      <c r="AP36" s="140"/>
      <c r="AQ36" s="140"/>
      <c r="AR36" s="140"/>
      <c r="AS36" s="140"/>
      <c r="AT36" s="140"/>
      <c r="AU36" s="140"/>
      <c r="AV36" s="140"/>
      <c r="AW36" s="140"/>
      <c r="AX36" s="140"/>
      <c r="AY36" s="140"/>
      <c r="AZ36" s="140"/>
      <c r="BA36" s="140"/>
      <c r="BB36" s="85"/>
      <c r="BD36" s="84"/>
      <c r="BE36" s="84"/>
    </row>
    <row r="37" spans="1:57">
      <c r="A37" s="74">
        <v>5</v>
      </c>
      <c r="B37" s="5" t="s">
        <v>335</v>
      </c>
      <c r="D37" s="84"/>
      <c r="E37" s="41"/>
      <c r="F37" s="41"/>
      <c r="G37" s="41"/>
      <c r="H37" s="41"/>
      <c r="I37" s="90"/>
      <c r="J37" s="90"/>
      <c r="K37" s="90">
        <f>'Output-FR (show)'!K132</f>
        <v>1318.8406424909999</v>
      </c>
      <c r="L37" s="90">
        <f>'Output-FR (show)'!L132</f>
        <v>1318.1524527060001</v>
      </c>
      <c r="M37" s="90">
        <f>'Output-FR (show)'!M132</f>
        <v>1385.810943875</v>
      </c>
      <c r="N37" s="90">
        <f>'Output-FR (show)'!N132</f>
        <v>1398.029397737</v>
      </c>
      <c r="O37" s="90">
        <f>'Output-FR (show)'!O132</f>
        <v>1083.3806986520001</v>
      </c>
      <c r="P37" s="90">
        <f>'Output-FR (show)'!P132</f>
        <v>268.08145841499999</v>
      </c>
      <c r="Q37" s="177">
        <f>'LT. Asset'!Q8</f>
        <v>866.19597450905121</v>
      </c>
      <c r="R37" s="177">
        <f>'LT. Asset'!R8</f>
        <v>958.07836251496497</v>
      </c>
      <c r="S37" s="177">
        <f>'LT. Asset'!S8</f>
        <v>400.06569213431158</v>
      </c>
      <c r="T37" s="177">
        <f>'LT. Asset'!T8</f>
        <v>404.65673999404856</v>
      </c>
      <c r="U37" s="177">
        <f>'LT. Asset'!U8</f>
        <v>391.81912495422546</v>
      </c>
      <c r="V37" s="177">
        <f>'LT. Asset'!V8</f>
        <v>391.68502453039241</v>
      </c>
      <c r="W37" s="177">
        <f>'LT. Asset'!W8</f>
        <v>351.67260372664737</v>
      </c>
      <c r="X37" s="177">
        <f>'LT. Asset'!X8</f>
        <v>394.01552606931426</v>
      </c>
      <c r="Y37" s="177">
        <f>'LT. Asset'!Y8</f>
        <v>419.30626490537486</v>
      </c>
      <c r="Z37" s="177">
        <f>'LT. Asset'!Z8</f>
        <v>447.65035783578924</v>
      </c>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8"/>
      <c r="BA37" s="178"/>
      <c r="BB37" s="85"/>
      <c r="BD37" s="84"/>
      <c r="BE37" s="84"/>
    </row>
    <row r="38" spans="1:57" s="150" customFormat="1">
      <c r="A38" s="159"/>
      <c r="B38" s="145" t="s">
        <v>319</v>
      </c>
      <c r="C38" s="145"/>
      <c r="E38" s="166"/>
      <c r="F38" s="166"/>
      <c r="G38" s="166"/>
      <c r="H38" s="166"/>
      <c r="I38" s="166"/>
      <c r="J38" s="166"/>
      <c r="K38" s="166">
        <f>K37/K5</f>
        <v>0.18725640139688843</v>
      </c>
      <c r="L38" s="166">
        <f t="shared" ref="L38:Z38" si="22">L37/L5</f>
        <v>0.17432938693542976</v>
      </c>
      <c r="M38" s="166">
        <f t="shared" si="22"/>
        <v>0.14040975019003951</v>
      </c>
      <c r="N38" s="166">
        <f t="shared" si="22"/>
        <v>8.7790953462142482E-2</v>
      </c>
      <c r="O38" s="166">
        <f t="shared" si="22"/>
        <v>8.6184087441118759E-2</v>
      </c>
      <c r="P38" s="166">
        <f t="shared" si="22"/>
        <v>1.9923433684500332E-2</v>
      </c>
      <c r="Q38" s="176">
        <f t="shared" si="22"/>
        <v>4.883563812068939E-2</v>
      </c>
      <c r="R38" s="176">
        <f t="shared" si="22"/>
        <v>5.1537940932993402E-2</v>
      </c>
      <c r="S38" s="176">
        <f t="shared" si="22"/>
        <v>2.0928598084700066E-2</v>
      </c>
      <c r="T38" s="176">
        <f t="shared" si="22"/>
        <v>1.7961891056762092E-2</v>
      </c>
      <c r="U38" s="176">
        <f t="shared" si="22"/>
        <v>1.7946431288389793E-2</v>
      </c>
      <c r="V38" s="176">
        <f t="shared" si="22"/>
        <v>1.9171327384800738E-2</v>
      </c>
      <c r="W38" s="176">
        <f t="shared" si="22"/>
        <v>1.6780285842056871E-2</v>
      </c>
      <c r="X38" s="176">
        <f t="shared" si="22"/>
        <v>1.8398003398674267E-2</v>
      </c>
      <c r="Y38" s="176">
        <f t="shared" si="22"/>
        <v>1.8613758661582477E-2</v>
      </c>
      <c r="Z38" s="176">
        <f t="shared" si="22"/>
        <v>1.9608125297748878E-2</v>
      </c>
      <c r="AA38" s="179"/>
      <c r="AB38" s="179"/>
      <c r="AC38" s="179"/>
      <c r="AD38" s="179"/>
      <c r="AE38" s="179"/>
      <c r="AF38" s="179"/>
      <c r="AG38" s="179"/>
      <c r="AH38" s="179"/>
      <c r="AI38" s="179"/>
      <c r="AJ38" s="179"/>
      <c r="AK38" s="179"/>
      <c r="AL38" s="179"/>
      <c r="AM38" s="179"/>
      <c r="AN38" s="179"/>
      <c r="AO38" s="180"/>
      <c r="AP38" s="180"/>
      <c r="AQ38" s="180"/>
      <c r="AR38" s="180"/>
      <c r="AS38" s="180"/>
      <c r="AT38" s="180"/>
      <c r="AU38" s="180"/>
      <c r="AV38" s="180"/>
      <c r="AW38" s="180"/>
      <c r="AX38" s="180"/>
      <c r="AY38" s="180"/>
      <c r="AZ38" s="180"/>
      <c r="BA38" s="180"/>
      <c r="BC38" s="117"/>
    </row>
    <row r="39" spans="1:57" s="150" customFormat="1">
      <c r="A39" s="159"/>
      <c r="B39" s="145" t="s">
        <v>336</v>
      </c>
      <c r="C39" s="145"/>
      <c r="P39" s="181"/>
      <c r="Q39" s="180"/>
      <c r="R39" s="180"/>
      <c r="S39" s="180"/>
      <c r="T39" s="180"/>
      <c r="U39" s="180"/>
      <c r="V39" s="180"/>
      <c r="W39" s="180"/>
      <c r="X39" s="180"/>
      <c r="Y39" s="180"/>
      <c r="Z39" s="180"/>
      <c r="AA39" s="180"/>
      <c r="AB39" s="180"/>
      <c r="AC39" s="180"/>
      <c r="AD39" s="180"/>
      <c r="AE39" s="180"/>
      <c r="AF39" s="180"/>
      <c r="AG39" s="180"/>
      <c r="AH39" s="180"/>
      <c r="AI39" s="180"/>
      <c r="AJ39" s="180"/>
      <c r="AK39" s="180"/>
      <c r="AL39" s="180"/>
      <c r="AM39" s="180"/>
      <c r="AN39" s="180"/>
      <c r="AO39" s="180"/>
      <c r="AP39" s="180"/>
      <c r="AQ39" s="180"/>
      <c r="AR39" s="180"/>
      <c r="AS39" s="180"/>
      <c r="AT39" s="180"/>
      <c r="AU39" s="180"/>
      <c r="AV39" s="180"/>
      <c r="AW39" s="180"/>
      <c r="AX39" s="180"/>
      <c r="AY39" s="180"/>
      <c r="AZ39" s="180"/>
      <c r="BA39" s="180"/>
      <c r="BC39" s="117"/>
    </row>
    <row r="40" spans="1:57" s="18" customFormat="1">
      <c r="A40" s="17"/>
      <c r="B40" s="182" t="s">
        <v>337</v>
      </c>
      <c r="C40" s="182"/>
      <c r="D40" s="183"/>
      <c r="E40" s="184"/>
      <c r="F40" s="184"/>
      <c r="G40" s="184"/>
      <c r="H40" s="184"/>
      <c r="I40" s="185"/>
      <c r="J40" s="185"/>
      <c r="K40" s="185">
        <f>K37</f>
        <v>1318.8406424909999</v>
      </c>
      <c r="L40" s="185">
        <f t="shared" ref="L40:P40" si="23">L37</f>
        <v>1318.1524527060001</v>
      </c>
      <c r="M40" s="185">
        <f t="shared" si="23"/>
        <v>1385.810943875</v>
      </c>
      <c r="N40" s="185">
        <f t="shared" si="23"/>
        <v>1398.029397737</v>
      </c>
      <c r="O40" s="185">
        <f t="shared" si="23"/>
        <v>1083.3806986520001</v>
      </c>
      <c r="P40" s="185">
        <f t="shared" si="23"/>
        <v>268.08145841499999</v>
      </c>
      <c r="Q40" s="477">
        <f>Q37</f>
        <v>866.19597450905121</v>
      </c>
      <c r="R40" s="477">
        <f t="shared" ref="R40:Z40" si="24">R37</f>
        <v>958.07836251496497</v>
      </c>
      <c r="S40" s="477">
        <f t="shared" si="24"/>
        <v>400.06569213431158</v>
      </c>
      <c r="T40" s="477">
        <f t="shared" si="24"/>
        <v>404.65673999404856</v>
      </c>
      <c r="U40" s="477">
        <f t="shared" si="24"/>
        <v>391.81912495422546</v>
      </c>
      <c r="V40" s="477">
        <f t="shared" si="24"/>
        <v>391.68502453039241</v>
      </c>
      <c r="W40" s="477">
        <f t="shared" si="24"/>
        <v>351.67260372664737</v>
      </c>
      <c r="X40" s="477">
        <f t="shared" si="24"/>
        <v>394.01552606931426</v>
      </c>
      <c r="Y40" s="477">
        <f t="shared" si="24"/>
        <v>419.30626490537486</v>
      </c>
      <c r="Z40" s="477">
        <f t="shared" si="24"/>
        <v>447.65035783578924</v>
      </c>
      <c r="AA40" s="108"/>
      <c r="AB40" s="108"/>
      <c r="AC40" s="108"/>
      <c r="AD40" s="108"/>
      <c r="AE40" s="108"/>
      <c r="AF40" s="108"/>
      <c r="AG40" s="108"/>
      <c r="AH40" s="108"/>
      <c r="AI40" s="108"/>
      <c r="AJ40" s="108"/>
      <c r="AK40" s="108"/>
      <c r="AL40" s="108"/>
      <c r="AM40" s="108"/>
      <c r="AN40" s="108"/>
      <c r="AO40" s="108"/>
      <c r="AP40" s="109"/>
      <c r="AQ40" s="109"/>
      <c r="AR40" s="109"/>
      <c r="AS40" s="109"/>
      <c r="AT40" s="109"/>
      <c r="AU40" s="109"/>
      <c r="AV40" s="109"/>
      <c r="AW40" s="109"/>
      <c r="AX40" s="109"/>
      <c r="AY40" s="109"/>
      <c r="AZ40" s="109"/>
      <c r="BA40" s="109"/>
      <c r="BB40" s="186"/>
      <c r="BC40" s="111"/>
      <c r="BD40" s="151"/>
      <c r="BE40" s="151"/>
    </row>
    <row r="41" spans="1:57" s="150" customFormat="1">
      <c r="A41" s="159"/>
      <c r="B41" s="145" t="s">
        <v>319</v>
      </c>
      <c r="C41" s="145"/>
      <c r="D41" s="168"/>
      <c r="E41" s="119"/>
      <c r="F41" s="119"/>
      <c r="G41" s="119"/>
      <c r="H41" s="119"/>
      <c r="I41" s="119"/>
      <c r="J41" s="119"/>
      <c r="K41" s="119"/>
      <c r="L41" s="119"/>
      <c r="M41" s="119"/>
      <c r="N41" s="119"/>
      <c r="O41" s="119"/>
      <c r="P41" s="455"/>
      <c r="Q41" s="121"/>
      <c r="R41" s="121"/>
      <c r="S41" s="121"/>
      <c r="T41" s="121"/>
      <c r="U41" s="121"/>
      <c r="V41" s="121"/>
      <c r="W41" s="121"/>
      <c r="X41" s="121"/>
      <c r="Y41" s="121"/>
      <c r="Z41" s="121"/>
      <c r="AA41" s="120"/>
      <c r="AB41" s="121"/>
      <c r="AC41" s="121"/>
      <c r="AD41" s="121"/>
      <c r="AE41" s="121"/>
      <c r="AF41" s="121"/>
      <c r="AG41" s="121"/>
      <c r="AH41" s="121"/>
      <c r="AI41" s="121"/>
      <c r="AJ41" s="121"/>
      <c r="AK41" s="121"/>
      <c r="AL41" s="121"/>
      <c r="AM41" s="121"/>
      <c r="AN41" s="121"/>
      <c r="AO41" s="121"/>
      <c r="AP41" s="121"/>
      <c r="AQ41" s="121"/>
      <c r="AR41" s="121"/>
      <c r="AS41" s="121"/>
      <c r="AT41" s="121"/>
      <c r="AU41" s="121"/>
      <c r="AV41" s="121"/>
      <c r="AW41" s="121"/>
      <c r="AX41" s="121"/>
      <c r="AY41" s="121"/>
      <c r="AZ41" s="121"/>
      <c r="BA41" s="121"/>
      <c r="BB41" s="168"/>
      <c r="BC41" s="117"/>
    </row>
    <row r="42" spans="1:57">
      <c r="A42" s="39"/>
      <c r="B42" s="118" t="s">
        <v>338</v>
      </c>
      <c r="C42" s="118"/>
      <c r="D42" s="187"/>
      <c r="E42" s="89"/>
      <c r="F42" s="89"/>
      <c r="G42" s="89"/>
      <c r="H42" s="89"/>
      <c r="I42" s="89"/>
      <c r="J42" s="89"/>
      <c r="K42" s="89"/>
      <c r="L42" s="89"/>
      <c r="M42" s="89"/>
      <c r="N42" s="89"/>
      <c r="O42" s="89"/>
      <c r="P42" s="188"/>
      <c r="Q42" s="143"/>
      <c r="R42" s="143"/>
      <c r="S42" s="143"/>
      <c r="T42" s="143"/>
      <c r="U42" s="143"/>
      <c r="V42" s="143"/>
      <c r="W42" s="143"/>
      <c r="X42" s="143"/>
      <c r="Y42" s="143"/>
      <c r="Z42" s="143"/>
      <c r="AA42" s="143"/>
      <c r="AB42" s="143"/>
      <c r="AC42" s="143"/>
      <c r="AD42" s="143"/>
      <c r="AE42" s="143"/>
      <c r="AF42" s="143"/>
      <c r="AG42" s="143"/>
      <c r="AH42" s="143"/>
      <c r="AI42" s="143"/>
      <c r="AJ42" s="143"/>
      <c r="AK42" s="143"/>
      <c r="AL42" s="143"/>
      <c r="AM42" s="143"/>
      <c r="AN42" s="143"/>
      <c r="AO42" s="143"/>
      <c r="AP42" s="143"/>
      <c r="AQ42" s="143"/>
      <c r="AR42" s="143"/>
      <c r="AS42" s="143"/>
      <c r="AT42" s="143"/>
      <c r="AU42" s="143"/>
      <c r="AV42" s="143"/>
      <c r="AW42" s="143"/>
      <c r="AX42" s="143"/>
      <c r="AY42" s="143"/>
      <c r="AZ42" s="143"/>
      <c r="BA42" s="143"/>
      <c r="BB42" s="187"/>
      <c r="BD42" s="84"/>
      <c r="BE42" s="84"/>
    </row>
    <row r="43" spans="1:57">
      <c r="A43" s="39"/>
      <c r="B43" s="118" t="s">
        <v>339</v>
      </c>
      <c r="C43" s="118"/>
      <c r="D43" s="187"/>
      <c r="E43" s="89"/>
      <c r="F43" s="89"/>
      <c r="G43" s="89"/>
      <c r="H43" s="89"/>
      <c r="I43" s="89"/>
      <c r="J43" s="89"/>
      <c r="K43" s="89"/>
      <c r="L43" s="89"/>
      <c r="M43" s="89"/>
      <c r="N43" s="89"/>
      <c r="O43" s="89"/>
      <c r="P43" s="188"/>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3"/>
      <c r="AY43" s="143"/>
      <c r="AZ43" s="143"/>
      <c r="BA43" s="143"/>
      <c r="BB43" s="187"/>
      <c r="BD43" s="84"/>
      <c r="BE43" s="84"/>
    </row>
    <row r="44" spans="1:57">
      <c r="A44" s="39"/>
      <c r="B44" s="112"/>
      <c r="C44" s="112"/>
      <c r="D44" s="84"/>
      <c r="E44" s="140"/>
      <c r="F44" s="140"/>
      <c r="G44" s="140"/>
      <c r="H44" s="140"/>
      <c r="I44" s="140"/>
      <c r="J44" s="140"/>
      <c r="K44" s="140"/>
      <c r="L44" s="140"/>
      <c r="M44" s="140"/>
      <c r="N44" s="140"/>
      <c r="O44" s="140"/>
      <c r="P44" s="141"/>
      <c r="Q44" s="189"/>
      <c r="R44" s="189"/>
      <c r="S44" s="189"/>
      <c r="T44" s="189"/>
      <c r="U44" s="189"/>
      <c r="V44" s="189"/>
      <c r="W44" s="189"/>
      <c r="X44" s="189"/>
      <c r="Y44" s="189"/>
      <c r="Z44" s="189"/>
      <c r="AA44" s="189"/>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85"/>
      <c r="BD44" s="84"/>
      <c r="BE44" s="84"/>
    </row>
    <row r="45" spans="1:57" s="95" customFormat="1">
      <c r="A45" s="86"/>
      <c r="B45" s="87" t="s">
        <v>340</v>
      </c>
      <c r="C45" s="87"/>
      <c r="E45" s="89"/>
      <c r="F45" s="89"/>
      <c r="G45" s="89"/>
      <c r="H45" s="89"/>
      <c r="I45" s="90"/>
      <c r="J45" s="90"/>
      <c r="K45" s="2510">
        <f t="shared" ref="K45:P45" si="25">K13-K17</f>
        <v>393.81429783900012</v>
      </c>
      <c r="L45" s="2510">
        <f t="shared" si="25"/>
        <v>643.44082172600019</v>
      </c>
      <c r="M45" s="2510">
        <f t="shared" si="25"/>
        <v>1832.043933853</v>
      </c>
      <c r="N45" s="2510">
        <f t="shared" si="25"/>
        <v>4352.5403095630008</v>
      </c>
      <c r="O45" s="2510">
        <f t="shared" si="25"/>
        <v>682.61133452400054</v>
      </c>
      <c r="P45" s="2510">
        <f t="shared" si="25"/>
        <v>1018.0674529520006</v>
      </c>
      <c r="Q45" s="142">
        <f>Q13-Q17</f>
        <v>2093.9695210333034</v>
      </c>
      <c r="R45" s="142">
        <f t="shared" ref="R45:Z45" si="26">R13-R17</f>
        <v>2398.2859468043362</v>
      </c>
      <c r="S45" s="142">
        <f t="shared" si="26"/>
        <v>2825.0906100432785</v>
      </c>
      <c r="T45" s="142">
        <f t="shared" si="26"/>
        <v>4669.8764703165343</v>
      </c>
      <c r="U45" s="142">
        <f t="shared" si="26"/>
        <v>3767.2197639857986</v>
      </c>
      <c r="V45" s="142">
        <f t="shared" si="26"/>
        <v>3063.7347852255089</v>
      </c>
      <c r="W45" s="142">
        <f t="shared" si="26"/>
        <v>2974.1873156308684</v>
      </c>
      <c r="X45" s="142">
        <f t="shared" si="26"/>
        <v>3327.2512452640372</v>
      </c>
      <c r="Y45" s="142">
        <f t="shared" si="26"/>
        <v>3911.0138790970905</v>
      </c>
      <c r="Z45" s="142">
        <f t="shared" si="26"/>
        <v>3790.9118006766166</v>
      </c>
      <c r="AA45" s="142"/>
      <c r="AB45" s="143"/>
      <c r="AC45" s="143"/>
      <c r="AD45" s="143"/>
      <c r="AE45" s="143"/>
      <c r="AF45" s="143"/>
      <c r="AG45" s="143"/>
      <c r="AH45" s="143"/>
      <c r="AI45" s="143"/>
      <c r="AJ45" s="143"/>
      <c r="AK45" s="143"/>
      <c r="AL45" s="143"/>
      <c r="AM45" s="143"/>
      <c r="AN45" s="143"/>
      <c r="AO45" s="143"/>
      <c r="AP45" s="143"/>
      <c r="AQ45" s="143"/>
      <c r="AR45" s="143"/>
      <c r="AS45" s="143"/>
      <c r="AT45" s="143"/>
      <c r="AU45" s="143"/>
      <c r="AV45" s="143"/>
      <c r="AW45" s="143"/>
      <c r="AX45" s="143"/>
      <c r="AY45" s="143"/>
      <c r="AZ45" s="143"/>
      <c r="BA45" s="143"/>
      <c r="BC45" s="94"/>
    </row>
    <row r="46" spans="1:57" s="102" customFormat="1">
      <c r="A46" s="96"/>
      <c r="B46" s="97" t="s">
        <v>341</v>
      </c>
      <c r="C46" s="97"/>
      <c r="E46" s="131"/>
      <c r="F46" s="131"/>
      <c r="G46" s="131"/>
      <c r="H46" s="131"/>
      <c r="I46" s="131"/>
      <c r="J46" s="131"/>
      <c r="K46" s="131">
        <f>K45/K5</f>
        <v>5.5915965777856916E-2</v>
      </c>
      <c r="L46" s="131">
        <f t="shared" ref="L46:P46" si="27">L45/L5</f>
        <v>8.5096867020541242E-2</v>
      </c>
      <c r="M46" s="131">
        <f t="shared" si="27"/>
        <v>0.18562187881861592</v>
      </c>
      <c r="N46" s="131">
        <f t="shared" si="27"/>
        <v>0.27332305341895868</v>
      </c>
      <c r="O46" s="131">
        <f t="shared" si="27"/>
        <v>5.4302458052017111E-2</v>
      </c>
      <c r="P46" s="131">
        <f t="shared" si="27"/>
        <v>7.5661328855641682E-2</v>
      </c>
      <c r="Q46" s="133">
        <f t="shared" ref="Q46" si="28">Q45/Q5</f>
        <v>0.11805681482518496</v>
      </c>
      <c r="R46" s="133">
        <f t="shared" ref="R46" si="29">R45/R5</f>
        <v>0.129011074983858</v>
      </c>
      <c r="S46" s="133">
        <f t="shared" ref="S46" si="30">S45/S5</f>
        <v>0.14778869343939185</v>
      </c>
      <c r="T46" s="133">
        <f t="shared" ref="T46" si="31">T45/T5</f>
        <v>0.2072863346094172</v>
      </c>
      <c r="U46" s="133">
        <f t="shared" ref="U46" si="32">U45/U5</f>
        <v>0.17254938908490883</v>
      </c>
      <c r="V46" s="133">
        <f t="shared" ref="V46" si="33">V45/V5</f>
        <v>0.14995687582945325</v>
      </c>
      <c r="W46" s="133">
        <f t="shared" ref="W46" si="34">W45/W5</f>
        <v>0.14191527225958922</v>
      </c>
      <c r="X46" s="133">
        <f t="shared" ref="X46" si="35">X45/X5</f>
        <v>0.15536133900429644</v>
      </c>
      <c r="Y46" s="133">
        <f t="shared" ref="Y46" si="36">Y45/Y5</f>
        <v>0.17361693482934551</v>
      </c>
      <c r="Z46" s="133">
        <f t="shared" ref="Z46" si="37">Z45/Z5</f>
        <v>0.16605074089463642</v>
      </c>
      <c r="AA46" s="132"/>
      <c r="AB46" s="133"/>
      <c r="AC46" s="133"/>
      <c r="AD46" s="133"/>
      <c r="AE46" s="133"/>
      <c r="AF46" s="133"/>
      <c r="AG46" s="133"/>
      <c r="AH46" s="133"/>
      <c r="AI46" s="133"/>
      <c r="AJ46" s="133"/>
      <c r="AK46" s="133"/>
      <c r="AL46" s="133"/>
      <c r="AM46" s="133"/>
      <c r="AN46" s="133"/>
      <c r="AO46" s="133"/>
      <c r="AP46" s="133"/>
      <c r="AQ46" s="133"/>
      <c r="AR46" s="133"/>
      <c r="AS46" s="133"/>
      <c r="AT46" s="133"/>
      <c r="AU46" s="133"/>
      <c r="AV46" s="133"/>
      <c r="AW46" s="133"/>
      <c r="AX46" s="133"/>
      <c r="AY46" s="133"/>
      <c r="AZ46" s="133"/>
      <c r="BA46" s="133"/>
      <c r="BC46" s="101"/>
    </row>
    <row r="47" spans="1:57" s="88" customFormat="1">
      <c r="A47" s="103"/>
      <c r="B47" s="182" t="s">
        <v>342</v>
      </c>
      <c r="C47" s="182"/>
      <c r="D47" s="105"/>
      <c r="E47" s="106"/>
      <c r="F47" s="106"/>
      <c r="G47" s="106"/>
      <c r="H47" s="106"/>
      <c r="I47" s="107"/>
      <c r="J47" s="107"/>
      <c r="K47" s="107">
        <f>K35-K40</f>
        <v>393.81429783900012</v>
      </c>
      <c r="L47" s="107">
        <f t="shared" ref="L47:Z47" si="38">L35-L40</f>
        <v>643.44082172600019</v>
      </c>
      <c r="M47" s="107">
        <f t="shared" si="38"/>
        <v>1832.0439338530002</v>
      </c>
      <c r="N47" s="107">
        <f t="shared" si="38"/>
        <v>4352.5403095630008</v>
      </c>
      <c r="O47" s="107">
        <f t="shared" si="38"/>
        <v>682.61133452400054</v>
      </c>
      <c r="P47" s="107">
        <f t="shared" si="38"/>
        <v>1018.0674529520006</v>
      </c>
      <c r="Q47" s="108">
        <f t="shared" si="38"/>
        <v>2093.9695210332998</v>
      </c>
      <c r="R47" s="108">
        <f t="shared" si="38"/>
        <v>2398.2859468043362</v>
      </c>
      <c r="S47" s="108">
        <f t="shared" si="38"/>
        <v>2825.0906100432785</v>
      </c>
      <c r="T47" s="108">
        <f t="shared" si="38"/>
        <v>4669.8764703165343</v>
      </c>
      <c r="U47" s="108">
        <f t="shared" si="38"/>
        <v>3767.2197639857982</v>
      </c>
      <c r="V47" s="108">
        <f t="shared" si="38"/>
        <v>3063.734785225507</v>
      </c>
      <c r="W47" s="108">
        <f t="shared" si="38"/>
        <v>2974.1873156308666</v>
      </c>
      <c r="X47" s="108">
        <f t="shared" si="38"/>
        <v>3327.2512452640372</v>
      </c>
      <c r="Y47" s="108">
        <f t="shared" si="38"/>
        <v>3911.0138790970936</v>
      </c>
      <c r="Z47" s="108">
        <f t="shared" si="38"/>
        <v>3790.9118006766171</v>
      </c>
      <c r="AA47" s="108"/>
      <c r="AB47" s="109"/>
      <c r="AC47" s="109"/>
      <c r="AD47" s="109"/>
      <c r="AE47" s="109"/>
      <c r="AF47" s="109"/>
      <c r="AG47" s="109"/>
      <c r="AH47" s="109"/>
      <c r="AI47" s="109"/>
      <c r="AJ47" s="109"/>
      <c r="AK47" s="109"/>
      <c r="AL47" s="109"/>
      <c r="AM47" s="109"/>
      <c r="AN47" s="109"/>
      <c r="AO47" s="109"/>
      <c r="AP47" s="109"/>
      <c r="AQ47" s="109"/>
      <c r="AR47" s="109"/>
      <c r="AS47" s="109"/>
      <c r="AT47" s="109"/>
      <c r="AU47" s="109"/>
      <c r="AV47" s="109"/>
      <c r="AW47" s="109"/>
      <c r="AX47" s="109"/>
      <c r="AY47" s="109"/>
      <c r="AZ47" s="109"/>
      <c r="BA47" s="109"/>
      <c r="BB47" s="110"/>
      <c r="BC47" s="111"/>
    </row>
    <row r="48" spans="1:57">
      <c r="B48" s="5" t="s">
        <v>1495</v>
      </c>
      <c r="D48" s="84"/>
      <c r="E48" s="140"/>
      <c r="F48" s="140"/>
      <c r="G48" s="140"/>
      <c r="H48" s="140"/>
      <c r="I48" s="140"/>
      <c r="J48" s="140"/>
      <c r="K48" s="189">
        <f>K49</f>
        <v>48.483380378</v>
      </c>
      <c r="L48" s="189">
        <f t="shared" ref="L48:O48" si="39">L49</f>
        <v>10.735344252999999</v>
      </c>
      <c r="M48" s="189">
        <f t="shared" si="39"/>
        <v>4.3711953809999997</v>
      </c>
      <c r="N48" s="189">
        <f t="shared" si="39"/>
        <v>15.225626021</v>
      </c>
      <c r="O48" s="189">
        <f t="shared" si="39"/>
        <v>24.751516067000001</v>
      </c>
      <c r="P48" s="189">
        <f>P49-(168141106493/10^9)</f>
        <v>31.735652704000017</v>
      </c>
      <c r="Q48" s="189">
        <f>AVERAGE(K48:P48)</f>
        <v>22.550452467333333</v>
      </c>
      <c r="R48" s="189">
        <f t="shared" ref="R48:Z48" si="40">AVERAGE(L48:Q48)</f>
        <v>18.228297815555557</v>
      </c>
      <c r="S48" s="189">
        <f t="shared" si="40"/>
        <v>19.477123409314817</v>
      </c>
      <c r="T48" s="189">
        <f t="shared" si="40"/>
        <v>21.994778080700623</v>
      </c>
      <c r="U48" s="189">
        <f t="shared" si="40"/>
        <v>23.122970090650721</v>
      </c>
      <c r="V48" s="189">
        <f t="shared" si="40"/>
        <v>22.851545761259178</v>
      </c>
      <c r="W48" s="189">
        <f t="shared" si="40"/>
        <v>21.370861270802376</v>
      </c>
      <c r="X48" s="189">
        <f t="shared" si="40"/>
        <v>21.174262738047215</v>
      </c>
      <c r="Y48" s="189">
        <f t="shared" si="40"/>
        <v>21.665256891795821</v>
      </c>
      <c r="Z48" s="189">
        <f t="shared" si="40"/>
        <v>22.029945805542656</v>
      </c>
      <c r="AA48" s="140"/>
      <c r="AB48" s="140"/>
      <c r="AC48" s="140"/>
      <c r="AD48" s="140"/>
      <c r="AE48" s="140"/>
      <c r="AF48" s="140"/>
      <c r="AG48" s="140"/>
      <c r="AH48" s="140"/>
      <c r="AI48" s="140"/>
      <c r="AJ48" s="140"/>
      <c r="AK48" s="140"/>
      <c r="AL48" s="140"/>
      <c r="AM48" s="140"/>
      <c r="AN48" s="140"/>
      <c r="AO48" s="140"/>
      <c r="AP48" s="140"/>
      <c r="AQ48" s="140"/>
      <c r="AR48" s="140"/>
      <c r="AS48" s="140"/>
      <c r="AT48" s="140"/>
      <c r="AU48" s="140"/>
      <c r="AV48" s="140"/>
      <c r="AW48" s="140"/>
      <c r="AX48" s="140"/>
      <c r="AY48" s="140"/>
      <c r="AZ48" s="140"/>
      <c r="BA48" s="140"/>
      <c r="BB48" s="85"/>
      <c r="BD48" s="84"/>
      <c r="BE48" s="84"/>
    </row>
    <row r="49" spans="1:57" ht="15" customHeight="1">
      <c r="A49" s="74">
        <v>6</v>
      </c>
      <c r="B49" s="5" t="s">
        <v>343</v>
      </c>
      <c r="D49" s="84"/>
      <c r="E49" s="41"/>
      <c r="F49" s="41"/>
      <c r="G49" s="41"/>
      <c r="H49" s="41"/>
      <c r="I49" s="190"/>
      <c r="J49" s="190"/>
      <c r="K49" s="190">
        <f>'IS Raw'!F28/Input!$B$1</f>
        <v>48.483380378</v>
      </c>
      <c r="L49" s="190">
        <f>'IS Raw'!G28/Input!$B$1</f>
        <v>10.735344252999999</v>
      </c>
      <c r="M49" s="190">
        <f>'IS Raw'!H28/Input!$B$1</f>
        <v>4.3711953809999997</v>
      </c>
      <c r="N49" s="190">
        <f>'IS Raw'!I28/Input!$B$1</f>
        <v>15.225626021</v>
      </c>
      <c r="O49" s="190">
        <f>'IS Raw'!J28/Input!$B$1</f>
        <v>24.751516067000001</v>
      </c>
      <c r="P49" s="190">
        <f>'IS Raw'!K28/Input!$B$1</f>
        <v>199.87675919700001</v>
      </c>
      <c r="Q49" s="191">
        <f>Q48</f>
        <v>22.550452467333333</v>
      </c>
      <c r="R49" s="191">
        <f t="shared" ref="R49:Z49" si="41">R48</f>
        <v>18.228297815555557</v>
      </c>
      <c r="S49" s="191">
        <f t="shared" si="41"/>
        <v>19.477123409314817</v>
      </c>
      <c r="T49" s="191">
        <f t="shared" si="41"/>
        <v>21.994778080700623</v>
      </c>
      <c r="U49" s="191">
        <f t="shared" si="41"/>
        <v>23.122970090650721</v>
      </c>
      <c r="V49" s="191">
        <f t="shared" si="41"/>
        <v>22.851545761259178</v>
      </c>
      <c r="W49" s="191">
        <f t="shared" si="41"/>
        <v>21.370861270802376</v>
      </c>
      <c r="X49" s="191">
        <f t="shared" si="41"/>
        <v>21.174262738047215</v>
      </c>
      <c r="Y49" s="191">
        <f t="shared" si="41"/>
        <v>21.665256891795821</v>
      </c>
      <c r="Z49" s="191">
        <f t="shared" si="41"/>
        <v>22.029945805542656</v>
      </c>
      <c r="AA49" s="191"/>
      <c r="AB49" s="191"/>
      <c r="AC49" s="191"/>
      <c r="AD49" s="191"/>
      <c r="AE49" s="192"/>
      <c r="AF49" s="192"/>
      <c r="AG49" s="192"/>
      <c r="AH49" s="192"/>
      <c r="AI49" s="192"/>
      <c r="AJ49" s="192"/>
      <c r="AK49" s="192"/>
      <c r="AL49" s="192"/>
      <c r="AM49" s="192"/>
      <c r="AN49" s="192"/>
      <c r="AO49" s="192"/>
      <c r="AP49" s="192"/>
      <c r="AQ49" s="192"/>
      <c r="AR49" s="192"/>
      <c r="AS49" s="192"/>
      <c r="AT49" s="192"/>
      <c r="AU49" s="192"/>
      <c r="AV49" s="192"/>
      <c r="AW49" s="192"/>
      <c r="AX49" s="192"/>
      <c r="AY49" s="192"/>
      <c r="AZ49" s="192"/>
      <c r="BA49" s="192"/>
      <c r="BB49" s="85"/>
      <c r="BC49" s="193"/>
      <c r="BD49" s="84"/>
      <c r="BE49" s="84"/>
    </row>
    <row r="50" spans="1:57">
      <c r="B50" s="118" t="s">
        <v>344</v>
      </c>
      <c r="C50" s="118"/>
      <c r="D50" s="84"/>
      <c r="E50" s="140"/>
      <c r="F50" s="140"/>
      <c r="G50" s="140"/>
      <c r="H50" s="140"/>
      <c r="I50" s="140"/>
      <c r="J50" s="140"/>
      <c r="K50" s="140"/>
      <c r="L50" s="140"/>
      <c r="M50" s="140"/>
      <c r="N50" s="140"/>
      <c r="O50" s="140"/>
      <c r="P50" s="141"/>
      <c r="Q50" s="194"/>
      <c r="R50" s="194"/>
      <c r="S50" s="194"/>
      <c r="T50" s="194"/>
      <c r="U50" s="194"/>
      <c r="V50" s="194"/>
      <c r="W50" s="194"/>
      <c r="X50" s="194"/>
      <c r="Y50" s="194"/>
      <c r="Z50" s="194"/>
      <c r="AA50" s="194"/>
      <c r="AB50" s="194"/>
      <c r="AC50" s="194"/>
      <c r="AD50" s="194"/>
      <c r="AE50" s="194"/>
      <c r="AF50" s="194"/>
      <c r="AG50" s="194"/>
      <c r="AH50" s="194"/>
      <c r="AI50" s="194"/>
      <c r="AJ50" s="194"/>
      <c r="AK50" s="194"/>
      <c r="AL50" s="194"/>
      <c r="AM50" s="194"/>
      <c r="AN50" s="194"/>
      <c r="AO50" s="194"/>
      <c r="AP50" s="194"/>
      <c r="AQ50" s="194"/>
      <c r="AR50" s="194"/>
      <c r="AS50" s="194"/>
      <c r="AT50" s="194"/>
      <c r="AU50" s="194"/>
      <c r="AV50" s="194"/>
      <c r="AW50" s="194"/>
      <c r="AX50" s="194"/>
      <c r="AY50" s="194"/>
      <c r="AZ50" s="194"/>
      <c r="BA50" s="194"/>
      <c r="BB50" s="85"/>
      <c r="BC50" s="193"/>
      <c r="BD50" s="84"/>
      <c r="BE50" s="84"/>
    </row>
    <row r="51" spans="1:57">
      <c r="B51" s="118" t="s">
        <v>345</v>
      </c>
      <c r="C51" s="118"/>
      <c r="D51" s="84"/>
      <c r="E51" s="140"/>
      <c r="F51" s="140"/>
      <c r="G51" s="140"/>
      <c r="H51" s="140"/>
      <c r="I51" s="140"/>
      <c r="J51" s="140"/>
      <c r="K51" s="140"/>
      <c r="L51" s="140"/>
      <c r="M51" s="140"/>
      <c r="N51" s="140"/>
      <c r="O51" s="140"/>
      <c r="P51" s="141"/>
      <c r="Q51" s="194"/>
      <c r="R51" s="194"/>
      <c r="S51" s="194"/>
      <c r="T51" s="194"/>
      <c r="U51" s="194"/>
      <c r="V51" s="194"/>
      <c r="W51" s="194"/>
      <c r="X51" s="194"/>
      <c r="Y51" s="194"/>
      <c r="Z51" s="194"/>
      <c r="AA51" s="194"/>
      <c r="AB51" s="194"/>
      <c r="AC51" s="194"/>
      <c r="AD51" s="194"/>
      <c r="AE51" s="194"/>
      <c r="AF51" s="194"/>
      <c r="AG51" s="194"/>
      <c r="AH51" s="194"/>
      <c r="AI51" s="194"/>
      <c r="AJ51" s="194"/>
      <c r="AK51" s="194"/>
      <c r="AL51" s="194"/>
      <c r="AM51" s="194"/>
      <c r="AN51" s="194"/>
      <c r="AO51" s="194"/>
      <c r="AP51" s="194"/>
      <c r="AQ51" s="194"/>
      <c r="AR51" s="194"/>
      <c r="AS51" s="194"/>
      <c r="AT51" s="194"/>
      <c r="AU51" s="194"/>
      <c r="AV51" s="194"/>
      <c r="AW51" s="194"/>
      <c r="AX51" s="194"/>
      <c r="AY51" s="194"/>
      <c r="AZ51" s="194"/>
      <c r="BA51" s="194"/>
      <c r="BB51" s="85"/>
      <c r="BC51" s="193"/>
      <c r="BD51" s="84"/>
      <c r="BE51" s="84"/>
    </row>
    <row r="52" spans="1:57" s="88" customFormat="1">
      <c r="A52" s="103"/>
      <c r="B52" s="104" t="s">
        <v>346</v>
      </c>
      <c r="C52" s="104"/>
      <c r="D52" s="105"/>
      <c r="E52" s="106"/>
      <c r="F52" s="106"/>
      <c r="G52" s="106"/>
      <c r="H52" s="106"/>
      <c r="I52" s="107"/>
      <c r="J52" s="107"/>
      <c r="K52" s="107">
        <f>IF(ISTEXT('IS Raw'!F11), 'IS Raw'!F28/Input!$B$1, Input!K49)</f>
        <v>48.483380378</v>
      </c>
      <c r="L52" s="107">
        <f>IF(ISTEXT('IS Raw'!G11), 'IS Raw'!G28/Input!$B$1, Input!L49)</f>
        <v>10.735344252999999</v>
      </c>
      <c r="M52" s="107">
        <f>IF(ISTEXT('IS Raw'!H11), 'IS Raw'!H28/Input!$B$1, Input!M49)</f>
        <v>4.3711953809999997</v>
      </c>
      <c r="N52" s="107">
        <f>IF(ISTEXT('IS Raw'!I11), 'IS Raw'!I28/Input!$B$1, Input!N49)</f>
        <v>15.225626021</v>
      </c>
      <c r="O52" s="107">
        <f>IF(ISTEXT('IS Raw'!J11), 'IS Raw'!J28/Input!$B$1, Input!O49)</f>
        <v>24.751516067000001</v>
      </c>
      <c r="P52" s="107">
        <f>IF(ISTEXT('IS Raw'!K11), 'IS Raw'!K28/Input!$B$1, Input!P49)</f>
        <v>199.87675919700001</v>
      </c>
      <c r="Q52" s="2509">
        <f>IF(ISTEXT('IS Raw'!L11), 'IS Raw'!L28/Input!$B$1, Input!Q49)</f>
        <v>22.550452467333333</v>
      </c>
      <c r="R52" s="2509">
        <f>IF(ISTEXT('IS Raw'!M11), 'IS Raw'!M28/Input!$B$1, Input!R49)</f>
        <v>18.228297815555557</v>
      </c>
      <c r="S52" s="2509">
        <f>IF(ISTEXT('IS Raw'!N11), 'IS Raw'!N28/Input!$B$1, Input!S49)</f>
        <v>19.477123409314817</v>
      </c>
      <c r="T52" s="2509">
        <f>IF(ISTEXT('IS Raw'!O11), 'IS Raw'!O28/Input!$B$1, Input!T49)</f>
        <v>21.994778080700623</v>
      </c>
      <c r="U52" s="2509">
        <f>IF(ISTEXT('IS Raw'!P11), 'IS Raw'!P28/Input!$B$1, Input!U49)</f>
        <v>23.122970090650721</v>
      </c>
      <c r="V52" s="2509">
        <f>IF(ISTEXT('IS Raw'!Q11), 'IS Raw'!Q28/Input!$B$1, Input!V49)</f>
        <v>22.851545761259178</v>
      </c>
      <c r="W52" s="2509">
        <f>IF(ISTEXT('IS Raw'!R11), 'IS Raw'!R28/Input!$B$1, Input!W49)</f>
        <v>21.370861270802376</v>
      </c>
      <c r="X52" s="2509">
        <f>IF(ISTEXT('IS Raw'!S11), 'IS Raw'!S28/Input!$B$1, Input!X49)</f>
        <v>21.174262738047215</v>
      </c>
      <c r="Y52" s="2509">
        <f>IF(ISTEXT('IS Raw'!T11), 'IS Raw'!T28/Input!$B$1, Input!Y49)</f>
        <v>21.665256891795821</v>
      </c>
      <c r="Z52" s="2509">
        <f>IF(ISTEXT('IS Raw'!U11), 'IS Raw'!U28/Input!$B$1, Input!Z49)</f>
        <v>22.029945805542656</v>
      </c>
      <c r="AA52" s="108"/>
      <c r="AB52" s="108"/>
      <c r="AC52" s="108"/>
      <c r="AD52" s="108"/>
      <c r="AE52" s="108"/>
      <c r="AF52" s="108"/>
      <c r="AG52" s="108"/>
      <c r="AH52" s="108"/>
      <c r="AI52" s="108"/>
      <c r="AJ52" s="108"/>
      <c r="AK52" s="108"/>
      <c r="AL52" s="108"/>
      <c r="AM52" s="108"/>
      <c r="AN52" s="108"/>
      <c r="AO52" s="108"/>
      <c r="AP52" s="107"/>
      <c r="AQ52" s="107"/>
      <c r="AR52" s="107"/>
      <c r="AS52" s="107"/>
      <c r="AT52" s="107"/>
      <c r="AU52" s="107"/>
      <c r="AV52" s="107"/>
      <c r="AW52" s="109"/>
      <c r="AX52" s="109"/>
      <c r="AY52" s="109"/>
      <c r="AZ52" s="109"/>
      <c r="BA52" s="109"/>
      <c r="BB52" s="110"/>
      <c r="BC52" s="195"/>
    </row>
    <row r="53" spans="1:57">
      <c r="D53" s="84"/>
      <c r="E53" s="140"/>
      <c r="F53" s="140"/>
      <c r="G53" s="140"/>
      <c r="H53" s="140"/>
      <c r="I53" s="140"/>
      <c r="J53" s="140"/>
      <c r="K53" s="140"/>
      <c r="L53" s="140"/>
      <c r="M53" s="140"/>
      <c r="N53" s="140"/>
      <c r="O53" s="140"/>
      <c r="P53" s="141"/>
      <c r="Q53" s="140"/>
      <c r="R53" s="140"/>
      <c r="S53" s="140"/>
      <c r="T53" s="140"/>
      <c r="U53" s="140"/>
      <c r="V53" s="140"/>
      <c r="W53" s="140"/>
      <c r="X53" s="140"/>
      <c r="Y53" s="140"/>
      <c r="Z53" s="140"/>
      <c r="AA53" s="140"/>
      <c r="AB53" s="140"/>
      <c r="AC53" s="140"/>
      <c r="AD53" s="140"/>
      <c r="AE53" s="140"/>
      <c r="AF53" s="140"/>
      <c r="AG53" s="140"/>
      <c r="AH53" s="140"/>
      <c r="AI53" s="140"/>
      <c r="AJ53" s="140"/>
      <c r="AK53" s="140"/>
      <c r="AL53" s="140"/>
      <c r="AM53" s="140"/>
      <c r="AN53" s="140"/>
      <c r="AO53" s="140"/>
      <c r="AP53" s="140"/>
      <c r="AQ53" s="140"/>
      <c r="AR53" s="140"/>
      <c r="AS53" s="140"/>
      <c r="AT53" s="140"/>
      <c r="AU53" s="140"/>
      <c r="AV53" s="140"/>
      <c r="AW53" s="140"/>
      <c r="AX53" s="140"/>
      <c r="AY53" s="140"/>
      <c r="AZ53" s="140"/>
      <c r="BA53" s="140"/>
      <c r="BB53" s="85"/>
      <c r="BD53" s="84"/>
      <c r="BE53" s="84"/>
    </row>
    <row r="54" spans="1:57">
      <c r="A54" s="74">
        <v>7</v>
      </c>
      <c r="B54" s="196" t="s">
        <v>347</v>
      </c>
      <c r="C54" s="196"/>
      <c r="D54" s="84"/>
      <c r="E54" s="41"/>
      <c r="F54" s="41"/>
      <c r="G54" s="41"/>
      <c r="H54" s="41"/>
      <c r="I54" s="190"/>
      <c r="J54" s="190"/>
      <c r="K54" s="190">
        <f>-'IS Raw'!F29</f>
        <v>3.472166901</v>
      </c>
      <c r="L54" s="190">
        <f>-'IS Raw'!G29</f>
        <v>2.7245178779999999</v>
      </c>
      <c r="M54" s="190">
        <f>-'IS Raw'!H29</f>
        <v>2.604118573</v>
      </c>
      <c r="N54" s="190">
        <f>-'IS Raw'!I29</f>
        <v>12.059177505999999</v>
      </c>
      <c r="O54" s="190">
        <f>-'IS Raw'!J29</f>
        <v>2.269270186</v>
      </c>
      <c r="P54" s="190">
        <f>-'IS Raw'!K29</f>
        <v>1.1155146819999999</v>
      </c>
      <c r="Q54" s="191">
        <f>Q5*Q55</f>
        <v>6.3198817426666229</v>
      </c>
      <c r="R54" s="191">
        <f t="shared" ref="R54:Z54" si="42">R5*R55</f>
        <v>6.2002505663882364</v>
      </c>
      <c r="S54" s="191">
        <f t="shared" si="42"/>
        <v>6.290311591743369</v>
      </c>
      <c r="T54" s="191">
        <f t="shared" si="42"/>
        <v>7.6582429115219197</v>
      </c>
      <c r="U54" s="191">
        <f t="shared" si="42"/>
        <v>5.9030766229838569</v>
      </c>
      <c r="V54" s="191">
        <f t="shared" si="42"/>
        <v>5.8299928421217295</v>
      </c>
      <c r="W54" s="191">
        <f t="shared" si="42"/>
        <v>6.6874331097386746</v>
      </c>
      <c r="X54" s="191">
        <f t="shared" si="42"/>
        <v>6.7009719830705974</v>
      </c>
      <c r="Y54" s="191">
        <f t="shared" si="42"/>
        <v>6.9709472502932677</v>
      </c>
      <c r="Z54" s="191">
        <f t="shared" si="42"/>
        <v>6.9901379973442621</v>
      </c>
      <c r="AA54" s="191"/>
      <c r="AB54" s="191"/>
      <c r="AC54" s="191"/>
      <c r="AD54" s="191"/>
      <c r="AE54" s="191"/>
      <c r="AF54" s="191"/>
      <c r="AG54" s="191"/>
      <c r="AH54" s="191"/>
      <c r="AI54" s="191"/>
      <c r="AJ54" s="191"/>
      <c r="AK54" s="191"/>
      <c r="AL54" s="192"/>
      <c r="AM54" s="192"/>
      <c r="AN54" s="192"/>
      <c r="AO54" s="192"/>
      <c r="AP54" s="192"/>
      <c r="AQ54" s="192"/>
      <c r="AR54" s="192"/>
      <c r="AS54" s="192"/>
      <c r="AT54" s="192"/>
      <c r="AU54" s="192"/>
      <c r="AV54" s="192"/>
      <c r="AW54" s="192"/>
      <c r="AX54" s="192"/>
      <c r="AY54" s="192"/>
      <c r="AZ54" s="192"/>
      <c r="BA54" s="192"/>
      <c r="BB54" s="85"/>
      <c r="BC54" s="193"/>
      <c r="BD54" s="84"/>
      <c r="BE54" s="84"/>
    </row>
    <row r="55" spans="1:57" s="150" customFormat="1">
      <c r="A55" s="159"/>
      <c r="B55" s="145" t="s">
        <v>319</v>
      </c>
      <c r="C55" s="145"/>
      <c r="D55" s="146"/>
      <c r="E55" s="147"/>
      <c r="F55" s="147"/>
      <c r="G55" s="147"/>
      <c r="H55" s="147"/>
      <c r="I55" s="197"/>
      <c r="J55" s="197"/>
      <c r="K55" s="197">
        <f>K54/K5</f>
        <v>4.9299775725942813E-4</v>
      </c>
      <c r="L55" s="197">
        <f t="shared" ref="L55:P55" si="43">L54/L5</f>
        <v>3.6032518878322309E-4</v>
      </c>
      <c r="M55" s="197">
        <f t="shared" si="43"/>
        <v>2.6384813882170729E-4</v>
      </c>
      <c r="N55" s="197">
        <f t="shared" si="43"/>
        <v>7.5727069325914398E-4</v>
      </c>
      <c r="O55" s="197">
        <f t="shared" si="43"/>
        <v>1.805228581061972E-4</v>
      </c>
      <c r="P55" s="197">
        <f t="shared" si="43"/>
        <v>8.2903468678197559E-5</v>
      </c>
      <c r="Q55" s="148">
        <f>AVERAGE(K55:P55)</f>
        <v>3.5631135081798279E-4</v>
      </c>
      <c r="R55" s="148">
        <f t="shared" ref="R55:Z55" si="44">AVERAGE(L55:Q55)</f>
        <v>3.3353028307774203E-4</v>
      </c>
      <c r="S55" s="148">
        <f t="shared" si="44"/>
        <v>3.2906446546016179E-4</v>
      </c>
      <c r="T55" s="148">
        <f t="shared" si="44"/>
        <v>3.3993385323323753E-4</v>
      </c>
      <c r="U55" s="148">
        <f t="shared" si="44"/>
        <v>2.703777132289198E-4</v>
      </c>
      <c r="V55" s="148">
        <f t="shared" si="44"/>
        <v>2.8535352241604024E-4</v>
      </c>
      <c r="W55" s="148">
        <f t="shared" si="44"/>
        <v>3.1909519803901399E-4</v>
      </c>
      <c r="X55" s="148">
        <f t="shared" si="44"/>
        <v>3.1289250590918585E-4</v>
      </c>
      <c r="Y55" s="148">
        <f t="shared" si="44"/>
        <v>3.0945287638109317E-4</v>
      </c>
      <c r="Z55" s="148">
        <f t="shared" si="44"/>
        <v>3.0618427820124842E-4</v>
      </c>
      <c r="AA55" s="148"/>
      <c r="AB55" s="148"/>
      <c r="AC55" s="148"/>
      <c r="AD55" s="148"/>
      <c r="AE55" s="148"/>
      <c r="AF55" s="148"/>
      <c r="AG55" s="148"/>
      <c r="AH55" s="148"/>
      <c r="AI55" s="148"/>
      <c r="AJ55" s="148"/>
      <c r="AK55" s="148"/>
      <c r="AL55" s="148"/>
      <c r="AM55" s="148"/>
      <c r="AN55" s="148"/>
      <c r="AO55" s="149"/>
      <c r="AP55" s="149"/>
      <c r="AQ55" s="149"/>
      <c r="AR55" s="149"/>
      <c r="AS55" s="149"/>
      <c r="AT55" s="149"/>
      <c r="AU55" s="149"/>
      <c r="AV55" s="149"/>
      <c r="AW55" s="149"/>
      <c r="AX55" s="149"/>
      <c r="AY55" s="149"/>
      <c r="AZ55" s="149"/>
      <c r="BA55" s="149"/>
      <c r="BB55" s="146"/>
      <c r="BC55" s="117"/>
    </row>
    <row r="56" spans="1:57" s="88" customFormat="1">
      <c r="A56" s="103"/>
      <c r="B56" s="104" t="s">
        <v>348</v>
      </c>
      <c r="C56" s="104"/>
      <c r="D56" s="105"/>
      <c r="E56" s="106"/>
      <c r="F56" s="106"/>
      <c r="G56" s="106"/>
      <c r="H56" s="106"/>
      <c r="I56" s="107"/>
      <c r="J56" s="107"/>
      <c r="K56" s="107">
        <f>IF(ISTEXT('IS Raw'!F11), -'IS Raw'!F29/Input!$B$1, Input!K54)</f>
        <v>3.472166901</v>
      </c>
      <c r="L56" s="107">
        <f>IF(ISTEXT('IS Raw'!G11), -'IS Raw'!G29/Input!$B$1, Input!L54)</f>
        <v>2.7245178779999999</v>
      </c>
      <c r="M56" s="107">
        <f>IF(ISTEXT('IS Raw'!H11), -'IS Raw'!H29/Input!$B$1, Input!M54)</f>
        <v>2.604118573</v>
      </c>
      <c r="N56" s="107">
        <f>IF(ISTEXT('IS Raw'!I11), -'IS Raw'!I29/Input!$B$1, Input!N54)</f>
        <v>12.059177505999999</v>
      </c>
      <c r="O56" s="107">
        <f>IF(ISTEXT('IS Raw'!J11), -'IS Raw'!J29/Input!$B$1, Input!O54)</f>
        <v>2.269270186</v>
      </c>
      <c r="P56" s="107">
        <f>IF(ISTEXT('IS Raw'!K11), -'IS Raw'!K29/Input!$B$1, Input!P54)</f>
        <v>1.1155146819999999</v>
      </c>
      <c r="Q56" s="108">
        <f>IF(ISTEXT('IS Raw'!L11), -'IS Raw'!L29/Input!$B$1, Input!Q54)</f>
        <v>6.3198817426666229</v>
      </c>
      <c r="R56" s="108">
        <f>IF(ISTEXT('IS Raw'!M11), -'IS Raw'!M29/Input!$B$1, Input!R54)</f>
        <v>6.2002505663882364</v>
      </c>
      <c r="S56" s="108">
        <f>IF(ISTEXT('IS Raw'!N11), -'IS Raw'!N29/Input!$B$1, Input!S54)</f>
        <v>6.290311591743369</v>
      </c>
      <c r="T56" s="108">
        <f>IF(ISTEXT('IS Raw'!O11), -'IS Raw'!O29/Input!$B$1, Input!T54)</f>
        <v>7.6582429115219197</v>
      </c>
      <c r="U56" s="108">
        <f>IF(ISTEXT('IS Raw'!P11), -'IS Raw'!P29/Input!$B$1, Input!U54)</f>
        <v>5.9030766229838569</v>
      </c>
      <c r="V56" s="108">
        <f>IF(ISTEXT('IS Raw'!Q11), -'IS Raw'!Q29/Input!$B$1, Input!V54)</f>
        <v>5.8299928421217295</v>
      </c>
      <c r="W56" s="108">
        <f>IF(ISTEXT('IS Raw'!R11), -'IS Raw'!R29/Input!$B$1, Input!W54)</f>
        <v>6.6874331097386746</v>
      </c>
      <c r="X56" s="108">
        <f>IF(ISTEXT('IS Raw'!S11), -'IS Raw'!S29/Input!$B$1, Input!X54)</f>
        <v>6.7009719830705974</v>
      </c>
      <c r="Y56" s="108">
        <f>IF(ISTEXT('IS Raw'!T11), -'IS Raw'!T29/Input!$B$1, Input!Y54)</f>
        <v>6.9709472502932677</v>
      </c>
      <c r="Z56" s="108">
        <f>IF(ISTEXT('IS Raw'!U11), -'IS Raw'!U29/Input!$B$1, Input!Z54)</f>
        <v>6.9901379973442621</v>
      </c>
      <c r="AA56" s="108"/>
      <c r="AB56" s="108"/>
      <c r="AC56" s="108"/>
      <c r="AD56" s="108"/>
      <c r="AE56" s="108"/>
      <c r="AF56" s="108"/>
      <c r="AG56" s="108"/>
      <c r="AH56" s="108"/>
      <c r="AI56" s="108"/>
      <c r="AJ56" s="108"/>
      <c r="AK56" s="108"/>
      <c r="AL56" s="108"/>
      <c r="AM56" s="108"/>
      <c r="AN56" s="107"/>
      <c r="AO56" s="107"/>
      <c r="AP56" s="107"/>
      <c r="AQ56" s="107"/>
      <c r="AR56" s="107"/>
      <c r="AS56" s="109"/>
      <c r="AT56" s="109"/>
      <c r="AU56" s="109"/>
      <c r="AV56" s="109"/>
      <c r="AW56" s="109"/>
      <c r="AX56" s="109"/>
      <c r="AY56" s="109"/>
      <c r="AZ56" s="109"/>
      <c r="BA56" s="109"/>
      <c r="BB56" s="110"/>
      <c r="BC56" s="111"/>
    </row>
    <row r="57" spans="1:57">
      <c r="D57" s="84"/>
      <c r="E57" s="140"/>
      <c r="F57" s="140"/>
      <c r="G57" s="140"/>
      <c r="H57" s="140"/>
      <c r="I57" s="140"/>
      <c r="J57" s="140"/>
      <c r="K57" s="140"/>
      <c r="L57" s="140"/>
      <c r="M57" s="140"/>
      <c r="N57" s="140"/>
      <c r="O57" s="140"/>
      <c r="P57" s="141"/>
      <c r="Q57" s="140"/>
      <c r="R57" s="140"/>
      <c r="S57" s="140"/>
      <c r="T57" s="140"/>
      <c r="U57" s="140"/>
      <c r="V57" s="140"/>
      <c r="W57" s="140"/>
      <c r="X57" s="140"/>
      <c r="Y57" s="140"/>
      <c r="Z57" s="140"/>
      <c r="AA57" s="140"/>
      <c r="AB57" s="140"/>
      <c r="AC57" s="140"/>
      <c r="AD57" s="140"/>
      <c r="AE57" s="140"/>
      <c r="AF57" s="140"/>
      <c r="AG57" s="140"/>
      <c r="AH57" s="140"/>
      <c r="AI57" s="140"/>
      <c r="AJ57" s="140"/>
      <c r="AK57" s="140"/>
      <c r="AL57" s="140"/>
      <c r="AM57" s="140"/>
      <c r="AN57" s="140"/>
      <c r="AO57" s="140"/>
      <c r="AP57" s="140"/>
      <c r="AQ57" s="140"/>
      <c r="AR57" s="140"/>
      <c r="AS57" s="140"/>
      <c r="AT57" s="140"/>
      <c r="AU57" s="140"/>
      <c r="AV57" s="140"/>
      <c r="AW57" s="140"/>
      <c r="AX57" s="140"/>
      <c r="AY57" s="140"/>
      <c r="AZ57" s="140"/>
      <c r="BA57" s="140"/>
      <c r="BB57" s="85"/>
      <c r="BD57" s="84"/>
      <c r="BE57" s="84"/>
    </row>
    <row r="58" spans="1:57" ht="14.4" customHeight="1">
      <c r="A58" s="74">
        <v>8</v>
      </c>
      <c r="B58" s="5" t="s">
        <v>349</v>
      </c>
      <c r="D58" s="84"/>
      <c r="E58" s="140"/>
      <c r="F58" s="140"/>
      <c r="G58" s="140"/>
      <c r="H58" s="140"/>
      <c r="I58" s="189"/>
      <c r="J58" s="189"/>
      <c r="K58" s="189">
        <f>'IS Raw'!F20/$B$1</f>
        <v>127.016141703</v>
      </c>
      <c r="L58" s="189">
        <f>'IS Raw'!G20/$B$1</f>
        <v>128.316681426</v>
      </c>
      <c r="M58" s="189">
        <f>'IS Raw'!H20/$B$1</f>
        <v>167.53190780400001</v>
      </c>
      <c r="N58" s="189">
        <f>'IS Raw'!I20/$B$1</f>
        <v>301.00806331699999</v>
      </c>
      <c r="O58" s="189">
        <f>'IS Raw'!J20/$B$1</f>
        <v>577.08849076199999</v>
      </c>
      <c r="P58" s="189">
        <f>'IS Raw'!K20/$B$1</f>
        <v>381.80389825200001</v>
      </c>
      <c r="Q58" s="198">
        <f ca="1">Q59+SUM(Q62:Q65)</f>
        <v>612.61692171388484</v>
      </c>
      <c r="R58" s="198">
        <f t="shared" ref="R58:Z58" ca="1" si="45">R59+SUM(R62:R65)</f>
        <v>680.83090119855763</v>
      </c>
      <c r="S58" s="198">
        <f t="shared" ca="1" si="45"/>
        <v>767.18909307794377</v>
      </c>
      <c r="T58" s="198">
        <f t="shared" ca="1" si="45"/>
        <v>895.09609279666813</v>
      </c>
      <c r="U58" s="198">
        <f t="shared" ca="1" si="45"/>
        <v>1017.6500482790449</v>
      </c>
      <c r="V58" s="198">
        <f t="shared" ca="1" si="45"/>
        <v>1125.6841271289491</v>
      </c>
      <c r="W58" s="198">
        <f t="shared" ca="1" si="45"/>
        <v>1210.8158232622893</v>
      </c>
      <c r="X58" s="198">
        <f t="shared" ca="1" si="45"/>
        <v>1303.9966468625701</v>
      </c>
      <c r="Y58" s="198">
        <f t="shared" ca="1" si="45"/>
        <v>1408.9586272720051</v>
      </c>
      <c r="Z58" s="198">
        <f t="shared" ca="1" si="45"/>
        <v>1490.5861930715591</v>
      </c>
      <c r="AA58" s="198"/>
      <c r="AB58" s="194"/>
      <c r="AC58" s="194"/>
      <c r="AD58" s="194"/>
      <c r="AE58" s="194"/>
      <c r="AF58" s="194"/>
      <c r="AG58" s="194"/>
      <c r="AH58" s="194"/>
      <c r="AI58" s="194"/>
      <c r="AJ58" s="194"/>
      <c r="AK58" s="194"/>
      <c r="AL58" s="194"/>
      <c r="AM58" s="194"/>
      <c r="AN58" s="194"/>
      <c r="AO58" s="194"/>
      <c r="AP58" s="194"/>
      <c r="AQ58" s="194"/>
      <c r="AR58" s="194"/>
      <c r="AS58" s="194"/>
      <c r="AT58" s="194"/>
      <c r="AU58" s="194"/>
      <c r="AV58" s="194"/>
      <c r="AW58" s="194"/>
      <c r="AX58" s="194"/>
      <c r="AY58" s="194"/>
      <c r="AZ58" s="194"/>
      <c r="BA58" s="194"/>
      <c r="BB58" s="85"/>
      <c r="BC58" s="193"/>
      <c r="BD58" s="84"/>
      <c r="BE58" s="84"/>
    </row>
    <row r="59" spans="1:57">
      <c r="A59" s="39"/>
      <c r="B59" s="118" t="s">
        <v>350</v>
      </c>
      <c r="C59" s="118"/>
      <c r="D59" s="84"/>
      <c r="E59" s="128"/>
      <c r="F59" s="128"/>
      <c r="G59" s="128"/>
      <c r="H59" s="128"/>
      <c r="I59" s="199"/>
      <c r="J59" s="199"/>
      <c r="K59" s="199">
        <f>SUM(K60,K61)</f>
        <v>117.699812006</v>
      </c>
      <c r="L59" s="199">
        <f t="shared" ref="L59:P59" si="46">SUM(L60,L61)</f>
        <v>111.939246447</v>
      </c>
      <c r="M59" s="199">
        <f t="shared" si="46"/>
        <v>130.835723223</v>
      </c>
      <c r="N59" s="199">
        <f t="shared" si="46"/>
        <v>262.14901913</v>
      </c>
      <c r="O59" s="199">
        <f t="shared" si="46"/>
        <v>518.47532930399996</v>
      </c>
      <c r="P59" s="199">
        <f t="shared" si="46"/>
        <v>282.72827757699997</v>
      </c>
      <c r="Q59" s="2569">
        <f t="shared" ref="Q59" ca="1" si="47">SUM(Q60,Q61)</f>
        <v>581.97270046488484</v>
      </c>
      <c r="R59" s="2569">
        <f t="shared" ref="R59" ca="1" si="48">SUM(R60,R61)</f>
        <v>645.43108452622425</v>
      </c>
      <c r="S59" s="2569">
        <f t="shared" ref="S59" ca="1" si="49">SUM(S60,S61)</f>
        <v>732.22139904183268</v>
      </c>
      <c r="T59" s="2569">
        <f t="shared" ref="T59" ca="1" si="50">SUM(T60,T61)</f>
        <v>861.42551547751998</v>
      </c>
      <c r="U59" s="2569">
        <f t="shared" ref="U59" ca="1" si="51">SUM(U60,U61)</f>
        <v>982.97068560318064</v>
      </c>
      <c r="V59" s="2569">
        <f t="shared" ref="V59" ca="1" si="52">SUM(V60,V61)</f>
        <v>1091.2449157852411</v>
      </c>
      <c r="W59" s="2569">
        <f t="shared" ref="W59" ca="1" si="53">SUM(W60,W61)</f>
        <v>1176.5527728160494</v>
      </c>
      <c r="X59" s="2569">
        <f t="shared" ref="X59" ca="1" si="54">SUM(X60,X61)</f>
        <v>1269.5361053739659</v>
      </c>
      <c r="Y59" s="2569">
        <f t="shared" ref="Y59" ca="1" si="55">SUM(Y60,Y61)</f>
        <v>1374.5710261791544</v>
      </c>
      <c r="Z59" s="2569">
        <f t="shared" ref="Z59" ca="1" si="56">SUM(Z60,Z61)</f>
        <v>1456.215795395661</v>
      </c>
      <c r="AA59" s="91"/>
      <c r="AB59" s="92"/>
      <c r="AC59" s="92"/>
      <c r="AD59" s="92"/>
      <c r="AE59" s="92"/>
      <c r="AF59" s="92"/>
      <c r="AG59" s="92"/>
      <c r="AH59" s="92"/>
      <c r="AI59" s="92"/>
      <c r="AJ59" s="92"/>
      <c r="AK59" s="92"/>
      <c r="AL59" s="92"/>
      <c r="AM59" s="92"/>
      <c r="AN59" s="92"/>
      <c r="AO59" s="92"/>
      <c r="AP59" s="92"/>
      <c r="AQ59" s="92"/>
      <c r="AR59" s="92"/>
      <c r="AS59" s="92"/>
      <c r="AT59" s="92"/>
      <c r="AU59" s="92"/>
      <c r="AV59" s="92"/>
      <c r="AW59" s="92"/>
      <c r="AX59" s="92"/>
      <c r="AY59" s="92"/>
      <c r="AZ59" s="92"/>
      <c r="BA59" s="92"/>
      <c r="BB59" s="200"/>
      <c r="BD59" s="84"/>
      <c r="BE59" s="84"/>
    </row>
    <row r="60" spans="1:57" s="51" customFormat="1">
      <c r="A60" s="44"/>
      <c r="B60" s="201" t="s">
        <v>351</v>
      </c>
      <c r="C60" s="202"/>
      <c r="D60" s="203"/>
      <c r="E60" s="204"/>
      <c r="F60" s="204"/>
      <c r="G60" s="204"/>
      <c r="H60" s="204"/>
      <c r="I60" s="204"/>
      <c r="J60" s="205"/>
      <c r="K60" s="205"/>
      <c r="L60" s="205"/>
      <c r="M60" s="205"/>
      <c r="N60" s="205"/>
      <c r="O60" s="205"/>
      <c r="P60" s="1404"/>
      <c r="Q60" s="206">
        <f ca="1">Q157</f>
        <v>2.5371452690944429E-2</v>
      </c>
      <c r="R60" s="206">
        <f t="shared" ref="R60:Z60" ca="1" si="57">R157</f>
        <v>8.7591255150297129E-2</v>
      </c>
      <c r="S60" s="206">
        <f t="shared" ca="1" si="57"/>
        <v>9.2069872583320264E-2</v>
      </c>
      <c r="T60" s="206">
        <f t="shared" ca="1" si="57"/>
        <v>6.6691363983486573E-2</v>
      </c>
      <c r="U60" s="206">
        <f t="shared" ca="1" si="57"/>
        <v>0.13624507823653478</v>
      </c>
      <c r="V60" s="206">
        <f t="shared" ca="1" si="57"/>
        <v>0.21662463254172398</v>
      </c>
      <c r="W60" s="206">
        <f t="shared" ca="1" si="57"/>
        <v>0.26330702056865657</v>
      </c>
      <c r="X60" s="206">
        <f t="shared" ca="1" si="57"/>
        <v>0.27322785146043432</v>
      </c>
      <c r="Y60" s="206">
        <f t="shared" ca="1" si="57"/>
        <v>0.1840830546276066</v>
      </c>
      <c r="Z60" s="206">
        <f t="shared" ca="1" si="57"/>
        <v>0.12633188719804878</v>
      </c>
      <c r="AA60" s="206"/>
      <c r="AB60" s="207"/>
      <c r="AC60" s="207"/>
      <c r="AD60" s="207"/>
      <c r="AE60" s="207"/>
      <c r="AF60" s="207"/>
      <c r="AG60" s="207"/>
      <c r="AH60" s="207"/>
      <c r="AI60" s="207"/>
      <c r="AJ60" s="207"/>
      <c r="AK60" s="207"/>
      <c r="AL60" s="207"/>
      <c r="AM60" s="207"/>
      <c r="AN60" s="207"/>
      <c r="AO60" s="207"/>
      <c r="AP60" s="207"/>
      <c r="AQ60" s="207"/>
      <c r="AR60" s="207"/>
      <c r="AS60" s="207"/>
      <c r="AT60" s="207"/>
      <c r="AU60" s="207"/>
      <c r="AV60" s="207"/>
      <c r="AW60" s="207"/>
      <c r="AX60" s="207"/>
      <c r="AY60" s="207"/>
      <c r="AZ60" s="207"/>
      <c r="BA60" s="207"/>
      <c r="BB60" s="208"/>
      <c r="BC60" s="209"/>
      <c r="BD60" s="203"/>
      <c r="BE60" s="203"/>
    </row>
    <row r="61" spans="1:57" s="51" customFormat="1">
      <c r="A61" s="44"/>
      <c r="B61" s="201" t="s">
        <v>352</v>
      </c>
      <c r="C61" s="202"/>
      <c r="D61" s="203"/>
      <c r="E61" s="210"/>
      <c r="F61" s="210"/>
      <c r="G61" s="210"/>
      <c r="H61" s="210"/>
      <c r="I61" s="211"/>
      <c r="J61" s="211"/>
      <c r="K61" s="211">
        <f>Notes!F148/$B$1</f>
        <v>117.699812006</v>
      </c>
      <c r="L61" s="211">
        <f>Notes!G148/$B$1</f>
        <v>111.939246447</v>
      </c>
      <c r="M61" s="211">
        <f>Notes!H148/$B$1</f>
        <v>130.835723223</v>
      </c>
      <c r="N61" s="211">
        <f>Notes!I148/$B$1</f>
        <v>262.14901913</v>
      </c>
      <c r="O61" s="211">
        <f>Notes!J148/$B$1</f>
        <v>518.47532930399996</v>
      </c>
      <c r="P61" s="211">
        <f>Notes!K148/$B$1</f>
        <v>282.72827757699997</v>
      </c>
      <c r="Q61" s="206">
        <f>Q165+Q175</f>
        <v>581.9473290121939</v>
      </c>
      <c r="R61" s="206">
        <f t="shared" ref="R61:Z61" si="58">R165+R175</f>
        <v>645.34349327107395</v>
      </c>
      <c r="S61" s="206">
        <f t="shared" si="58"/>
        <v>732.12932916924933</v>
      </c>
      <c r="T61" s="206">
        <f t="shared" si="58"/>
        <v>861.35882411353646</v>
      </c>
      <c r="U61" s="206">
        <f t="shared" si="58"/>
        <v>982.83444052494406</v>
      </c>
      <c r="V61" s="206">
        <f t="shared" si="58"/>
        <v>1091.0282911526995</v>
      </c>
      <c r="W61" s="206">
        <f t="shared" si="58"/>
        <v>1176.2894657954807</v>
      </c>
      <c r="X61" s="206">
        <f t="shared" si="58"/>
        <v>1269.2628775225055</v>
      </c>
      <c r="Y61" s="206">
        <f t="shared" si="58"/>
        <v>1374.3869431245269</v>
      </c>
      <c r="Z61" s="206">
        <f t="shared" si="58"/>
        <v>1456.0894635084628</v>
      </c>
      <c r="AA61" s="206"/>
      <c r="AB61" s="207"/>
      <c r="AC61" s="207"/>
      <c r="AD61" s="207"/>
      <c r="AE61" s="207"/>
      <c r="AF61" s="207"/>
      <c r="AG61" s="207"/>
      <c r="AH61" s="207"/>
      <c r="AI61" s="207"/>
      <c r="AJ61" s="207"/>
      <c r="AK61" s="207"/>
      <c r="AL61" s="207"/>
      <c r="AM61" s="207"/>
      <c r="AN61" s="207"/>
      <c r="AO61" s="207"/>
      <c r="AP61" s="207"/>
      <c r="AQ61" s="207"/>
      <c r="AR61" s="207"/>
      <c r="AS61" s="207"/>
      <c r="AT61" s="207"/>
      <c r="AU61" s="207"/>
      <c r="AV61" s="207"/>
      <c r="AW61" s="207"/>
      <c r="AX61" s="207"/>
      <c r="AY61" s="207"/>
      <c r="AZ61" s="207"/>
      <c r="BA61" s="207"/>
      <c r="BB61" s="208"/>
      <c r="BC61" s="209"/>
      <c r="BD61" s="203"/>
      <c r="BE61" s="203"/>
    </row>
    <row r="62" spans="1:57">
      <c r="A62" s="39"/>
      <c r="B62" s="118" t="s">
        <v>353</v>
      </c>
      <c r="C62" s="118"/>
      <c r="D62" s="84"/>
      <c r="E62" s="114"/>
      <c r="F62" s="114"/>
      <c r="G62" s="114"/>
      <c r="H62" s="114"/>
      <c r="I62" s="212"/>
      <c r="J62" s="212"/>
      <c r="K62" s="212">
        <f>Notes!F149/$B$1</f>
        <v>0</v>
      </c>
      <c r="L62" s="212">
        <f>Notes!G149/$B$1</f>
        <v>0</v>
      </c>
      <c r="M62" s="212">
        <f>Notes!H149/$B$1</f>
        <v>0</v>
      </c>
      <c r="N62" s="212">
        <f>Notes!I149/$B$1</f>
        <v>0</v>
      </c>
      <c r="O62" s="212">
        <f>Notes!J149/$B$1</f>
        <v>0</v>
      </c>
      <c r="P62" s="212">
        <f>Notes!K149/$B$1</f>
        <v>0</v>
      </c>
      <c r="Q62" s="213">
        <f>P62</f>
        <v>0</v>
      </c>
      <c r="R62" s="213">
        <f t="shared" ref="R62:Z62" si="59">Q62</f>
        <v>0</v>
      </c>
      <c r="S62" s="213">
        <f t="shared" si="59"/>
        <v>0</v>
      </c>
      <c r="T62" s="213">
        <f t="shared" si="59"/>
        <v>0</v>
      </c>
      <c r="U62" s="213">
        <f t="shared" si="59"/>
        <v>0</v>
      </c>
      <c r="V62" s="213">
        <f t="shared" si="59"/>
        <v>0</v>
      </c>
      <c r="W62" s="213">
        <f t="shared" si="59"/>
        <v>0</v>
      </c>
      <c r="X62" s="213">
        <f t="shared" si="59"/>
        <v>0</v>
      </c>
      <c r="Y62" s="213">
        <f t="shared" si="59"/>
        <v>0</v>
      </c>
      <c r="Z62" s="213">
        <f t="shared" si="59"/>
        <v>0</v>
      </c>
      <c r="AA62" s="213"/>
      <c r="AB62" s="214"/>
      <c r="AC62" s="214"/>
      <c r="AD62" s="214"/>
      <c r="AE62" s="214"/>
      <c r="AF62" s="214"/>
      <c r="AG62" s="214"/>
      <c r="AH62" s="214"/>
      <c r="AI62" s="214"/>
      <c r="AJ62" s="214"/>
      <c r="AK62" s="214"/>
      <c r="AL62" s="214"/>
      <c r="AM62" s="214"/>
      <c r="AN62" s="214"/>
      <c r="AO62" s="214"/>
      <c r="AP62" s="214"/>
      <c r="AQ62" s="214"/>
      <c r="AR62" s="214"/>
      <c r="AS62" s="214"/>
      <c r="AT62" s="214"/>
      <c r="AU62" s="214"/>
      <c r="AV62" s="214"/>
      <c r="AW62" s="214"/>
      <c r="AX62" s="214"/>
      <c r="AY62" s="214"/>
      <c r="AZ62" s="214"/>
      <c r="BA62" s="214"/>
      <c r="BB62" s="200"/>
      <c r="BD62" s="84"/>
      <c r="BE62" s="84"/>
    </row>
    <row r="63" spans="1:57">
      <c r="A63" s="39"/>
      <c r="B63" s="118" t="s">
        <v>354</v>
      </c>
      <c r="C63" s="118"/>
      <c r="D63" s="84"/>
      <c r="E63" s="128"/>
      <c r="F63" s="128"/>
      <c r="G63" s="128"/>
      <c r="H63" s="128"/>
      <c r="I63" s="129"/>
      <c r="J63" s="129"/>
      <c r="K63" s="129">
        <f>Notes!F150/$B$1</f>
        <v>0</v>
      </c>
      <c r="L63" s="129">
        <f>Notes!G150/$B$1</f>
        <v>0</v>
      </c>
      <c r="M63" s="129">
        <f>Notes!H150/$B$1</f>
        <v>0</v>
      </c>
      <c r="N63" s="129">
        <f>Notes!I150/$B$1</f>
        <v>0</v>
      </c>
      <c r="O63" s="129">
        <f>Notes!J150/$B$1</f>
        <v>0</v>
      </c>
      <c r="P63" s="129">
        <f>Notes!K150/$B$1</f>
        <v>0</v>
      </c>
      <c r="Q63" s="213">
        <f>P63</f>
        <v>0</v>
      </c>
      <c r="R63" s="213">
        <f t="shared" ref="R63:Z63" si="60">Q63</f>
        <v>0</v>
      </c>
      <c r="S63" s="213">
        <f t="shared" si="60"/>
        <v>0</v>
      </c>
      <c r="T63" s="213">
        <f t="shared" si="60"/>
        <v>0</v>
      </c>
      <c r="U63" s="213">
        <f t="shared" si="60"/>
        <v>0</v>
      </c>
      <c r="V63" s="213">
        <f t="shared" si="60"/>
        <v>0</v>
      </c>
      <c r="W63" s="213">
        <f t="shared" si="60"/>
        <v>0</v>
      </c>
      <c r="X63" s="213">
        <f t="shared" si="60"/>
        <v>0</v>
      </c>
      <c r="Y63" s="213">
        <f t="shared" si="60"/>
        <v>0</v>
      </c>
      <c r="Z63" s="213">
        <f t="shared" si="60"/>
        <v>0</v>
      </c>
      <c r="AA63" s="213"/>
      <c r="AB63" s="214"/>
      <c r="AC63" s="214"/>
      <c r="AD63" s="214"/>
      <c r="AE63" s="214"/>
      <c r="AF63" s="214"/>
      <c r="AG63" s="214"/>
      <c r="AH63" s="214"/>
      <c r="AI63" s="214"/>
      <c r="AJ63" s="214"/>
      <c r="AK63" s="214"/>
      <c r="AL63" s="214"/>
      <c r="AM63" s="214"/>
      <c r="AN63" s="214"/>
      <c r="AO63" s="214"/>
      <c r="AP63" s="214"/>
      <c r="AQ63" s="214"/>
      <c r="AR63" s="214"/>
      <c r="AS63" s="214"/>
      <c r="AT63" s="214"/>
      <c r="AU63" s="214"/>
      <c r="AV63" s="214"/>
      <c r="AW63" s="214"/>
      <c r="AX63" s="214"/>
      <c r="AY63" s="214"/>
      <c r="AZ63" s="214"/>
      <c r="BA63" s="214"/>
      <c r="BB63" s="200"/>
      <c r="BD63" s="84"/>
      <c r="BE63" s="84"/>
    </row>
    <row r="64" spans="1:57">
      <c r="A64" s="39"/>
      <c r="B64" s="118" t="s">
        <v>1494</v>
      </c>
      <c r="C64" s="118"/>
      <c r="D64" s="84"/>
      <c r="E64" s="140"/>
      <c r="F64" s="140"/>
      <c r="G64" s="140"/>
      <c r="H64" s="140"/>
      <c r="I64" s="189"/>
      <c r="J64" s="189"/>
      <c r="K64" s="189">
        <f>Notes!F151/$B$1</f>
        <v>0</v>
      </c>
      <c r="L64" s="189">
        <f>Notes!G151/$B$1</f>
        <v>0</v>
      </c>
      <c r="M64" s="189">
        <f>Notes!H151/$B$1</f>
        <v>0</v>
      </c>
      <c r="N64" s="189">
        <f>Notes!I151/$B$1</f>
        <v>0</v>
      </c>
      <c r="O64" s="189">
        <f>Notes!J151/$B$1</f>
        <v>0</v>
      </c>
      <c r="P64" s="189">
        <f>Notes!K151/$B$1</f>
        <v>0</v>
      </c>
      <c r="Q64" s="213">
        <f>P64</f>
        <v>0</v>
      </c>
      <c r="R64" s="213">
        <f t="shared" ref="R64:Z64" si="61">Q64</f>
        <v>0</v>
      </c>
      <c r="S64" s="213">
        <f t="shared" si="61"/>
        <v>0</v>
      </c>
      <c r="T64" s="213">
        <f t="shared" si="61"/>
        <v>0</v>
      </c>
      <c r="U64" s="213">
        <f t="shared" si="61"/>
        <v>0</v>
      </c>
      <c r="V64" s="213">
        <f t="shared" si="61"/>
        <v>0</v>
      </c>
      <c r="W64" s="213">
        <f t="shared" si="61"/>
        <v>0</v>
      </c>
      <c r="X64" s="213">
        <f t="shared" si="61"/>
        <v>0</v>
      </c>
      <c r="Y64" s="213">
        <f t="shared" si="61"/>
        <v>0</v>
      </c>
      <c r="Z64" s="213">
        <f t="shared" si="61"/>
        <v>0</v>
      </c>
      <c r="AA64" s="213"/>
      <c r="AB64" s="214"/>
      <c r="AC64" s="214"/>
      <c r="AD64" s="214"/>
      <c r="AE64" s="214"/>
      <c r="AF64" s="214"/>
      <c r="AG64" s="214"/>
      <c r="AH64" s="214"/>
      <c r="AI64" s="214"/>
      <c r="AJ64" s="214"/>
      <c r="AK64" s="214"/>
      <c r="AL64" s="214"/>
      <c r="AM64" s="214"/>
      <c r="AN64" s="214"/>
      <c r="AO64" s="214"/>
      <c r="AP64" s="214"/>
      <c r="AQ64" s="214"/>
      <c r="AR64" s="214"/>
      <c r="AS64" s="214"/>
      <c r="AT64" s="214"/>
      <c r="AU64" s="214"/>
      <c r="AV64" s="214"/>
      <c r="AW64" s="214"/>
      <c r="AX64" s="214"/>
      <c r="AY64" s="214"/>
      <c r="AZ64" s="214"/>
      <c r="BA64" s="214"/>
      <c r="BB64" s="200"/>
      <c r="BD64" s="84"/>
      <c r="BE64" s="84"/>
    </row>
    <row r="65" spans="1:57">
      <c r="A65" s="39"/>
      <c r="B65" s="118" t="s">
        <v>355</v>
      </c>
      <c r="C65" s="118"/>
      <c r="D65" s="84"/>
      <c r="E65" s="140"/>
      <c r="F65" s="140"/>
      <c r="G65" s="140"/>
      <c r="H65" s="140"/>
      <c r="I65" s="189"/>
      <c r="J65" s="189"/>
      <c r="K65" s="189">
        <f>SUM(Notes!F152, Notes!F153, Notes!F154, Notes!F155, Notes!F156)/$B$1</f>
        <v>9.3163296970000005</v>
      </c>
      <c r="L65" s="189">
        <f>SUM(Notes!G152, Notes!G153, Notes!G154, Notes!G155, Notes!G156)/$B$1</f>
        <v>16.377434979</v>
      </c>
      <c r="M65" s="189">
        <f>SUM(Notes!H152, Notes!H153, Notes!H154, Notes!H155, Notes!H156)/$B$1</f>
        <v>36.696184580999997</v>
      </c>
      <c r="N65" s="189">
        <f>SUM(Notes!I152, Notes!I153, Notes!I154, Notes!I155, Notes!I156)/$B$1</f>
        <v>38.859044187000002</v>
      </c>
      <c r="O65" s="189">
        <f>SUM(Notes!J152, Notes!J153, Notes!J154, Notes!J155, Notes!J156)/$B$1</f>
        <v>58.613161458</v>
      </c>
      <c r="P65" s="189">
        <f>SUM(Notes!K152, Notes!K153, Notes!K154, Notes!K155, Notes!K156)/$B$1</f>
        <v>99.075620674999996</v>
      </c>
      <c r="Q65" s="213">
        <f>AVERAGE(L65:N65)</f>
        <v>30.644221248999997</v>
      </c>
      <c r="R65" s="213">
        <f>AVERAGE(M65:N65,Q65)</f>
        <v>35.399816672333337</v>
      </c>
      <c r="S65" s="213">
        <f>AVERAGE(N65,Q65:R65)</f>
        <v>34.967694036111112</v>
      </c>
      <c r="T65" s="213">
        <f>AVERAGE(Q65:S65)</f>
        <v>33.670577319148151</v>
      </c>
      <c r="U65" s="213">
        <f>AVERAGE(R65:T65)</f>
        <v>34.679362675864205</v>
      </c>
      <c r="V65" s="213">
        <f>AVERAGE(S65:U65)</f>
        <v>34.439211343707825</v>
      </c>
      <c r="W65" s="213">
        <f t="shared" ref="W65:Z65" si="62">AVERAGE(T65:V65)</f>
        <v>34.263050446240065</v>
      </c>
      <c r="X65" s="213">
        <f t="shared" si="62"/>
        <v>34.460541488604036</v>
      </c>
      <c r="Y65" s="213">
        <f t="shared" si="62"/>
        <v>34.387601092850645</v>
      </c>
      <c r="Z65" s="213">
        <f t="shared" si="62"/>
        <v>34.370397675898253</v>
      </c>
      <c r="AA65" s="213"/>
      <c r="AB65" s="214"/>
      <c r="AC65" s="214"/>
      <c r="AD65" s="214"/>
      <c r="AE65" s="214"/>
      <c r="AF65" s="214"/>
      <c r="AG65" s="214"/>
      <c r="AH65" s="214"/>
      <c r="AI65" s="214"/>
      <c r="AJ65" s="214"/>
      <c r="AK65" s="214"/>
      <c r="AL65" s="214"/>
      <c r="AM65" s="214"/>
      <c r="AN65" s="214"/>
      <c r="AO65" s="214"/>
      <c r="AP65" s="214"/>
      <c r="AQ65" s="214"/>
      <c r="AR65" s="214"/>
      <c r="AS65" s="214"/>
      <c r="AT65" s="214"/>
      <c r="AU65" s="214"/>
      <c r="AV65" s="214"/>
      <c r="AW65" s="214"/>
      <c r="AX65" s="214"/>
      <c r="AY65" s="214"/>
      <c r="AZ65" s="214"/>
      <c r="BA65" s="214"/>
      <c r="BB65" s="200"/>
      <c r="BD65" s="84"/>
      <c r="BE65" s="84"/>
    </row>
    <row r="66" spans="1:57" s="88" customFormat="1">
      <c r="A66" s="103"/>
      <c r="B66" s="104" t="s">
        <v>356</v>
      </c>
      <c r="C66" s="104"/>
      <c r="D66" s="110"/>
      <c r="E66" s="106"/>
      <c r="F66" s="106"/>
      <c r="G66" s="106"/>
      <c r="H66" s="106"/>
      <c r="I66" s="107"/>
      <c r="J66" s="107"/>
      <c r="K66" s="107">
        <f>IF(ISTEXT('IS Raw'!F11),'IS Raw'!F20/Input!$B$1,Input!K58)</f>
        <v>127.016141703</v>
      </c>
      <c r="L66" s="107">
        <f>IF(ISTEXT('IS Raw'!G11),'IS Raw'!G20/Input!$B$1,Input!L58)</f>
        <v>128.316681426</v>
      </c>
      <c r="M66" s="107">
        <f>IF(ISTEXT('IS Raw'!H11),'IS Raw'!H20/Input!$B$1,Input!M58)</f>
        <v>167.53190780400001</v>
      </c>
      <c r="N66" s="107">
        <f>IF(ISTEXT('IS Raw'!I11),'IS Raw'!I20/Input!$B$1,Input!N58)</f>
        <v>301.00806331699999</v>
      </c>
      <c r="O66" s="107">
        <f>IF(ISTEXT('IS Raw'!J11),'IS Raw'!J20/Input!$B$1,Input!O58)</f>
        <v>577.08849076199999</v>
      </c>
      <c r="P66" s="107">
        <f>IF(ISTEXT('IS Raw'!K11),'IS Raw'!K20/Input!$B$1,Input!P58)</f>
        <v>381.80389825200001</v>
      </c>
      <c r="Q66" s="108">
        <f ca="1">IF(ISTEXT('IS Raw'!L11),'IS Raw'!L20/Input!$B$1,Input!Q58)</f>
        <v>612.61692171388484</v>
      </c>
      <c r="R66" s="108">
        <f ca="1">IF(ISTEXT('IS Raw'!M11),'IS Raw'!M20/Input!$B$1,Input!R58)</f>
        <v>680.83090119855763</v>
      </c>
      <c r="S66" s="108">
        <f ca="1">IF(ISTEXT('IS Raw'!N11),'IS Raw'!N20/Input!$B$1,Input!S58)</f>
        <v>767.18909307794377</v>
      </c>
      <c r="T66" s="108">
        <f ca="1">IF(ISTEXT('IS Raw'!O11),'IS Raw'!O20/Input!$B$1,Input!T58)</f>
        <v>895.09609279666813</v>
      </c>
      <c r="U66" s="108">
        <f ca="1">IF(ISTEXT('IS Raw'!P11),'IS Raw'!P20/Input!$B$1,Input!U58)</f>
        <v>1017.6500482790449</v>
      </c>
      <c r="V66" s="108">
        <f ca="1">IF(ISTEXT('IS Raw'!Q11),'IS Raw'!Q20/Input!$B$1,Input!V58)</f>
        <v>1125.6841271289491</v>
      </c>
      <c r="W66" s="108">
        <f ca="1">IF(ISTEXT('IS Raw'!R11),'IS Raw'!R20/Input!$B$1,Input!W58)</f>
        <v>1210.8158232622893</v>
      </c>
      <c r="X66" s="108">
        <f ca="1">IF(ISTEXT('IS Raw'!S11),'IS Raw'!S20/Input!$B$1,Input!X58)</f>
        <v>1303.9966468625701</v>
      </c>
      <c r="Y66" s="108">
        <f ca="1">IF(ISTEXT('IS Raw'!T11),'IS Raw'!T20/Input!$B$1,Input!Y58)</f>
        <v>1408.9586272720051</v>
      </c>
      <c r="Z66" s="108">
        <f ca="1">IF(ISTEXT('IS Raw'!U11),'IS Raw'!U20/Input!$B$1,Input!Z58)</f>
        <v>1490.5861930715591</v>
      </c>
      <c r="AA66" s="108"/>
      <c r="AB66" s="109"/>
      <c r="AC66" s="109"/>
      <c r="AD66" s="109"/>
      <c r="AE66" s="109"/>
      <c r="AF66" s="109"/>
      <c r="AG66" s="109"/>
      <c r="AH66" s="109"/>
      <c r="AI66" s="109"/>
      <c r="AJ66" s="109"/>
      <c r="AK66" s="109"/>
      <c r="AL66" s="109"/>
      <c r="AM66" s="109"/>
      <c r="AN66" s="109"/>
      <c r="AO66" s="109"/>
      <c r="AP66" s="109"/>
      <c r="AQ66" s="109"/>
      <c r="AR66" s="109"/>
      <c r="AS66" s="109"/>
      <c r="AT66" s="109"/>
      <c r="AU66" s="109"/>
      <c r="AV66" s="109"/>
      <c r="AW66" s="109"/>
      <c r="AX66" s="109"/>
      <c r="AY66" s="109"/>
      <c r="AZ66" s="109"/>
      <c r="BA66" s="109"/>
      <c r="BB66" s="110"/>
      <c r="BC66" s="111"/>
    </row>
    <row r="67" spans="1:57" s="18" customFormat="1">
      <c r="A67" s="17"/>
      <c r="D67" s="151"/>
      <c r="E67" s="215"/>
      <c r="F67" s="215"/>
      <c r="G67" s="215"/>
      <c r="H67" s="215"/>
      <c r="I67" s="215"/>
      <c r="J67" s="215"/>
      <c r="K67" s="215"/>
      <c r="L67" s="215"/>
      <c r="M67" s="215"/>
      <c r="N67" s="152"/>
      <c r="O67" s="152"/>
      <c r="P67" s="153"/>
      <c r="Q67" s="152"/>
      <c r="R67" s="152"/>
      <c r="S67" s="152"/>
      <c r="T67" s="152"/>
      <c r="U67" s="152"/>
      <c r="V67" s="152"/>
      <c r="W67" s="152"/>
      <c r="X67" s="152"/>
      <c r="Y67" s="152"/>
      <c r="Z67" s="152"/>
      <c r="AA67" s="152"/>
      <c r="AB67" s="152"/>
      <c r="AC67" s="152"/>
      <c r="AD67" s="152"/>
      <c r="AE67" s="152"/>
      <c r="AF67" s="152"/>
      <c r="AG67" s="152"/>
      <c r="AH67" s="152"/>
      <c r="AI67" s="152"/>
      <c r="AJ67" s="152"/>
      <c r="AK67" s="152"/>
      <c r="AL67" s="152"/>
      <c r="AM67" s="152"/>
      <c r="AN67" s="152"/>
      <c r="AO67" s="152"/>
      <c r="AP67" s="152"/>
      <c r="AQ67" s="152"/>
      <c r="AR67" s="152"/>
      <c r="AS67" s="152"/>
      <c r="AT67" s="152"/>
      <c r="AU67" s="152"/>
      <c r="AV67" s="152"/>
      <c r="AW67" s="152"/>
      <c r="AX67" s="152"/>
      <c r="AY67" s="152"/>
      <c r="AZ67" s="152"/>
      <c r="BA67" s="152"/>
      <c r="BB67" s="154"/>
      <c r="BC67" s="75"/>
      <c r="BD67" s="151"/>
      <c r="BE67" s="151"/>
    </row>
    <row r="68" spans="1:57">
      <c r="A68" s="74">
        <v>9</v>
      </c>
      <c r="B68" s="5" t="s">
        <v>357</v>
      </c>
      <c r="D68" s="84"/>
      <c r="E68" s="114"/>
      <c r="F68" s="114"/>
      <c r="G68" s="114"/>
      <c r="H68" s="114"/>
      <c r="I68" s="212"/>
      <c r="J68" s="212"/>
      <c r="K68" s="212">
        <f>-'IS Raw'!F21/Input!$B$1</f>
        <v>102.75348163699999</v>
      </c>
      <c r="L68" s="212">
        <f>-'IS Raw'!G21/Input!$B$1</f>
        <v>63.234525222000002</v>
      </c>
      <c r="M68" s="212">
        <f>-'IS Raw'!H21/Input!$B$1</f>
        <v>45.072929623999997</v>
      </c>
      <c r="N68" s="212">
        <f>-'IS Raw'!I21/Input!$B$1</f>
        <v>60.402056551999998</v>
      </c>
      <c r="O68" s="212">
        <f>-'IS Raw'!J21/Input!$B$1</f>
        <v>27.372487527000001</v>
      </c>
      <c r="P68" s="212">
        <f>-'IS Raw'!K21/Input!$B$1</f>
        <v>76.569107528000004</v>
      </c>
      <c r="Q68" s="91">
        <f ca="1">+Q69+Q75+Q76</f>
        <v>101.62259105422676</v>
      </c>
      <c r="R68" s="91">
        <f t="shared" ref="R68:Z68" ca="1" si="63">+R69+R75+R76</f>
        <v>123.88870999071091</v>
      </c>
      <c r="S68" s="91">
        <f t="shared" ca="1" si="63"/>
        <v>131.90099750132822</v>
      </c>
      <c r="T68" s="91">
        <f t="shared" ca="1" si="63"/>
        <v>152.16027325368296</v>
      </c>
      <c r="U68" s="91">
        <f t="shared" ca="1" si="63"/>
        <v>161.94977108299932</v>
      </c>
      <c r="V68" s="91">
        <f t="shared" ca="1" si="63"/>
        <v>155.26045973421736</v>
      </c>
      <c r="W68" s="91">
        <f t="shared" ca="1" si="63"/>
        <v>144.76033773057523</v>
      </c>
      <c r="X68" s="91">
        <f t="shared" ca="1" si="63"/>
        <v>141.47158845308115</v>
      </c>
      <c r="Y68" s="91">
        <f t="shared" ca="1" si="63"/>
        <v>143.684632669682</v>
      </c>
      <c r="Z68" s="91">
        <f t="shared" ca="1" si="63"/>
        <v>148.60485777920837</v>
      </c>
      <c r="AA68" s="91"/>
      <c r="AB68" s="92"/>
      <c r="AC68" s="92"/>
      <c r="AD68" s="92"/>
      <c r="AE68" s="92"/>
      <c r="AF68" s="92"/>
      <c r="AG68" s="92"/>
      <c r="AH68" s="92"/>
      <c r="AI68" s="92"/>
      <c r="AJ68" s="92"/>
      <c r="AK68" s="92"/>
      <c r="AL68" s="92"/>
      <c r="AM68" s="92"/>
      <c r="AN68" s="92"/>
      <c r="AO68" s="92"/>
      <c r="AP68" s="92"/>
      <c r="AQ68" s="92"/>
      <c r="AR68" s="92"/>
      <c r="AS68" s="92"/>
      <c r="AT68" s="92"/>
      <c r="AU68" s="92"/>
      <c r="AV68" s="92"/>
      <c r="AW68" s="92"/>
      <c r="AX68" s="92"/>
      <c r="AY68" s="92"/>
      <c r="AZ68" s="92"/>
      <c r="BA68" s="92"/>
      <c r="BB68" s="200"/>
      <c r="BD68" s="84"/>
      <c r="BE68" s="84"/>
    </row>
    <row r="69" spans="1:57" ht="15" customHeight="1">
      <c r="A69" s="74" t="s">
        <v>358</v>
      </c>
      <c r="B69" s="216" t="s">
        <v>359</v>
      </c>
      <c r="C69" s="216"/>
      <c r="D69" s="84"/>
      <c r="E69" s="41"/>
      <c r="F69" s="41"/>
      <c r="G69" s="41"/>
      <c r="H69" s="41"/>
      <c r="I69" s="190"/>
      <c r="J69" s="190"/>
      <c r="K69" s="190">
        <f>Notes!F158/Input!$B$1</f>
        <v>87.172530234000007</v>
      </c>
      <c r="L69" s="190">
        <f>Notes!G158/Input!$B$1</f>
        <v>43.301059166000002</v>
      </c>
      <c r="M69" s="190">
        <f>Notes!H158/Input!$B$1</f>
        <v>18.580201013</v>
      </c>
      <c r="N69" s="190">
        <f>Notes!I158/Input!$B$1</f>
        <v>10.274784277</v>
      </c>
      <c r="O69" s="190">
        <f>Notes!J158/Input!$B$1</f>
        <v>10.155714106</v>
      </c>
      <c r="P69" s="190">
        <f>Notes!K158/Input!$B$1</f>
        <v>44.380805248999998</v>
      </c>
      <c r="Q69" s="198">
        <f ca="1">SUM(Q70:Q74)</f>
        <v>74.699342046726755</v>
      </c>
      <c r="R69" s="198">
        <f t="shared" ref="R69:Z69" ca="1" si="64">SUM(R70:R74)</f>
        <v>95.075078049127569</v>
      </c>
      <c r="S69" s="198">
        <f t="shared" ca="1" si="64"/>
        <v>101.60733791214767</v>
      </c>
      <c r="T69" s="198">
        <f t="shared" ca="1" si="64"/>
        <v>121.233125168139</v>
      </c>
      <c r="U69" s="198">
        <f t="shared" ca="1" si="64"/>
        <v>134.22264369569803</v>
      </c>
      <c r="V69" s="198">
        <f t="shared" ca="1" si="64"/>
        <v>125.78160668586584</v>
      </c>
      <c r="W69" s="198">
        <f t="shared" ca="1" si="64"/>
        <v>115.73305955399846</v>
      </c>
      <c r="X69" s="198">
        <f t="shared" ca="1" si="64"/>
        <v>112.09363874832491</v>
      </c>
      <c r="Y69" s="198">
        <f t="shared" ca="1" si="64"/>
        <v>114.21263000439691</v>
      </c>
      <c r="Z69" s="198">
        <f t="shared" ca="1" si="64"/>
        <v>119.26979793457255</v>
      </c>
      <c r="AA69" s="91"/>
      <c r="AB69" s="92"/>
      <c r="AC69" s="92"/>
      <c r="AD69" s="92"/>
      <c r="AE69" s="92"/>
      <c r="AF69" s="92"/>
      <c r="AG69" s="92"/>
      <c r="AH69" s="92"/>
      <c r="AI69" s="92"/>
      <c r="AJ69" s="92"/>
      <c r="AK69" s="92"/>
      <c r="AL69" s="92"/>
      <c r="AM69" s="92"/>
      <c r="AN69" s="92"/>
      <c r="AO69" s="92"/>
      <c r="AP69" s="92"/>
      <c r="AQ69" s="92"/>
      <c r="AR69" s="92"/>
      <c r="AS69" s="92"/>
      <c r="AT69" s="92"/>
      <c r="AU69" s="92"/>
      <c r="AV69" s="92"/>
      <c r="AW69" s="92"/>
      <c r="AX69" s="92"/>
      <c r="AY69" s="92"/>
      <c r="AZ69" s="92"/>
      <c r="BA69" s="92"/>
      <c r="BB69" s="200"/>
      <c r="BC69" s="217"/>
      <c r="BD69" s="84"/>
      <c r="BE69" s="84"/>
    </row>
    <row r="70" spans="1:57" s="51" customFormat="1">
      <c r="A70" s="44"/>
      <c r="B70" s="218" t="s">
        <v>360</v>
      </c>
      <c r="C70" s="218"/>
      <c r="D70" s="203"/>
      <c r="E70" s="219"/>
      <c r="F70" s="219"/>
      <c r="G70" s="219"/>
      <c r="H70" s="219"/>
      <c r="I70" s="219"/>
      <c r="J70" s="219"/>
      <c r="K70" s="219"/>
      <c r="L70" s="210"/>
      <c r="M70" s="210"/>
      <c r="N70" s="210"/>
      <c r="O70" s="210"/>
      <c r="P70" s="220"/>
      <c r="Q70" s="91">
        <f ca="1">Q272</f>
        <v>0</v>
      </c>
      <c r="R70" s="91">
        <f t="shared" ref="R70:Z70" ca="1" si="65">R272</f>
        <v>0</v>
      </c>
      <c r="S70" s="91">
        <f t="shared" ca="1" si="65"/>
        <v>0</v>
      </c>
      <c r="T70" s="91">
        <f t="shared" ca="1" si="65"/>
        <v>0</v>
      </c>
      <c r="U70" s="91">
        <f t="shared" ca="1" si="65"/>
        <v>0</v>
      </c>
      <c r="V70" s="91">
        <f t="shared" ca="1" si="65"/>
        <v>0</v>
      </c>
      <c r="W70" s="91">
        <f t="shared" ca="1" si="65"/>
        <v>0</v>
      </c>
      <c r="X70" s="91">
        <f t="shared" ca="1" si="65"/>
        <v>0</v>
      </c>
      <c r="Y70" s="91">
        <f t="shared" ca="1" si="65"/>
        <v>0</v>
      </c>
      <c r="Z70" s="91">
        <f t="shared" ca="1" si="65"/>
        <v>0</v>
      </c>
      <c r="AA70" s="206"/>
      <c r="AB70" s="207"/>
      <c r="AC70" s="207"/>
      <c r="AD70" s="207"/>
      <c r="AE70" s="207"/>
      <c r="AF70" s="207"/>
      <c r="AG70" s="207"/>
      <c r="AH70" s="207"/>
      <c r="AI70" s="207"/>
      <c r="AJ70" s="207"/>
      <c r="AK70" s="207"/>
      <c r="AL70" s="207"/>
      <c r="AM70" s="207"/>
      <c r="AN70" s="207"/>
      <c r="AO70" s="207"/>
      <c r="AP70" s="207"/>
      <c r="AQ70" s="207"/>
      <c r="AR70" s="207"/>
      <c r="AS70" s="207"/>
      <c r="AT70" s="207"/>
      <c r="AU70" s="207"/>
      <c r="AV70" s="207"/>
      <c r="AW70" s="207"/>
      <c r="AX70" s="207"/>
      <c r="AY70" s="207"/>
      <c r="AZ70" s="207"/>
      <c r="BA70" s="207"/>
      <c r="BB70" s="208"/>
      <c r="BC70" s="217"/>
      <c r="BD70" s="203"/>
      <c r="BE70" s="203"/>
    </row>
    <row r="71" spans="1:57" s="51" customFormat="1">
      <c r="A71" s="44"/>
      <c r="B71" s="218" t="s">
        <v>361</v>
      </c>
      <c r="C71" s="218"/>
      <c r="D71" s="203"/>
      <c r="E71" s="219"/>
      <c r="F71" s="219"/>
      <c r="G71" s="219"/>
      <c r="H71" s="219"/>
      <c r="I71" s="221"/>
      <c r="J71" s="221"/>
      <c r="K71" s="221"/>
      <c r="L71" s="221"/>
      <c r="M71" s="221"/>
      <c r="N71" s="221"/>
      <c r="O71" s="221"/>
      <c r="P71" s="1405"/>
      <c r="Q71" s="206">
        <f>Q277</f>
        <v>56.344825289697262</v>
      </c>
      <c r="R71" s="206">
        <f t="shared" ref="R71:Z71" si="66">R277</f>
        <v>61.998818513436589</v>
      </c>
      <c r="S71" s="206">
        <f t="shared" si="66"/>
        <v>59.459129561488709</v>
      </c>
      <c r="T71" s="206">
        <f t="shared" si="66"/>
        <v>66.709856857061908</v>
      </c>
      <c r="U71" s="206">
        <f t="shared" si="66"/>
        <v>74.714831955830647</v>
      </c>
      <c r="V71" s="206">
        <f t="shared" si="66"/>
        <v>75.581429837162176</v>
      </c>
      <c r="W71" s="206">
        <f t="shared" si="66"/>
        <v>75.914290577159562</v>
      </c>
      <c r="X71" s="206">
        <f t="shared" si="66"/>
        <v>80.737951041465735</v>
      </c>
      <c r="Y71" s="206">
        <f t="shared" si="66"/>
        <v>87.048371380371933</v>
      </c>
      <c r="Z71" s="206">
        <f t="shared" si="66"/>
        <v>92.646922829080282</v>
      </c>
      <c r="AA71" s="206"/>
      <c r="AB71" s="207"/>
      <c r="AC71" s="207"/>
      <c r="AD71" s="207"/>
      <c r="AE71" s="207"/>
      <c r="AF71" s="207"/>
      <c r="AG71" s="207"/>
      <c r="AH71" s="207"/>
      <c r="AI71" s="207"/>
      <c r="AJ71" s="207"/>
      <c r="AK71" s="207"/>
      <c r="AL71" s="207"/>
      <c r="AM71" s="207"/>
      <c r="AN71" s="207"/>
      <c r="AO71" s="207"/>
      <c r="AP71" s="207"/>
      <c r="AQ71" s="207"/>
      <c r="AR71" s="207"/>
      <c r="AS71" s="207"/>
      <c r="AT71" s="207"/>
      <c r="AU71" s="207"/>
      <c r="AV71" s="207"/>
      <c r="AW71" s="207"/>
      <c r="AX71" s="207"/>
      <c r="AY71" s="207"/>
      <c r="AZ71" s="207"/>
      <c r="BA71" s="207"/>
      <c r="BB71" s="208"/>
      <c r="BC71" s="217"/>
      <c r="BD71" s="203"/>
      <c r="BE71" s="203"/>
    </row>
    <row r="72" spans="1:57" s="51" customFormat="1">
      <c r="A72" s="44"/>
      <c r="B72" s="218" t="s">
        <v>362</v>
      </c>
      <c r="C72" s="218"/>
      <c r="D72" s="203"/>
      <c r="E72" s="219"/>
      <c r="F72" s="219"/>
      <c r="G72" s="219"/>
      <c r="H72" s="219"/>
      <c r="I72" s="219"/>
      <c r="J72" s="219"/>
      <c r="K72" s="219"/>
      <c r="L72" s="210"/>
      <c r="M72" s="210"/>
      <c r="N72" s="222"/>
      <c r="O72" s="222"/>
      <c r="P72" s="223"/>
      <c r="Q72" s="206">
        <f>Q307</f>
        <v>18.354516757029494</v>
      </c>
      <c r="R72" s="206">
        <f t="shared" ref="R72:Z72" si="67">R307</f>
        <v>33.076259535690973</v>
      </c>
      <c r="S72" s="206">
        <f t="shared" si="67"/>
        <v>42.148208350658962</v>
      </c>
      <c r="T72" s="206">
        <f t="shared" si="67"/>
        <v>54.523268311077089</v>
      </c>
      <c r="U72" s="206">
        <f t="shared" si="67"/>
        <v>59.507811739867385</v>
      </c>
      <c r="V72" s="206">
        <f t="shared" si="67"/>
        <v>50.200176848703663</v>
      </c>
      <c r="W72" s="206">
        <f t="shared" si="67"/>
        <v>39.818768976838896</v>
      </c>
      <c r="X72" s="206">
        <f t="shared" si="67"/>
        <v>31.355687706859165</v>
      </c>
      <c r="Y72" s="206">
        <f t="shared" si="67"/>
        <v>27.164258624024978</v>
      </c>
      <c r="Z72" s="206">
        <f t="shared" si="67"/>
        <v>26.62287510549227</v>
      </c>
      <c r="AA72" s="206"/>
      <c r="AB72" s="224"/>
      <c r="AC72" s="224"/>
      <c r="AD72" s="224"/>
      <c r="AE72" s="224"/>
      <c r="AF72" s="224"/>
      <c r="AG72" s="224"/>
      <c r="AH72" s="224"/>
      <c r="AI72" s="224"/>
      <c r="AJ72" s="224"/>
      <c r="AK72" s="224"/>
      <c r="AL72" s="224"/>
      <c r="AM72" s="224"/>
      <c r="AN72" s="224"/>
      <c r="AO72" s="224"/>
      <c r="AP72" s="224"/>
      <c r="AQ72" s="224"/>
      <c r="AR72" s="224"/>
      <c r="AS72" s="224"/>
      <c r="AT72" s="224"/>
      <c r="AU72" s="224"/>
      <c r="AV72" s="224"/>
      <c r="AW72" s="224"/>
      <c r="AX72" s="224"/>
      <c r="AY72" s="224"/>
      <c r="AZ72" s="224"/>
      <c r="BA72" s="224"/>
      <c r="BB72" s="208"/>
      <c r="BC72" s="217"/>
      <c r="BD72" s="203"/>
      <c r="BE72" s="203"/>
    </row>
    <row r="73" spans="1:57" s="51" customFormat="1">
      <c r="A73" s="44"/>
      <c r="B73" s="218" t="s">
        <v>363</v>
      </c>
      <c r="C73" s="218"/>
      <c r="D73" s="203"/>
      <c r="E73" s="219"/>
      <c r="F73" s="219"/>
      <c r="G73" s="219"/>
      <c r="H73" s="219"/>
      <c r="I73" s="219"/>
      <c r="J73" s="219"/>
      <c r="K73" s="219"/>
      <c r="L73" s="210"/>
      <c r="M73" s="210"/>
      <c r="N73" s="210"/>
      <c r="O73" s="210"/>
      <c r="P73" s="220"/>
      <c r="Q73" s="206">
        <f>Q317</f>
        <v>0</v>
      </c>
      <c r="R73" s="206">
        <f t="shared" ref="R73:Z73" si="68">R317</f>
        <v>0</v>
      </c>
      <c r="S73" s="206">
        <f t="shared" si="68"/>
        <v>0</v>
      </c>
      <c r="T73" s="206">
        <f t="shared" si="68"/>
        <v>0</v>
      </c>
      <c r="U73" s="206">
        <f t="shared" si="68"/>
        <v>0</v>
      </c>
      <c r="V73" s="206">
        <f t="shared" si="68"/>
        <v>0</v>
      </c>
      <c r="W73" s="206">
        <f t="shared" si="68"/>
        <v>0</v>
      </c>
      <c r="X73" s="206">
        <f t="shared" si="68"/>
        <v>0</v>
      </c>
      <c r="Y73" s="206">
        <f t="shared" si="68"/>
        <v>0</v>
      </c>
      <c r="Z73" s="206">
        <f t="shared" si="68"/>
        <v>0</v>
      </c>
      <c r="AA73" s="206"/>
      <c r="AB73" s="207"/>
      <c r="AC73" s="207"/>
      <c r="AD73" s="207"/>
      <c r="AE73" s="207"/>
      <c r="AF73" s="207"/>
      <c r="AG73" s="207"/>
      <c r="AH73" s="207"/>
      <c r="AI73" s="207"/>
      <c r="AJ73" s="207"/>
      <c r="AK73" s="207"/>
      <c r="AL73" s="207"/>
      <c r="AM73" s="207"/>
      <c r="AN73" s="207"/>
      <c r="AO73" s="207"/>
      <c r="AP73" s="207"/>
      <c r="AQ73" s="207"/>
      <c r="AR73" s="207"/>
      <c r="AS73" s="207"/>
      <c r="AT73" s="207"/>
      <c r="AU73" s="207"/>
      <c r="AV73" s="207"/>
      <c r="AW73" s="207"/>
      <c r="AX73" s="207"/>
      <c r="AY73" s="207"/>
      <c r="AZ73" s="207"/>
      <c r="BA73" s="207"/>
      <c r="BB73" s="208"/>
      <c r="BC73" s="217"/>
      <c r="BD73" s="203"/>
      <c r="BE73" s="203"/>
    </row>
    <row r="74" spans="1:57" s="51" customFormat="1" ht="15" customHeight="1">
      <c r="A74" s="44"/>
      <c r="B74" s="218" t="s">
        <v>364</v>
      </c>
      <c r="C74" s="218"/>
      <c r="D74" s="203"/>
      <c r="E74" s="219"/>
      <c r="F74" s="219"/>
      <c r="G74" s="219"/>
      <c r="H74" s="219"/>
      <c r="I74" s="219"/>
      <c r="J74" s="219"/>
      <c r="K74" s="219"/>
      <c r="L74" s="210"/>
      <c r="M74" s="210"/>
      <c r="N74" s="210"/>
      <c r="O74" s="210"/>
      <c r="P74" s="220"/>
      <c r="Q74" s="206">
        <f>Q327</f>
        <v>0</v>
      </c>
      <c r="R74" s="206">
        <f t="shared" ref="R74:Z74" si="69">R327</f>
        <v>0</v>
      </c>
      <c r="S74" s="206">
        <f t="shared" si="69"/>
        <v>0</v>
      </c>
      <c r="T74" s="206">
        <f t="shared" si="69"/>
        <v>0</v>
      </c>
      <c r="U74" s="206">
        <f t="shared" si="69"/>
        <v>0</v>
      </c>
      <c r="V74" s="206">
        <f t="shared" si="69"/>
        <v>0</v>
      </c>
      <c r="W74" s="206">
        <f t="shared" si="69"/>
        <v>0</v>
      </c>
      <c r="X74" s="206">
        <f t="shared" si="69"/>
        <v>0</v>
      </c>
      <c r="Y74" s="206">
        <f t="shared" si="69"/>
        <v>0</v>
      </c>
      <c r="Z74" s="206">
        <f t="shared" si="69"/>
        <v>0</v>
      </c>
      <c r="AA74" s="206"/>
      <c r="AB74" s="207"/>
      <c r="AC74" s="207"/>
      <c r="AD74" s="207"/>
      <c r="AE74" s="207"/>
      <c r="AF74" s="207"/>
      <c r="AG74" s="207"/>
      <c r="AH74" s="207"/>
      <c r="AI74" s="207"/>
      <c r="AJ74" s="207"/>
      <c r="AK74" s="207"/>
      <c r="AL74" s="207"/>
      <c r="AM74" s="207"/>
      <c r="AN74" s="207"/>
      <c r="AO74" s="207"/>
      <c r="AP74" s="207"/>
      <c r="AQ74" s="207"/>
      <c r="AR74" s="207"/>
      <c r="AS74" s="207"/>
      <c r="AT74" s="207"/>
      <c r="AU74" s="207"/>
      <c r="AV74" s="207"/>
      <c r="AW74" s="207"/>
      <c r="AX74" s="207"/>
      <c r="AY74" s="207"/>
      <c r="AZ74" s="207"/>
      <c r="BA74" s="207"/>
      <c r="BB74" s="208"/>
      <c r="BC74" s="217"/>
      <c r="BD74" s="203"/>
      <c r="BE74" s="203"/>
    </row>
    <row r="75" spans="1:57">
      <c r="A75" s="39" t="s">
        <v>365</v>
      </c>
      <c r="B75" s="216" t="s">
        <v>366</v>
      </c>
      <c r="C75" s="216"/>
      <c r="D75" s="84"/>
      <c r="E75" s="128"/>
      <c r="F75" s="128"/>
      <c r="G75" s="128"/>
      <c r="H75" s="128"/>
      <c r="I75" s="129"/>
      <c r="J75" s="129"/>
      <c r="K75" s="129">
        <f>(Notes!F162 + Notes!F163)/Input!$B$1</f>
        <v>10.77101966</v>
      </c>
      <c r="L75" s="129">
        <f>(Notes!G162 + Notes!G163)/Input!$B$1</f>
        <v>17.436037471999999</v>
      </c>
      <c r="M75" s="129">
        <f>(Notes!H162 + Notes!H163)/Input!$B$1</f>
        <v>23.976005430000001</v>
      </c>
      <c r="N75" s="129">
        <f>(Notes!I162 + Notes!I163)/Input!$B$1</f>
        <v>50.127272275000003</v>
      </c>
      <c r="O75" s="129">
        <f>(Notes!J162 + Notes!J163)/Input!$B$1</f>
        <v>17.216773420999999</v>
      </c>
      <c r="P75" s="129">
        <f>(Notes!K162 + Notes!K163)/Input!$B$1</f>
        <v>32.188302278999998</v>
      </c>
      <c r="Q75" s="213">
        <f>AVERAGE(K75:P75)</f>
        <v>25.285901756166666</v>
      </c>
      <c r="R75" s="213">
        <f t="shared" ref="R75:Z75" si="70">AVERAGE(L75:Q75)</f>
        <v>27.705048772194441</v>
      </c>
      <c r="S75" s="213">
        <f t="shared" si="70"/>
        <v>29.416550655560187</v>
      </c>
      <c r="T75" s="213">
        <f t="shared" si="70"/>
        <v>30.323308193153547</v>
      </c>
      <c r="U75" s="213">
        <f t="shared" si="70"/>
        <v>27.022647512845804</v>
      </c>
      <c r="V75" s="213">
        <f t="shared" si="70"/>
        <v>28.656959861486772</v>
      </c>
      <c r="W75" s="213">
        <f t="shared" si="70"/>
        <v>28.068402791901235</v>
      </c>
      <c r="X75" s="213">
        <f t="shared" si="70"/>
        <v>28.532152964523664</v>
      </c>
      <c r="Y75" s="213">
        <f t="shared" si="70"/>
        <v>28.6700036632452</v>
      </c>
      <c r="Z75" s="213">
        <f t="shared" si="70"/>
        <v>28.545579164526043</v>
      </c>
      <c r="AA75" s="213"/>
      <c r="AB75" s="214"/>
      <c r="AC75" s="214"/>
      <c r="AD75" s="214"/>
      <c r="AE75" s="214"/>
      <c r="AF75" s="214"/>
      <c r="AG75" s="214"/>
      <c r="AH75" s="214"/>
      <c r="AI75" s="214"/>
      <c r="AJ75" s="214"/>
      <c r="AK75" s="214"/>
      <c r="AL75" s="214"/>
      <c r="AM75" s="214"/>
      <c r="AN75" s="214"/>
      <c r="AO75" s="214"/>
      <c r="AP75" s="214"/>
      <c r="AQ75" s="214"/>
      <c r="AR75" s="214"/>
      <c r="AS75" s="214"/>
      <c r="AT75" s="214"/>
      <c r="AU75" s="214"/>
      <c r="AV75" s="214"/>
      <c r="AW75" s="214"/>
      <c r="AX75" s="214"/>
      <c r="AY75" s="214"/>
      <c r="AZ75" s="214"/>
      <c r="BA75" s="214"/>
      <c r="BB75" s="200"/>
      <c r="BD75" s="84"/>
      <c r="BE75" s="84"/>
    </row>
    <row r="76" spans="1:57">
      <c r="A76" s="39" t="s">
        <v>367</v>
      </c>
      <c r="B76" s="216" t="s">
        <v>368</v>
      </c>
      <c r="C76" s="216"/>
      <c r="D76" s="84"/>
      <c r="E76" s="128"/>
      <c r="F76" s="128"/>
      <c r="G76" s="128"/>
      <c r="H76" s="128"/>
      <c r="I76" s="129"/>
      <c r="J76" s="129"/>
      <c r="K76" s="129">
        <f>SUM(Notes!F159, Notes!F160, Notes!F161, Notes!F164, Notes!F165)</f>
        <v>4.8099317429999999</v>
      </c>
      <c r="L76" s="129">
        <f>SUM(Notes!G159, Notes!G160, Notes!G161, Notes!G164, Notes!G165)</f>
        <v>2.4974285840000001</v>
      </c>
      <c r="M76" s="129">
        <f>SUM(Notes!H159, Notes!H160, Notes!H161, Notes!H164, Notes!H165)</f>
        <v>2.5167231809999997</v>
      </c>
      <c r="N76" s="129">
        <f>SUM(Notes!I159, Notes!I160, Notes!I161, Notes!I164, Notes!I165)</f>
        <v>0</v>
      </c>
      <c r="O76" s="129">
        <f>SUM(Notes!J159, Notes!J160, Notes!J161, Notes!J164, Notes!J165)</f>
        <v>0</v>
      </c>
      <c r="P76" s="129">
        <f>SUM(Notes!K159, Notes!K160, Notes!K161, Notes!K164, Notes!K165)</f>
        <v>0</v>
      </c>
      <c r="Q76" s="213">
        <f>AVERAGE(K76:P76)</f>
        <v>1.6373472513333331</v>
      </c>
      <c r="R76" s="213">
        <f t="shared" ref="R76:Z76" si="71">AVERAGE(L76:Q76)</f>
        <v>1.1085831693888888</v>
      </c>
      <c r="S76" s="213">
        <f t="shared" si="71"/>
        <v>0.87710893362037023</v>
      </c>
      <c r="T76" s="213">
        <f t="shared" si="71"/>
        <v>0.60383989239043201</v>
      </c>
      <c r="U76" s="213">
        <f t="shared" si="71"/>
        <v>0.70447987445550397</v>
      </c>
      <c r="V76" s="213">
        <f t="shared" si="71"/>
        <v>0.82189318686475454</v>
      </c>
      <c r="W76" s="213">
        <f t="shared" si="71"/>
        <v>0.958875384675547</v>
      </c>
      <c r="X76" s="213">
        <f t="shared" si="71"/>
        <v>0.84579674023258278</v>
      </c>
      <c r="Y76" s="213">
        <f t="shared" si="71"/>
        <v>0.80199900203986507</v>
      </c>
      <c r="Z76" s="213">
        <f t="shared" si="71"/>
        <v>0.78948068010978079</v>
      </c>
      <c r="AA76" s="213"/>
      <c r="AB76" s="214"/>
      <c r="AC76" s="214"/>
      <c r="AD76" s="214"/>
      <c r="AE76" s="214"/>
      <c r="AF76" s="214"/>
      <c r="AG76" s="214"/>
      <c r="AH76" s="214"/>
      <c r="AI76" s="214"/>
      <c r="AJ76" s="214"/>
      <c r="AK76" s="214"/>
      <c r="AL76" s="214"/>
      <c r="AM76" s="214"/>
      <c r="AN76" s="214"/>
      <c r="AO76" s="214"/>
      <c r="AP76" s="214"/>
      <c r="AQ76" s="214"/>
      <c r="AR76" s="214"/>
      <c r="AS76" s="214"/>
      <c r="AT76" s="214"/>
      <c r="AU76" s="214"/>
      <c r="AV76" s="214"/>
      <c r="AW76" s="214"/>
      <c r="AX76" s="214"/>
      <c r="AY76" s="214"/>
      <c r="AZ76" s="214"/>
      <c r="BA76" s="214"/>
      <c r="BB76" s="200"/>
      <c r="BC76" s="225"/>
      <c r="BD76" s="84"/>
      <c r="BE76" s="84"/>
    </row>
    <row r="77" spans="1:57" s="95" customFormat="1">
      <c r="A77" s="86"/>
      <c r="B77" s="104" t="s">
        <v>369</v>
      </c>
      <c r="C77" s="104"/>
      <c r="D77" s="110"/>
      <c r="E77" s="106"/>
      <c r="F77" s="106"/>
      <c r="G77" s="106"/>
      <c r="H77" s="106"/>
      <c r="I77" s="107"/>
      <c r="J77" s="107"/>
      <c r="K77" s="107">
        <f>IF(ISTEXT('IS Raw'!F11), -'IS Raw'!F21/Input!$B$1,Input!K68)</f>
        <v>102.75348163699999</v>
      </c>
      <c r="L77" s="107">
        <f>IF(ISTEXT('IS Raw'!G11), -'IS Raw'!G21/Input!$B$1,Input!L68)</f>
        <v>63.234525222000002</v>
      </c>
      <c r="M77" s="107">
        <f>IF(ISTEXT('IS Raw'!H11), -'IS Raw'!H21/Input!$B$1,Input!M68)</f>
        <v>45.072929623999997</v>
      </c>
      <c r="N77" s="107">
        <f>IF(ISTEXT('IS Raw'!I11), -'IS Raw'!I21/Input!$B$1,Input!N68)</f>
        <v>60.402056551999998</v>
      </c>
      <c r="O77" s="107">
        <f>IF(ISTEXT('IS Raw'!J11), -'IS Raw'!J21/Input!$B$1,Input!O68)</f>
        <v>27.372487527000001</v>
      </c>
      <c r="P77" s="107">
        <f>IF(ISTEXT('IS Raw'!K11), -'IS Raw'!K21/Input!$B$1,Input!P68)</f>
        <v>76.569107528000004</v>
      </c>
      <c r="Q77" s="108">
        <f ca="1">IF(ISTEXT('IS Raw'!L11), -'IS Raw'!L21/Input!$B$1,Input!Q68)</f>
        <v>101.62259105422676</v>
      </c>
      <c r="R77" s="108">
        <f ca="1">IF(ISTEXT('IS Raw'!M11), -'IS Raw'!M21/Input!$B$1,Input!R68)</f>
        <v>123.88870999071091</v>
      </c>
      <c r="S77" s="108">
        <f ca="1">IF(ISTEXT('IS Raw'!N11), -'IS Raw'!N21/Input!$B$1,Input!S68)</f>
        <v>131.90099750132822</v>
      </c>
      <c r="T77" s="108">
        <f ca="1">IF(ISTEXT('IS Raw'!O11), -'IS Raw'!O21/Input!$B$1,Input!T68)</f>
        <v>152.16027325368296</v>
      </c>
      <c r="U77" s="108">
        <f ca="1">IF(ISTEXT('IS Raw'!P11), -'IS Raw'!P21/Input!$B$1,Input!U68)</f>
        <v>161.94977108299932</v>
      </c>
      <c r="V77" s="108">
        <f ca="1">IF(ISTEXT('IS Raw'!Q11), -'IS Raw'!Q21/Input!$B$1,Input!V68)</f>
        <v>155.26045973421736</v>
      </c>
      <c r="W77" s="108">
        <f ca="1">IF(ISTEXT('IS Raw'!R11), -'IS Raw'!R21/Input!$B$1,Input!W68)</f>
        <v>144.76033773057523</v>
      </c>
      <c r="X77" s="108">
        <f ca="1">IF(ISTEXT('IS Raw'!S11), -'IS Raw'!S21/Input!$B$1,Input!X68)</f>
        <v>141.47158845308115</v>
      </c>
      <c r="Y77" s="108">
        <f ca="1">IF(ISTEXT('IS Raw'!T11), -'IS Raw'!T21/Input!$B$1,Input!Y68)</f>
        <v>143.684632669682</v>
      </c>
      <c r="Z77" s="108">
        <f ca="1">IF(ISTEXT('IS Raw'!U11), -'IS Raw'!U21/Input!$B$1,Input!Z68)</f>
        <v>148.60485777920837</v>
      </c>
      <c r="AA77" s="108"/>
      <c r="AB77" s="109"/>
      <c r="AC77" s="109"/>
      <c r="AD77" s="109"/>
      <c r="AE77" s="109"/>
      <c r="AF77" s="109"/>
      <c r="AG77" s="109"/>
      <c r="AH77" s="109"/>
      <c r="AI77" s="109"/>
      <c r="AJ77" s="109"/>
      <c r="AK77" s="109"/>
      <c r="AL77" s="109"/>
      <c r="AM77" s="109"/>
      <c r="AN77" s="109"/>
      <c r="AO77" s="109"/>
      <c r="AP77" s="109"/>
      <c r="AQ77" s="109"/>
      <c r="AR77" s="109"/>
      <c r="AS77" s="109"/>
      <c r="AT77" s="109"/>
      <c r="AU77" s="109"/>
      <c r="AV77" s="109"/>
      <c r="AW77" s="109"/>
      <c r="AX77" s="109"/>
      <c r="AY77" s="109"/>
      <c r="AZ77" s="109"/>
      <c r="BA77" s="109"/>
      <c r="BB77" s="110"/>
      <c r="BC77" s="217"/>
    </row>
    <row r="78" spans="1:57">
      <c r="A78" s="39"/>
      <c r="B78" s="18"/>
      <c r="C78" s="18"/>
      <c r="D78" s="151"/>
      <c r="E78" s="124"/>
      <c r="F78" s="124"/>
      <c r="G78" s="124"/>
      <c r="H78" s="124"/>
      <c r="I78" s="124"/>
      <c r="J78" s="226"/>
      <c r="K78" s="226"/>
      <c r="L78" s="226"/>
      <c r="M78" s="226"/>
      <c r="N78" s="226"/>
      <c r="O78" s="226"/>
      <c r="P78" s="1406"/>
      <c r="Q78" s="124"/>
      <c r="R78" s="124"/>
      <c r="S78" s="124"/>
      <c r="T78" s="124"/>
      <c r="U78" s="124"/>
      <c r="V78" s="124"/>
      <c r="W78" s="124"/>
      <c r="X78" s="124"/>
      <c r="Y78" s="124"/>
      <c r="Z78" s="124"/>
      <c r="AA78" s="124"/>
      <c r="AB78" s="124"/>
      <c r="AC78" s="124"/>
      <c r="AD78" s="124"/>
      <c r="AE78" s="124"/>
      <c r="AF78" s="124"/>
      <c r="AG78" s="124"/>
      <c r="AH78" s="124"/>
      <c r="AI78" s="124"/>
      <c r="AJ78" s="124"/>
      <c r="AK78" s="124"/>
      <c r="AL78" s="124"/>
      <c r="AM78" s="124"/>
      <c r="AN78" s="124"/>
      <c r="AO78" s="124"/>
      <c r="AP78" s="124"/>
      <c r="AQ78" s="124"/>
      <c r="AR78" s="124"/>
      <c r="AS78" s="124"/>
      <c r="AT78" s="124"/>
      <c r="AU78" s="124"/>
      <c r="AV78" s="124"/>
      <c r="AW78" s="124"/>
      <c r="AX78" s="124"/>
      <c r="AY78" s="124"/>
      <c r="AZ78" s="124"/>
      <c r="BA78" s="124"/>
      <c r="BB78" s="227"/>
      <c r="BC78" s="94"/>
      <c r="BD78" s="84"/>
      <c r="BE78" s="84"/>
    </row>
    <row r="79" spans="1:57" s="228" customFormat="1">
      <c r="A79" s="86">
        <v>10</v>
      </c>
      <c r="B79" s="87" t="s">
        <v>370</v>
      </c>
      <c r="C79" s="87"/>
      <c r="D79" s="187"/>
      <c r="E79" s="89"/>
      <c r="F79" s="89"/>
      <c r="G79" s="89"/>
      <c r="H79" s="89"/>
      <c r="I79" s="90"/>
      <c r="J79" s="90"/>
      <c r="K79" s="90">
        <f>'IS Raw'!F30/Input!$B$1</f>
        <v>0</v>
      </c>
      <c r="L79" s="90">
        <f>'IS Raw'!G30/Input!$B$1</f>
        <v>0</v>
      </c>
      <c r="M79" s="90">
        <f>'IS Raw'!H30/Input!$B$1</f>
        <v>0</v>
      </c>
      <c r="N79" s="90">
        <f>'IS Raw'!I30/Input!$B$1</f>
        <v>0</v>
      </c>
      <c r="O79" s="90">
        <f>'IS Raw'!J30/Input!$B$1</f>
        <v>0</v>
      </c>
      <c r="P79" s="90">
        <f>'IS Raw'!K30/Input!$B$1</f>
        <v>0</v>
      </c>
      <c r="Q79" s="213">
        <f>P79</f>
        <v>0</v>
      </c>
      <c r="R79" s="213">
        <f t="shared" ref="R79:Z79" si="72">Q79</f>
        <v>0</v>
      </c>
      <c r="S79" s="213">
        <f t="shared" si="72"/>
        <v>0</v>
      </c>
      <c r="T79" s="213">
        <f t="shared" si="72"/>
        <v>0</v>
      </c>
      <c r="U79" s="213">
        <f t="shared" si="72"/>
        <v>0</v>
      </c>
      <c r="V79" s="213">
        <f t="shared" si="72"/>
        <v>0</v>
      </c>
      <c r="W79" s="213">
        <f t="shared" si="72"/>
        <v>0</v>
      </c>
      <c r="X79" s="213">
        <f t="shared" si="72"/>
        <v>0</v>
      </c>
      <c r="Y79" s="213">
        <f t="shared" si="72"/>
        <v>0</v>
      </c>
      <c r="Z79" s="213">
        <f t="shared" si="72"/>
        <v>0</v>
      </c>
      <c r="AA79" s="213"/>
      <c r="AB79" s="214"/>
      <c r="AC79" s="214"/>
      <c r="AD79" s="214"/>
      <c r="AE79" s="214"/>
      <c r="AF79" s="214"/>
      <c r="AG79" s="214"/>
      <c r="AH79" s="214"/>
      <c r="AI79" s="214"/>
      <c r="AJ79" s="214"/>
      <c r="AK79" s="214"/>
      <c r="AL79" s="214"/>
      <c r="AM79" s="214"/>
      <c r="AN79" s="214"/>
      <c r="AO79" s="214"/>
      <c r="AP79" s="214"/>
      <c r="AQ79" s="214"/>
      <c r="AR79" s="214"/>
      <c r="AS79" s="214"/>
      <c r="AT79" s="214"/>
      <c r="AU79" s="214"/>
      <c r="AV79" s="214"/>
      <c r="AW79" s="214"/>
      <c r="AX79" s="214"/>
      <c r="AY79" s="214"/>
      <c r="AZ79" s="214"/>
      <c r="BA79" s="214"/>
      <c r="BB79" s="200"/>
      <c r="BC79" s="94"/>
      <c r="BD79" s="187"/>
      <c r="BE79" s="187"/>
    </row>
    <row r="80" spans="1:57" s="228" customFormat="1">
      <c r="A80" s="86"/>
      <c r="B80" s="145" t="s">
        <v>319</v>
      </c>
      <c r="C80" s="87"/>
      <c r="D80" s="187"/>
      <c r="E80" s="89"/>
      <c r="F80" s="89"/>
      <c r="G80" s="89"/>
      <c r="H80" s="89"/>
      <c r="I80" s="229"/>
      <c r="J80" s="229"/>
      <c r="K80" s="229">
        <f>K79/K7</f>
        <v>0</v>
      </c>
      <c r="L80" s="229">
        <f t="shared" ref="L80:P80" si="73">L79/L7</f>
        <v>0</v>
      </c>
      <c r="M80" s="229">
        <f t="shared" si="73"/>
        <v>0</v>
      </c>
      <c r="N80" s="229">
        <f t="shared" si="73"/>
        <v>0</v>
      </c>
      <c r="O80" s="229">
        <f t="shared" si="73"/>
        <v>0</v>
      </c>
      <c r="P80" s="229">
        <f t="shared" si="73"/>
        <v>0</v>
      </c>
      <c r="Q80" s="230">
        <f>Q79/Q7</f>
        <v>0</v>
      </c>
      <c r="R80" s="230">
        <f t="shared" ref="R80:Z80" si="74">R79/R7</f>
        <v>0</v>
      </c>
      <c r="S80" s="230">
        <f t="shared" si="74"/>
        <v>0</v>
      </c>
      <c r="T80" s="230">
        <f t="shared" si="74"/>
        <v>0</v>
      </c>
      <c r="U80" s="230">
        <f t="shared" si="74"/>
        <v>0</v>
      </c>
      <c r="V80" s="230">
        <f t="shared" si="74"/>
        <v>0</v>
      </c>
      <c r="W80" s="230">
        <f t="shared" si="74"/>
        <v>0</v>
      </c>
      <c r="X80" s="230">
        <f t="shared" si="74"/>
        <v>0</v>
      </c>
      <c r="Y80" s="230">
        <f t="shared" si="74"/>
        <v>0</v>
      </c>
      <c r="Z80" s="230">
        <f t="shared" si="74"/>
        <v>0</v>
      </c>
      <c r="AA80" s="230"/>
      <c r="AB80" s="214"/>
      <c r="AC80" s="214"/>
      <c r="AD80" s="214"/>
      <c r="AE80" s="214"/>
      <c r="AF80" s="214"/>
      <c r="AG80" s="214"/>
      <c r="AH80" s="214"/>
      <c r="AI80" s="214"/>
      <c r="AJ80" s="214"/>
      <c r="AK80" s="214"/>
      <c r="AL80" s="214"/>
      <c r="AM80" s="214"/>
      <c r="AN80" s="214"/>
      <c r="AO80" s="214"/>
      <c r="AP80" s="214"/>
      <c r="AQ80" s="214"/>
      <c r="AR80" s="214"/>
      <c r="AS80" s="214"/>
      <c r="AT80" s="214"/>
      <c r="AU80" s="214"/>
      <c r="AV80" s="214"/>
      <c r="AW80" s="214"/>
      <c r="AX80" s="214"/>
      <c r="AY80" s="214"/>
      <c r="AZ80" s="214"/>
      <c r="BA80" s="214"/>
      <c r="BB80" s="200"/>
      <c r="BC80" s="94"/>
      <c r="BD80" s="187"/>
      <c r="BE80" s="187"/>
    </row>
    <row r="81" spans="1:57" s="150" customFormat="1">
      <c r="A81" s="144"/>
      <c r="B81" s="145" t="s">
        <v>371</v>
      </c>
      <c r="C81" s="145"/>
      <c r="L81" s="175"/>
      <c r="M81" s="175"/>
      <c r="N81" s="175"/>
      <c r="O81" s="175"/>
      <c r="P81" s="1402"/>
      <c r="Q81" s="132"/>
      <c r="R81" s="132"/>
      <c r="S81" s="132"/>
      <c r="T81" s="132"/>
      <c r="U81" s="132"/>
      <c r="V81" s="132"/>
      <c r="W81" s="132"/>
      <c r="X81" s="132"/>
      <c r="Y81" s="132"/>
      <c r="Z81" s="132"/>
      <c r="AA81" s="120"/>
      <c r="AB81" s="231"/>
      <c r="AC81" s="231"/>
      <c r="AD81" s="231"/>
      <c r="AE81" s="231"/>
      <c r="AF81" s="231"/>
      <c r="AG81" s="231"/>
      <c r="AH81" s="231"/>
      <c r="AI81" s="231"/>
      <c r="AJ81" s="231"/>
      <c r="AK81" s="231"/>
      <c r="AL81" s="231"/>
      <c r="AM81" s="231"/>
      <c r="AN81" s="231"/>
      <c r="AO81" s="231"/>
      <c r="AP81" s="231"/>
      <c r="AQ81" s="231"/>
      <c r="AR81" s="231"/>
      <c r="AS81" s="231"/>
      <c r="AT81" s="231"/>
      <c r="AU81" s="231"/>
      <c r="AV81" s="231"/>
      <c r="AW81" s="231"/>
      <c r="AX81" s="231"/>
      <c r="AY81" s="231"/>
      <c r="AZ81" s="231"/>
      <c r="BA81" s="231"/>
      <c r="BB81" s="168"/>
      <c r="BC81" s="117"/>
    </row>
    <row r="82" spans="1:57" s="95" customFormat="1">
      <c r="A82" s="232"/>
      <c r="B82" s="104" t="s">
        <v>372</v>
      </c>
      <c r="C82" s="104"/>
      <c r="D82" s="105"/>
      <c r="E82" s="136"/>
      <c r="F82" s="136"/>
      <c r="G82" s="136"/>
      <c r="H82" s="136"/>
      <c r="I82" s="137"/>
      <c r="J82" s="137"/>
      <c r="K82" s="137">
        <f>IF(ISTEXT('IS Raw'!F11), 'IS Raw'!F30/Input!$B$1, Input!K79)</f>
        <v>0</v>
      </c>
      <c r="L82" s="137">
        <f>IF(ISTEXT('IS Raw'!G11), 'IS Raw'!G30/Input!$B$1, Input!L79)</f>
        <v>0</v>
      </c>
      <c r="M82" s="137">
        <f>IF(ISTEXT('IS Raw'!H11), 'IS Raw'!H30/Input!$B$1, Input!M79)</f>
        <v>0</v>
      </c>
      <c r="N82" s="137">
        <f>IF(ISTEXT('IS Raw'!I11), 'IS Raw'!I30/Input!$B$1, Input!N79)</f>
        <v>0</v>
      </c>
      <c r="O82" s="137">
        <f>IF(ISTEXT('IS Raw'!J11), 'IS Raw'!J30/Input!$B$1, Input!O79)</f>
        <v>0</v>
      </c>
      <c r="P82" s="137">
        <f>IF(ISTEXT('IS Raw'!K11), 'IS Raw'!K30/Input!$B$1, Input!P79)</f>
        <v>0</v>
      </c>
      <c r="Q82" s="138">
        <f>IF(ISTEXT('IS Raw'!L11), 'IS Raw'!L30/Input!$B$1, Input!Q79)</f>
        <v>0</v>
      </c>
      <c r="R82" s="138">
        <f>IF(ISTEXT('IS Raw'!M11), 'IS Raw'!M30/Input!$B$1, Input!R79)</f>
        <v>0</v>
      </c>
      <c r="S82" s="138">
        <f>IF(ISTEXT('IS Raw'!N11), 'IS Raw'!N30/Input!$B$1, Input!S79)</f>
        <v>0</v>
      </c>
      <c r="T82" s="138">
        <f>IF(ISTEXT('IS Raw'!O11), 'IS Raw'!O30/Input!$B$1, Input!T79)</f>
        <v>0</v>
      </c>
      <c r="U82" s="138">
        <f>IF(ISTEXT('IS Raw'!P11), 'IS Raw'!P30/Input!$B$1, Input!U79)</f>
        <v>0</v>
      </c>
      <c r="V82" s="138">
        <f>IF(ISTEXT('IS Raw'!Q11), 'IS Raw'!Q30/Input!$B$1, Input!V79)</f>
        <v>0</v>
      </c>
      <c r="W82" s="138">
        <f>IF(ISTEXT('IS Raw'!R11), 'IS Raw'!R30/Input!$B$1, Input!W79)</f>
        <v>0</v>
      </c>
      <c r="X82" s="138">
        <f>IF(ISTEXT('IS Raw'!S11), 'IS Raw'!S30/Input!$B$1, Input!X79)</f>
        <v>0</v>
      </c>
      <c r="Y82" s="138">
        <f>IF(ISTEXT('IS Raw'!T11), 'IS Raw'!T30/Input!$B$1, Input!Y79)</f>
        <v>0</v>
      </c>
      <c r="Z82" s="138">
        <f>IF(ISTEXT('IS Raw'!U11), 'IS Raw'!U30/Input!$B$1, Input!Z79)</f>
        <v>0</v>
      </c>
      <c r="AA82" s="138"/>
      <c r="AB82" s="139"/>
      <c r="AC82" s="139"/>
      <c r="AD82" s="139"/>
      <c r="AE82" s="139"/>
      <c r="AF82" s="139"/>
      <c r="AG82" s="139"/>
      <c r="AH82" s="139"/>
      <c r="AI82" s="139"/>
      <c r="AJ82" s="139"/>
      <c r="AK82" s="139"/>
      <c r="AL82" s="139"/>
      <c r="AM82" s="139"/>
      <c r="AN82" s="139"/>
      <c r="AO82" s="139"/>
      <c r="AP82" s="139"/>
      <c r="AQ82" s="139"/>
      <c r="AR82" s="139"/>
      <c r="AS82" s="139"/>
      <c r="AT82" s="139"/>
      <c r="AU82" s="139"/>
      <c r="AV82" s="139"/>
      <c r="AW82" s="139"/>
      <c r="AX82" s="139"/>
      <c r="AY82" s="139"/>
      <c r="AZ82" s="139"/>
      <c r="BA82" s="139"/>
      <c r="BB82" s="110"/>
      <c r="BC82" s="111"/>
    </row>
    <row r="83" spans="1:57">
      <c r="A83" s="39"/>
      <c r="B83" s="18"/>
      <c r="C83" s="18"/>
      <c r="D83" s="151"/>
      <c r="E83" s="124"/>
      <c r="F83" s="124"/>
      <c r="G83" s="124"/>
      <c r="H83" s="124"/>
      <c r="I83" s="124"/>
      <c r="J83" s="124"/>
      <c r="K83" s="215"/>
      <c r="L83" s="215"/>
      <c r="M83" s="215"/>
      <c r="N83" s="124"/>
      <c r="O83" s="124"/>
      <c r="P83" s="125"/>
      <c r="Q83" s="124"/>
      <c r="R83" s="124"/>
      <c r="S83" s="124"/>
      <c r="T83" s="124"/>
      <c r="U83" s="124"/>
      <c r="V83" s="124"/>
      <c r="W83" s="124"/>
      <c r="X83" s="124"/>
      <c r="Y83" s="124"/>
      <c r="Z83" s="124"/>
      <c r="AA83" s="124"/>
      <c r="AB83" s="124"/>
      <c r="AC83" s="124"/>
      <c r="AD83" s="124"/>
      <c r="AE83" s="124"/>
      <c r="AF83" s="124"/>
      <c r="AG83" s="124"/>
      <c r="AH83" s="124"/>
      <c r="AI83" s="124"/>
      <c r="AJ83" s="124"/>
      <c r="AK83" s="124"/>
      <c r="AL83" s="124"/>
      <c r="AM83" s="124"/>
      <c r="AN83" s="124"/>
      <c r="AO83" s="124"/>
      <c r="AP83" s="124"/>
      <c r="AQ83" s="124"/>
      <c r="AR83" s="124"/>
      <c r="AS83" s="124"/>
      <c r="AT83" s="124"/>
      <c r="AU83" s="124"/>
      <c r="AV83" s="124"/>
      <c r="AW83" s="124"/>
      <c r="AX83" s="124"/>
      <c r="AY83" s="124"/>
      <c r="AZ83" s="124"/>
      <c r="BA83" s="124"/>
      <c r="BB83" s="227"/>
      <c r="BC83" s="94"/>
      <c r="BD83" s="84"/>
      <c r="BE83" s="84"/>
    </row>
    <row r="84" spans="1:57">
      <c r="B84" s="5" t="s">
        <v>373</v>
      </c>
      <c r="D84" s="84"/>
      <c r="E84" s="41"/>
      <c r="F84" s="41"/>
      <c r="G84" s="41"/>
      <c r="H84" s="41"/>
      <c r="I84" s="190"/>
      <c r="J84" s="190"/>
      <c r="K84" s="190">
        <f>+K45+K49-K54+K58-K68+K79</f>
        <v>463.0881713820001</v>
      </c>
      <c r="L84" s="190">
        <f t="shared" ref="L84:Z84" si="75">+L45+L49-L54+L58-L68+L79</f>
        <v>716.5338043050001</v>
      </c>
      <c r="M84" s="190">
        <f t="shared" si="75"/>
        <v>1956.269988841</v>
      </c>
      <c r="N84" s="190">
        <f t="shared" si="75"/>
        <v>4596.312764843</v>
      </c>
      <c r="O84" s="190">
        <f t="shared" si="75"/>
        <v>1254.8095836400007</v>
      </c>
      <c r="P84" s="190">
        <f t="shared" si="75"/>
        <v>1522.0634881910007</v>
      </c>
      <c r="Q84" s="177">
        <f t="shared" ca="1" si="75"/>
        <v>2621.1944224176286</v>
      </c>
      <c r="R84" s="177">
        <f t="shared" ca="1" si="75"/>
        <v>2967.2561852613499</v>
      </c>
      <c r="S84" s="177">
        <f t="shared" ca="1" si="75"/>
        <v>3473.5655174374656</v>
      </c>
      <c r="T84" s="177">
        <f t="shared" ca="1" si="75"/>
        <v>5427.1488250286984</v>
      </c>
      <c r="U84" s="177">
        <f t="shared" ca="1" si="75"/>
        <v>4640.1399346495109</v>
      </c>
      <c r="V84" s="177">
        <f t="shared" ca="1" si="75"/>
        <v>4051.1800055393783</v>
      </c>
      <c r="W84" s="177">
        <f t="shared" ca="1" si="75"/>
        <v>4054.9262293236457</v>
      </c>
      <c r="X84" s="177">
        <f t="shared" ca="1" si="75"/>
        <v>4504.249594428502</v>
      </c>
      <c r="Y84" s="177">
        <f t="shared" ca="1" si="75"/>
        <v>5190.982183340916</v>
      </c>
      <c r="Z84" s="177">
        <f t="shared" ca="1" si="75"/>
        <v>5147.9329437771667</v>
      </c>
      <c r="AA84" s="177"/>
      <c r="AB84" s="178"/>
      <c r="AC84" s="178"/>
      <c r="AD84" s="178"/>
      <c r="AE84" s="178"/>
      <c r="AF84" s="178"/>
      <c r="AG84" s="178"/>
      <c r="AH84" s="178"/>
      <c r="AI84" s="178"/>
      <c r="AJ84" s="178"/>
      <c r="AK84" s="178"/>
      <c r="AL84" s="178"/>
      <c r="AM84" s="178"/>
      <c r="AN84" s="178"/>
      <c r="AO84" s="178"/>
      <c r="AP84" s="178"/>
      <c r="AQ84" s="178"/>
      <c r="AR84" s="178"/>
      <c r="AS84" s="178"/>
      <c r="AT84" s="178"/>
      <c r="AU84" s="178"/>
      <c r="AV84" s="178"/>
      <c r="AW84" s="178"/>
      <c r="AX84" s="178"/>
      <c r="AY84" s="178"/>
      <c r="AZ84" s="178"/>
      <c r="BA84" s="178"/>
      <c r="BB84" s="84"/>
      <c r="BD84" s="84"/>
      <c r="BE84" s="233"/>
    </row>
    <row r="85" spans="1:57" s="150" customFormat="1">
      <c r="A85" s="144"/>
      <c r="B85" s="145" t="s">
        <v>374</v>
      </c>
      <c r="C85" s="145"/>
      <c r="E85" s="166"/>
      <c r="F85" s="166"/>
      <c r="G85" s="166"/>
      <c r="H85" s="166"/>
      <c r="I85" s="234"/>
      <c r="J85" s="234"/>
      <c r="K85" s="234">
        <f>IFERROR(K86/K7, " ")</f>
        <v>6.5751859404841351E-2</v>
      </c>
      <c r="L85" s="234">
        <f t="shared" ref="L85:P85" si="76">IFERROR(L86/L7, " ")</f>
        <v>9.476362052551017E-2</v>
      </c>
      <c r="M85" s="234">
        <f t="shared" si="76"/>
        <v>0.19820840761249775</v>
      </c>
      <c r="N85" s="234">
        <f t="shared" si="76"/>
        <v>0.28863104072700857</v>
      </c>
      <c r="O85" s="234">
        <f t="shared" si="76"/>
        <v>9.9821437665395849E-2</v>
      </c>
      <c r="P85" s="234">
        <f t="shared" si="76"/>
        <v>0.11311759921728289</v>
      </c>
      <c r="Q85" s="235">
        <f t="shared" ref="Q85" ca="1" si="77">IFERROR(Q86/Q7, " ")</f>
        <v>0.14778145595713454</v>
      </c>
      <c r="R85" s="235">
        <f t="shared" ref="R85" ca="1" si="78">IFERROR(R86/R7, " ")</f>
        <v>0.15961770977441325</v>
      </c>
      <c r="S85" s="235">
        <f t="shared" ref="S85" ca="1" si="79">IFERROR(S86/S7, " ")</f>
        <v>0.18171229891643861</v>
      </c>
      <c r="T85" s="235">
        <f t="shared" ref="T85" ca="1" si="80">IFERROR(T86/T7, " ")</f>
        <v>0.24090011683836918</v>
      </c>
      <c r="U85" s="235">
        <f t="shared" ref="U85" ca="1" si="81">IFERROR(U86/U7, " ")</f>
        <v>0.21253161778519489</v>
      </c>
      <c r="V85" s="235">
        <f t="shared" ref="V85" ca="1" si="82">IFERROR(V86/V7, " ")</f>
        <v>0.19828814817230217</v>
      </c>
      <c r="W85" s="235">
        <f t="shared" ref="W85" ca="1" si="83">IFERROR(W86/W7, " ")</f>
        <v>0.19348342883540001</v>
      </c>
      <c r="X85" s="235">
        <f t="shared" ref="X85" ca="1" si="84">IFERROR(X86/X7, " ")</f>
        <v>0.21031962921226258</v>
      </c>
      <c r="Y85" s="235">
        <f t="shared" ref="Y85" ca="1" si="85">IFERROR(Y86/Y7, " ")</f>
        <v>0.23043702816862868</v>
      </c>
      <c r="Z85" s="235">
        <f t="shared" ref="Z85" ca="1" si="86">IFERROR(Z86/Z7, " ")</f>
        <v>0.22549141851243648</v>
      </c>
      <c r="AA85" s="176"/>
      <c r="AB85" s="176"/>
      <c r="AC85" s="176"/>
      <c r="AD85" s="176"/>
      <c r="AE85" s="176"/>
      <c r="AF85" s="176"/>
      <c r="AG85" s="176"/>
      <c r="AH85" s="176"/>
      <c r="AI85" s="176"/>
      <c r="AJ85" s="176"/>
      <c r="AK85" s="176"/>
      <c r="AL85" s="176"/>
      <c r="AM85" s="176"/>
      <c r="AN85" s="176"/>
      <c r="AO85" s="176"/>
      <c r="AP85" s="176"/>
      <c r="AQ85" s="176"/>
      <c r="AR85" s="176"/>
      <c r="AS85" s="176"/>
      <c r="AT85" s="176"/>
      <c r="AU85" s="176"/>
      <c r="AV85" s="176"/>
      <c r="AW85" s="176"/>
      <c r="AX85" s="176"/>
      <c r="AY85" s="176"/>
      <c r="AZ85" s="176"/>
      <c r="BA85" s="176"/>
      <c r="BC85" s="117"/>
    </row>
    <row r="86" spans="1:57" s="95" customFormat="1">
      <c r="A86" s="86"/>
      <c r="B86" s="104" t="s">
        <v>375</v>
      </c>
      <c r="C86" s="104"/>
      <c r="D86" s="236"/>
      <c r="E86" s="237"/>
      <c r="F86" s="237"/>
      <c r="G86" s="237"/>
      <c r="H86" s="237"/>
      <c r="I86" s="137"/>
      <c r="J86" s="137"/>
      <c r="K86" s="137">
        <f>+K47+K52-K56+K66-K77+K82</f>
        <v>463.0881713820001</v>
      </c>
      <c r="L86" s="137">
        <f t="shared" ref="L86:Z86" si="87">+L47+L52-L56+L66-L77+L82</f>
        <v>716.5338043050001</v>
      </c>
      <c r="M86" s="137">
        <f t="shared" si="87"/>
        <v>1956.2699888410002</v>
      </c>
      <c r="N86" s="137">
        <f t="shared" si="87"/>
        <v>4596.312764843</v>
      </c>
      <c r="O86" s="137">
        <f t="shared" si="87"/>
        <v>1254.8095836400007</v>
      </c>
      <c r="P86" s="137">
        <f t="shared" si="87"/>
        <v>1522.0634881910007</v>
      </c>
      <c r="Q86" s="138">
        <f t="shared" ca="1" si="87"/>
        <v>2621.194422417625</v>
      </c>
      <c r="R86" s="138">
        <f t="shared" ca="1" si="87"/>
        <v>2967.2561852613499</v>
      </c>
      <c r="S86" s="138">
        <f t="shared" ca="1" si="87"/>
        <v>3473.5655174374656</v>
      </c>
      <c r="T86" s="138">
        <f t="shared" ca="1" si="87"/>
        <v>5427.1488250286984</v>
      </c>
      <c r="U86" s="138">
        <f t="shared" ca="1" si="87"/>
        <v>4640.1399346495109</v>
      </c>
      <c r="V86" s="138">
        <f t="shared" ca="1" si="87"/>
        <v>4051.1800055393765</v>
      </c>
      <c r="W86" s="138">
        <f t="shared" ca="1" si="87"/>
        <v>4054.9262293236438</v>
      </c>
      <c r="X86" s="138">
        <f t="shared" ca="1" si="87"/>
        <v>4504.249594428502</v>
      </c>
      <c r="Y86" s="138">
        <f t="shared" ca="1" si="87"/>
        <v>5190.9821833409187</v>
      </c>
      <c r="Z86" s="138">
        <f t="shared" ca="1" si="87"/>
        <v>5147.9329437771667</v>
      </c>
      <c r="AA86" s="138"/>
      <c r="AB86" s="238"/>
      <c r="AC86" s="238"/>
      <c r="AD86" s="238"/>
      <c r="AE86" s="238"/>
      <c r="AF86" s="238"/>
      <c r="AG86" s="238"/>
      <c r="AH86" s="238"/>
      <c r="AI86" s="238"/>
      <c r="AJ86" s="238"/>
      <c r="AK86" s="238"/>
      <c r="AL86" s="238"/>
      <c r="AM86" s="238"/>
      <c r="AN86" s="238"/>
      <c r="AO86" s="238"/>
      <c r="AP86" s="238"/>
      <c r="AQ86" s="238"/>
      <c r="AR86" s="238"/>
      <c r="AS86" s="238"/>
      <c r="AT86" s="238"/>
      <c r="AU86" s="238"/>
      <c r="AV86" s="238"/>
      <c r="AW86" s="238"/>
      <c r="AX86" s="238"/>
      <c r="AY86" s="238"/>
      <c r="AZ86" s="238"/>
      <c r="BA86" s="238"/>
      <c r="BC86" s="94"/>
    </row>
    <row r="87" spans="1:57">
      <c r="B87" s="239" t="s">
        <v>1496</v>
      </c>
      <c r="D87" s="84"/>
      <c r="E87" s="140"/>
      <c r="F87" s="140"/>
      <c r="G87" s="140"/>
      <c r="H87" s="140"/>
      <c r="I87" s="140"/>
      <c r="J87" s="140"/>
      <c r="K87" s="234">
        <v>0.16700000000000001</v>
      </c>
      <c r="L87" s="234">
        <v>0.17199999999999999</v>
      </c>
      <c r="M87" s="234">
        <f>16.5%</f>
        <v>0.16500000000000001</v>
      </c>
      <c r="N87" s="234">
        <f>15.4%</f>
        <v>0.154</v>
      </c>
      <c r="O87" s="234">
        <f>23.3%</f>
        <v>0.23300000000000001</v>
      </c>
      <c r="P87" s="234">
        <f>17.2%</f>
        <v>0.17199999999999999</v>
      </c>
      <c r="Q87" s="240"/>
      <c r="R87" s="240"/>
      <c r="S87" s="240"/>
      <c r="T87" s="240"/>
      <c r="U87" s="240"/>
      <c r="V87" s="240"/>
      <c r="W87" s="240"/>
      <c r="X87" s="240"/>
      <c r="Y87" s="240"/>
      <c r="Z87" s="240"/>
      <c r="AA87" s="240"/>
      <c r="AB87" s="140"/>
      <c r="AC87" s="140"/>
      <c r="AD87" s="140"/>
      <c r="AE87" s="140"/>
      <c r="AF87" s="140"/>
      <c r="AG87" s="140"/>
      <c r="AH87" s="140"/>
      <c r="AI87" s="140"/>
      <c r="AJ87" s="140"/>
      <c r="AK87" s="140"/>
      <c r="AL87" s="140"/>
      <c r="AM87" s="140"/>
      <c r="AN87" s="140"/>
      <c r="AO87" s="140"/>
      <c r="AP87" s="140"/>
      <c r="AQ87" s="140"/>
      <c r="AR87" s="140"/>
      <c r="AS87" s="140"/>
      <c r="AT87" s="140"/>
      <c r="AU87" s="140"/>
      <c r="AV87" s="140"/>
      <c r="AW87" s="140"/>
      <c r="AX87" s="140"/>
      <c r="AY87" s="140"/>
      <c r="AZ87" s="140"/>
      <c r="BA87" s="140"/>
      <c r="BB87" s="85"/>
      <c r="BD87" s="84"/>
      <c r="BE87" s="241"/>
    </row>
    <row r="88" spans="1:57">
      <c r="A88" s="74">
        <v>11</v>
      </c>
      <c r="B88" s="5" t="s">
        <v>376</v>
      </c>
      <c r="D88" s="84"/>
      <c r="E88" s="41"/>
      <c r="F88" s="41"/>
      <c r="G88" s="41"/>
      <c r="H88" s="41"/>
      <c r="I88" s="190"/>
      <c r="J88" s="190"/>
      <c r="K88" s="190">
        <f>-'IS Raw'!F32/Input!$B$1</f>
        <v>35.36444229</v>
      </c>
      <c r="L88" s="190">
        <f>-'IS Raw'!G32/Input!$B$1</f>
        <v>54.087470033999999</v>
      </c>
      <c r="M88" s="190">
        <f>-'IS Raw'!H32/Input!$B$1</f>
        <v>130.14570190500001</v>
      </c>
      <c r="N88" s="190">
        <f>-'IS Raw'!I32/Input!$B$1</f>
        <v>275.23203030799999</v>
      </c>
      <c r="O88" s="190">
        <f>-'IS Raw'!J32/Input!$B$1</f>
        <v>144.66686674799999</v>
      </c>
      <c r="P88" s="190">
        <f>-'IS Raw'!K32/Input!$B$1</f>
        <v>94.056906749000007</v>
      </c>
      <c r="Q88" s="177">
        <f ca="1">Q84*Q89</f>
        <v>410.29239504579402</v>
      </c>
      <c r="R88" s="177">
        <f t="shared" ref="R88:Z88" ca="1" si="88">R84*R89</f>
        <v>464.46102454408219</v>
      </c>
      <c r="S88" s="177">
        <f t="shared" ca="1" si="88"/>
        <v>543.71301239966942</v>
      </c>
      <c r="T88" s="177">
        <f t="shared" ca="1" si="88"/>
        <v>849.50504649601839</v>
      </c>
      <c r="U88" s="177">
        <f t="shared" ca="1" si="88"/>
        <v>726.31549603978658</v>
      </c>
      <c r="V88" s="177">
        <f t="shared" ca="1" si="88"/>
        <v>634.12631013509588</v>
      </c>
      <c r="W88" s="177">
        <f t="shared" ca="1" si="88"/>
        <v>634.71270201647599</v>
      </c>
      <c r="X88" s="177">
        <f t="shared" ca="1" si="88"/>
        <v>705.04474531789219</v>
      </c>
      <c r="Y88" s="177">
        <f t="shared" ca="1" si="88"/>
        <v>812.53816749639418</v>
      </c>
      <c r="Z88" s="177">
        <f t="shared" ca="1" si="88"/>
        <v>805.79972205547199</v>
      </c>
      <c r="AA88" s="177"/>
      <c r="AB88" s="178"/>
      <c r="AC88" s="178"/>
      <c r="AD88" s="178"/>
      <c r="AE88" s="178"/>
      <c r="AF88" s="178"/>
      <c r="AG88" s="178"/>
      <c r="AH88" s="178"/>
      <c r="AI88" s="178"/>
      <c r="AJ88" s="178"/>
      <c r="AK88" s="178"/>
      <c r="AL88" s="178"/>
      <c r="AM88" s="178"/>
      <c r="AN88" s="178"/>
      <c r="AO88" s="178"/>
      <c r="AP88" s="178"/>
      <c r="AQ88" s="178"/>
      <c r="AR88" s="178"/>
      <c r="AS88" s="178"/>
      <c r="AT88" s="178"/>
      <c r="AU88" s="178"/>
      <c r="AV88" s="178"/>
      <c r="AW88" s="178"/>
      <c r="AX88" s="178"/>
      <c r="AY88" s="178"/>
      <c r="AZ88" s="178"/>
      <c r="BA88" s="178"/>
      <c r="BB88" s="85"/>
      <c r="BC88" s="242"/>
      <c r="BD88" s="84"/>
      <c r="BE88" s="84"/>
    </row>
    <row r="89" spans="1:57" s="150" customFormat="1">
      <c r="A89" s="159"/>
      <c r="B89" s="145" t="s">
        <v>377</v>
      </c>
      <c r="C89" s="145"/>
      <c r="E89" s="166"/>
      <c r="F89" s="166"/>
      <c r="G89" s="166"/>
      <c r="H89" s="166"/>
      <c r="I89" s="234"/>
      <c r="J89" s="234"/>
      <c r="K89" s="234">
        <f>IF(K84,K88/K84,0)</f>
        <v>7.6366542000978838E-2</v>
      </c>
      <c r="L89" s="234">
        <f t="shared" ref="L89:P89" si="89">IF(L84,L88/L84,0)</f>
        <v>7.5484882512224225E-2</v>
      </c>
      <c r="M89" s="234">
        <f t="shared" si="89"/>
        <v>6.6527474554831434E-2</v>
      </c>
      <c r="N89" s="234">
        <f t="shared" si="89"/>
        <v>5.9881049090749011E-2</v>
      </c>
      <c r="O89" s="234">
        <f t="shared" si="89"/>
        <v>0.11528989627919854</v>
      </c>
      <c r="P89" s="234">
        <f t="shared" si="89"/>
        <v>6.1795652729826858E-2</v>
      </c>
      <c r="Q89" s="243">
        <f>AVERAGE(AVERAGE(K87:P87), AVERAGE(K89:P89))+3%</f>
        <v>0.15652879143065074</v>
      </c>
      <c r="R89" s="243">
        <f>Q89</f>
        <v>0.15652879143065074</v>
      </c>
      <c r="S89" s="243">
        <f t="shared" ref="S89:Z89" si="90">R89</f>
        <v>0.15652879143065074</v>
      </c>
      <c r="T89" s="243">
        <f t="shared" si="90"/>
        <v>0.15652879143065074</v>
      </c>
      <c r="U89" s="243">
        <f t="shared" si="90"/>
        <v>0.15652879143065074</v>
      </c>
      <c r="V89" s="243">
        <f t="shared" si="90"/>
        <v>0.15652879143065074</v>
      </c>
      <c r="W89" s="243">
        <f t="shared" si="90"/>
        <v>0.15652879143065074</v>
      </c>
      <c r="X89" s="243">
        <f t="shared" si="90"/>
        <v>0.15652879143065074</v>
      </c>
      <c r="Y89" s="243">
        <f t="shared" si="90"/>
        <v>0.15652879143065074</v>
      </c>
      <c r="Z89" s="243">
        <f t="shared" si="90"/>
        <v>0.15652879143065074</v>
      </c>
      <c r="AA89" s="243"/>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C89" s="245"/>
    </row>
    <row r="90" spans="1:57" s="95" customFormat="1">
      <c r="A90" s="86"/>
      <c r="B90" s="104" t="s">
        <v>378</v>
      </c>
      <c r="C90" s="104"/>
      <c r="D90" s="105"/>
      <c r="E90" s="136"/>
      <c r="F90" s="136"/>
      <c r="G90" s="136"/>
      <c r="H90" s="136"/>
      <c r="I90" s="137"/>
      <c r="J90" s="137"/>
      <c r="K90" s="137">
        <f>IF(ISTEXT('IS Raw'!F11), -'IS Raw'!F32/Input!$B$1, Input!K88)</f>
        <v>35.36444229</v>
      </c>
      <c r="L90" s="137">
        <f>IF(ISTEXT('IS Raw'!G11), -'IS Raw'!G32/Input!$B$1, Input!L88)</f>
        <v>54.087470033999999</v>
      </c>
      <c r="M90" s="137">
        <f>IF(ISTEXT('IS Raw'!H11), -'IS Raw'!H32/Input!$B$1, Input!M88)</f>
        <v>130.14570190500001</v>
      </c>
      <c r="N90" s="137">
        <f>IF(ISTEXT('IS Raw'!I11), -'IS Raw'!I32/Input!$B$1, Input!N88)</f>
        <v>275.23203030799999</v>
      </c>
      <c r="O90" s="137">
        <f>IF(ISTEXT('IS Raw'!J11), -'IS Raw'!J32/Input!$B$1, Input!O88)</f>
        <v>144.66686674799999</v>
      </c>
      <c r="P90" s="137">
        <f>IF(ISTEXT('IS Raw'!K11), -'IS Raw'!K32/Input!$B$1, Input!P88)</f>
        <v>94.056906749000007</v>
      </c>
      <c r="Q90" s="138">
        <f ca="1">IF(ISTEXT('IS Raw'!L11), -'IS Raw'!L32/Input!$B$1, Input!Q88)</f>
        <v>410.29239504579402</v>
      </c>
      <c r="R90" s="138">
        <f ca="1">IF(ISTEXT('IS Raw'!M11), -'IS Raw'!M32/Input!$B$1, Input!R88)</f>
        <v>464.46102454408219</v>
      </c>
      <c r="S90" s="138">
        <f ca="1">IF(ISTEXT('IS Raw'!N11), -'IS Raw'!N32/Input!$B$1, Input!S88)</f>
        <v>543.71301239966942</v>
      </c>
      <c r="T90" s="138">
        <f ca="1">IF(ISTEXT('IS Raw'!O11), -'IS Raw'!O32/Input!$B$1, Input!T88)</f>
        <v>849.50504649601839</v>
      </c>
      <c r="U90" s="138">
        <f ca="1">IF(ISTEXT('IS Raw'!P11), -'IS Raw'!P32/Input!$B$1, Input!U88)</f>
        <v>726.31549603978658</v>
      </c>
      <c r="V90" s="138">
        <f ca="1">IF(ISTEXT('IS Raw'!Q11), -'IS Raw'!Q32/Input!$B$1, Input!V88)</f>
        <v>634.12631013509588</v>
      </c>
      <c r="W90" s="138">
        <f ca="1">IF(ISTEXT('IS Raw'!R11), -'IS Raw'!R32/Input!$B$1, Input!W88)</f>
        <v>634.71270201647599</v>
      </c>
      <c r="X90" s="138">
        <f ca="1">IF(ISTEXT('IS Raw'!S11), -'IS Raw'!S32/Input!$B$1, Input!X88)</f>
        <v>705.04474531789219</v>
      </c>
      <c r="Y90" s="138">
        <f ca="1">IF(ISTEXT('IS Raw'!T11), -'IS Raw'!T32/Input!$B$1, Input!Y88)</f>
        <v>812.53816749639418</v>
      </c>
      <c r="Z90" s="138">
        <f ca="1">IF(ISTEXT('IS Raw'!U11), -'IS Raw'!U32/Input!$B$1, Input!Z88)</f>
        <v>805.79972205547199</v>
      </c>
      <c r="AA90" s="138"/>
      <c r="AB90" s="139"/>
      <c r="AC90" s="139"/>
      <c r="AD90" s="139"/>
      <c r="AE90" s="139"/>
      <c r="AF90" s="139"/>
      <c r="AG90" s="139"/>
      <c r="AH90" s="139"/>
      <c r="AI90" s="139"/>
      <c r="AJ90" s="139"/>
      <c r="AK90" s="139"/>
      <c r="AL90" s="139"/>
      <c r="AM90" s="139"/>
      <c r="AN90" s="139"/>
      <c r="AO90" s="139"/>
      <c r="AP90" s="139"/>
      <c r="AQ90" s="139"/>
      <c r="AR90" s="139"/>
      <c r="AS90" s="139"/>
      <c r="AT90" s="139"/>
      <c r="AU90" s="139"/>
      <c r="AV90" s="139"/>
      <c r="AW90" s="139"/>
      <c r="AX90" s="139"/>
      <c r="AY90" s="139"/>
      <c r="AZ90" s="139"/>
      <c r="BA90" s="139"/>
      <c r="BB90" s="105"/>
      <c r="BC90" s="111"/>
    </row>
    <row r="91" spans="1:57">
      <c r="B91" s="239" t="s">
        <v>1497</v>
      </c>
      <c r="D91" s="84"/>
      <c r="E91" s="140"/>
      <c r="F91" s="140"/>
      <c r="G91" s="140"/>
      <c r="H91" s="140"/>
      <c r="I91" s="140"/>
      <c r="J91" s="140"/>
      <c r="K91" s="234">
        <f>27.7%</f>
        <v>0.27699999999999997</v>
      </c>
      <c r="L91" s="234">
        <f>17%</f>
        <v>0.17</v>
      </c>
      <c r="M91" s="234">
        <f>19.95%</f>
        <v>0.19949999999999998</v>
      </c>
      <c r="N91" s="234">
        <f>20.94%</f>
        <v>0.2094</v>
      </c>
      <c r="O91" s="234">
        <f>31.6%</f>
        <v>0.316</v>
      </c>
      <c r="P91" s="234">
        <f>19.77%</f>
        <v>0.19769999999999999</v>
      </c>
      <c r="Q91" s="140"/>
      <c r="R91" s="140"/>
      <c r="S91" s="140"/>
      <c r="T91" s="140"/>
      <c r="U91" s="140"/>
      <c r="V91" s="140"/>
      <c r="W91" s="140"/>
      <c r="X91" s="140"/>
      <c r="Y91" s="140"/>
      <c r="Z91" s="140"/>
      <c r="AA91" s="140"/>
      <c r="AB91" s="140"/>
      <c r="AC91" s="140"/>
      <c r="AD91" s="140"/>
      <c r="AE91" s="140"/>
      <c r="AF91" s="140"/>
      <c r="AG91" s="140"/>
      <c r="AH91" s="140"/>
      <c r="AI91" s="140"/>
      <c r="AJ91" s="140"/>
      <c r="AK91" s="140"/>
      <c r="AL91" s="140"/>
      <c r="AM91" s="140"/>
      <c r="AN91" s="140"/>
      <c r="AO91" s="140"/>
      <c r="AP91" s="140"/>
      <c r="AQ91" s="140"/>
      <c r="AR91" s="140"/>
      <c r="AS91" s="140"/>
      <c r="AT91" s="140"/>
      <c r="AU91" s="140"/>
      <c r="AV91" s="140"/>
      <c r="AW91" s="140"/>
      <c r="AX91" s="140"/>
      <c r="AY91" s="140"/>
      <c r="AZ91" s="140"/>
      <c r="BA91" s="140"/>
      <c r="BB91" s="85"/>
      <c r="BD91" s="84"/>
      <c r="BE91" s="84"/>
    </row>
    <row r="92" spans="1:57" s="228" customFormat="1">
      <c r="A92" s="86"/>
      <c r="B92" s="87" t="s">
        <v>379</v>
      </c>
      <c r="C92" s="87"/>
      <c r="D92" s="187"/>
      <c r="E92" s="89"/>
      <c r="F92" s="89"/>
      <c r="G92" s="89"/>
      <c r="H92" s="89"/>
      <c r="I92" s="90"/>
      <c r="J92" s="90"/>
      <c r="K92" s="90">
        <f>K84-K88</f>
        <v>427.7237290920001</v>
      </c>
      <c r="L92" s="90">
        <f t="shared" ref="L92:Z92" si="91">L84-L88</f>
        <v>662.44633427100007</v>
      </c>
      <c r="M92" s="90">
        <f t="shared" si="91"/>
        <v>1826.1242869359999</v>
      </c>
      <c r="N92" s="90">
        <f t="shared" si="91"/>
        <v>4321.0807345350004</v>
      </c>
      <c r="O92" s="90">
        <f t="shared" si="91"/>
        <v>1110.1427168920006</v>
      </c>
      <c r="P92" s="90">
        <f t="shared" si="91"/>
        <v>1428.0065814420007</v>
      </c>
      <c r="Q92" s="142">
        <f ca="1">Q84-Q88</f>
        <v>2210.9020273718347</v>
      </c>
      <c r="R92" s="142">
        <f t="shared" ca="1" si="91"/>
        <v>2502.7951607172677</v>
      </c>
      <c r="S92" s="142">
        <f t="shared" ca="1" si="91"/>
        <v>2929.8525050377962</v>
      </c>
      <c r="T92" s="142">
        <f t="shared" ca="1" si="91"/>
        <v>4577.6437785326798</v>
      </c>
      <c r="U92" s="142">
        <f t="shared" ca="1" si="91"/>
        <v>3913.8244386097244</v>
      </c>
      <c r="V92" s="142">
        <f t="shared" ca="1" si="91"/>
        <v>3417.0536954042823</v>
      </c>
      <c r="W92" s="142">
        <f t="shared" ca="1" si="91"/>
        <v>3420.2135273071699</v>
      </c>
      <c r="X92" s="142">
        <f t="shared" ca="1" si="91"/>
        <v>3799.2048491106098</v>
      </c>
      <c r="Y92" s="142">
        <f t="shared" ca="1" si="91"/>
        <v>4378.4440158445213</v>
      </c>
      <c r="Z92" s="142">
        <f t="shared" ca="1" si="91"/>
        <v>4342.133221721695</v>
      </c>
      <c r="AA92" s="142"/>
      <c r="AB92" s="143"/>
      <c r="AC92" s="143"/>
      <c r="AD92" s="143"/>
      <c r="AE92" s="143"/>
      <c r="AF92" s="143"/>
      <c r="AG92" s="143"/>
      <c r="AH92" s="143"/>
      <c r="AI92" s="143"/>
      <c r="AJ92" s="143"/>
      <c r="AK92" s="143"/>
      <c r="AL92" s="143"/>
      <c r="AM92" s="143"/>
      <c r="AN92" s="143"/>
      <c r="AO92" s="143"/>
      <c r="AP92" s="143"/>
      <c r="AQ92" s="143"/>
      <c r="AR92" s="143"/>
      <c r="AS92" s="143"/>
      <c r="AT92" s="143"/>
      <c r="AU92" s="143"/>
      <c r="AV92" s="143"/>
      <c r="AW92" s="143"/>
      <c r="AX92" s="143"/>
      <c r="AY92" s="143"/>
      <c r="AZ92" s="143"/>
      <c r="BA92" s="143"/>
      <c r="BB92" s="187"/>
      <c r="BC92" s="94"/>
      <c r="BD92" s="187"/>
      <c r="BE92" s="187"/>
    </row>
    <row r="93" spans="1:57" s="2660" customFormat="1">
      <c r="A93" s="2658"/>
      <c r="B93" s="2659" t="s">
        <v>380</v>
      </c>
      <c r="C93" s="2659"/>
      <c r="E93" s="2661"/>
      <c r="F93" s="2661"/>
      <c r="G93" s="2661"/>
      <c r="H93" s="2661"/>
      <c r="I93" s="2662"/>
      <c r="J93" s="2662"/>
      <c r="K93" s="2662">
        <f>K92/K5</f>
        <v>6.0730617271959081E-2</v>
      </c>
      <c r="L93" s="2662">
        <f t="shared" ref="L93:P93" si="92">L92/L5</f>
        <v>8.7610399763709018E-2</v>
      </c>
      <c r="M93" s="2662">
        <f t="shared" si="92"/>
        <v>0.18502210281850362</v>
      </c>
      <c r="N93" s="2662">
        <f t="shared" si="92"/>
        <v>0.27134751120812062</v>
      </c>
      <c r="O93" s="2662">
        <f t="shared" si="92"/>
        <v>8.8313034470511878E-2</v>
      </c>
      <c r="P93" s="2662">
        <f t="shared" si="92"/>
        <v>0.10612742333841993</v>
      </c>
      <c r="Q93" s="2662">
        <f t="shared" ref="Q93" ca="1" si="93">Q92/Q5</f>
        <v>0.12464940326030249</v>
      </c>
      <c r="R93" s="2662">
        <f t="shared" ref="R93" ca="1" si="94">R92/R5</f>
        <v>0.13463294257249597</v>
      </c>
      <c r="S93" s="2662">
        <f t="shared" ref="S93" ca="1" si="95">S92/S5</f>
        <v>0.15326909237896336</v>
      </c>
      <c r="T93" s="2662">
        <f t="shared" ref="T93" ca="1" si="96">T92/T5</f>
        <v>0.20319231269415669</v>
      </c>
      <c r="U93" s="2662">
        <f t="shared" ref="U93" ca="1" si="97">U92/U5</f>
        <v>0.17926430051247735</v>
      </c>
      <c r="V93" s="2662">
        <f t="shared" ref="V93" ca="1" si="98">V92/V5</f>
        <v>0.16725034398386995</v>
      </c>
      <c r="W93" s="2662">
        <f t="shared" ref="W93" ca="1" si="99">W92/W5</f>
        <v>0.16319770155793659</v>
      </c>
      <c r="X93" s="2662">
        <f t="shared" ref="X93" ca="1" si="100">X92/X5</f>
        <v>0.17739855183752454</v>
      </c>
      <c r="Y93" s="2662">
        <f t="shared" ref="Y93" ca="1" si="101">Y92/Y5</f>
        <v>0.1943669986485223</v>
      </c>
      <c r="Z93" s="2662">
        <f t="shared" ref="Z93" ca="1" si="102">Z92/Z5</f>
        <v>0.19019551929470177</v>
      </c>
      <c r="AA93" s="2662"/>
      <c r="AB93" s="2661"/>
      <c r="AC93" s="2661"/>
      <c r="AD93" s="2661"/>
      <c r="AE93" s="2661"/>
      <c r="AF93" s="2661"/>
      <c r="AG93" s="2661"/>
      <c r="AH93" s="2661"/>
      <c r="AI93" s="2661"/>
      <c r="AJ93" s="2661"/>
      <c r="AK93" s="2661"/>
      <c r="AL93" s="2661"/>
      <c r="AM93" s="2661"/>
      <c r="AN93" s="2661"/>
      <c r="AO93" s="2661"/>
      <c r="AP93" s="2661"/>
      <c r="AQ93" s="2661"/>
      <c r="AR93" s="2661"/>
      <c r="AS93" s="2661"/>
      <c r="AT93" s="2661"/>
      <c r="AU93" s="2661"/>
      <c r="AV93" s="2661"/>
      <c r="AW93" s="2661"/>
      <c r="AX93" s="2661"/>
      <c r="AY93" s="2661"/>
      <c r="AZ93" s="2661"/>
      <c r="BA93" s="2661"/>
      <c r="BB93" s="2733" t="s">
        <v>1502</v>
      </c>
      <c r="BC93" s="2733"/>
    </row>
    <row r="94" spans="1:57" s="248" customFormat="1">
      <c r="A94" s="103"/>
      <c r="B94" s="104" t="s">
        <v>381</v>
      </c>
      <c r="C94" s="104"/>
      <c r="D94" s="246"/>
      <c r="E94" s="136"/>
      <c r="F94" s="136"/>
      <c r="G94" s="136"/>
      <c r="H94" s="136"/>
      <c r="I94" s="137"/>
      <c r="J94" s="137"/>
      <c r="K94" s="137">
        <f>K86-K90</f>
        <v>427.7237290920001</v>
      </c>
      <c r="L94" s="137">
        <f t="shared" ref="L94:Z94" si="103">L86-L90</f>
        <v>662.44633427100007</v>
      </c>
      <c r="M94" s="137">
        <f t="shared" si="103"/>
        <v>1826.1242869360003</v>
      </c>
      <c r="N94" s="137">
        <f t="shared" si="103"/>
        <v>4321.0807345350004</v>
      </c>
      <c r="O94" s="137">
        <f t="shared" si="103"/>
        <v>1110.1427168920006</v>
      </c>
      <c r="P94" s="137">
        <f t="shared" si="103"/>
        <v>1428.0065814420007</v>
      </c>
      <c r="Q94" s="138">
        <f t="shared" ca="1" si="103"/>
        <v>2210.9020273718311</v>
      </c>
      <c r="R94" s="138">
        <f t="shared" ca="1" si="103"/>
        <v>2502.7951607172677</v>
      </c>
      <c r="S94" s="138">
        <f t="shared" ca="1" si="103"/>
        <v>2929.8525050377962</v>
      </c>
      <c r="T94" s="138">
        <f t="shared" ca="1" si="103"/>
        <v>4577.6437785326798</v>
      </c>
      <c r="U94" s="138">
        <f t="shared" ca="1" si="103"/>
        <v>3913.8244386097244</v>
      </c>
      <c r="V94" s="138">
        <f t="shared" ca="1" si="103"/>
        <v>3417.0536954042805</v>
      </c>
      <c r="W94" s="138">
        <f t="shared" ca="1" si="103"/>
        <v>3420.2135273071681</v>
      </c>
      <c r="X94" s="138">
        <f t="shared" ca="1" si="103"/>
        <v>3799.2048491106098</v>
      </c>
      <c r="Y94" s="138">
        <f t="shared" ca="1" si="103"/>
        <v>4378.444015844525</v>
      </c>
      <c r="Z94" s="138">
        <f t="shared" ca="1" si="103"/>
        <v>4342.133221721695</v>
      </c>
      <c r="AA94" s="138"/>
      <c r="AB94" s="139"/>
      <c r="AC94" s="139"/>
      <c r="AD94" s="139"/>
      <c r="AE94" s="139"/>
      <c r="AF94" s="139"/>
      <c r="AG94" s="139"/>
      <c r="AH94" s="139"/>
      <c r="AI94" s="139"/>
      <c r="AJ94" s="139"/>
      <c r="AK94" s="139"/>
      <c r="AL94" s="139"/>
      <c r="AM94" s="139"/>
      <c r="AN94" s="139"/>
      <c r="AO94" s="139"/>
      <c r="AP94" s="139"/>
      <c r="AQ94" s="139"/>
      <c r="AR94" s="139"/>
      <c r="AS94" s="139"/>
      <c r="AT94" s="139"/>
      <c r="AU94" s="139"/>
      <c r="AV94" s="139"/>
      <c r="AW94" s="139"/>
      <c r="AX94" s="139"/>
      <c r="AY94" s="139"/>
      <c r="AZ94" s="139"/>
      <c r="BA94" s="139"/>
      <c r="BB94" s="246"/>
      <c r="BC94" s="111"/>
      <c r="BD94" s="247"/>
      <c r="BE94" s="247"/>
    </row>
    <row r="95" spans="1:57" s="255" customFormat="1">
      <c r="A95" s="249"/>
      <c r="B95" s="239" t="s">
        <v>382</v>
      </c>
      <c r="C95" s="250"/>
      <c r="D95" s="251"/>
      <c r="E95" s="252"/>
      <c r="F95" s="252"/>
      <c r="G95" s="252"/>
      <c r="H95" s="252"/>
      <c r="I95" s="252"/>
      <c r="J95" s="252"/>
      <c r="K95" s="252"/>
      <c r="L95" s="234">
        <f>L94/K94-1</f>
        <v>0.54877152987813993</v>
      </c>
      <c r="M95" s="234">
        <f t="shared" ref="M95:Z95" si="104">M94/L94-1</f>
        <v>1.7566373190751952</v>
      </c>
      <c r="N95" s="234">
        <f t="shared" si="104"/>
        <v>1.3662577434886503</v>
      </c>
      <c r="O95" s="234">
        <f t="shared" si="104"/>
        <v>-0.74308679122343102</v>
      </c>
      <c r="P95" s="234">
        <f t="shared" si="104"/>
        <v>0.28632702778963792</v>
      </c>
      <c r="Q95" s="235">
        <f t="shared" ca="1" si="104"/>
        <v>0.54824358382106531</v>
      </c>
      <c r="R95" s="235">
        <f t="shared" ca="1" si="104"/>
        <v>0.13202445415114994</v>
      </c>
      <c r="S95" s="235">
        <f t="shared" ca="1" si="104"/>
        <v>0.17063216000391312</v>
      </c>
      <c r="T95" s="235">
        <f t="shared" ca="1" si="104"/>
        <v>0.5624144118728005</v>
      </c>
      <c r="U95" s="235">
        <f t="shared" ca="1" si="104"/>
        <v>-0.14501332389296062</v>
      </c>
      <c r="V95" s="235">
        <f t="shared" ca="1" si="104"/>
        <v>-0.1269271912926957</v>
      </c>
      <c r="W95" s="235">
        <f t="shared" ca="1" si="104"/>
        <v>9.2472409992772064E-4</v>
      </c>
      <c r="X95" s="235">
        <f t="shared" ca="1" si="104"/>
        <v>0.11080925760264804</v>
      </c>
      <c r="Y95" s="235">
        <f t="shared" ca="1" si="104"/>
        <v>0.15246326264021137</v>
      </c>
      <c r="Z95" s="235">
        <f t="shared" ca="1" si="104"/>
        <v>-8.2930817412373292E-3</v>
      </c>
      <c r="AA95" s="253"/>
      <c r="AB95" s="253"/>
      <c r="AC95" s="253"/>
      <c r="AD95" s="253"/>
      <c r="AE95" s="253"/>
      <c r="AF95" s="253"/>
      <c r="AG95" s="253"/>
      <c r="AH95" s="253"/>
      <c r="AI95" s="253"/>
      <c r="AJ95" s="253"/>
      <c r="AK95" s="253"/>
      <c r="AL95" s="253"/>
      <c r="AM95" s="253"/>
      <c r="AN95" s="253"/>
      <c r="AO95" s="253"/>
      <c r="AP95" s="253"/>
      <c r="AQ95" s="253"/>
      <c r="AR95" s="253"/>
      <c r="AS95" s="253"/>
      <c r="AT95" s="253"/>
      <c r="AU95" s="253"/>
      <c r="AV95" s="253"/>
      <c r="AW95" s="253"/>
      <c r="AX95" s="253"/>
      <c r="AY95" s="253"/>
      <c r="AZ95" s="253"/>
      <c r="BA95" s="253"/>
      <c r="BB95" s="251"/>
      <c r="BC95" s="254"/>
      <c r="BD95" s="251"/>
      <c r="BE95" s="251"/>
    </row>
    <row r="96" spans="1:57" s="262" customFormat="1">
      <c r="A96" s="256"/>
      <c r="B96" s="257" t="s">
        <v>383</v>
      </c>
      <c r="C96" s="257"/>
      <c r="D96" s="258"/>
      <c r="E96" s="259"/>
      <c r="F96" s="259"/>
      <c r="G96" s="259"/>
      <c r="H96" s="259"/>
      <c r="I96" s="259"/>
      <c r="J96" s="259"/>
      <c r="K96" s="259">
        <f>IF(ISTEXT('IS Raw'!F11), Input!K94 - 'IS Raw'!F35, "Chưa có BCTC")</f>
        <v>1.1368683772161603E-13</v>
      </c>
      <c r="L96" s="259">
        <f>IF(ISTEXT('IS Raw'!G11), Input!L94 - 'IS Raw'!G35, "Chưa có BCTC")</f>
        <v>1.1368683772161603E-13</v>
      </c>
      <c r="M96" s="259">
        <f>IF(ISTEXT('IS Raw'!H11), Input!M94 - 'IS Raw'!H35, "Chưa có BCTC")</f>
        <v>2.2737367544323206E-13</v>
      </c>
      <c r="N96" s="259">
        <f>IF(ISTEXT('IS Raw'!I11), Input!N94 - 'IS Raw'!I35, "Chưa có BCTC")</f>
        <v>0</v>
      </c>
      <c r="O96" s="259">
        <f>IF(ISTEXT('IS Raw'!J11), Input!O94 - 'IS Raw'!J35, "Chưa có BCTC")</f>
        <v>6.8212102632969618E-13</v>
      </c>
      <c r="P96" s="259">
        <f>IF(ISTEXT('IS Raw'!K11), Input!P94 - 'IS Raw'!K35, "Chưa có BCTC")</f>
        <v>6.8212102632969618E-13</v>
      </c>
      <c r="Q96" s="2570" t="str">
        <f>IF(ISTEXT('IS Raw'!L11), Input!Q94 - 'IS Raw'!L35, "Chưa có BCTC")</f>
        <v>Chưa có BCTC</v>
      </c>
      <c r="R96" s="2570" t="str">
        <f>IF(ISTEXT('IS Raw'!M11), Input!R94 - 'IS Raw'!M35, "Chưa có BCTC")</f>
        <v>Chưa có BCTC</v>
      </c>
      <c r="S96" s="2570" t="str">
        <f>IF(ISTEXT('IS Raw'!N11), Input!S94 - 'IS Raw'!N35, "Chưa có BCTC")</f>
        <v>Chưa có BCTC</v>
      </c>
      <c r="T96" s="2570" t="str">
        <f>IF(ISTEXT('IS Raw'!O11), Input!T94 - 'IS Raw'!O35, "Chưa có BCTC")</f>
        <v>Chưa có BCTC</v>
      </c>
      <c r="U96" s="2570" t="str">
        <f>IF(ISTEXT('IS Raw'!P11), Input!U94 - 'IS Raw'!P35, "Chưa có BCTC")</f>
        <v>Chưa có BCTC</v>
      </c>
      <c r="V96" s="2570" t="str">
        <f>IF(ISTEXT('IS Raw'!Q11), Input!V94 - 'IS Raw'!Q35, "Chưa có BCTC")</f>
        <v>Chưa có BCTC</v>
      </c>
      <c r="W96" s="2570" t="str">
        <f>IF(ISTEXT('IS Raw'!R11), Input!W94 - 'IS Raw'!R35, "Chưa có BCTC")</f>
        <v>Chưa có BCTC</v>
      </c>
      <c r="X96" s="2570" t="str">
        <f>IF(ISTEXT('IS Raw'!S11), Input!X94 - 'IS Raw'!S35, "Chưa có BCTC")</f>
        <v>Chưa có BCTC</v>
      </c>
      <c r="Y96" s="2570" t="str">
        <f>IF(ISTEXT('IS Raw'!T11), Input!Y94 - 'IS Raw'!T35, "Chưa có BCTC")</f>
        <v>Chưa có BCTC</v>
      </c>
      <c r="Z96" s="2570" t="str">
        <f>IF(ISTEXT('IS Raw'!U11), Input!Z94 - 'IS Raw'!U35, "Chưa có BCTC")</f>
        <v>Chưa có BCTC</v>
      </c>
      <c r="AA96" s="2571"/>
      <c r="AB96" s="260"/>
      <c r="AC96" s="260"/>
      <c r="AD96" s="260"/>
      <c r="AE96" s="260"/>
      <c r="AF96" s="260"/>
      <c r="AG96" s="260"/>
      <c r="AH96" s="260"/>
      <c r="AI96" s="260"/>
      <c r="AJ96" s="259"/>
      <c r="AK96" s="259"/>
      <c r="AL96" s="259"/>
      <c r="AM96" s="259"/>
      <c r="AN96" s="259"/>
      <c r="AO96" s="259"/>
      <c r="AP96" s="259"/>
      <c r="AQ96" s="259"/>
      <c r="AR96" s="259"/>
      <c r="AS96" s="259"/>
      <c r="AT96" s="259"/>
      <c r="AU96" s="259"/>
      <c r="AV96" s="259"/>
      <c r="AW96" s="259"/>
      <c r="AX96" s="259"/>
      <c r="AY96" s="259"/>
      <c r="AZ96" s="259"/>
      <c r="BA96" s="259"/>
      <c r="BB96" s="258"/>
      <c r="BC96" s="261"/>
      <c r="BD96" s="258"/>
      <c r="BE96" s="258"/>
    </row>
    <row r="97" spans="1:57" s="248" customFormat="1">
      <c r="A97" s="103"/>
      <c r="B97" s="155"/>
      <c r="C97" s="155"/>
      <c r="D97" s="247"/>
      <c r="E97" s="247"/>
      <c r="F97" s="247"/>
      <c r="G97" s="247"/>
      <c r="H97" s="247"/>
      <c r="I97" s="247"/>
      <c r="J97" s="247"/>
      <c r="K97" s="247"/>
      <c r="L97" s="247"/>
      <c r="M97" s="247"/>
      <c r="N97" s="247"/>
      <c r="O97" s="247"/>
      <c r="P97" s="263"/>
      <c r="Q97" s="247"/>
      <c r="R97" s="247"/>
      <c r="S97" s="247"/>
      <c r="T97" s="247"/>
      <c r="U97" s="247"/>
      <c r="V97" s="247"/>
      <c r="W97" s="247"/>
      <c r="X97" s="247"/>
      <c r="Y97" s="247"/>
      <c r="Z97" s="247"/>
      <c r="AA97" s="247"/>
      <c r="AB97" s="247"/>
      <c r="AC97" s="247"/>
      <c r="AD97" s="247"/>
      <c r="AE97" s="247"/>
      <c r="AF97" s="247"/>
      <c r="AG97" s="247"/>
      <c r="AH97" s="247"/>
      <c r="AI97" s="247"/>
      <c r="AJ97" s="247"/>
      <c r="AK97" s="247"/>
      <c r="AL97" s="247"/>
      <c r="AM97" s="247"/>
      <c r="AN97" s="247"/>
      <c r="AO97" s="247"/>
      <c r="AP97" s="247"/>
      <c r="AQ97" s="247"/>
      <c r="AR97" s="247"/>
      <c r="AS97" s="247"/>
      <c r="AT97" s="247"/>
      <c r="AU97" s="247"/>
      <c r="AV97" s="247"/>
      <c r="AW97" s="247"/>
      <c r="AX97" s="247"/>
      <c r="AY97" s="247"/>
      <c r="AZ97" s="247"/>
      <c r="BA97" s="247"/>
      <c r="BB97" s="247"/>
      <c r="BC97" s="94"/>
      <c r="BD97" s="247"/>
      <c r="BE97" s="247"/>
    </row>
    <row r="98" spans="1:57" s="228" customFormat="1">
      <c r="A98" s="86">
        <v>12</v>
      </c>
      <c r="B98" s="87" t="s">
        <v>384</v>
      </c>
      <c r="C98" s="87"/>
      <c r="D98" s="187"/>
      <c r="E98" s="128"/>
      <c r="F98" s="128"/>
      <c r="G98" s="128"/>
      <c r="H98" s="128"/>
      <c r="I98" s="129"/>
      <c r="J98" s="129"/>
      <c r="K98" s="129">
        <f>'IS Raw'!F36/Input!$B$1</f>
        <v>1.548499702</v>
      </c>
      <c r="L98" s="129">
        <f>'IS Raw'!G36/Input!$B$1</f>
        <v>1.4002600789999999</v>
      </c>
      <c r="M98" s="129">
        <f>'IS Raw'!H36/Input!$B$1</f>
        <v>2.6652292210000001</v>
      </c>
      <c r="N98" s="129">
        <f>'IS Raw'!I36/Input!$B$1</f>
        <v>5.1274449459999998</v>
      </c>
      <c r="O98" s="129">
        <f>'IS Raw'!J36/Input!$B$1</f>
        <v>1.24989181</v>
      </c>
      <c r="P98" s="129">
        <f>'IS Raw'!K36/Input!$B$1</f>
        <v>8.3486434000000003</v>
      </c>
      <c r="Q98" s="91">
        <f ca="1">Q92*Q99</f>
        <v>5.6571294361597548</v>
      </c>
      <c r="R98" s="91">
        <f t="shared" ref="R98:Z98" ca="1" si="105">R92*R99</f>
        <v>5.9611875844804612</v>
      </c>
      <c r="S98" s="91">
        <f t="shared" ca="1" si="105"/>
        <v>7.1092445028597666</v>
      </c>
      <c r="T98" s="91">
        <f t="shared" ca="1" si="105"/>
        <v>11.845338220115311</v>
      </c>
      <c r="U98" s="91">
        <f t="shared" ca="1" si="105"/>
        <v>11.04150910065643</v>
      </c>
      <c r="V98" s="91">
        <f t="shared" ca="1" si="105"/>
        <v>10.605513967355357</v>
      </c>
      <c r="W98" s="91">
        <f t="shared" ca="1" si="105"/>
        <v>9.0519069377287824</v>
      </c>
      <c r="X98" s="91">
        <f t="shared" ca="1" si="105"/>
        <v>10.110567746924389</v>
      </c>
      <c r="Y98" s="91">
        <f t="shared" ca="1" si="105"/>
        <v>11.855962447685599</v>
      </c>
      <c r="Z98" s="91">
        <f t="shared" ca="1" si="105"/>
        <v>11.9612261244732</v>
      </c>
      <c r="AA98" s="91"/>
      <c r="AB98" s="92"/>
      <c r="AC98" s="92"/>
      <c r="AD98" s="92"/>
      <c r="AE98" s="92"/>
      <c r="AF98" s="92"/>
      <c r="AG98" s="92"/>
      <c r="AH98" s="92"/>
      <c r="AI98" s="92"/>
      <c r="AJ98" s="92"/>
      <c r="AK98" s="92"/>
      <c r="AL98" s="92"/>
      <c r="AM98" s="92"/>
      <c r="AN98" s="92"/>
      <c r="AO98" s="92"/>
      <c r="AP98" s="92"/>
      <c r="AQ98" s="92"/>
      <c r="AR98" s="92"/>
      <c r="AS98" s="92"/>
      <c r="AT98" s="92"/>
      <c r="AU98" s="92"/>
      <c r="AV98" s="92"/>
      <c r="AW98" s="92"/>
      <c r="AX98" s="92"/>
      <c r="AY98" s="92"/>
      <c r="AZ98" s="92"/>
      <c r="BA98" s="92"/>
      <c r="BB98" s="200"/>
      <c r="BC98" s="2729"/>
      <c r="BD98" s="187"/>
      <c r="BE98" s="187"/>
    </row>
    <row r="99" spans="1:57" s="150" customFormat="1">
      <c r="A99" s="144"/>
      <c r="B99" s="145" t="s">
        <v>385</v>
      </c>
      <c r="C99" s="145"/>
      <c r="E99" s="168"/>
      <c r="F99" s="128"/>
      <c r="G99" s="168"/>
      <c r="H99" s="168"/>
      <c r="I99" s="234"/>
      <c r="J99" s="234"/>
      <c r="K99" s="234">
        <f>K98/K92</f>
        <v>3.6203268527730654E-3</v>
      </c>
      <c r="L99" s="234">
        <f t="shared" ref="L99:P99" si="106">L98/L92</f>
        <v>2.1137713450266717E-3</v>
      </c>
      <c r="M99" s="234">
        <f t="shared" si="106"/>
        <v>1.4595004513476516E-3</v>
      </c>
      <c r="N99" s="234">
        <f t="shared" si="106"/>
        <v>1.1866116976293371E-3</v>
      </c>
      <c r="O99" s="234">
        <f t="shared" si="106"/>
        <v>1.1258838985128384E-3</v>
      </c>
      <c r="P99" s="234">
        <f t="shared" si="106"/>
        <v>5.8463619905515718E-3</v>
      </c>
      <c r="Q99" s="230">
        <f>AVERAGE(K99:P99)</f>
        <v>2.5587427059735224E-3</v>
      </c>
      <c r="R99" s="230">
        <f t="shared" ref="R99:Z99" si="107">AVERAGE(L99:Q99)</f>
        <v>2.3818120148402654E-3</v>
      </c>
      <c r="S99" s="230">
        <f t="shared" si="107"/>
        <v>2.4264854598091976E-3</v>
      </c>
      <c r="T99" s="230">
        <f t="shared" si="107"/>
        <v>2.587649627886122E-3</v>
      </c>
      <c r="U99" s="230">
        <f t="shared" si="107"/>
        <v>2.8211559495955863E-3</v>
      </c>
      <c r="V99" s="230">
        <f t="shared" si="107"/>
        <v>3.1037012914427106E-3</v>
      </c>
      <c r="W99" s="230">
        <f t="shared" si="107"/>
        <v>2.6465911749245677E-3</v>
      </c>
      <c r="X99" s="230">
        <f t="shared" si="107"/>
        <v>2.6612325864164084E-3</v>
      </c>
      <c r="Y99" s="230">
        <f t="shared" si="107"/>
        <v>2.7078026816790991E-3</v>
      </c>
      <c r="Z99" s="230">
        <f t="shared" si="107"/>
        <v>2.7546888853240818E-3</v>
      </c>
      <c r="AA99" s="230"/>
      <c r="AB99" s="231"/>
      <c r="AC99" s="231"/>
      <c r="AD99" s="231"/>
      <c r="AE99" s="231"/>
      <c r="AF99" s="231"/>
      <c r="AG99" s="231"/>
      <c r="AH99" s="231"/>
      <c r="AI99" s="231"/>
      <c r="AJ99" s="231"/>
      <c r="AK99" s="231"/>
      <c r="AL99" s="231"/>
      <c r="AM99" s="231"/>
      <c r="AN99" s="231"/>
      <c r="AO99" s="231"/>
      <c r="AP99" s="231"/>
      <c r="AQ99" s="231"/>
      <c r="AR99" s="231"/>
      <c r="AS99" s="231"/>
      <c r="AT99" s="231"/>
      <c r="AU99" s="231"/>
      <c r="AV99" s="231"/>
      <c r="AW99" s="231"/>
      <c r="AX99" s="231"/>
      <c r="AY99" s="231"/>
      <c r="AZ99" s="231"/>
      <c r="BA99" s="231"/>
      <c r="BB99" s="168"/>
      <c r="BC99" s="2730"/>
    </row>
    <row r="100" spans="1:57" s="95" customFormat="1">
      <c r="A100" s="232"/>
      <c r="B100" s="104" t="s">
        <v>386</v>
      </c>
      <c r="C100" s="104"/>
      <c r="D100" s="105"/>
      <c r="E100" s="106"/>
      <c r="F100" s="106"/>
      <c r="G100" s="106"/>
      <c r="H100" s="106"/>
      <c r="I100" s="107"/>
      <c r="J100" s="107"/>
      <c r="K100" s="107">
        <f>IF(ISTEXT('IS Raw'!F11),'IS Raw'!F36, Input!K98)</f>
        <v>1.548499702</v>
      </c>
      <c r="L100" s="107">
        <f>IF(ISTEXT('IS Raw'!G11),'IS Raw'!G36, Input!L98)</f>
        <v>1.4002600789999999</v>
      </c>
      <c r="M100" s="107">
        <f>IF(ISTEXT('IS Raw'!H11),'IS Raw'!H36, Input!M98)</f>
        <v>2.6652292210000001</v>
      </c>
      <c r="N100" s="107">
        <f>IF(ISTEXT('IS Raw'!I11),'IS Raw'!I36, Input!N98)</f>
        <v>5.1274449459999998</v>
      </c>
      <c r="O100" s="107">
        <f>IF(ISTEXT('IS Raw'!J11),'IS Raw'!J36, Input!O98)</f>
        <v>1.24989181</v>
      </c>
      <c r="P100" s="107">
        <f>IF(ISTEXT('IS Raw'!K11),'IS Raw'!K36, Input!P98)</f>
        <v>8.3486434000000003</v>
      </c>
      <c r="Q100" s="108">
        <f ca="1">IF(ISTEXT('IS Raw'!L11),'IS Raw'!L36, Input!Q98)</f>
        <v>5.6571294361597548</v>
      </c>
      <c r="R100" s="108">
        <f ca="1">IF(ISTEXT('IS Raw'!M11),'IS Raw'!M36, Input!R98)</f>
        <v>5.9611875844804612</v>
      </c>
      <c r="S100" s="108">
        <f ca="1">IF(ISTEXT('IS Raw'!N11),'IS Raw'!N36, Input!S98)</f>
        <v>7.1092445028597666</v>
      </c>
      <c r="T100" s="108">
        <f ca="1">IF(ISTEXT('IS Raw'!O11),'IS Raw'!O36, Input!T98)</f>
        <v>11.845338220115311</v>
      </c>
      <c r="U100" s="108">
        <f ca="1">IF(ISTEXT('IS Raw'!P11),'IS Raw'!P36, Input!U98)</f>
        <v>11.04150910065643</v>
      </c>
      <c r="V100" s="108">
        <f ca="1">IF(ISTEXT('IS Raw'!Q11),'IS Raw'!Q36, Input!V98)</f>
        <v>10.605513967355357</v>
      </c>
      <c r="W100" s="108">
        <f ca="1">IF(ISTEXT('IS Raw'!R11),'IS Raw'!R36, Input!W98)</f>
        <v>9.0519069377287824</v>
      </c>
      <c r="X100" s="108">
        <f ca="1">IF(ISTEXT('IS Raw'!S11),'IS Raw'!S36, Input!X98)</f>
        <v>10.110567746924389</v>
      </c>
      <c r="Y100" s="108">
        <f ca="1">IF(ISTEXT('IS Raw'!T11),'IS Raw'!T36, Input!Y98)</f>
        <v>11.855962447685599</v>
      </c>
      <c r="Z100" s="108">
        <f ca="1">IF(ISTEXT('IS Raw'!U11),'IS Raw'!U36, Input!Z98)</f>
        <v>11.9612261244732</v>
      </c>
      <c r="AA100" s="108"/>
      <c r="AB100" s="109"/>
      <c r="AC100" s="109"/>
      <c r="AD100" s="109"/>
      <c r="AE100" s="109"/>
      <c r="AF100" s="109"/>
      <c r="AG100" s="109"/>
      <c r="AH100" s="109"/>
      <c r="AI100" s="109"/>
      <c r="AJ100" s="109"/>
      <c r="AK100" s="109"/>
      <c r="AL100" s="109"/>
      <c r="AM100" s="109"/>
      <c r="AN100" s="109"/>
      <c r="AO100" s="109"/>
      <c r="AP100" s="109"/>
      <c r="AQ100" s="109"/>
      <c r="AR100" s="109"/>
      <c r="AS100" s="109"/>
      <c r="AT100" s="109"/>
      <c r="AU100" s="109"/>
      <c r="AV100" s="109"/>
      <c r="AW100" s="109"/>
      <c r="AX100" s="109"/>
      <c r="AY100" s="109"/>
      <c r="AZ100" s="109"/>
      <c r="BA100" s="109"/>
      <c r="BB100" s="110"/>
      <c r="BC100" s="111"/>
    </row>
    <row r="101" spans="1:57">
      <c r="D101" s="84"/>
      <c r="E101" s="200"/>
      <c r="F101" s="200"/>
      <c r="G101" s="200"/>
      <c r="H101" s="200"/>
      <c r="I101" s="200"/>
      <c r="J101" s="200"/>
      <c r="K101" s="200"/>
      <c r="L101" s="200"/>
      <c r="M101" s="200"/>
      <c r="N101" s="85"/>
      <c r="O101" s="85"/>
      <c r="P101" s="264"/>
      <c r="Q101" s="85"/>
      <c r="R101" s="85"/>
      <c r="S101" s="85"/>
      <c r="T101" s="85"/>
      <c r="U101" s="85"/>
      <c r="V101" s="85"/>
      <c r="W101" s="85"/>
      <c r="X101" s="85"/>
      <c r="Y101" s="85"/>
      <c r="Z101" s="85"/>
      <c r="AA101" s="85"/>
      <c r="AB101" s="85"/>
      <c r="AC101" s="85"/>
      <c r="AD101" s="85"/>
      <c r="AE101" s="85"/>
      <c r="AF101" s="85"/>
      <c r="AG101" s="85"/>
      <c r="AH101" s="85"/>
      <c r="AI101" s="85"/>
      <c r="AJ101" s="85"/>
      <c r="AK101" s="85"/>
      <c r="AL101" s="85"/>
      <c r="AM101" s="85"/>
      <c r="AN101" s="85"/>
      <c r="AO101" s="85"/>
      <c r="AP101" s="85"/>
      <c r="AQ101" s="85"/>
      <c r="AR101" s="85"/>
      <c r="AS101" s="85"/>
      <c r="AT101" s="85"/>
      <c r="AU101" s="85"/>
      <c r="AV101" s="85"/>
      <c r="AW101" s="85"/>
      <c r="AX101" s="85"/>
      <c r="AY101" s="85"/>
      <c r="AZ101" s="85"/>
      <c r="BA101" s="85"/>
      <c r="BB101" s="85"/>
      <c r="BD101" s="84"/>
      <c r="BE101" s="84"/>
    </row>
    <row r="102" spans="1:57" s="95" customFormat="1">
      <c r="A102" s="86">
        <v>13</v>
      </c>
      <c r="B102" s="87" t="s">
        <v>387</v>
      </c>
      <c r="C102" s="87"/>
      <c r="D102" s="93"/>
      <c r="E102" s="128"/>
      <c r="F102" s="128"/>
      <c r="G102" s="128"/>
      <c r="H102" s="128"/>
      <c r="I102" s="129"/>
      <c r="J102" s="129"/>
      <c r="K102" s="129">
        <f>'IS Raw'!F37/Input!$B$1</f>
        <v>426.17522939000003</v>
      </c>
      <c r="L102" s="129">
        <f>'IS Raw'!G37/Input!$B$1</f>
        <v>661.04607419199999</v>
      </c>
      <c r="M102" s="129">
        <f>'IS Raw'!H37/Input!$B$1</f>
        <v>1823.459057715</v>
      </c>
      <c r="N102" s="129">
        <f>'IS Raw'!I37/Input!$B$1</f>
        <v>4315.9532895889997</v>
      </c>
      <c r="O102" s="129">
        <f>'IS Raw'!J37/Input!$B$1</f>
        <v>1108.8928250819999</v>
      </c>
      <c r="P102" s="129">
        <f>'IS Raw'!K37/Input!$B$1</f>
        <v>1419.6579380420001</v>
      </c>
      <c r="Q102" s="91">
        <f ca="1">Q92-Q98</f>
        <v>2205.244897935675</v>
      </c>
      <c r="R102" s="91">
        <f t="shared" ref="R102:Z102" ca="1" si="108">R92-R98</f>
        <v>2496.8339731327874</v>
      </c>
      <c r="S102" s="91">
        <f t="shared" ca="1" si="108"/>
        <v>2922.7432605349363</v>
      </c>
      <c r="T102" s="91">
        <f ca="1">T92-T98</f>
        <v>4565.7984403125647</v>
      </c>
      <c r="U102" s="91">
        <f t="shared" ca="1" si="108"/>
        <v>3902.7829295090678</v>
      </c>
      <c r="V102" s="91">
        <f t="shared" ca="1" si="108"/>
        <v>3406.4481814369269</v>
      </c>
      <c r="W102" s="91">
        <f t="shared" ca="1" si="108"/>
        <v>3411.1616203694412</v>
      </c>
      <c r="X102" s="91">
        <f t="shared" ca="1" si="108"/>
        <v>3789.0942813636852</v>
      </c>
      <c r="Y102" s="91">
        <f t="shared" ca="1" si="108"/>
        <v>4366.5880533968357</v>
      </c>
      <c r="Z102" s="91">
        <f t="shared" ca="1" si="108"/>
        <v>4330.1719955972221</v>
      </c>
      <c r="AA102" s="91"/>
      <c r="AB102" s="92"/>
      <c r="AC102" s="92"/>
      <c r="AD102" s="92"/>
      <c r="AE102" s="92"/>
      <c r="AF102" s="92"/>
      <c r="AG102" s="92"/>
      <c r="AH102" s="92"/>
      <c r="AI102" s="92"/>
      <c r="AJ102" s="92"/>
      <c r="AK102" s="92"/>
      <c r="AL102" s="92"/>
      <c r="AM102" s="92"/>
      <c r="AN102" s="92"/>
      <c r="AO102" s="92"/>
      <c r="AP102" s="92"/>
      <c r="AQ102" s="92"/>
      <c r="AR102" s="92"/>
      <c r="AS102" s="92"/>
      <c r="AT102" s="92"/>
      <c r="AU102" s="92"/>
      <c r="AV102" s="92"/>
      <c r="AW102" s="92"/>
      <c r="AX102" s="92"/>
      <c r="AY102" s="92"/>
      <c r="AZ102" s="92"/>
      <c r="BA102" s="92"/>
      <c r="BB102" s="93"/>
      <c r="BC102" s="94"/>
    </row>
    <row r="103" spans="1:57">
      <c r="B103" s="118" t="s">
        <v>388</v>
      </c>
      <c r="C103" s="118"/>
      <c r="D103" s="84"/>
      <c r="E103" s="128"/>
      <c r="F103" s="128"/>
      <c r="G103" s="128"/>
      <c r="H103" s="128"/>
      <c r="I103" s="128"/>
      <c r="J103" s="128"/>
      <c r="K103" s="128"/>
      <c r="L103" s="128"/>
      <c r="M103" s="128"/>
      <c r="N103" s="128"/>
      <c r="O103" s="128"/>
      <c r="P103" s="265"/>
      <c r="Q103" s="92"/>
      <c r="R103" s="92"/>
      <c r="S103" s="92"/>
      <c r="T103" s="92"/>
      <c r="U103" s="92"/>
      <c r="V103" s="92"/>
      <c r="W103" s="92"/>
      <c r="X103" s="92"/>
      <c r="Y103" s="92"/>
      <c r="Z103" s="92"/>
      <c r="AA103" s="92"/>
      <c r="AB103" s="92"/>
      <c r="AC103" s="92"/>
      <c r="AD103" s="92"/>
      <c r="AE103" s="92"/>
      <c r="AF103" s="92"/>
      <c r="AG103" s="92"/>
      <c r="AH103" s="92"/>
      <c r="AI103" s="92"/>
      <c r="AJ103" s="92"/>
      <c r="AK103" s="92"/>
      <c r="AL103" s="92"/>
      <c r="AM103" s="92"/>
      <c r="AN103" s="92"/>
      <c r="AO103" s="92"/>
      <c r="AP103" s="92"/>
      <c r="AQ103" s="92"/>
      <c r="AR103" s="92"/>
      <c r="AS103" s="92"/>
      <c r="AT103" s="92"/>
      <c r="AU103" s="92"/>
      <c r="AV103" s="92"/>
      <c r="AW103" s="92"/>
      <c r="AX103" s="92"/>
      <c r="AY103" s="92"/>
      <c r="AZ103" s="92"/>
      <c r="BA103" s="92"/>
      <c r="BB103" s="200"/>
      <c r="BD103" s="84"/>
      <c r="BE103" s="84"/>
    </row>
    <row r="104" spans="1:57">
      <c r="B104" s="118" t="s">
        <v>389</v>
      </c>
      <c r="C104" s="118"/>
      <c r="D104" s="84"/>
      <c r="E104" s="128"/>
      <c r="F104" s="128"/>
      <c r="G104" s="128"/>
      <c r="H104" s="128"/>
      <c r="I104" s="128"/>
      <c r="J104" s="128"/>
      <c r="K104" s="128"/>
      <c r="L104" s="128"/>
      <c r="M104" s="128"/>
      <c r="N104" s="128"/>
      <c r="O104" s="128"/>
      <c r="P104" s="265"/>
      <c r="Q104" s="92"/>
      <c r="R104" s="92"/>
      <c r="S104" s="92"/>
      <c r="T104" s="92"/>
      <c r="U104" s="92"/>
      <c r="V104" s="92"/>
      <c r="W104" s="92"/>
      <c r="X104" s="92"/>
      <c r="Y104" s="92"/>
      <c r="Z104" s="92"/>
      <c r="AA104" s="92"/>
      <c r="AB104" s="92"/>
      <c r="AC104" s="92"/>
      <c r="AD104" s="92"/>
      <c r="AE104" s="92"/>
      <c r="AF104" s="92"/>
      <c r="AG104" s="92"/>
      <c r="AH104" s="92"/>
      <c r="AI104" s="92"/>
      <c r="AJ104" s="92"/>
      <c r="AK104" s="92"/>
      <c r="AL104" s="92"/>
      <c r="AM104" s="92"/>
      <c r="AN104" s="92"/>
      <c r="AO104" s="92"/>
      <c r="AP104" s="92"/>
      <c r="AQ104" s="92"/>
      <c r="AR104" s="92"/>
      <c r="AS104" s="92"/>
      <c r="AT104" s="92"/>
      <c r="AU104" s="92"/>
      <c r="AV104" s="92"/>
      <c r="AW104" s="92"/>
      <c r="AX104" s="92"/>
      <c r="AY104" s="92"/>
      <c r="AZ104" s="92"/>
      <c r="BA104" s="92"/>
      <c r="BB104" s="200"/>
      <c r="BD104" s="84"/>
      <c r="BE104" s="84"/>
    </row>
    <row r="105" spans="1:57">
      <c r="B105" s="118" t="s">
        <v>390</v>
      </c>
      <c r="C105" s="118"/>
      <c r="D105" s="84"/>
      <c r="E105" s="128"/>
      <c r="F105" s="128"/>
      <c r="G105" s="128"/>
      <c r="H105" s="128"/>
      <c r="I105" s="128"/>
      <c r="J105" s="128"/>
      <c r="K105" s="128"/>
      <c r="L105" s="128"/>
      <c r="M105" s="128"/>
      <c r="N105" s="128"/>
      <c r="O105" s="128"/>
      <c r="P105" s="265"/>
      <c r="Q105" s="92"/>
      <c r="R105" s="92"/>
      <c r="S105" s="92"/>
      <c r="T105" s="92"/>
      <c r="U105" s="92"/>
      <c r="V105" s="92"/>
      <c r="W105" s="92"/>
      <c r="X105" s="92"/>
      <c r="Y105" s="92"/>
      <c r="Z105" s="92"/>
      <c r="AA105" s="92"/>
      <c r="AB105" s="92"/>
      <c r="AC105" s="92"/>
      <c r="AD105" s="92"/>
      <c r="AE105" s="92"/>
      <c r="AF105" s="92"/>
      <c r="AG105" s="92"/>
      <c r="AH105" s="92"/>
      <c r="AI105" s="92"/>
      <c r="AJ105" s="92"/>
      <c r="AK105" s="92"/>
      <c r="AL105" s="92"/>
      <c r="AM105" s="92"/>
      <c r="AN105" s="92"/>
      <c r="AO105" s="92"/>
      <c r="AP105" s="92"/>
      <c r="AQ105" s="92"/>
      <c r="AR105" s="92"/>
      <c r="AS105" s="92"/>
      <c r="AT105" s="92"/>
      <c r="AU105" s="92"/>
      <c r="AV105" s="92"/>
      <c r="AW105" s="92"/>
      <c r="AX105" s="92"/>
      <c r="AY105" s="92"/>
      <c r="AZ105" s="92"/>
      <c r="BA105" s="92"/>
      <c r="BB105" s="200"/>
      <c r="BD105" s="84"/>
      <c r="BE105" s="84"/>
    </row>
    <row r="106" spans="1:57" s="18" customFormat="1">
      <c r="A106" s="266"/>
      <c r="B106" s="104" t="s">
        <v>391</v>
      </c>
      <c r="C106" s="104"/>
      <c r="D106" s="183"/>
      <c r="E106" s="106"/>
      <c r="F106" s="106"/>
      <c r="G106" s="106"/>
      <c r="H106" s="106"/>
      <c r="I106" s="107"/>
      <c r="J106" s="107"/>
      <c r="K106" s="107">
        <f>IF(ISTEXT('IS Raw'!F11), 'IS Raw'!F37/Input!$B$1, Input!K102)</f>
        <v>426.17522939000003</v>
      </c>
      <c r="L106" s="107">
        <f>IF(ISTEXT('IS Raw'!G11), 'IS Raw'!G37/Input!$B$1, Input!L102)</f>
        <v>661.04607419199999</v>
      </c>
      <c r="M106" s="107">
        <f>IF(ISTEXT('IS Raw'!H11), 'IS Raw'!H37/Input!$B$1, Input!M102)</f>
        <v>1823.459057715</v>
      </c>
      <c r="N106" s="107">
        <f>IF(ISTEXT('IS Raw'!I11), 'IS Raw'!I37/Input!$B$1, Input!N102)</f>
        <v>4315.9532895889997</v>
      </c>
      <c r="O106" s="107">
        <f>IF(ISTEXT('IS Raw'!J11), 'IS Raw'!J37/Input!$B$1, Input!O102)</f>
        <v>1108.8928250819999</v>
      </c>
      <c r="P106" s="107">
        <f>IF(ISTEXT('IS Raw'!K11), 'IS Raw'!K37/Input!$B$1, Input!P102)</f>
        <v>1419.6579380420001</v>
      </c>
      <c r="Q106" s="108">
        <f ca="1">IF(ISTEXT('IS Raw'!L11), 'IS Raw'!L37/Input!$B$1, Input!Q102)</f>
        <v>2205.244897935675</v>
      </c>
      <c r="R106" s="108">
        <f ca="1">IF(ISTEXT('IS Raw'!M11), 'IS Raw'!M37/Input!$B$1, Input!R102)</f>
        <v>2496.8339731327874</v>
      </c>
      <c r="S106" s="108">
        <f ca="1">IF(ISTEXT('IS Raw'!N11), 'IS Raw'!N37/Input!$B$1, Input!S102)</f>
        <v>2922.7432605349363</v>
      </c>
      <c r="T106" s="108">
        <f ca="1">IF(ISTEXT('IS Raw'!O11), 'IS Raw'!O37/Input!$B$1, Input!T102)</f>
        <v>4565.7984403125647</v>
      </c>
      <c r="U106" s="108">
        <f ca="1">IF(ISTEXT('IS Raw'!P11), 'IS Raw'!P37/Input!$B$1, Input!U102)</f>
        <v>3902.7829295090678</v>
      </c>
      <c r="V106" s="108">
        <f ca="1">IF(ISTEXT('IS Raw'!Q11), 'IS Raw'!Q37/Input!$B$1, Input!V102)</f>
        <v>3406.4481814369269</v>
      </c>
      <c r="W106" s="108">
        <f ca="1">IF(ISTEXT('IS Raw'!R11), 'IS Raw'!R37/Input!$B$1, Input!W102)</f>
        <v>3411.1616203694412</v>
      </c>
      <c r="X106" s="108">
        <f ca="1">IF(ISTEXT('IS Raw'!S11), 'IS Raw'!S37/Input!$B$1, Input!X102)</f>
        <v>3789.0942813636852</v>
      </c>
      <c r="Y106" s="108">
        <f ca="1">IF(ISTEXT('IS Raw'!T11), 'IS Raw'!T37/Input!$B$1, Input!Y102)</f>
        <v>4366.5880533968357</v>
      </c>
      <c r="Z106" s="108">
        <f ca="1">IF(ISTEXT('IS Raw'!U11), 'IS Raw'!U37/Input!$B$1, Input!Z102)</f>
        <v>4330.1719955972221</v>
      </c>
      <c r="AA106" s="108"/>
      <c r="AB106" s="109"/>
      <c r="AC106" s="109"/>
      <c r="AD106" s="109"/>
      <c r="AE106" s="109"/>
      <c r="AF106" s="109"/>
      <c r="AG106" s="109"/>
      <c r="AH106" s="109"/>
      <c r="AI106" s="109"/>
      <c r="AJ106" s="109"/>
      <c r="AK106" s="109"/>
      <c r="AL106" s="109"/>
      <c r="AM106" s="109"/>
      <c r="AN106" s="109"/>
      <c r="AO106" s="109"/>
      <c r="AP106" s="109"/>
      <c r="AQ106" s="109"/>
      <c r="AR106" s="109"/>
      <c r="AS106" s="109"/>
      <c r="AT106" s="109"/>
      <c r="AU106" s="109"/>
      <c r="AV106" s="109"/>
      <c r="AW106" s="109"/>
      <c r="AX106" s="109"/>
      <c r="AY106" s="109"/>
      <c r="AZ106" s="109"/>
      <c r="BA106" s="109"/>
      <c r="BB106" s="227"/>
      <c r="BC106" s="267"/>
      <c r="BD106" s="151"/>
      <c r="BE106" s="151"/>
    </row>
    <row r="107" spans="1:57">
      <c r="D107" s="84"/>
      <c r="E107" s="84"/>
      <c r="F107" s="84"/>
      <c r="G107" s="84"/>
      <c r="H107" s="84"/>
      <c r="I107" s="84"/>
      <c r="J107" s="1400"/>
      <c r="K107" s="1400"/>
      <c r="L107" s="1400">
        <f>L106/K106-1</f>
        <v>0.55111331819584897</v>
      </c>
      <c r="M107" s="1400">
        <f t="shared" ref="M107:Z107" si="109">M106/L106-1</f>
        <v>1.758444727084755</v>
      </c>
      <c r="N107" s="1400">
        <f t="shared" si="109"/>
        <v>1.3669044124288572</v>
      </c>
      <c r="O107" s="1400">
        <f t="shared" si="109"/>
        <v>-0.74307117091445685</v>
      </c>
      <c r="P107" s="1400">
        <f t="shared" si="109"/>
        <v>0.28024810507455467</v>
      </c>
      <c r="Q107" s="2583">
        <f t="shared" ca="1" si="109"/>
        <v>0.55336355247459168</v>
      </c>
      <c r="R107" s="2583">
        <f t="shared" ca="1" si="109"/>
        <v>0.13222525782513683</v>
      </c>
      <c r="S107" s="2583">
        <f t="shared" ca="1" si="109"/>
        <v>0.17057973897549905</v>
      </c>
      <c r="T107" s="2583">
        <f t="shared" ca="1" si="109"/>
        <v>0.56216199416602453</v>
      </c>
      <c r="U107" s="2583">
        <f t="shared" ca="1" si="109"/>
        <v>-0.14521348663786138</v>
      </c>
      <c r="V107" s="2583">
        <f t="shared" ca="1" si="109"/>
        <v>-0.12717457184701153</v>
      </c>
      <c r="W107" s="2583">
        <f t="shared" ca="1" si="109"/>
        <v>1.3836813835006456E-3</v>
      </c>
      <c r="X107" s="2583">
        <f t="shared" ca="1" si="109"/>
        <v>0.11079295062932637</v>
      </c>
      <c r="Y107" s="2583">
        <f t="shared" ca="1" si="109"/>
        <v>0.15240944910595156</v>
      </c>
      <c r="Z107" s="2583">
        <f t="shared" ca="1" si="109"/>
        <v>-8.3397053613255556E-3</v>
      </c>
      <c r="AA107" s="295"/>
      <c r="AB107" s="85"/>
      <c r="AC107" s="85"/>
      <c r="AD107" s="85"/>
      <c r="AE107" s="85"/>
      <c r="AF107" s="85"/>
      <c r="AG107" s="85"/>
      <c r="AH107" s="85"/>
      <c r="AI107" s="85"/>
      <c r="AJ107" s="85"/>
      <c r="AK107" s="85"/>
      <c r="AL107" s="85"/>
      <c r="AM107" s="85"/>
      <c r="AN107" s="85"/>
      <c r="AO107" s="85"/>
      <c r="AP107" s="85"/>
      <c r="AQ107" s="85"/>
      <c r="AR107" s="85"/>
      <c r="AS107" s="85"/>
      <c r="AT107" s="85"/>
      <c r="AU107" s="85"/>
      <c r="AV107" s="85"/>
      <c r="AW107" s="85"/>
      <c r="AX107" s="85"/>
      <c r="AY107" s="85"/>
      <c r="AZ107" s="85"/>
      <c r="BA107" s="85"/>
      <c r="BB107" s="85"/>
      <c r="BD107" s="84"/>
      <c r="BE107" s="84"/>
    </row>
    <row r="108" spans="1:57">
      <c r="A108" s="39">
        <v>14</v>
      </c>
      <c r="B108" s="5" t="s">
        <v>392</v>
      </c>
      <c r="D108" s="84"/>
      <c r="E108" s="128"/>
      <c r="F108" s="128"/>
      <c r="G108" s="128"/>
      <c r="H108" s="128"/>
      <c r="I108" s="128"/>
      <c r="J108" s="128"/>
      <c r="K108" s="128"/>
      <c r="L108" s="128"/>
      <c r="M108" s="128"/>
      <c r="N108" s="41"/>
      <c r="O108" s="41"/>
      <c r="P108" s="268"/>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41"/>
      <c r="AU108" s="41"/>
      <c r="AV108" s="41"/>
      <c r="AW108" s="41"/>
      <c r="AX108" s="41"/>
      <c r="AY108" s="41"/>
      <c r="AZ108" s="41"/>
      <c r="BA108" s="41"/>
      <c r="BB108" s="200"/>
      <c r="BC108" s="94"/>
      <c r="BD108" s="84"/>
      <c r="BE108" s="84"/>
    </row>
    <row r="109" spans="1:57">
      <c r="B109" s="118" t="s">
        <v>393</v>
      </c>
      <c r="C109" s="118"/>
      <c r="E109" s="140"/>
      <c r="F109" s="140"/>
      <c r="G109" s="140"/>
      <c r="H109" s="140"/>
      <c r="I109" s="140"/>
      <c r="J109" s="140"/>
      <c r="K109" s="140">
        <f>IFERROR(K102/K138*1000, " ")</f>
        <v>805.01554474877219</v>
      </c>
      <c r="L109" s="140">
        <f t="shared" ref="L109:Z109" si="110">IFERROR(L102/L138*1000, " ")</f>
        <v>1248.670332814507</v>
      </c>
      <c r="M109" s="140">
        <f t="shared" si="110"/>
        <v>3444.3880954193428</v>
      </c>
      <c r="N109" s="140">
        <f t="shared" si="110"/>
        <v>8152.5373811654699</v>
      </c>
      <c r="O109" s="140">
        <f t="shared" si="110"/>
        <v>2094.6218834189649</v>
      </c>
      <c r="P109" s="140">
        <f t="shared" si="110"/>
        <v>2681.6356970948245</v>
      </c>
      <c r="Q109" s="194">
        <f t="shared" ca="1" si="110"/>
        <v>4165.5551528818951</v>
      </c>
      <c r="R109" s="194">
        <f t="shared" ca="1" si="110"/>
        <v>4716.346756956531</v>
      </c>
      <c r="S109" s="194">
        <f t="shared" ca="1" si="110"/>
        <v>5520.8599556761174</v>
      </c>
      <c r="T109" s="194">
        <f t="shared" ca="1" si="110"/>
        <v>8624.4775978703528</v>
      </c>
      <c r="U109" s="194">
        <f t="shared" ca="1" si="110"/>
        <v>7372.087135453472</v>
      </c>
      <c r="V109" s="194">
        <f t="shared" ca="1" si="110"/>
        <v>6434.5451103833147</v>
      </c>
      <c r="W109" s="194">
        <f t="shared" ca="1" si="110"/>
        <v>6443.4484706638486</v>
      </c>
      <c r="X109" s="194">
        <f t="shared" ca="1" si="110"/>
        <v>7157.3371389567155</v>
      </c>
      <c r="Y109" s="194">
        <f t="shared" ca="1" si="110"/>
        <v>8248.1829493706755</v>
      </c>
      <c r="Z109" s="194">
        <f t="shared" ca="1" si="110"/>
        <v>8179.3955338066162</v>
      </c>
      <c r="AA109" s="194"/>
      <c r="AB109" s="194"/>
      <c r="AC109" s="194"/>
      <c r="AD109" s="194"/>
      <c r="AE109" s="194"/>
      <c r="AF109" s="194"/>
      <c r="AG109" s="194"/>
      <c r="AH109" s="194"/>
      <c r="AI109" s="194"/>
      <c r="AJ109" s="194"/>
      <c r="AK109" s="194"/>
      <c r="AL109" s="194"/>
      <c r="AM109" s="194"/>
      <c r="AN109" s="194"/>
      <c r="AO109" s="194"/>
      <c r="AP109" s="194"/>
      <c r="AQ109" s="194"/>
      <c r="AR109" s="194"/>
      <c r="AS109" s="194"/>
      <c r="AT109" s="194"/>
      <c r="AU109" s="194"/>
      <c r="AV109" s="194"/>
      <c r="AW109" s="194"/>
      <c r="AX109" s="194"/>
      <c r="AY109" s="194"/>
      <c r="AZ109" s="194"/>
      <c r="BA109" s="194"/>
    </row>
    <row r="110" spans="1:57">
      <c r="B110" s="118" t="s">
        <v>394</v>
      </c>
      <c r="C110" s="118"/>
      <c r="E110" s="140"/>
      <c r="F110" s="140"/>
      <c r="G110" s="140"/>
      <c r="H110" s="140"/>
      <c r="I110" s="140"/>
      <c r="J110" s="140"/>
      <c r="K110" s="140">
        <f>IFERROR(K102/K139*1000, " ")</f>
        <v>805.01554474877219</v>
      </c>
      <c r="L110" s="140">
        <f t="shared" ref="L110:Z110" si="111">IFERROR(L102/L139*1000, " ")</f>
        <v>1248.670332814507</v>
      </c>
      <c r="M110" s="140">
        <f t="shared" si="111"/>
        <v>3444.3880954193428</v>
      </c>
      <c r="N110" s="140">
        <f t="shared" si="111"/>
        <v>8152.5373811654699</v>
      </c>
      <c r="O110" s="140">
        <f t="shared" si="111"/>
        <v>2094.6218834189649</v>
      </c>
      <c r="P110" s="140">
        <f t="shared" si="111"/>
        <v>2681.6356970948245</v>
      </c>
      <c r="Q110" s="194">
        <f t="shared" ca="1" si="111"/>
        <v>4165.5551528818951</v>
      </c>
      <c r="R110" s="194">
        <f t="shared" ca="1" si="111"/>
        <v>4716.346756956531</v>
      </c>
      <c r="S110" s="194">
        <f t="shared" ca="1" si="111"/>
        <v>5520.8599556761174</v>
      </c>
      <c r="T110" s="194">
        <f t="shared" ca="1" si="111"/>
        <v>8624.4775978703528</v>
      </c>
      <c r="U110" s="194">
        <f t="shared" ca="1" si="111"/>
        <v>7372.087135453472</v>
      </c>
      <c r="V110" s="194">
        <f t="shared" ca="1" si="111"/>
        <v>6434.5451103833147</v>
      </c>
      <c r="W110" s="194">
        <f t="shared" ca="1" si="111"/>
        <v>6443.4484706638486</v>
      </c>
      <c r="X110" s="194">
        <f t="shared" ca="1" si="111"/>
        <v>7157.3371389567155</v>
      </c>
      <c r="Y110" s="194">
        <f t="shared" ca="1" si="111"/>
        <v>8248.1829493706755</v>
      </c>
      <c r="Z110" s="194">
        <f t="shared" ca="1" si="111"/>
        <v>8179.3955338066162</v>
      </c>
      <c r="AA110" s="194"/>
      <c r="AB110" s="194"/>
      <c r="AC110" s="194"/>
      <c r="AD110" s="194"/>
      <c r="AE110" s="194"/>
      <c r="AF110" s="194"/>
      <c r="AG110" s="194"/>
      <c r="AH110" s="194"/>
      <c r="AI110" s="194"/>
      <c r="AJ110" s="194"/>
      <c r="AK110" s="194"/>
      <c r="AL110" s="194"/>
      <c r="AM110" s="194"/>
      <c r="AN110" s="194"/>
      <c r="AO110" s="194"/>
      <c r="AP110" s="194"/>
      <c r="AQ110" s="194"/>
      <c r="AR110" s="194"/>
      <c r="AS110" s="194"/>
      <c r="AT110" s="194"/>
      <c r="AU110" s="194"/>
      <c r="AV110" s="194"/>
      <c r="AW110" s="194"/>
      <c r="AX110" s="194"/>
      <c r="AY110" s="194"/>
      <c r="AZ110" s="194"/>
      <c r="BA110" s="194"/>
    </row>
    <row r="111" spans="1:57" s="18" customFormat="1" ht="16.8" customHeight="1">
      <c r="A111" s="17"/>
      <c r="B111" s="182" t="s">
        <v>395</v>
      </c>
      <c r="C111" s="182"/>
      <c r="D111" s="183"/>
      <c r="E111" s="269"/>
      <c r="F111" s="269"/>
      <c r="G111" s="269"/>
      <c r="H111" s="269"/>
      <c r="I111" s="269"/>
      <c r="J111" s="269"/>
      <c r="K111" s="269"/>
      <c r="L111" s="269"/>
      <c r="M111" s="269"/>
      <c r="N111" s="269"/>
      <c r="O111" s="269"/>
      <c r="P111" s="270"/>
      <c r="Q111" s="271"/>
      <c r="R111" s="271"/>
      <c r="S111" s="271"/>
      <c r="T111" s="271"/>
      <c r="U111" s="271"/>
      <c r="V111" s="271"/>
      <c r="W111" s="271"/>
      <c r="X111" s="271"/>
      <c r="Y111" s="271"/>
      <c r="Z111" s="271"/>
      <c r="AA111" s="271"/>
      <c r="AB111" s="271"/>
      <c r="AC111" s="271"/>
      <c r="AD111" s="271"/>
      <c r="AE111" s="271"/>
      <c r="AF111" s="271"/>
      <c r="AG111" s="271"/>
      <c r="AH111" s="271"/>
      <c r="AI111" s="271"/>
      <c r="AJ111" s="271"/>
      <c r="AK111" s="271"/>
      <c r="AL111" s="271"/>
      <c r="AM111" s="271"/>
      <c r="AN111" s="271"/>
      <c r="AO111" s="271"/>
      <c r="AP111" s="271"/>
      <c r="AQ111" s="271"/>
      <c r="AR111" s="271"/>
      <c r="AS111" s="271"/>
      <c r="AT111" s="271"/>
      <c r="AU111" s="271"/>
      <c r="AV111" s="271"/>
      <c r="AW111" s="271"/>
      <c r="AX111" s="271"/>
      <c r="AY111" s="271"/>
      <c r="AZ111" s="271"/>
      <c r="BA111" s="271"/>
      <c r="BB111" s="272"/>
      <c r="BC111" s="273"/>
      <c r="BD111" s="151"/>
      <c r="BE111" s="151"/>
    </row>
    <row r="112" spans="1:57" s="18" customFormat="1">
      <c r="A112" s="266"/>
      <c r="B112" s="274" t="s">
        <v>393</v>
      </c>
      <c r="C112" s="274"/>
      <c r="D112" s="151"/>
      <c r="E112" s="275"/>
      <c r="F112" s="275"/>
      <c r="G112" s="275"/>
      <c r="H112" s="275"/>
      <c r="I112" s="277"/>
      <c r="J112" s="277"/>
      <c r="K112" s="276">
        <f>IFERROR(K106/K138*1000, " ")</f>
        <v>805.01554474877219</v>
      </c>
      <c r="L112" s="276">
        <f t="shared" ref="L112:Z112" si="112">IFERROR(L106/L138*1000, " ")</f>
        <v>1248.670332814507</v>
      </c>
      <c r="M112" s="276">
        <f t="shared" si="112"/>
        <v>3444.3880954193428</v>
      </c>
      <c r="N112" s="276">
        <f t="shared" si="112"/>
        <v>8152.5373811654699</v>
      </c>
      <c r="O112" s="276">
        <f t="shared" si="112"/>
        <v>2094.6218834189649</v>
      </c>
      <c r="P112" s="276">
        <f t="shared" si="112"/>
        <v>2681.6356970948245</v>
      </c>
      <c r="Q112" s="278">
        <f t="shared" ca="1" si="112"/>
        <v>4165.5551528818951</v>
      </c>
      <c r="R112" s="278">
        <f t="shared" ca="1" si="112"/>
        <v>4716.346756956531</v>
      </c>
      <c r="S112" s="278">
        <f t="shared" ca="1" si="112"/>
        <v>5520.8599556761174</v>
      </c>
      <c r="T112" s="278">
        <f t="shared" ca="1" si="112"/>
        <v>8624.4775978703528</v>
      </c>
      <c r="U112" s="278">
        <f t="shared" ca="1" si="112"/>
        <v>7372.087135453472</v>
      </c>
      <c r="V112" s="278">
        <f t="shared" ca="1" si="112"/>
        <v>6434.5451103833147</v>
      </c>
      <c r="W112" s="278">
        <f t="shared" ca="1" si="112"/>
        <v>6443.4484706638486</v>
      </c>
      <c r="X112" s="278">
        <f t="shared" ca="1" si="112"/>
        <v>7157.3371389567155</v>
      </c>
      <c r="Y112" s="278">
        <f t="shared" ca="1" si="112"/>
        <v>8248.1829493706755</v>
      </c>
      <c r="Z112" s="278">
        <f t="shared" ca="1" si="112"/>
        <v>8179.3955338066162</v>
      </c>
      <c r="AA112" s="278"/>
      <c r="AB112" s="278"/>
      <c r="AC112" s="278"/>
      <c r="AD112" s="278"/>
      <c r="AE112" s="278"/>
      <c r="AF112" s="278"/>
      <c r="AG112" s="278"/>
      <c r="AH112" s="278"/>
      <c r="AI112" s="278"/>
      <c r="AJ112" s="278"/>
      <c r="AK112" s="278"/>
      <c r="AL112" s="278"/>
      <c r="AM112" s="278"/>
      <c r="AN112" s="278"/>
      <c r="AO112" s="278"/>
      <c r="AP112" s="278"/>
      <c r="AQ112" s="278"/>
      <c r="AR112" s="278"/>
      <c r="AS112" s="278"/>
      <c r="AT112" s="278"/>
      <c r="AU112" s="278"/>
      <c r="AV112" s="278"/>
      <c r="AW112" s="278"/>
      <c r="AX112" s="278"/>
      <c r="AY112" s="278"/>
      <c r="AZ112" s="278"/>
      <c r="BA112" s="278"/>
      <c r="BB112" s="276"/>
      <c r="BC112" s="279"/>
      <c r="BD112" s="151"/>
      <c r="BE112" s="151"/>
    </row>
    <row r="113" spans="1:57" s="18" customFormat="1">
      <c r="A113" s="266"/>
      <c r="B113" s="274" t="s">
        <v>394</v>
      </c>
      <c r="C113" s="274"/>
      <c r="D113" s="151"/>
      <c r="E113" s="275"/>
      <c r="F113" s="275"/>
      <c r="G113" s="275"/>
      <c r="H113" s="275"/>
      <c r="I113" s="277"/>
      <c r="J113" s="277"/>
      <c r="K113" s="276">
        <f>IFERROR(K106/K139*1000, " ")</f>
        <v>805.01554474877219</v>
      </c>
      <c r="L113" s="276">
        <f t="shared" ref="L113:Z113" si="113">IFERROR(L106/L139*1000, " ")</f>
        <v>1248.670332814507</v>
      </c>
      <c r="M113" s="276">
        <f t="shared" si="113"/>
        <v>3444.3880954193428</v>
      </c>
      <c r="N113" s="276">
        <f t="shared" si="113"/>
        <v>8152.5373811654699</v>
      </c>
      <c r="O113" s="276">
        <f t="shared" si="113"/>
        <v>2094.6218834189649</v>
      </c>
      <c r="P113" s="276">
        <f t="shared" si="113"/>
        <v>2681.6356970948245</v>
      </c>
      <c r="Q113" s="278">
        <f t="shared" ca="1" si="113"/>
        <v>4165.5551528818951</v>
      </c>
      <c r="R113" s="278">
        <f t="shared" ca="1" si="113"/>
        <v>4716.346756956531</v>
      </c>
      <c r="S113" s="278">
        <f t="shared" ca="1" si="113"/>
        <v>5520.8599556761174</v>
      </c>
      <c r="T113" s="278">
        <f t="shared" ca="1" si="113"/>
        <v>8624.4775978703528</v>
      </c>
      <c r="U113" s="278">
        <f t="shared" ca="1" si="113"/>
        <v>7372.087135453472</v>
      </c>
      <c r="V113" s="278">
        <f t="shared" ca="1" si="113"/>
        <v>6434.5451103833147</v>
      </c>
      <c r="W113" s="278">
        <f t="shared" ca="1" si="113"/>
        <v>6443.4484706638486</v>
      </c>
      <c r="X113" s="278">
        <f t="shared" ca="1" si="113"/>
        <v>7157.3371389567155</v>
      </c>
      <c r="Y113" s="278">
        <f t="shared" ca="1" si="113"/>
        <v>8248.1829493706755</v>
      </c>
      <c r="Z113" s="278">
        <f t="shared" ca="1" si="113"/>
        <v>8179.3955338066162</v>
      </c>
      <c r="AA113" s="278"/>
      <c r="AB113" s="278"/>
      <c r="AC113" s="278"/>
      <c r="AD113" s="278"/>
      <c r="AE113" s="278"/>
      <c r="AF113" s="278"/>
      <c r="AG113" s="278"/>
      <c r="AH113" s="278"/>
      <c r="AI113" s="278"/>
      <c r="AJ113" s="278"/>
      <c r="AK113" s="278"/>
      <c r="AL113" s="278"/>
      <c r="AM113" s="278"/>
      <c r="AN113" s="278"/>
      <c r="AO113" s="278"/>
      <c r="AP113" s="278"/>
      <c r="AQ113" s="278"/>
      <c r="AR113" s="278"/>
      <c r="AS113" s="278"/>
      <c r="AT113" s="278"/>
      <c r="AU113" s="278"/>
      <c r="AV113" s="278"/>
      <c r="AW113" s="278"/>
      <c r="AX113" s="278"/>
      <c r="AY113" s="278"/>
      <c r="AZ113" s="278"/>
      <c r="BA113" s="278"/>
      <c r="BB113" s="276"/>
      <c r="BC113" s="279"/>
      <c r="BD113" s="151"/>
      <c r="BE113" s="151"/>
    </row>
    <row r="114" spans="1:57" s="282" customFormat="1">
      <c r="A114" s="280"/>
      <c r="B114" s="281" t="s">
        <v>396</v>
      </c>
      <c r="D114" s="283"/>
      <c r="E114" s="283"/>
      <c r="F114" s="283"/>
      <c r="G114" s="283"/>
      <c r="H114" s="283"/>
      <c r="I114" s="283"/>
      <c r="J114" s="283"/>
      <c r="K114" s="283"/>
      <c r="L114" s="2585">
        <f>L109/K109-1</f>
        <v>0.55111331819584897</v>
      </c>
      <c r="M114" s="2585">
        <f t="shared" ref="M114:Z114" si="114">M109/L109-1</f>
        <v>1.758444727084755</v>
      </c>
      <c r="N114" s="2585">
        <f t="shared" si="114"/>
        <v>1.3669044124288572</v>
      </c>
      <c r="O114" s="2585">
        <f t="shared" si="114"/>
        <v>-0.74307117091445685</v>
      </c>
      <c r="P114" s="2585">
        <f t="shared" si="114"/>
        <v>0.28024810507455467</v>
      </c>
      <c r="Q114" s="2586">
        <f t="shared" ca="1" si="114"/>
        <v>0.5533635524745919</v>
      </c>
      <c r="R114" s="2586">
        <f t="shared" ca="1" si="114"/>
        <v>0.13222525782513683</v>
      </c>
      <c r="S114" s="2586">
        <f t="shared" ca="1" si="114"/>
        <v>0.17057973897549905</v>
      </c>
      <c r="T114" s="2586">
        <f t="shared" ca="1" si="114"/>
        <v>0.56216199416602453</v>
      </c>
      <c r="U114" s="2586">
        <f t="shared" ca="1" si="114"/>
        <v>-0.14521348663786138</v>
      </c>
      <c r="V114" s="2586">
        <f t="shared" ca="1" si="114"/>
        <v>-0.12717457184701153</v>
      </c>
      <c r="W114" s="2586">
        <f t="shared" ca="1" si="114"/>
        <v>1.3836813835008677E-3</v>
      </c>
      <c r="X114" s="2586">
        <f t="shared" ca="1" si="114"/>
        <v>0.11079295062932615</v>
      </c>
      <c r="Y114" s="2586">
        <f t="shared" ca="1" si="114"/>
        <v>0.15240944910595156</v>
      </c>
      <c r="Z114" s="2586">
        <f t="shared" ca="1" si="114"/>
        <v>-8.3397053613254446E-3</v>
      </c>
      <c r="AA114" s="2587"/>
      <c r="AB114" s="284"/>
      <c r="AC114" s="284"/>
      <c r="AD114" s="284"/>
      <c r="AE114" s="284"/>
      <c r="AF114" s="284"/>
      <c r="AG114" s="284"/>
      <c r="AH114" s="284"/>
      <c r="AI114" s="284"/>
      <c r="AJ114" s="284"/>
      <c r="AK114" s="284"/>
      <c r="AL114" s="284"/>
      <c r="AM114" s="284"/>
      <c r="AN114" s="284"/>
      <c r="AO114" s="284"/>
      <c r="AP114" s="284"/>
      <c r="AQ114" s="284"/>
      <c r="AR114" s="284"/>
      <c r="AS114" s="284"/>
      <c r="AT114" s="284"/>
      <c r="AU114" s="284"/>
      <c r="AV114" s="284"/>
      <c r="AW114" s="284"/>
      <c r="AX114" s="284"/>
      <c r="AY114" s="284"/>
      <c r="AZ114" s="284"/>
      <c r="BA114" s="284"/>
      <c r="BB114" s="286"/>
      <c r="BC114" s="287"/>
      <c r="BD114" s="283"/>
      <c r="BE114" s="283"/>
    </row>
    <row r="115" spans="1:57">
      <c r="D115" s="84"/>
      <c r="E115" s="84"/>
      <c r="F115" s="84"/>
      <c r="G115" s="84"/>
      <c r="H115" s="84"/>
      <c r="I115" s="84"/>
      <c r="J115" s="84"/>
      <c r="K115" s="84"/>
      <c r="L115" s="84"/>
      <c r="M115" s="84"/>
      <c r="N115" s="85"/>
      <c r="O115" s="85"/>
      <c r="P115" s="264"/>
      <c r="Q115" s="85"/>
      <c r="R115" s="85"/>
      <c r="S115" s="85"/>
      <c r="T115" s="85"/>
      <c r="U115" s="85"/>
      <c r="V115" s="85"/>
      <c r="W115" s="85"/>
      <c r="X115" s="85"/>
      <c r="Y115" s="85"/>
      <c r="Z115" s="85"/>
      <c r="AA115" s="85"/>
      <c r="AB115" s="85"/>
      <c r="AC115" s="85"/>
      <c r="AD115" s="85"/>
      <c r="AE115" s="85"/>
      <c r="AF115" s="85"/>
      <c r="AG115" s="85"/>
      <c r="AH115" s="85"/>
      <c r="AI115" s="85"/>
      <c r="AJ115" s="85"/>
      <c r="AK115" s="85"/>
      <c r="AL115" s="85"/>
      <c r="AM115" s="85"/>
      <c r="AN115" s="85"/>
      <c r="AO115" s="85"/>
      <c r="AP115" s="85"/>
      <c r="AQ115" s="85"/>
      <c r="AR115" s="85"/>
      <c r="AS115" s="85"/>
      <c r="AT115" s="85"/>
      <c r="AU115" s="85"/>
      <c r="AV115" s="85"/>
      <c r="AW115" s="85"/>
      <c r="AX115" s="85"/>
      <c r="AY115" s="85"/>
      <c r="AZ115" s="85"/>
      <c r="BA115" s="85"/>
      <c r="BB115" s="85"/>
      <c r="BD115" s="84"/>
      <c r="BE115" s="84"/>
    </row>
    <row r="116" spans="1:57">
      <c r="A116" s="74">
        <v>15</v>
      </c>
      <c r="B116" s="5" t="s">
        <v>397</v>
      </c>
      <c r="D116" s="84"/>
      <c r="E116" s="128"/>
      <c r="F116" s="128"/>
      <c r="G116" s="128"/>
      <c r="H116" s="128"/>
      <c r="I116" s="129"/>
      <c r="J116" s="129"/>
      <c r="K116" s="129">
        <f>'Welfare &amp; Dividends'!K8</f>
        <v>109.15</v>
      </c>
      <c r="L116" s="129">
        <f>'Welfare &amp; Dividends'!L8</f>
        <v>85.44</v>
      </c>
      <c r="M116" s="129">
        <f>'Welfare &amp; Dividends'!M8</f>
        <v>98.990000000000009</v>
      </c>
      <c r="N116" s="129">
        <f>'Welfare &amp; Dividends'!N8</f>
        <v>122.53</v>
      </c>
      <c r="O116" s="129">
        <f>'Welfare &amp; Dividends'!O8</f>
        <v>122.36</v>
      </c>
      <c r="P116" s="129">
        <f>'Welfare &amp; Dividends'!P8</f>
        <v>121.75</v>
      </c>
      <c r="Q116" s="198">
        <f>Q5*Q119</f>
        <v>188.90934246431667</v>
      </c>
      <c r="R116" s="198">
        <f t="shared" ref="R116:Z116" si="115">R5*R119</f>
        <v>192.2692655115911</v>
      </c>
      <c r="S116" s="198">
        <f t="shared" si="115"/>
        <v>240.53831705014494</v>
      </c>
      <c r="T116" s="198">
        <f t="shared" si="115"/>
        <v>416.97928201955125</v>
      </c>
      <c r="U116" s="198">
        <f t="shared" si="115"/>
        <v>319.00355568091612</v>
      </c>
      <c r="V116" s="198">
        <f t="shared" si="115"/>
        <v>280.19111300813086</v>
      </c>
      <c r="W116" s="198">
        <f t="shared" si="115"/>
        <v>285.05992434408267</v>
      </c>
      <c r="X116" s="198">
        <f t="shared" si="115"/>
        <v>329.67447852104692</v>
      </c>
      <c r="Y116" s="198">
        <f t="shared" si="115"/>
        <v>388.25893317829536</v>
      </c>
      <c r="Z116" s="198">
        <f t="shared" si="115"/>
        <v>340.64146945037083</v>
      </c>
      <c r="AA116" s="198"/>
      <c r="AB116" s="194"/>
      <c r="AC116" s="194"/>
      <c r="AD116" s="194"/>
      <c r="AE116" s="194"/>
      <c r="AF116" s="194"/>
      <c r="AG116" s="194"/>
      <c r="AH116" s="194"/>
      <c r="AI116" s="194"/>
      <c r="AJ116" s="194"/>
      <c r="AK116" s="194"/>
      <c r="AL116" s="194"/>
      <c r="AM116" s="194"/>
      <c r="AN116" s="194"/>
      <c r="AO116" s="194"/>
      <c r="AP116" s="194"/>
      <c r="AQ116" s="194"/>
      <c r="AR116" s="194"/>
      <c r="AS116" s="194"/>
      <c r="AT116" s="194"/>
      <c r="AU116" s="194"/>
      <c r="AV116" s="194"/>
      <c r="AW116" s="194"/>
      <c r="AX116" s="194"/>
      <c r="AY116" s="194"/>
      <c r="AZ116" s="194"/>
      <c r="BA116" s="194"/>
      <c r="BB116" s="85"/>
      <c r="BC116" s="288"/>
      <c r="BD116" s="84"/>
      <c r="BE116" s="84"/>
    </row>
    <row r="117" spans="1:57" s="150" customFormat="1">
      <c r="A117" s="159"/>
      <c r="B117" s="145" t="s">
        <v>398</v>
      </c>
      <c r="C117" s="2621" t="s">
        <v>1510</v>
      </c>
      <c r="D117" s="2622"/>
      <c r="E117" s="2623"/>
      <c r="F117" s="2623"/>
      <c r="G117" s="168"/>
      <c r="H117" s="168"/>
      <c r="I117" s="234"/>
      <c r="J117" s="234"/>
      <c r="K117" s="234">
        <f>K118/K106</f>
        <v>0.25611530767808899</v>
      </c>
      <c r="L117" s="234">
        <f t="shared" ref="L117:P117" si="116">L118/L106</f>
        <v>0.1292496897503457</v>
      </c>
      <c r="M117" s="234">
        <f t="shared" si="116"/>
        <v>5.428693316758406E-2</v>
      </c>
      <c r="N117" s="234">
        <f t="shared" si="116"/>
        <v>2.8390019951228043E-2</v>
      </c>
      <c r="O117" s="234">
        <f t="shared" si="116"/>
        <v>0.11034429769256715</v>
      </c>
      <c r="P117" s="234">
        <f t="shared" si="116"/>
        <v>8.5760095257818414E-2</v>
      </c>
      <c r="Q117" s="230">
        <f>AVERAGE(L117:P117)</f>
        <v>8.1606207163908678E-2</v>
      </c>
      <c r="R117" s="230">
        <f t="shared" ref="R117:Z117" si="117">AVERAGE(M117:Q117)</f>
        <v>7.2077510646621268E-2</v>
      </c>
      <c r="S117" s="230">
        <f t="shared" si="117"/>
        <v>7.5635626142428719E-2</v>
      </c>
      <c r="T117" s="230">
        <f t="shared" si="117"/>
        <v>8.5084747380668846E-2</v>
      </c>
      <c r="U117" s="230">
        <f t="shared" si="117"/>
        <v>8.0032837318289182E-2</v>
      </c>
      <c r="V117" s="230">
        <f t="shared" si="117"/>
        <v>7.8887385730383341E-2</v>
      </c>
      <c r="W117" s="230">
        <f t="shared" si="117"/>
        <v>7.8343621443678263E-2</v>
      </c>
      <c r="X117" s="230">
        <f t="shared" si="117"/>
        <v>7.9596843603089676E-2</v>
      </c>
      <c r="Y117" s="230">
        <f t="shared" si="117"/>
        <v>8.038908709522187E-2</v>
      </c>
      <c r="Z117" s="230">
        <f t="shared" si="117"/>
        <v>7.9449955038132472E-2</v>
      </c>
      <c r="AA117" s="230"/>
      <c r="AB117" s="289"/>
      <c r="AC117" s="289"/>
      <c r="AD117" s="289"/>
      <c r="AE117" s="289"/>
      <c r="AF117" s="289"/>
      <c r="AG117" s="289"/>
      <c r="AH117" s="289"/>
      <c r="AI117" s="289"/>
      <c r="AJ117" s="289"/>
      <c r="AK117" s="289"/>
      <c r="AL117" s="289"/>
      <c r="AM117" s="289"/>
      <c r="AN117" s="289"/>
      <c r="AO117" s="289"/>
      <c r="AP117" s="289"/>
      <c r="AQ117" s="289"/>
      <c r="AR117" s="289"/>
      <c r="AS117" s="289"/>
      <c r="AT117" s="289"/>
      <c r="AU117" s="289"/>
      <c r="AV117" s="289"/>
      <c r="AW117" s="289"/>
      <c r="AX117" s="289"/>
      <c r="AY117" s="289"/>
      <c r="AZ117" s="289"/>
      <c r="BA117" s="289"/>
      <c r="BB117" s="168"/>
      <c r="BC117" s="245"/>
    </row>
    <row r="118" spans="1:57" s="18" customFormat="1">
      <c r="A118" s="17"/>
      <c r="B118" s="182" t="s">
        <v>399</v>
      </c>
      <c r="C118" s="182"/>
      <c r="D118" s="186"/>
      <c r="E118" s="106"/>
      <c r="F118" s="106"/>
      <c r="G118" s="106"/>
      <c r="H118" s="106"/>
      <c r="I118" s="107"/>
      <c r="J118" s="107"/>
      <c r="K118" s="107">
        <f>K116</f>
        <v>109.15</v>
      </c>
      <c r="L118" s="107">
        <f t="shared" ref="L118:P118" si="118">L116</f>
        <v>85.44</v>
      </c>
      <c r="M118" s="107">
        <f t="shared" si="118"/>
        <v>98.990000000000009</v>
      </c>
      <c r="N118" s="107">
        <f t="shared" si="118"/>
        <v>122.53</v>
      </c>
      <c r="O118" s="107">
        <f t="shared" si="118"/>
        <v>122.36</v>
      </c>
      <c r="P118" s="107">
        <f t="shared" si="118"/>
        <v>121.75</v>
      </c>
      <c r="Q118" s="108">
        <f>Q116</f>
        <v>188.90934246431667</v>
      </c>
      <c r="R118" s="108">
        <f t="shared" ref="R118:Z118" si="119">R116</f>
        <v>192.2692655115911</v>
      </c>
      <c r="S118" s="108">
        <f t="shared" si="119"/>
        <v>240.53831705014494</v>
      </c>
      <c r="T118" s="108">
        <f t="shared" si="119"/>
        <v>416.97928201955125</v>
      </c>
      <c r="U118" s="108">
        <f t="shared" si="119"/>
        <v>319.00355568091612</v>
      </c>
      <c r="V118" s="108">
        <f t="shared" si="119"/>
        <v>280.19111300813086</v>
      </c>
      <c r="W118" s="108">
        <f t="shared" si="119"/>
        <v>285.05992434408267</v>
      </c>
      <c r="X118" s="108">
        <f t="shared" si="119"/>
        <v>329.67447852104692</v>
      </c>
      <c r="Y118" s="108">
        <f t="shared" si="119"/>
        <v>388.25893317829536</v>
      </c>
      <c r="Z118" s="108">
        <f t="shared" si="119"/>
        <v>340.64146945037083</v>
      </c>
      <c r="AA118" s="108"/>
      <c r="AB118" s="109"/>
      <c r="AC118" s="109"/>
      <c r="AD118" s="109"/>
      <c r="AE118" s="109"/>
      <c r="AF118" s="109"/>
      <c r="AG118" s="109"/>
      <c r="AH118" s="109"/>
      <c r="AI118" s="109"/>
      <c r="AJ118" s="109"/>
      <c r="AK118" s="109"/>
      <c r="AL118" s="109"/>
      <c r="AM118" s="109"/>
      <c r="AN118" s="109"/>
      <c r="AO118" s="109"/>
      <c r="AP118" s="109"/>
      <c r="AQ118" s="109"/>
      <c r="AR118" s="109"/>
      <c r="AS118" s="109"/>
      <c r="AT118" s="109"/>
      <c r="AU118" s="109"/>
      <c r="AV118" s="109"/>
      <c r="AW118" s="109"/>
      <c r="AX118" s="109"/>
      <c r="AY118" s="109"/>
      <c r="AZ118" s="109"/>
      <c r="BA118" s="109"/>
      <c r="BB118" s="186"/>
      <c r="BC118" s="111"/>
      <c r="BD118" s="151"/>
      <c r="BE118" s="151"/>
    </row>
    <row r="119" spans="1:57">
      <c r="B119" s="5" t="s">
        <v>1509</v>
      </c>
      <c r="D119" s="84"/>
      <c r="E119" s="85"/>
      <c r="F119" s="85"/>
      <c r="G119" s="85"/>
      <c r="H119" s="85"/>
      <c r="I119" s="85"/>
      <c r="J119" s="85"/>
      <c r="K119" s="234">
        <f>K116/K5</f>
        <v>1.5497730016771039E-2</v>
      </c>
      <c r="L119" s="234">
        <f t="shared" ref="L119:P119" si="120">L116/L5</f>
        <v>1.1299681451251089E-2</v>
      </c>
      <c r="M119" s="234">
        <f t="shared" si="120"/>
        <v>1.0029622895347633E-2</v>
      </c>
      <c r="N119" s="234">
        <f t="shared" si="120"/>
        <v>7.6944201210137585E-3</v>
      </c>
      <c r="O119" s="234">
        <f t="shared" si="120"/>
        <v>9.733868207562257E-3</v>
      </c>
      <c r="P119" s="234">
        <f t="shared" si="120"/>
        <v>9.0482872833856209E-3</v>
      </c>
      <c r="Q119" s="2624">
        <f>AVERAGE(K119:P119)+0.01%</f>
        <v>1.0650601662555232E-2</v>
      </c>
      <c r="R119" s="2624">
        <f>AVERAGE(L119:Q119)+0.06%</f>
        <v>1.0342746936852599E-2</v>
      </c>
      <c r="S119" s="2624">
        <f>AVERAGE(M119:R119)+0.3%</f>
        <v>1.2583257851119519E-2</v>
      </c>
      <c r="T119" s="2624">
        <f>AVERAGE(N119:S119)+0.85%</f>
        <v>1.8508863677081495E-2</v>
      </c>
      <c r="U119" s="2624">
        <f>AVERAGE(O119:T119)+0.28%</f>
        <v>1.4611270936426122E-2</v>
      </c>
      <c r="V119" s="2624">
        <f>AVERAGE(P119:U119)+0.109%</f>
        <v>1.3714171391236764E-2</v>
      </c>
      <c r="W119" s="2624">
        <f t="shared" ref="W119" si="121">AVERAGE(Q119:V119)+0.02%</f>
        <v>1.3601818742545287E-2</v>
      </c>
      <c r="X119" s="2624">
        <f>AVERAGE(R119:W119)+0.15%</f>
        <v>1.5393688255876965E-2</v>
      </c>
      <c r="Y119" s="2624">
        <f>AVERAGE(S119:X119)+0.25%</f>
        <v>1.7235511809047692E-2</v>
      </c>
      <c r="Z119" s="2624">
        <f>AVERAGE(T119:Y119)-0.059%</f>
        <v>1.4920887468702388E-2</v>
      </c>
      <c r="AA119" s="2625"/>
      <c r="AB119" s="85"/>
      <c r="AC119" s="85"/>
      <c r="AD119" s="85"/>
      <c r="AE119" s="85"/>
      <c r="AF119" s="85"/>
      <c r="AG119" s="85"/>
      <c r="AH119" s="85"/>
      <c r="AI119" s="85"/>
      <c r="AJ119" s="85"/>
      <c r="AK119" s="85"/>
      <c r="AL119" s="85"/>
      <c r="AM119" s="85"/>
      <c r="AN119" s="85"/>
      <c r="AO119" s="85"/>
      <c r="AP119" s="85"/>
      <c r="AQ119" s="85"/>
      <c r="AR119" s="85"/>
      <c r="AS119" s="85"/>
      <c r="AT119" s="85"/>
      <c r="AU119" s="85"/>
      <c r="AV119" s="85"/>
      <c r="AW119" s="85"/>
      <c r="AX119" s="85"/>
      <c r="AY119" s="85"/>
      <c r="AZ119" s="85"/>
      <c r="BA119" s="85"/>
      <c r="BB119" s="85"/>
      <c r="BD119" s="84"/>
      <c r="BE119" s="84"/>
    </row>
    <row r="120" spans="1:57">
      <c r="A120" s="74">
        <v>16</v>
      </c>
      <c r="B120" s="5" t="s">
        <v>400</v>
      </c>
      <c r="D120" s="84"/>
      <c r="E120" s="200"/>
      <c r="F120" s="200"/>
      <c r="G120" s="200"/>
      <c r="H120" s="200"/>
      <c r="I120" s="200"/>
      <c r="J120" s="200"/>
      <c r="K120" s="200"/>
      <c r="L120" s="200"/>
      <c r="M120" s="200"/>
      <c r="N120" s="200"/>
      <c r="O120" s="200"/>
      <c r="P120" s="290"/>
      <c r="Q120" s="291"/>
      <c r="R120" s="291"/>
      <c r="S120" s="291"/>
      <c r="T120" s="291"/>
      <c r="U120" s="291"/>
      <c r="V120" s="291"/>
      <c r="W120" s="291"/>
      <c r="X120" s="291"/>
      <c r="Y120" s="291"/>
      <c r="Z120" s="291"/>
      <c r="AA120" s="291"/>
      <c r="AB120" s="291"/>
      <c r="AC120" s="291"/>
      <c r="AD120" s="291"/>
      <c r="AE120" s="291"/>
      <c r="AF120" s="291"/>
      <c r="AG120" s="291"/>
      <c r="AH120" s="291"/>
      <c r="AI120" s="291"/>
      <c r="AJ120" s="291"/>
      <c r="AK120" s="291"/>
      <c r="AL120" s="291"/>
      <c r="AM120" s="291"/>
      <c r="AN120" s="291"/>
      <c r="AO120" s="291"/>
      <c r="AP120" s="291"/>
      <c r="AQ120" s="291"/>
      <c r="AR120" s="291"/>
      <c r="AS120" s="291"/>
      <c r="AT120" s="291"/>
      <c r="AU120" s="291"/>
      <c r="AV120" s="291"/>
      <c r="AW120" s="291"/>
      <c r="AX120" s="291"/>
      <c r="AY120" s="291"/>
      <c r="AZ120" s="291"/>
      <c r="BA120" s="291"/>
      <c r="BB120" s="200"/>
      <c r="BC120" s="94"/>
      <c r="BD120" s="84"/>
      <c r="BE120" s="84"/>
    </row>
    <row r="121" spans="1:57" s="18" customFormat="1">
      <c r="A121" s="17"/>
      <c r="B121" s="182" t="s">
        <v>401</v>
      </c>
      <c r="C121" s="182"/>
      <c r="D121" s="183"/>
      <c r="E121" s="272"/>
      <c r="F121" s="272"/>
      <c r="G121" s="272"/>
      <c r="H121" s="272"/>
      <c r="I121" s="272"/>
      <c r="J121" s="272"/>
      <c r="K121" s="272"/>
      <c r="L121" s="272"/>
      <c r="M121" s="272"/>
      <c r="N121" s="272"/>
      <c r="O121" s="272"/>
      <c r="P121" s="292"/>
      <c r="Q121" s="293"/>
      <c r="R121" s="293"/>
      <c r="S121" s="293"/>
      <c r="T121" s="293"/>
      <c r="U121" s="293"/>
      <c r="V121" s="293"/>
      <c r="W121" s="293"/>
      <c r="X121" s="293"/>
      <c r="Y121" s="293"/>
      <c r="Z121" s="293"/>
      <c r="AA121" s="293"/>
      <c r="AB121" s="293"/>
      <c r="AC121" s="293"/>
      <c r="AD121" s="293"/>
      <c r="AE121" s="293"/>
      <c r="AF121" s="293"/>
      <c r="AG121" s="293"/>
      <c r="AH121" s="293"/>
      <c r="AI121" s="293"/>
      <c r="AJ121" s="293"/>
      <c r="AK121" s="293"/>
      <c r="AL121" s="293"/>
      <c r="AM121" s="293"/>
      <c r="AN121" s="293"/>
      <c r="AO121" s="293"/>
      <c r="AP121" s="293"/>
      <c r="AQ121" s="293"/>
      <c r="AR121" s="293"/>
      <c r="AS121" s="293"/>
      <c r="AT121" s="293"/>
      <c r="AU121" s="293"/>
      <c r="AV121" s="293"/>
      <c r="AW121" s="293"/>
      <c r="AX121" s="293"/>
      <c r="AY121" s="293"/>
      <c r="AZ121" s="293"/>
      <c r="BA121" s="293"/>
      <c r="BB121" s="272"/>
      <c r="BC121" s="294"/>
      <c r="BD121" s="151"/>
      <c r="BE121" s="151"/>
    </row>
    <row r="122" spans="1:57">
      <c r="D122" s="84"/>
      <c r="E122" s="85"/>
      <c r="F122" s="85"/>
      <c r="G122" s="85"/>
      <c r="H122" s="85"/>
      <c r="I122" s="85"/>
      <c r="J122" s="85"/>
      <c r="K122" s="85"/>
      <c r="L122" s="85"/>
      <c r="M122" s="85"/>
      <c r="N122" s="85"/>
      <c r="O122" s="85"/>
      <c r="P122" s="264"/>
      <c r="Q122" s="85"/>
      <c r="R122" s="85"/>
      <c r="S122" s="85"/>
      <c r="T122" s="85"/>
      <c r="U122" s="85"/>
      <c r="V122" s="85"/>
      <c r="W122" s="85"/>
      <c r="X122" s="85"/>
      <c r="Y122" s="85"/>
      <c r="Z122" s="85"/>
      <c r="AA122" s="85"/>
      <c r="AB122" s="85"/>
      <c r="AC122" s="85"/>
      <c r="AD122" s="85"/>
      <c r="AE122" s="85"/>
      <c r="AF122" s="85"/>
      <c r="AG122" s="85"/>
      <c r="AH122" s="85"/>
      <c r="AI122" s="85"/>
      <c r="AJ122" s="85"/>
      <c r="AK122" s="85"/>
      <c r="AL122" s="85"/>
      <c r="AM122" s="85"/>
      <c r="AN122" s="85"/>
      <c r="AO122" s="85"/>
      <c r="AP122" s="85"/>
      <c r="AQ122" s="85"/>
      <c r="AR122" s="85"/>
      <c r="AS122" s="85"/>
      <c r="AT122" s="85"/>
      <c r="AU122" s="85"/>
      <c r="AV122" s="85"/>
      <c r="AW122" s="85"/>
      <c r="AX122" s="85"/>
      <c r="AY122" s="85"/>
      <c r="AZ122" s="85"/>
      <c r="BA122" s="85"/>
      <c r="BB122" s="85"/>
      <c r="BD122" s="84"/>
      <c r="BE122" s="84"/>
    </row>
    <row r="123" spans="1:57">
      <c r="A123" s="74">
        <v>17</v>
      </c>
      <c r="B123" s="5" t="s">
        <v>402</v>
      </c>
      <c r="D123" s="84"/>
      <c r="E123" s="200"/>
      <c r="F123" s="200"/>
      <c r="G123" s="200"/>
      <c r="H123" s="200"/>
      <c r="I123" s="200"/>
      <c r="J123" s="200"/>
      <c r="K123" s="200"/>
      <c r="L123" s="200"/>
      <c r="M123" s="200"/>
      <c r="N123" s="200"/>
      <c r="O123" s="200"/>
      <c r="P123" s="290"/>
      <c r="Q123" s="291"/>
      <c r="R123" s="291"/>
      <c r="S123" s="291"/>
      <c r="T123" s="291"/>
      <c r="U123" s="291"/>
      <c r="V123" s="291"/>
      <c r="W123" s="291"/>
      <c r="X123" s="291"/>
      <c r="Y123" s="291"/>
      <c r="Z123" s="291"/>
      <c r="AA123" s="291"/>
      <c r="AB123" s="291"/>
      <c r="AC123" s="291"/>
      <c r="AD123" s="291"/>
      <c r="AE123" s="291"/>
      <c r="AF123" s="291"/>
      <c r="AG123" s="291"/>
      <c r="AH123" s="291"/>
      <c r="AI123" s="291"/>
      <c r="AJ123" s="291"/>
      <c r="AK123" s="291"/>
      <c r="AL123" s="291"/>
      <c r="AM123" s="291"/>
      <c r="AN123" s="291"/>
      <c r="AO123" s="291"/>
      <c r="AP123" s="291"/>
      <c r="AQ123" s="291"/>
      <c r="AR123" s="291"/>
      <c r="AS123" s="291"/>
      <c r="AT123" s="291"/>
      <c r="AU123" s="291"/>
      <c r="AV123" s="291"/>
      <c r="AW123" s="291"/>
      <c r="AX123" s="291"/>
      <c r="AY123" s="291"/>
      <c r="AZ123" s="291"/>
      <c r="BA123" s="291"/>
      <c r="BB123" s="200"/>
      <c r="BC123" s="94"/>
      <c r="BD123" s="84"/>
      <c r="BE123" s="84"/>
    </row>
    <row r="124" spans="1:57">
      <c r="B124" s="118" t="s">
        <v>403</v>
      </c>
      <c r="C124" s="118"/>
      <c r="D124" s="84"/>
      <c r="E124" s="85"/>
      <c r="F124" s="85"/>
      <c r="G124" s="85"/>
      <c r="H124" s="85"/>
      <c r="I124" s="85"/>
      <c r="J124" s="85"/>
      <c r="K124" s="85"/>
      <c r="L124" s="85"/>
      <c r="M124" s="85"/>
      <c r="N124" s="85"/>
      <c r="O124" s="85"/>
      <c r="P124" s="264"/>
      <c r="Q124" s="295"/>
      <c r="R124" s="295"/>
      <c r="S124" s="295"/>
      <c r="T124" s="295"/>
      <c r="U124" s="295"/>
      <c r="V124" s="295"/>
      <c r="W124" s="295"/>
      <c r="X124" s="295"/>
      <c r="Y124" s="295"/>
      <c r="Z124" s="295"/>
      <c r="AA124" s="295"/>
      <c r="AB124" s="295"/>
      <c r="AC124" s="295"/>
      <c r="AD124" s="295"/>
      <c r="AE124" s="295"/>
      <c r="AF124" s="295"/>
      <c r="AG124" s="295"/>
      <c r="AH124" s="295"/>
      <c r="AI124" s="295"/>
      <c r="AJ124" s="295"/>
      <c r="AK124" s="295"/>
      <c r="AL124" s="295"/>
      <c r="AM124" s="295"/>
      <c r="AN124" s="295"/>
      <c r="AO124" s="295"/>
      <c r="AP124" s="295"/>
      <c r="AQ124" s="295"/>
      <c r="AR124" s="295"/>
      <c r="AS124" s="295"/>
      <c r="AT124" s="295"/>
      <c r="AU124" s="295"/>
      <c r="AV124" s="295"/>
      <c r="AW124" s="295"/>
      <c r="AX124" s="295"/>
      <c r="AY124" s="295"/>
      <c r="AZ124" s="295"/>
      <c r="BA124" s="295"/>
      <c r="BB124" s="85"/>
      <c r="BD124" s="84"/>
      <c r="BE124" s="84"/>
    </row>
    <row r="125" spans="1:57" s="18" customFormat="1">
      <c r="A125" s="17"/>
      <c r="B125" s="182" t="s">
        <v>404</v>
      </c>
      <c r="C125" s="182"/>
      <c r="D125" s="183"/>
      <c r="E125" s="272"/>
      <c r="F125" s="272"/>
      <c r="G125" s="272"/>
      <c r="H125" s="272"/>
      <c r="I125" s="272"/>
      <c r="J125" s="272"/>
      <c r="K125" s="272"/>
      <c r="L125" s="272"/>
      <c r="M125" s="272"/>
      <c r="N125" s="186"/>
      <c r="O125" s="186"/>
      <c r="P125" s="296"/>
      <c r="Q125" s="297"/>
      <c r="R125" s="297"/>
      <c r="S125" s="297"/>
      <c r="T125" s="297"/>
      <c r="U125" s="297"/>
      <c r="V125" s="297"/>
      <c r="W125" s="297"/>
      <c r="X125" s="297"/>
      <c r="Y125" s="297"/>
      <c r="Z125" s="297"/>
      <c r="AA125" s="297"/>
      <c r="AB125" s="297"/>
      <c r="AC125" s="297"/>
      <c r="AD125" s="297"/>
      <c r="AE125" s="297"/>
      <c r="AF125" s="297"/>
      <c r="AG125" s="297"/>
      <c r="AH125" s="297"/>
      <c r="AI125" s="297"/>
      <c r="AJ125" s="297"/>
      <c r="AK125" s="297"/>
      <c r="AL125" s="297"/>
      <c r="AM125" s="297"/>
      <c r="AN125" s="297"/>
      <c r="AO125" s="297"/>
      <c r="AP125" s="297"/>
      <c r="AQ125" s="297"/>
      <c r="AR125" s="297"/>
      <c r="AS125" s="297"/>
      <c r="AT125" s="297"/>
      <c r="AU125" s="297"/>
      <c r="AV125" s="297"/>
      <c r="AW125" s="297"/>
      <c r="AX125" s="297"/>
      <c r="AY125" s="297"/>
      <c r="AZ125" s="297"/>
      <c r="BA125" s="297"/>
      <c r="BB125" s="186"/>
      <c r="BC125" s="111"/>
      <c r="BD125" s="151"/>
      <c r="BE125" s="151"/>
    </row>
    <row r="126" spans="1:57" s="18" customFormat="1">
      <c r="A126" s="17"/>
      <c r="D126" s="151"/>
      <c r="E126" s="154"/>
      <c r="F126" s="154"/>
      <c r="G126" s="154"/>
      <c r="H126" s="154"/>
      <c r="I126" s="154"/>
      <c r="J126" s="154"/>
      <c r="K126" s="154"/>
      <c r="L126" s="154"/>
      <c r="M126" s="154"/>
      <c r="N126" s="227"/>
      <c r="O126" s="227"/>
      <c r="P126" s="298"/>
      <c r="Q126" s="227"/>
      <c r="R126" s="227"/>
      <c r="S126" s="227"/>
      <c r="T126" s="227"/>
      <c r="U126" s="227"/>
      <c r="V126" s="227"/>
      <c r="W126" s="227"/>
      <c r="X126" s="227"/>
      <c r="Y126" s="227"/>
      <c r="Z126" s="227"/>
      <c r="AA126" s="227"/>
      <c r="AB126" s="227"/>
      <c r="AC126" s="227"/>
      <c r="AD126" s="227"/>
      <c r="AE126" s="227"/>
      <c r="AF126" s="227"/>
      <c r="AG126" s="227"/>
      <c r="AH126" s="227"/>
      <c r="AI126" s="227"/>
      <c r="AJ126" s="227"/>
      <c r="AK126" s="227"/>
      <c r="AL126" s="227"/>
      <c r="AM126" s="227"/>
      <c r="AN126" s="227"/>
      <c r="AO126" s="227"/>
      <c r="AP126" s="227"/>
      <c r="AQ126" s="227"/>
      <c r="AR126" s="227"/>
      <c r="AS126" s="227"/>
      <c r="AT126" s="227"/>
      <c r="AU126" s="227"/>
      <c r="AV126" s="227"/>
      <c r="AW126" s="227"/>
      <c r="AX126" s="227"/>
      <c r="AY126" s="227"/>
      <c r="AZ126" s="227"/>
      <c r="BA126" s="227"/>
      <c r="BB126" s="227"/>
      <c r="BC126" s="94"/>
      <c r="BD126" s="151"/>
      <c r="BE126" s="151"/>
    </row>
    <row r="127" spans="1:57">
      <c r="A127" s="39"/>
      <c r="B127" s="87" t="s">
        <v>405</v>
      </c>
      <c r="C127" s="87"/>
      <c r="D127" s="84"/>
      <c r="E127" s="140"/>
      <c r="F127" s="140"/>
      <c r="G127" s="140"/>
      <c r="H127" s="140"/>
      <c r="I127" s="189"/>
      <c r="J127" s="189"/>
      <c r="K127" s="189">
        <f>+K102-K116-K120-K123</f>
        <v>317.02522939000005</v>
      </c>
      <c r="L127" s="189">
        <f t="shared" ref="L127:Z127" si="122">+L102-L116-L120-L123</f>
        <v>575.60607419200005</v>
      </c>
      <c r="M127" s="189">
        <f t="shared" si="122"/>
        <v>1724.469057715</v>
      </c>
      <c r="N127" s="189">
        <f t="shared" si="122"/>
        <v>4193.423289589</v>
      </c>
      <c r="O127" s="189">
        <f t="shared" si="122"/>
        <v>986.53282508199993</v>
      </c>
      <c r="P127" s="189">
        <f t="shared" si="122"/>
        <v>1297.9079380420001</v>
      </c>
      <c r="Q127" s="198">
        <f t="shared" ca="1" si="122"/>
        <v>2016.3355554713582</v>
      </c>
      <c r="R127" s="198">
        <f t="shared" ca="1" si="122"/>
        <v>2304.5647076211962</v>
      </c>
      <c r="S127" s="198">
        <f t="shared" ca="1" si="122"/>
        <v>2682.2049434847913</v>
      </c>
      <c r="T127" s="198">
        <f t="shared" ca="1" si="122"/>
        <v>4148.8191582930131</v>
      </c>
      <c r="U127" s="198">
        <f t="shared" ca="1" si="122"/>
        <v>3583.7793738281516</v>
      </c>
      <c r="V127" s="198">
        <f t="shared" ca="1" si="122"/>
        <v>3126.2570684287962</v>
      </c>
      <c r="W127" s="198">
        <f t="shared" ca="1" si="122"/>
        <v>3126.1016960253583</v>
      </c>
      <c r="X127" s="198">
        <f t="shared" ca="1" si="122"/>
        <v>3459.4198028426381</v>
      </c>
      <c r="Y127" s="198">
        <f t="shared" ca="1" si="122"/>
        <v>3978.3291202185401</v>
      </c>
      <c r="Z127" s="198">
        <f t="shared" ca="1" si="122"/>
        <v>3989.5305261468511</v>
      </c>
      <c r="AA127" s="198"/>
      <c r="AB127" s="194"/>
      <c r="AC127" s="194"/>
      <c r="AD127" s="194"/>
      <c r="AE127" s="194"/>
      <c r="AF127" s="194"/>
      <c r="AG127" s="194"/>
      <c r="AH127" s="194"/>
      <c r="AI127" s="194"/>
      <c r="AJ127" s="194"/>
      <c r="AK127" s="194"/>
      <c r="AL127" s="194"/>
      <c r="AM127" s="194"/>
      <c r="AN127" s="194"/>
      <c r="AO127" s="194"/>
      <c r="AP127" s="194"/>
      <c r="AQ127" s="194"/>
      <c r="AR127" s="194"/>
      <c r="AS127" s="194"/>
      <c r="AT127" s="194"/>
      <c r="AU127" s="194"/>
      <c r="AV127" s="194"/>
      <c r="AW127" s="194"/>
      <c r="AX127" s="194"/>
      <c r="AY127" s="194"/>
      <c r="AZ127" s="194"/>
      <c r="BA127" s="194"/>
      <c r="BB127" s="200"/>
      <c r="BC127" s="94"/>
      <c r="BD127" s="84"/>
      <c r="BE127" s="84"/>
    </row>
    <row r="128" spans="1:57" s="248" customFormat="1">
      <c r="A128" s="103"/>
      <c r="B128" s="104" t="s">
        <v>406</v>
      </c>
      <c r="C128" s="104"/>
      <c r="D128" s="246"/>
      <c r="E128" s="106"/>
      <c r="F128" s="106"/>
      <c r="G128" s="106"/>
      <c r="H128" s="106"/>
      <c r="I128" s="107"/>
      <c r="J128" s="107"/>
      <c r="K128" s="107">
        <f>K106-K118-K121-K125</f>
        <v>317.02522939000005</v>
      </c>
      <c r="L128" s="107">
        <f t="shared" ref="L128:Z128" si="123">L106-L118-L121-L125</f>
        <v>575.60607419200005</v>
      </c>
      <c r="M128" s="107">
        <f t="shared" si="123"/>
        <v>1724.469057715</v>
      </c>
      <c r="N128" s="107">
        <f t="shared" si="123"/>
        <v>4193.423289589</v>
      </c>
      <c r="O128" s="107">
        <f t="shared" si="123"/>
        <v>986.53282508199993</v>
      </c>
      <c r="P128" s="107">
        <f t="shared" si="123"/>
        <v>1297.9079380420001</v>
      </c>
      <c r="Q128" s="108">
        <f t="shared" ca="1" si="123"/>
        <v>2016.3355554713582</v>
      </c>
      <c r="R128" s="108">
        <f t="shared" ca="1" si="123"/>
        <v>2304.5647076211962</v>
      </c>
      <c r="S128" s="108">
        <f t="shared" ca="1" si="123"/>
        <v>2682.2049434847913</v>
      </c>
      <c r="T128" s="108">
        <f t="shared" ca="1" si="123"/>
        <v>4148.8191582930131</v>
      </c>
      <c r="U128" s="108">
        <f t="shared" ca="1" si="123"/>
        <v>3583.7793738281516</v>
      </c>
      <c r="V128" s="108">
        <f t="shared" ca="1" si="123"/>
        <v>3126.2570684287962</v>
      </c>
      <c r="W128" s="108">
        <f t="shared" ca="1" si="123"/>
        <v>3126.1016960253583</v>
      </c>
      <c r="X128" s="108">
        <f t="shared" ca="1" si="123"/>
        <v>3459.4198028426381</v>
      </c>
      <c r="Y128" s="108">
        <f t="shared" ca="1" si="123"/>
        <v>3978.3291202185401</v>
      </c>
      <c r="Z128" s="108">
        <f t="shared" ca="1" si="123"/>
        <v>3989.5305261468511</v>
      </c>
      <c r="AA128" s="108"/>
      <c r="AB128" s="109"/>
      <c r="AC128" s="109"/>
      <c r="AD128" s="109"/>
      <c r="AE128" s="109"/>
      <c r="AF128" s="109"/>
      <c r="AG128" s="109"/>
      <c r="AH128" s="109"/>
      <c r="AI128" s="109"/>
      <c r="AJ128" s="109"/>
      <c r="AK128" s="109"/>
      <c r="AL128" s="109"/>
      <c r="AM128" s="109"/>
      <c r="AN128" s="109"/>
      <c r="AO128" s="109"/>
      <c r="AP128" s="109"/>
      <c r="AQ128" s="109"/>
      <c r="AR128" s="109"/>
      <c r="AS128" s="109"/>
      <c r="AT128" s="109"/>
      <c r="AU128" s="109"/>
      <c r="AV128" s="109"/>
      <c r="AW128" s="109"/>
      <c r="AX128" s="109"/>
      <c r="AY128" s="109"/>
      <c r="AZ128" s="109"/>
      <c r="BA128" s="109"/>
      <c r="BB128" s="227"/>
      <c r="BC128" s="94"/>
      <c r="BD128" s="247"/>
      <c r="BE128" s="247"/>
    </row>
    <row r="129" spans="1:57">
      <c r="D129" s="84"/>
      <c r="E129" s="41"/>
      <c r="F129" s="41"/>
      <c r="G129" s="41"/>
      <c r="H129" s="41"/>
      <c r="I129" s="41"/>
      <c r="J129" s="41"/>
      <c r="K129" s="41"/>
      <c r="L129" s="41"/>
      <c r="M129" s="41"/>
      <c r="N129" s="140"/>
      <c r="O129" s="140"/>
      <c r="P129" s="141"/>
      <c r="Q129" s="140"/>
      <c r="R129" s="140"/>
      <c r="S129" s="140"/>
      <c r="T129" s="140"/>
      <c r="U129" s="140"/>
      <c r="V129" s="140"/>
      <c r="W129" s="140"/>
      <c r="X129" s="140"/>
      <c r="Y129" s="140"/>
      <c r="Z129" s="140"/>
      <c r="AA129" s="140"/>
      <c r="AB129" s="140"/>
      <c r="AC129" s="140"/>
      <c r="AD129" s="140"/>
      <c r="AE129" s="140"/>
      <c r="AF129" s="140"/>
      <c r="AG129" s="140"/>
      <c r="AH129" s="140"/>
      <c r="AI129" s="140"/>
      <c r="AJ129" s="140"/>
      <c r="AK129" s="140"/>
      <c r="AL129" s="140"/>
      <c r="AM129" s="140"/>
      <c r="AN129" s="140"/>
      <c r="AO129" s="140"/>
      <c r="AP129" s="140"/>
      <c r="AQ129" s="140"/>
      <c r="AR129" s="140"/>
      <c r="AS129" s="140"/>
      <c r="AT129" s="140"/>
      <c r="AU129" s="140"/>
      <c r="AV129" s="140"/>
      <c r="AW129" s="140"/>
      <c r="AX129" s="140"/>
      <c r="AY129" s="140"/>
      <c r="AZ129" s="140"/>
      <c r="BA129" s="140"/>
      <c r="BB129" s="85"/>
      <c r="BD129" s="84"/>
      <c r="BE129" s="84"/>
    </row>
    <row r="130" spans="1:57" ht="15" customHeight="1">
      <c r="A130" s="74">
        <v>18</v>
      </c>
      <c r="B130" s="5" t="s">
        <v>407</v>
      </c>
      <c r="D130" s="84"/>
      <c r="E130" s="128"/>
      <c r="F130" s="128"/>
      <c r="G130" s="128"/>
      <c r="H130" s="128"/>
      <c r="I130" s="129"/>
      <c r="J130" s="129"/>
      <c r="K130" s="129">
        <f>'Welfare &amp; Dividends'!K12</f>
        <v>317.64</v>
      </c>
      <c r="L130" s="129">
        <f>'Welfare &amp; Dividends'!L12</f>
        <v>423.52</v>
      </c>
      <c r="M130" s="129">
        <f>'Welfare &amp; Dividends'!M12</f>
        <v>952.92</v>
      </c>
      <c r="N130" s="129">
        <f>'Welfare &amp; Dividends'!N12</f>
        <v>1588.2</v>
      </c>
      <c r="O130" s="129">
        <f>'Welfare &amp; Dividends'!O12</f>
        <v>1058.8</v>
      </c>
      <c r="P130" s="129">
        <f>'Welfare &amp; Dividends'!P12</f>
        <v>1058.8</v>
      </c>
      <c r="Q130" s="198">
        <f>+Q132*Q138*10</f>
        <v>1058.8</v>
      </c>
      <c r="R130" s="198">
        <f t="shared" ref="R130:Z130" si="124">+R132*R138*10</f>
        <v>1323.5</v>
      </c>
      <c r="S130" s="198">
        <f t="shared" si="124"/>
        <v>1588.1999999999998</v>
      </c>
      <c r="T130" s="198">
        <f t="shared" si="124"/>
        <v>1588.1999999999998</v>
      </c>
      <c r="U130" s="198">
        <f t="shared" si="124"/>
        <v>1852.8999999999999</v>
      </c>
      <c r="V130" s="198">
        <f t="shared" si="124"/>
        <v>1852.8999999999999</v>
      </c>
      <c r="W130" s="198">
        <f t="shared" si="124"/>
        <v>1588.1999999999998</v>
      </c>
      <c r="X130" s="198">
        <f t="shared" si="124"/>
        <v>2117.6</v>
      </c>
      <c r="Y130" s="198">
        <f t="shared" si="124"/>
        <v>2647</v>
      </c>
      <c r="Z130" s="198">
        <f t="shared" si="124"/>
        <v>3176.3999999999996</v>
      </c>
      <c r="AA130" s="198"/>
      <c r="AB130" s="194"/>
      <c r="AC130" s="194"/>
      <c r="AD130" s="194"/>
      <c r="AE130" s="194"/>
      <c r="AF130" s="194"/>
      <c r="AG130" s="194"/>
      <c r="AH130" s="194"/>
      <c r="AI130" s="194"/>
      <c r="AJ130" s="194"/>
      <c r="AK130" s="194"/>
      <c r="AL130" s="194"/>
      <c r="AM130" s="194"/>
      <c r="AN130" s="194"/>
      <c r="AO130" s="194"/>
      <c r="AP130" s="194"/>
      <c r="AQ130" s="194"/>
      <c r="AR130" s="194"/>
      <c r="AS130" s="194"/>
      <c r="AT130" s="194"/>
      <c r="AU130" s="194"/>
      <c r="AV130" s="194"/>
      <c r="AW130" s="194"/>
      <c r="AX130" s="194"/>
      <c r="AY130" s="194"/>
      <c r="AZ130" s="194"/>
      <c r="BA130" s="194"/>
      <c r="BB130" s="85"/>
      <c r="BC130" s="288"/>
      <c r="BD130" s="84"/>
      <c r="BE130" s="84"/>
    </row>
    <row r="131" spans="1:57" s="150" customFormat="1">
      <c r="A131" s="159"/>
      <c r="B131" s="145" t="s">
        <v>408</v>
      </c>
      <c r="C131" s="145"/>
      <c r="E131" s="119"/>
      <c r="F131" s="119"/>
      <c r="G131" s="119"/>
      <c r="H131" s="119"/>
      <c r="I131" s="234"/>
      <c r="J131" s="234"/>
      <c r="K131" s="234">
        <f>IFERROR(K133/K106,"")</f>
        <v>0.74532722245412897</v>
      </c>
      <c r="L131" s="234">
        <f t="shared" ref="L131:Z131" si="125">IFERROR(L133/L106,"")</f>
        <v>0.64068151454899824</v>
      </c>
      <c r="M131" s="234">
        <f t="shared" si="125"/>
        <v>0.52258919440402263</v>
      </c>
      <c r="N131" s="234">
        <f t="shared" si="125"/>
        <v>0.36798359329584901</v>
      </c>
      <c r="O131" s="234">
        <f t="shared" si="125"/>
        <v>0.95482626999746734</v>
      </c>
      <c r="P131" s="234">
        <f t="shared" si="125"/>
        <v>0.74581346085402989</v>
      </c>
      <c r="Q131" s="235">
        <f t="shared" ca="1" si="125"/>
        <v>0.48012808055519834</v>
      </c>
      <c r="R131" s="235">
        <f t="shared" ca="1" si="125"/>
        <v>0.53007128797570768</v>
      </c>
      <c r="S131" s="235">
        <f t="shared" ca="1" si="125"/>
        <v>0.54339360608407283</v>
      </c>
      <c r="T131" s="235">
        <f t="shared" ca="1" si="125"/>
        <v>0.34784715548925438</v>
      </c>
      <c r="U131" s="235">
        <f t="shared" ca="1" si="125"/>
        <v>0.47476378611532893</v>
      </c>
      <c r="V131" s="235">
        <f t="shared" ca="1" si="125"/>
        <v>0.54393899490301345</v>
      </c>
      <c r="W131" s="235">
        <f t="shared" ca="1" si="125"/>
        <v>0.46558919709819907</v>
      </c>
      <c r="X131" s="235">
        <f t="shared" ca="1" si="125"/>
        <v>0.55886706499102501</v>
      </c>
      <c r="Y131" s="235">
        <f t="shared" ca="1" si="125"/>
        <v>0.60619411944317902</v>
      </c>
      <c r="Z131" s="235">
        <f t="shared" ca="1" si="125"/>
        <v>0.73355053869214892</v>
      </c>
      <c r="AA131" s="121"/>
      <c r="AB131" s="121"/>
      <c r="AC131" s="121"/>
      <c r="AD131" s="121"/>
      <c r="AE131" s="121"/>
      <c r="AF131" s="121"/>
      <c r="AG131" s="121"/>
      <c r="AH131" s="121"/>
      <c r="AI131" s="121"/>
      <c r="AJ131" s="121"/>
      <c r="AK131" s="121"/>
      <c r="AL131" s="121"/>
      <c r="AM131" s="121"/>
      <c r="AN131" s="121"/>
      <c r="AO131" s="121"/>
      <c r="AP131" s="121"/>
      <c r="AQ131" s="121"/>
      <c r="AR131" s="121"/>
      <c r="AS131" s="121"/>
      <c r="AT131" s="121"/>
      <c r="AU131" s="121"/>
      <c r="AV131" s="121"/>
      <c r="AW131" s="121"/>
      <c r="AX131" s="121"/>
      <c r="AY131" s="121"/>
      <c r="AZ131" s="121"/>
      <c r="BA131" s="121"/>
      <c r="BB131" s="168"/>
      <c r="BC131" s="288"/>
    </row>
    <row r="132" spans="1:57" s="150" customFormat="1">
      <c r="A132" s="159"/>
      <c r="B132" s="145" t="s">
        <v>409</v>
      </c>
      <c r="C132" s="145"/>
      <c r="E132" s="119"/>
      <c r="F132" s="119"/>
      <c r="G132" s="119"/>
      <c r="H132" s="119"/>
      <c r="I132" s="234"/>
      <c r="J132" s="234"/>
      <c r="K132" s="234">
        <v>0.09</v>
      </c>
      <c r="L132" s="234">
        <v>0.06</v>
      </c>
      <c r="M132" s="234">
        <v>0.08</v>
      </c>
      <c r="N132" s="234">
        <v>0.18</v>
      </c>
      <c r="O132" s="234">
        <v>0.3</v>
      </c>
      <c r="P132" s="1407">
        <v>0.2</v>
      </c>
      <c r="Q132" s="230">
        <v>0.2</v>
      </c>
      <c r="R132" s="230">
        <f>25%</f>
        <v>0.25</v>
      </c>
      <c r="S132" s="230">
        <f>30%</f>
        <v>0.3</v>
      </c>
      <c r="T132" s="230">
        <f t="shared" ref="T132:V132" si="126">S132</f>
        <v>0.3</v>
      </c>
      <c r="U132" s="230">
        <v>0.35</v>
      </c>
      <c r="V132" s="230">
        <f t="shared" si="126"/>
        <v>0.35</v>
      </c>
      <c r="W132" s="230">
        <v>0.3</v>
      </c>
      <c r="X132" s="230">
        <v>0.4</v>
      </c>
      <c r="Y132" s="230">
        <v>0.5</v>
      </c>
      <c r="Z132" s="230">
        <v>0.6</v>
      </c>
      <c r="AA132" s="230"/>
      <c r="AB132" s="299"/>
      <c r="AC132" s="299"/>
      <c r="AD132" s="299"/>
      <c r="AE132" s="299"/>
      <c r="AF132" s="299"/>
      <c r="AG132" s="299"/>
      <c r="AH132" s="299"/>
      <c r="AI132" s="299"/>
      <c r="AJ132" s="299"/>
      <c r="AK132" s="299"/>
      <c r="AL132" s="299"/>
      <c r="AM132" s="299"/>
      <c r="AN132" s="299"/>
      <c r="AO132" s="299"/>
      <c r="AP132" s="299"/>
      <c r="AQ132" s="299"/>
      <c r="AR132" s="299"/>
      <c r="AS132" s="299"/>
      <c r="AT132" s="299"/>
      <c r="AU132" s="299"/>
      <c r="AV132" s="299"/>
      <c r="AW132" s="299"/>
      <c r="AX132" s="299"/>
      <c r="AY132" s="299"/>
      <c r="AZ132" s="299"/>
      <c r="BA132" s="299"/>
      <c r="BB132" s="168"/>
      <c r="BC132" s="288"/>
    </row>
    <row r="133" spans="1:57" s="18" customFormat="1">
      <c r="A133" s="17"/>
      <c r="B133" s="182" t="s">
        <v>410</v>
      </c>
      <c r="C133" s="182"/>
      <c r="D133" s="183"/>
      <c r="E133" s="269"/>
      <c r="F133" s="269"/>
      <c r="G133" s="269"/>
      <c r="H133" s="269"/>
      <c r="I133" s="300"/>
      <c r="J133" s="300"/>
      <c r="K133" s="300">
        <f>K130</f>
        <v>317.64</v>
      </c>
      <c r="L133" s="300">
        <f t="shared" ref="L133:Z133" si="127">L130</f>
        <v>423.52</v>
      </c>
      <c r="M133" s="300">
        <f t="shared" si="127"/>
        <v>952.92</v>
      </c>
      <c r="N133" s="300">
        <f t="shared" si="127"/>
        <v>1588.2</v>
      </c>
      <c r="O133" s="300">
        <f t="shared" si="127"/>
        <v>1058.8</v>
      </c>
      <c r="P133" s="300">
        <f t="shared" si="127"/>
        <v>1058.8</v>
      </c>
      <c r="Q133" s="301">
        <f t="shared" si="127"/>
        <v>1058.8</v>
      </c>
      <c r="R133" s="301">
        <f t="shared" si="127"/>
        <v>1323.5</v>
      </c>
      <c r="S133" s="301">
        <f t="shared" si="127"/>
        <v>1588.1999999999998</v>
      </c>
      <c r="T133" s="301">
        <f t="shared" si="127"/>
        <v>1588.1999999999998</v>
      </c>
      <c r="U133" s="301">
        <f t="shared" si="127"/>
        <v>1852.8999999999999</v>
      </c>
      <c r="V133" s="301">
        <f t="shared" si="127"/>
        <v>1852.8999999999999</v>
      </c>
      <c r="W133" s="301">
        <f t="shared" si="127"/>
        <v>1588.1999999999998</v>
      </c>
      <c r="X133" s="301">
        <f t="shared" si="127"/>
        <v>2117.6</v>
      </c>
      <c r="Y133" s="301">
        <f t="shared" si="127"/>
        <v>2647</v>
      </c>
      <c r="Z133" s="301">
        <f t="shared" si="127"/>
        <v>3176.3999999999996</v>
      </c>
      <c r="AA133" s="301"/>
      <c r="AB133" s="271"/>
      <c r="AC133" s="271"/>
      <c r="AD133" s="271"/>
      <c r="AE133" s="271"/>
      <c r="AF133" s="271"/>
      <c r="AG133" s="271"/>
      <c r="AH133" s="271"/>
      <c r="AI133" s="271"/>
      <c r="AJ133" s="271"/>
      <c r="AK133" s="271"/>
      <c r="AL133" s="271"/>
      <c r="AM133" s="271"/>
      <c r="AN133" s="271"/>
      <c r="AO133" s="271"/>
      <c r="AP133" s="271"/>
      <c r="AQ133" s="271"/>
      <c r="AR133" s="271"/>
      <c r="AS133" s="271"/>
      <c r="AT133" s="271"/>
      <c r="AU133" s="271"/>
      <c r="AV133" s="271"/>
      <c r="AW133" s="271"/>
      <c r="AX133" s="271"/>
      <c r="AY133" s="271"/>
      <c r="AZ133" s="271"/>
      <c r="BA133" s="271"/>
      <c r="BB133" s="272"/>
      <c r="BC133" s="302"/>
      <c r="BD133" s="151"/>
      <c r="BE133" s="151"/>
    </row>
    <row r="134" spans="1:57" s="18" customFormat="1">
      <c r="A134" s="17"/>
      <c r="D134" s="151"/>
      <c r="E134" s="154"/>
      <c r="F134" s="154"/>
      <c r="G134" s="154"/>
      <c r="H134" s="154"/>
      <c r="I134" s="154"/>
      <c r="J134" s="154"/>
      <c r="K134" s="154"/>
      <c r="L134" s="154"/>
      <c r="M134" s="154"/>
      <c r="N134" s="154"/>
      <c r="O134" s="154"/>
      <c r="P134" s="303"/>
      <c r="Q134" s="154"/>
      <c r="R134" s="154"/>
      <c r="S134" s="154"/>
      <c r="T134" s="154"/>
      <c r="U134" s="154"/>
      <c r="V134" s="154"/>
      <c r="W134" s="154"/>
      <c r="X134" s="154"/>
      <c r="Y134" s="154"/>
      <c r="Z134" s="154"/>
      <c r="AA134" s="154"/>
      <c r="AB134" s="154"/>
      <c r="AC134" s="154"/>
      <c r="AD134" s="154"/>
      <c r="AE134" s="154"/>
      <c r="AF134" s="154"/>
      <c r="AG134" s="154"/>
      <c r="AH134" s="154"/>
      <c r="AI134" s="154"/>
      <c r="AJ134" s="154"/>
      <c r="AK134" s="154"/>
      <c r="AL134" s="154"/>
      <c r="AM134" s="154"/>
      <c r="AN134" s="154"/>
      <c r="AO134" s="154"/>
      <c r="AP134" s="154"/>
      <c r="AQ134" s="154"/>
      <c r="AR134" s="154"/>
      <c r="AS134" s="154"/>
      <c r="AT134" s="154"/>
      <c r="AU134" s="154"/>
      <c r="AV134" s="154"/>
      <c r="AW134" s="154"/>
      <c r="AX134" s="154"/>
      <c r="AY134" s="154"/>
      <c r="AZ134" s="154"/>
      <c r="BA134" s="154"/>
      <c r="BB134" s="154"/>
      <c r="BC134" s="304"/>
      <c r="BD134" s="151"/>
      <c r="BE134" s="151"/>
    </row>
    <row r="135" spans="1:57">
      <c r="A135" s="39"/>
      <c r="B135" s="5" t="s">
        <v>411</v>
      </c>
      <c r="D135" s="84"/>
      <c r="E135" s="140"/>
      <c r="F135" s="140"/>
      <c r="G135" s="140"/>
      <c r="H135" s="140"/>
      <c r="I135" s="140"/>
      <c r="J135" s="140"/>
      <c r="K135" s="140"/>
      <c r="L135" s="140"/>
      <c r="M135" s="140"/>
      <c r="N135" s="140"/>
      <c r="O135" s="140"/>
      <c r="P135" s="141"/>
      <c r="Q135" s="198">
        <f ca="1">Q127-Q130</f>
        <v>957.53555547135829</v>
      </c>
      <c r="R135" s="198">
        <f t="shared" ref="R135:Z135" ca="1" si="128">R127-R130</f>
        <v>981.06470762119625</v>
      </c>
      <c r="S135" s="198">
        <f t="shared" ca="1" si="128"/>
        <v>1094.0049434847915</v>
      </c>
      <c r="T135" s="198">
        <f t="shared" ca="1" si="128"/>
        <v>2560.6191582930132</v>
      </c>
      <c r="U135" s="198">
        <f t="shared" ca="1" si="128"/>
        <v>1730.8793738281518</v>
      </c>
      <c r="V135" s="198">
        <f t="shared" ca="1" si="128"/>
        <v>1273.3570684287963</v>
      </c>
      <c r="W135" s="198">
        <f t="shared" ca="1" si="128"/>
        <v>1537.9016960253584</v>
      </c>
      <c r="X135" s="198">
        <f t="shared" ca="1" si="128"/>
        <v>1341.8198028426382</v>
      </c>
      <c r="Y135" s="198">
        <f t="shared" ca="1" si="128"/>
        <v>1331.3291202185401</v>
      </c>
      <c r="Z135" s="198">
        <f t="shared" ca="1" si="128"/>
        <v>813.13052614685148</v>
      </c>
      <c r="AA135" s="198"/>
      <c r="AB135" s="467"/>
      <c r="AC135" s="467"/>
      <c r="AD135" s="467"/>
      <c r="AE135" s="467"/>
      <c r="AF135" s="467"/>
      <c r="AG135" s="467"/>
      <c r="AH135" s="467"/>
      <c r="AI135" s="467"/>
      <c r="AJ135" s="467"/>
      <c r="AK135" s="467"/>
      <c r="AL135" s="467"/>
      <c r="AM135" s="467"/>
      <c r="AN135" s="467"/>
      <c r="AO135" s="467"/>
      <c r="AP135" s="467"/>
      <c r="AQ135" s="467"/>
      <c r="AR135" s="467"/>
      <c r="AS135" s="467"/>
      <c r="AT135" s="467"/>
      <c r="AU135" s="467"/>
      <c r="AV135" s="467"/>
      <c r="AW135" s="467"/>
      <c r="AX135" s="467"/>
      <c r="AY135" s="467"/>
      <c r="AZ135" s="467"/>
      <c r="BA135" s="467"/>
      <c r="BB135" s="472"/>
      <c r="BC135" s="2568"/>
      <c r="BD135" s="84"/>
      <c r="BE135" s="84"/>
    </row>
    <row r="136" spans="1:57" s="18" customFormat="1">
      <c r="A136" s="17"/>
      <c r="B136" s="182" t="s">
        <v>412</v>
      </c>
      <c r="C136" s="182"/>
      <c r="D136" s="183"/>
      <c r="E136" s="106"/>
      <c r="F136" s="106"/>
      <c r="G136" s="106"/>
      <c r="H136" s="106"/>
      <c r="I136" s="1467"/>
      <c r="J136" s="1467"/>
      <c r="K136" s="1467">
        <f>K128-K133</f>
        <v>-0.61477060999993682</v>
      </c>
      <c r="L136" s="1467">
        <f t="shared" ref="L136:Z136" si="129">L128-L133</f>
        <v>152.08607419200007</v>
      </c>
      <c r="M136" s="1467">
        <f t="shared" si="129"/>
        <v>771.549057715</v>
      </c>
      <c r="N136" s="1467">
        <f t="shared" si="129"/>
        <v>2605.2232895890002</v>
      </c>
      <c r="O136" s="1467">
        <f t="shared" si="129"/>
        <v>-72.267174918000023</v>
      </c>
      <c r="P136" s="1467">
        <f t="shared" si="129"/>
        <v>239.10793804200011</v>
      </c>
      <c r="Q136" s="108">
        <f t="shared" ca="1" si="129"/>
        <v>957.53555547135829</v>
      </c>
      <c r="R136" s="108">
        <f t="shared" ca="1" si="129"/>
        <v>981.06470762119625</v>
      </c>
      <c r="S136" s="108">
        <f t="shared" ca="1" si="129"/>
        <v>1094.0049434847915</v>
      </c>
      <c r="T136" s="108">
        <f t="shared" ca="1" si="129"/>
        <v>2560.6191582930132</v>
      </c>
      <c r="U136" s="108">
        <f t="shared" ca="1" si="129"/>
        <v>1730.8793738281518</v>
      </c>
      <c r="V136" s="108">
        <f t="shared" ca="1" si="129"/>
        <v>1273.3570684287963</v>
      </c>
      <c r="W136" s="108">
        <f t="shared" ca="1" si="129"/>
        <v>1537.9016960253584</v>
      </c>
      <c r="X136" s="108">
        <f t="shared" ca="1" si="129"/>
        <v>1341.8198028426382</v>
      </c>
      <c r="Y136" s="108">
        <f t="shared" ca="1" si="129"/>
        <v>1331.3291202185401</v>
      </c>
      <c r="Z136" s="108">
        <f t="shared" ca="1" si="129"/>
        <v>813.13052614685148</v>
      </c>
      <c r="AA136" s="108"/>
      <c r="AB136" s="475"/>
      <c r="AC136" s="475"/>
      <c r="AD136" s="475"/>
      <c r="AE136" s="475"/>
      <c r="AF136" s="475"/>
      <c r="AG136" s="475"/>
      <c r="AH136" s="475"/>
      <c r="AI136" s="475"/>
      <c r="AJ136" s="475"/>
      <c r="AK136" s="475"/>
      <c r="AL136" s="475"/>
      <c r="AM136" s="475"/>
      <c r="AN136" s="475"/>
      <c r="AO136" s="475"/>
      <c r="AP136" s="475"/>
      <c r="AQ136" s="475"/>
      <c r="AR136" s="475"/>
      <c r="AS136" s="475"/>
      <c r="AT136" s="475"/>
      <c r="AU136" s="475"/>
      <c r="AV136" s="475"/>
      <c r="AW136" s="475"/>
      <c r="AX136" s="475"/>
      <c r="AY136" s="475"/>
      <c r="AZ136" s="475"/>
      <c r="BA136" s="475"/>
      <c r="BB136" s="227"/>
      <c r="BC136" s="94"/>
      <c r="BD136" s="151"/>
      <c r="BE136" s="151"/>
    </row>
    <row r="137" spans="1:57" s="18" customFormat="1">
      <c r="A137" s="17"/>
      <c r="D137" s="151"/>
      <c r="E137" s="124"/>
      <c r="F137" s="124"/>
      <c r="G137" s="124"/>
      <c r="H137" s="124"/>
      <c r="I137" s="124"/>
      <c r="J137" s="124"/>
      <c r="K137" s="124"/>
      <c r="L137" s="124"/>
      <c r="M137" s="124"/>
      <c r="N137" s="124"/>
      <c r="O137" s="124"/>
      <c r="P137" s="125"/>
      <c r="Q137" s="124"/>
      <c r="R137" s="124"/>
      <c r="S137" s="124"/>
      <c r="T137" s="124"/>
      <c r="U137" s="124"/>
      <c r="V137" s="124"/>
      <c r="W137" s="124"/>
      <c r="X137" s="124"/>
      <c r="Y137" s="124"/>
      <c r="Z137" s="124"/>
      <c r="AA137" s="124"/>
      <c r="AB137" s="124"/>
      <c r="AC137" s="124"/>
      <c r="AD137" s="124"/>
      <c r="AE137" s="124"/>
      <c r="AF137" s="124"/>
      <c r="AG137" s="124"/>
      <c r="AH137" s="124"/>
      <c r="AI137" s="124"/>
      <c r="AJ137" s="124"/>
      <c r="AK137" s="124"/>
      <c r="AL137" s="124"/>
      <c r="AM137" s="124"/>
      <c r="AN137" s="124"/>
      <c r="AO137" s="124"/>
      <c r="AP137" s="124"/>
      <c r="AQ137" s="124"/>
      <c r="AR137" s="124"/>
      <c r="AS137" s="124"/>
      <c r="AT137" s="124"/>
      <c r="AU137" s="124"/>
      <c r="AV137" s="124"/>
      <c r="AW137" s="124"/>
      <c r="AX137" s="124"/>
      <c r="AY137" s="124"/>
      <c r="AZ137" s="124"/>
      <c r="BA137" s="124"/>
      <c r="BB137" s="227"/>
      <c r="BC137" s="94"/>
      <c r="BD137" s="151"/>
      <c r="BE137" s="151"/>
    </row>
    <row r="138" spans="1:57" s="135" customFormat="1">
      <c r="A138" s="130">
        <v>19</v>
      </c>
      <c r="B138" s="2562" t="s">
        <v>413</v>
      </c>
      <c r="C138" s="2562"/>
      <c r="D138" s="2567"/>
      <c r="E138" s="2563"/>
      <c r="F138" s="2564"/>
      <c r="G138" s="2564"/>
      <c r="H138" s="2564"/>
      <c r="I138" s="2564"/>
      <c r="J138" s="2564"/>
      <c r="K138" s="2564">
        <f>'Welfare &amp; Dividends'!K29/10^6</f>
        <v>529.4</v>
      </c>
      <c r="L138" s="2564">
        <f>'Welfare &amp; Dividends'!L29/10^6</f>
        <v>529.4</v>
      </c>
      <c r="M138" s="2564">
        <f>'Welfare &amp; Dividends'!M29/10^6</f>
        <v>529.4</v>
      </c>
      <c r="N138" s="2564">
        <f>'Welfare &amp; Dividends'!N29/10^6</f>
        <v>529.4</v>
      </c>
      <c r="O138" s="2564">
        <f>'Welfare &amp; Dividends'!O29/10^6</f>
        <v>529.4</v>
      </c>
      <c r="P138" s="2564">
        <f>'Welfare &amp; Dividends'!P29/10^6</f>
        <v>529.4</v>
      </c>
      <c r="Q138" s="2565">
        <f>P138</f>
        <v>529.4</v>
      </c>
      <c r="R138" s="2565">
        <f t="shared" ref="R138:Z138" si="130">Q138</f>
        <v>529.4</v>
      </c>
      <c r="S138" s="2565">
        <f t="shared" si="130"/>
        <v>529.4</v>
      </c>
      <c r="T138" s="2565">
        <f t="shared" si="130"/>
        <v>529.4</v>
      </c>
      <c r="U138" s="2565">
        <f t="shared" si="130"/>
        <v>529.4</v>
      </c>
      <c r="V138" s="2565">
        <f t="shared" si="130"/>
        <v>529.4</v>
      </c>
      <c r="W138" s="2565">
        <f t="shared" si="130"/>
        <v>529.4</v>
      </c>
      <c r="X138" s="2565">
        <f t="shared" si="130"/>
        <v>529.4</v>
      </c>
      <c r="Y138" s="2565">
        <f t="shared" si="130"/>
        <v>529.4</v>
      </c>
      <c r="Z138" s="2565">
        <f t="shared" si="130"/>
        <v>529.4</v>
      </c>
      <c r="AA138" s="2565"/>
      <c r="AB138" s="2565"/>
      <c r="AC138" s="2565"/>
      <c r="AD138" s="2565"/>
      <c r="AE138" s="2565"/>
      <c r="AF138" s="2565"/>
      <c r="AG138" s="2565"/>
      <c r="AH138" s="2565"/>
      <c r="AI138" s="2565"/>
      <c r="AJ138" s="2565"/>
      <c r="AK138" s="2565"/>
      <c r="AL138" s="2565"/>
      <c r="AM138" s="2565"/>
      <c r="AN138" s="2565"/>
      <c r="AO138" s="2565"/>
      <c r="AP138" s="2565"/>
      <c r="AQ138" s="2565"/>
      <c r="AR138" s="2565"/>
      <c r="AS138" s="2565"/>
      <c r="AT138" s="2565"/>
      <c r="AU138" s="2565"/>
      <c r="AV138" s="2565"/>
      <c r="AW138" s="2565"/>
      <c r="AX138" s="2565"/>
      <c r="AY138" s="2565"/>
      <c r="AZ138" s="2565"/>
      <c r="BA138" s="2565"/>
      <c r="BB138" s="2566"/>
      <c r="BC138" s="369"/>
      <c r="BD138" s="134"/>
      <c r="BE138" s="134"/>
    </row>
    <row r="139" spans="1:57" s="135" customFormat="1">
      <c r="A139" s="130"/>
      <c r="B139" s="135" t="s">
        <v>414</v>
      </c>
      <c r="D139" s="310"/>
      <c r="E139" s="306"/>
      <c r="F139" s="306"/>
      <c r="G139" s="306"/>
      <c r="H139" s="307"/>
      <c r="I139" s="307"/>
      <c r="J139" s="307"/>
      <c r="K139" s="307">
        <f>K138</f>
        <v>529.4</v>
      </c>
      <c r="L139" s="307">
        <f t="shared" ref="L139:P139" si="131">L138</f>
        <v>529.4</v>
      </c>
      <c r="M139" s="307">
        <f t="shared" si="131"/>
        <v>529.4</v>
      </c>
      <c r="N139" s="307">
        <f t="shared" si="131"/>
        <v>529.4</v>
      </c>
      <c r="O139" s="307">
        <f t="shared" si="131"/>
        <v>529.4</v>
      </c>
      <c r="P139" s="307">
        <f t="shared" si="131"/>
        <v>529.4</v>
      </c>
      <c r="Q139" s="308">
        <f>P139</f>
        <v>529.4</v>
      </c>
      <c r="R139" s="308">
        <f t="shared" ref="R139:Z139" si="132">Q139</f>
        <v>529.4</v>
      </c>
      <c r="S139" s="308">
        <f t="shared" si="132"/>
        <v>529.4</v>
      </c>
      <c r="T139" s="308">
        <f t="shared" si="132"/>
        <v>529.4</v>
      </c>
      <c r="U139" s="308">
        <f t="shared" si="132"/>
        <v>529.4</v>
      </c>
      <c r="V139" s="308">
        <f t="shared" si="132"/>
        <v>529.4</v>
      </c>
      <c r="W139" s="308">
        <f t="shared" si="132"/>
        <v>529.4</v>
      </c>
      <c r="X139" s="308">
        <f t="shared" si="132"/>
        <v>529.4</v>
      </c>
      <c r="Y139" s="308">
        <f t="shared" si="132"/>
        <v>529.4</v>
      </c>
      <c r="Z139" s="308">
        <f t="shared" si="132"/>
        <v>529.4</v>
      </c>
      <c r="AA139" s="308"/>
      <c r="AB139" s="308"/>
      <c r="AC139" s="308"/>
      <c r="AD139" s="308"/>
      <c r="AE139" s="308"/>
      <c r="AF139" s="308"/>
      <c r="AG139" s="308"/>
      <c r="AH139" s="308"/>
      <c r="AI139" s="308"/>
      <c r="AJ139" s="308"/>
      <c r="AK139" s="308"/>
      <c r="AL139" s="308"/>
      <c r="AM139" s="308"/>
      <c r="AN139" s="308"/>
      <c r="AO139" s="308"/>
      <c r="AP139" s="308"/>
      <c r="AQ139" s="308"/>
      <c r="AR139" s="308"/>
      <c r="AS139" s="308"/>
      <c r="AT139" s="308"/>
      <c r="AU139" s="308"/>
      <c r="AV139" s="308"/>
      <c r="AW139" s="308"/>
      <c r="AX139" s="308"/>
      <c r="AY139" s="308"/>
      <c r="AZ139" s="308"/>
      <c r="BA139" s="308"/>
      <c r="BB139" s="309"/>
      <c r="BC139" s="242"/>
      <c r="BD139" s="134"/>
      <c r="BE139" s="134"/>
    </row>
    <row r="140" spans="1:57" s="18" customFormat="1">
      <c r="A140" s="17"/>
      <c r="D140" s="151"/>
      <c r="E140" s="124"/>
      <c r="F140" s="124"/>
      <c r="G140" s="124"/>
      <c r="H140" s="124"/>
      <c r="I140" s="124"/>
      <c r="J140" s="124"/>
      <c r="K140" s="124"/>
      <c r="L140" s="124"/>
      <c r="M140" s="124"/>
      <c r="N140" s="124"/>
      <c r="O140" s="124"/>
      <c r="P140" s="125"/>
      <c r="Q140" s="124"/>
      <c r="R140" s="124"/>
      <c r="S140" s="124"/>
      <c r="T140" s="124"/>
      <c r="U140" s="124"/>
      <c r="V140" s="124"/>
      <c r="W140" s="124"/>
      <c r="X140" s="124"/>
      <c r="Y140" s="124"/>
      <c r="Z140" s="124"/>
      <c r="AA140" s="124"/>
      <c r="AB140" s="124"/>
      <c r="AC140" s="124"/>
      <c r="AD140" s="124"/>
      <c r="AE140" s="124"/>
      <c r="AF140" s="124"/>
      <c r="AG140" s="124"/>
      <c r="AH140" s="124"/>
      <c r="AI140" s="124"/>
      <c r="AJ140" s="124"/>
      <c r="AK140" s="124"/>
      <c r="AL140" s="124"/>
      <c r="AM140" s="124"/>
      <c r="AN140" s="124"/>
      <c r="AO140" s="124"/>
      <c r="AP140" s="124"/>
      <c r="AQ140" s="124"/>
      <c r="AR140" s="124"/>
      <c r="AS140" s="124"/>
      <c r="AT140" s="124"/>
      <c r="AU140" s="124"/>
      <c r="AV140" s="124"/>
      <c r="AW140" s="124"/>
      <c r="AX140" s="124"/>
      <c r="AY140" s="124"/>
      <c r="AZ140" s="124"/>
      <c r="BA140" s="124"/>
      <c r="BB140" s="227"/>
      <c r="BC140" s="94"/>
      <c r="BD140" s="151"/>
      <c r="BE140" s="151"/>
    </row>
    <row r="141" spans="1:57">
      <c r="A141" s="39"/>
      <c r="B141" s="5" t="s">
        <v>415</v>
      </c>
      <c r="D141" s="84"/>
      <c r="E141" s="128"/>
      <c r="F141" s="128"/>
      <c r="G141" s="128"/>
      <c r="H141" s="128"/>
      <c r="I141" s="128"/>
      <c r="J141" s="128"/>
      <c r="K141" s="128"/>
      <c r="L141" s="128"/>
      <c r="M141" s="128"/>
      <c r="N141" s="41"/>
      <c r="O141" s="41"/>
      <c r="P141" s="268"/>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c r="BA141" s="41"/>
      <c r="BB141" s="200"/>
      <c r="BC141" s="94"/>
      <c r="BD141" s="84"/>
      <c r="BE141" s="84"/>
    </row>
    <row r="142" spans="1:57">
      <c r="B142" s="118" t="s">
        <v>393</v>
      </c>
      <c r="C142" s="118"/>
      <c r="E142" s="140"/>
      <c r="F142" s="140"/>
      <c r="G142" s="140"/>
      <c r="H142" s="140"/>
      <c r="I142" s="140"/>
      <c r="J142" s="140"/>
      <c r="K142" s="189">
        <f>IFERROR(K127/K138*1000," ")</f>
        <v>598.83874081979616</v>
      </c>
      <c r="L142" s="189">
        <f t="shared" ref="L142:AA142" si="133">IFERROR(L127/L138*1000," ")</f>
        <v>1087.2800796977713</v>
      </c>
      <c r="M142" s="189">
        <f t="shared" si="133"/>
        <v>3257.4028290800907</v>
      </c>
      <c r="N142" s="189">
        <f t="shared" si="133"/>
        <v>7921.0866822610506</v>
      </c>
      <c r="O142" s="189">
        <f t="shared" si="133"/>
        <v>1863.4923027616169</v>
      </c>
      <c r="P142" s="189">
        <f t="shared" si="133"/>
        <v>2451.6583642652063</v>
      </c>
      <c r="Q142" s="198">
        <f t="shared" ca="1" si="133"/>
        <v>3808.71846518957</v>
      </c>
      <c r="R142" s="198">
        <f t="shared" ca="1" si="133"/>
        <v>4353.1634069157471</v>
      </c>
      <c r="S142" s="198">
        <f t="shared" ca="1" si="133"/>
        <v>5066.4997043535914</v>
      </c>
      <c r="T142" s="198">
        <f t="shared" ca="1" si="133"/>
        <v>7836.8325619437346</v>
      </c>
      <c r="U142" s="198">
        <f t="shared" ca="1" si="133"/>
        <v>6769.5114730414653</v>
      </c>
      <c r="V142" s="198">
        <f t="shared" ca="1" si="133"/>
        <v>5905.2834688870353</v>
      </c>
      <c r="W142" s="198">
        <f t="shared" ca="1" si="133"/>
        <v>5904.989981158591</v>
      </c>
      <c r="X142" s="198">
        <f t="shared" ca="1" si="133"/>
        <v>6534.604841032562</v>
      </c>
      <c r="Y142" s="198">
        <f t="shared" ca="1" si="133"/>
        <v>7514.7886668276169</v>
      </c>
      <c r="Z142" s="198">
        <f t="shared" ca="1" si="133"/>
        <v>7535.9473482184567</v>
      </c>
      <c r="AA142" s="198" t="str">
        <f t="shared" si="133"/>
        <v xml:space="preserve"> </v>
      </c>
      <c r="AB142" s="194"/>
      <c r="AC142" s="194"/>
      <c r="AD142" s="194"/>
      <c r="AE142" s="194"/>
      <c r="AF142" s="194"/>
      <c r="AG142" s="194"/>
      <c r="AH142" s="194"/>
      <c r="AI142" s="194"/>
      <c r="AJ142" s="194"/>
      <c r="AK142" s="194"/>
      <c r="AL142" s="194"/>
      <c r="AM142" s="194"/>
      <c r="AN142" s="194"/>
      <c r="AO142" s="194"/>
      <c r="AP142" s="194"/>
      <c r="AQ142" s="194"/>
      <c r="AR142" s="194"/>
      <c r="AS142" s="194"/>
      <c r="AT142" s="194"/>
      <c r="AU142" s="194"/>
      <c r="AV142" s="194"/>
      <c r="AW142" s="194"/>
      <c r="AX142" s="194"/>
      <c r="AY142" s="194"/>
      <c r="AZ142" s="194"/>
      <c r="BA142" s="194"/>
    </row>
    <row r="143" spans="1:57">
      <c r="B143" s="118" t="s">
        <v>394</v>
      </c>
      <c r="C143" s="118"/>
      <c r="E143" s="140"/>
      <c r="F143" s="140"/>
      <c r="G143" s="140"/>
      <c r="H143" s="140"/>
      <c r="I143" s="140"/>
      <c r="J143" s="140"/>
      <c r="K143" s="189">
        <f>IFERROR(K127/K139*1000," ")</f>
        <v>598.83874081979616</v>
      </c>
      <c r="L143" s="189">
        <f t="shared" ref="L143:Z143" si="134">IFERROR(L127/L139*1000," ")</f>
        <v>1087.2800796977713</v>
      </c>
      <c r="M143" s="189">
        <f t="shared" si="134"/>
        <v>3257.4028290800907</v>
      </c>
      <c r="N143" s="189">
        <f t="shared" si="134"/>
        <v>7921.0866822610506</v>
      </c>
      <c r="O143" s="189">
        <f t="shared" si="134"/>
        <v>1863.4923027616169</v>
      </c>
      <c r="P143" s="189">
        <f t="shared" si="134"/>
        <v>2451.6583642652063</v>
      </c>
      <c r="Q143" s="198">
        <f t="shared" ca="1" si="134"/>
        <v>3808.71846518957</v>
      </c>
      <c r="R143" s="198">
        <f t="shared" ca="1" si="134"/>
        <v>4353.1634069157471</v>
      </c>
      <c r="S143" s="198">
        <f t="shared" ca="1" si="134"/>
        <v>5066.4997043535914</v>
      </c>
      <c r="T143" s="198">
        <f t="shared" ca="1" si="134"/>
        <v>7836.8325619437346</v>
      </c>
      <c r="U143" s="198">
        <f t="shared" ca="1" si="134"/>
        <v>6769.5114730414653</v>
      </c>
      <c r="V143" s="198">
        <f t="shared" ca="1" si="134"/>
        <v>5905.2834688870353</v>
      </c>
      <c r="W143" s="198">
        <f t="shared" ca="1" si="134"/>
        <v>5904.989981158591</v>
      </c>
      <c r="X143" s="198">
        <f t="shared" ca="1" si="134"/>
        <v>6534.604841032562</v>
      </c>
      <c r="Y143" s="198">
        <f t="shared" ca="1" si="134"/>
        <v>7514.7886668276169</v>
      </c>
      <c r="Z143" s="198">
        <f t="shared" ca="1" si="134"/>
        <v>7535.9473482184567</v>
      </c>
      <c r="AA143" s="194"/>
      <c r="AB143" s="194"/>
      <c r="AC143" s="194"/>
      <c r="AD143" s="194"/>
      <c r="AE143" s="194"/>
      <c r="AF143" s="194"/>
      <c r="AG143" s="194"/>
      <c r="AH143" s="194"/>
      <c r="AI143" s="194"/>
      <c r="AJ143" s="194"/>
      <c r="AK143" s="194"/>
      <c r="AL143" s="194"/>
      <c r="AM143" s="194"/>
      <c r="AN143" s="194"/>
      <c r="AO143" s="194"/>
      <c r="AP143" s="194"/>
      <c r="AQ143" s="194"/>
      <c r="AR143" s="194"/>
      <c r="AS143" s="194"/>
      <c r="AT143" s="194"/>
      <c r="AU143" s="194"/>
      <c r="AV143" s="194"/>
      <c r="AW143" s="194"/>
      <c r="AX143" s="194"/>
      <c r="AY143" s="194"/>
      <c r="AZ143" s="194"/>
      <c r="BA143" s="194"/>
    </row>
    <row r="144" spans="1:57" s="18" customFormat="1">
      <c r="A144" s="17"/>
      <c r="B144" s="182" t="s">
        <v>416</v>
      </c>
      <c r="C144" s="182"/>
      <c r="D144" s="183"/>
      <c r="E144" s="269"/>
      <c r="F144" s="269"/>
      <c r="G144" s="269"/>
      <c r="H144" s="269"/>
      <c r="I144" s="269"/>
      <c r="J144" s="269"/>
      <c r="K144" s="269"/>
      <c r="L144" s="269"/>
      <c r="M144" s="269"/>
      <c r="N144" s="269"/>
      <c r="O144" s="269"/>
      <c r="P144" s="270"/>
      <c r="Q144" s="269"/>
      <c r="R144" s="269"/>
      <c r="S144" s="269"/>
      <c r="T144" s="269"/>
      <c r="U144" s="269"/>
      <c r="V144" s="269"/>
      <c r="W144" s="269"/>
      <c r="X144" s="269"/>
      <c r="Y144" s="269"/>
      <c r="Z144" s="269"/>
      <c r="AA144" s="269"/>
      <c r="AB144" s="269"/>
      <c r="AC144" s="269"/>
      <c r="AD144" s="269"/>
      <c r="AE144" s="269"/>
      <c r="AF144" s="269"/>
      <c r="AG144" s="269"/>
      <c r="AH144" s="269"/>
      <c r="AI144" s="269"/>
      <c r="AJ144" s="269"/>
      <c r="AK144" s="269"/>
      <c r="AL144" s="269"/>
      <c r="AM144" s="269"/>
      <c r="AN144" s="269"/>
      <c r="AO144" s="269"/>
      <c r="AP144" s="269"/>
      <c r="AQ144" s="269"/>
      <c r="AR144" s="269"/>
      <c r="AS144" s="269"/>
      <c r="AT144" s="269"/>
      <c r="AU144" s="269"/>
      <c r="AV144" s="269"/>
      <c r="AW144" s="269"/>
      <c r="AX144" s="269"/>
      <c r="AY144" s="269"/>
      <c r="AZ144" s="269"/>
      <c r="BA144" s="269"/>
      <c r="BB144" s="272"/>
      <c r="BC144" s="273"/>
      <c r="BD144" s="151"/>
      <c r="BE144" s="151"/>
    </row>
    <row r="145" spans="1:57" s="18" customFormat="1">
      <c r="A145" s="266"/>
      <c r="B145" s="274" t="s">
        <v>393</v>
      </c>
      <c r="C145" s="274"/>
      <c r="D145" s="151"/>
      <c r="E145" s="275"/>
      <c r="F145" s="275"/>
      <c r="G145" s="275"/>
      <c r="H145" s="275"/>
      <c r="I145" s="276"/>
      <c r="J145" s="276"/>
      <c r="K145" s="2584">
        <f>IFERROR(K128/K138*1000," ")</f>
        <v>598.83874081979616</v>
      </c>
      <c r="L145" s="2584">
        <f t="shared" ref="L145:Z145" si="135">IFERROR(L128/L138*1000," ")</f>
        <v>1087.2800796977713</v>
      </c>
      <c r="M145" s="2584">
        <f t="shared" si="135"/>
        <v>3257.4028290800907</v>
      </c>
      <c r="N145" s="2584">
        <f t="shared" si="135"/>
        <v>7921.0866822610506</v>
      </c>
      <c r="O145" s="2584">
        <f t="shared" si="135"/>
        <v>1863.4923027616169</v>
      </c>
      <c r="P145" s="2584">
        <f t="shared" si="135"/>
        <v>2451.6583642652063</v>
      </c>
      <c r="Q145" s="2588">
        <f t="shared" ca="1" si="135"/>
        <v>3808.71846518957</v>
      </c>
      <c r="R145" s="2588">
        <f t="shared" ca="1" si="135"/>
        <v>4353.1634069157471</v>
      </c>
      <c r="S145" s="2588">
        <f t="shared" ca="1" si="135"/>
        <v>5066.4997043535914</v>
      </c>
      <c r="T145" s="2588">
        <f t="shared" ca="1" si="135"/>
        <v>7836.8325619437346</v>
      </c>
      <c r="U145" s="2588">
        <f t="shared" ca="1" si="135"/>
        <v>6769.5114730414653</v>
      </c>
      <c r="V145" s="2588">
        <f t="shared" ca="1" si="135"/>
        <v>5905.2834688870353</v>
      </c>
      <c r="W145" s="2588">
        <f t="shared" ca="1" si="135"/>
        <v>5904.989981158591</v>
      </c>
      <c r="X145" s="2588">
        <f t="shared" ca="1" si="135"/>
        <v>6534.604841032562</v>
      </c>
      <c r="Y145" s="2588">
        <f t="shared" ca="1" si="135"/>
        <v>7514.7886668276169</v>
      </c>
      <c r="Z145" s="2588">
        <f t="shared" ca="1" si="135"/>
        <v>7535.9473482184567</v>
      </c>
      <c r="AA145" s="278"/>
      <c r="AB145" s="278"/>
      <c r="AC145" s="278"/>
      <c r="AD145" s="278"/>
      <c r="AE145" s="278"/>
      <c r="AF145" s="278"/>
      <c r="AG145" s="278"/>
      <c r="AH145" s="278"/>
      <c r="AI145" s="278"/>
      <c r="AJ145" s="278"/>
      <c r="AK145" s="278"/>
      <c r="AL145" s="278"/>
      <c r="AM145" s="278"/>
      <c r="AN145" s="278"/>
      <c r="AO145" s="278"/>
      <c r="AP145" s="278"/>
      <c r="AQ145" s="278"/>
      <c r="AR145" s="278"/>
      <c r="AS145" s="278"/>
      <c r="AT145" s="278"/>
      <c r="AU145" s="278"/>
      <c r="AV145" s="278"/>
      <c r="AW145" s="278"/>
      <c r="AX145" s="278"/>
      <c r="AY145" s="278"/>
      <c r="AZ145" s="278"/>
      <c r="BA145" s="278"/>
      <c r="BB145" s="276"/>
      <c r="BC145" s="279"/>
      <c r="BD145" s="151"/>
      <c r="BE145" s="151"/>
    </row>
    <row r="146" spans="1:57" s="18" customFormat="1">
      <c r="A146" s="266"/>
      <c r="B146" s="274" t="s">
        <v>394</v>
      </c>
      <c r="C146" s="274"/>
      <c r="D146" s="151"/>
      <c r="E146" s="275"/>
      <c r="F146" s="275"/>
      <c r="G146" s="275"/>
      <c r="H146" s="275"/>
      <c r="I146" s="276"/>
      <c r="J146" s="276"/>
      <c r="K146" s="2584">
        <f>IFERROR(K128/K139*1000," ")</f>
        <v>598.83874081979616</v>
      </c>
      <c r="L146" s="2584">
        <f t="shared" ref="L146:Z146" si="136">IFERROR(L128/L139*1000," ")</f>
        <v>1087.2800796977713</v>
      </c>
      <c r="M146" s="2584">
        <f t="shared" si="136"/>
        <v>3257.4028290800907</v>
      </c>
      <c r="N146" s="2584">
        <f t="shared" si="136"/>
        <v>7921.0866822610506</v>
      </c>
      <c r="O146" s="2584">
        <f t="shared" si="136"/>
        <v>1863.4923027616169</v>
      </c>
      <c r="P146" s="2584">
        <f t="shared" si="136"/>
        <v>2451.6583642652063</v>
      </c>
      <c r="Q146" s="2588">
        <f t="shared" ca="1" si="136"/>
        <v>3808.71846518957</v>
      </c>
      <c r="R146" s="2588">
        <f t="shared" ca="1" si="136"/>
        <v>4353.1634069157471</v>
      </c>
      <c r="S146" s="2588">
        <f t="shared" ca="1" si="136"/>
        <v>5066.4997043535914</v>
      </c>
      <c r="T146" s="2588">
        <f t="shared" ca="1" si="136"/>
        <v>7836.8325619437346</v>
      </c>
      <c r="U146" s="2588">
        <f t="shared" ca="1" si="136"/>
        <v>6769.5114730414653</v>
      </c>
      <c r="V146" s="2588">
        <f t="shared" ca="1" si="136"/>
        <v>5905.2834688870353</v>
      </c>
      <c r="W146" s="2588">
        <f t="shared" ca="1" si="136"/>
        <v>5904.989981158591</v>
      </c>
      <c r="X146" s="2588">
        <f t="shared" ca="1" si="136"/>
        <v>6534.604841032562</v>
      </c>
      <c r="Y146" s="2588">
        <f t="shared" ca="1" si="136"/>
        <v>7514.7886668276169</v>
      </c>
      <c r="Z146" s="2588">
        <f t="shared" ca="1" si="136"/>
        <v>7535.9473482184567</v>
      </c>
      <c r="AA146" s="278"/>
      <c r="AB146" s="278"/>
      <c r="AC146" s="278"/>
      <c r="AD146" s="278"/>
      <c r="AE146" s="278"/>
      <c r="AF146" s="278"/>
      <c r="AG146" s="278"/>
      <c r="AH146" s="278"/>
      <c r="AI146" s="278"/>
      <c r="AJ146" s="278"/>
      <c r="AK146" s="278"/>
      <c r="AL146" s="278"/>
      <c r="AM146" s="278"/>
      <c r="AN146" s="278"/>
      <c r="AO146" s="278"/>
      <c r="AP146" s="278"/>
      <c r="AQ146" s="278"/>
      <c r="AR146" s="278"/>
      <c r="AS146" s="278"/>
      <c r="AT146" s="278"/>
      <c r="AU146" s="278"/>
      <c r="AV146" s="278"/>
      <c r="AW146" s="278"/>
      <c r="AX146" s="278"/>
      <c r="AY146" s="278"/>
      <c r="AZ146" s="278"/>
      <c r="BA146" s="278"/>
      <c r="BB146" s="276"/>
      <c r="BC146" s="279"/>
      <c r="BD146" s="151"/>
      <c r="BE146" s="151"/>
    </row>
    <row r="147" spans="1:57" s="282" customFormat="1">
      <c r="A147" s="280"/>
      <c r="B147" s="281" t="s">
        <v>417</v>
      </c>
      <c r="D147" s="283"/>
      <c r="E147" s="283"/>
      <c r="F147" s="283"/>
      <c r="G147" s="283"/>
      <c r="H147" s="283"/>
      <c r="I147" s="283"/>
      <c r="J147" s="283"/>
      <c r="K147" s="283"/>
      <c r="L147" s="2585">
        <f>L142/K142-1</f>
        <v>0.8156475284302922</v>
      </c>
      <c r="M147" s="2585">
        <f t="shared" ref="M147:Z147" si="137">M142/L142-1</f>
        <v>1.9959187976528949</v>
      </c>
      <c r="N147" s="2585">
        <f t="shared" si="137"/>
        <v>1.4317184879765121</v>
      </c>
      <c r="O147" s="2585">
        <f t="shared" si="137"/>
        <v>-0.76474284684513916</v>
      </c>
      <c r="P147" s="2585">
        <f t="shared" si="137"/>
        <v>0.31562569946328844</v>
      </c>
      <c r="Q147" s="2586">
        <f t="shared" ca="1" si="137"/>
        <v>0.55352740851031745</v>
      </c>
      <c r="R147" s="2586">
        <f t="shared" ca="1" si="137"/>
        <v>0.14294701661522757</v>
      </c>
      <c r="S147" s="2586">
        <f t="shared" ca="1" si="137"/>
        <v>0.16386618896607175</v>
      </c>
      <c r="T147" s="2586">
        <f t="shared" ca="1" si="137"/>
        <v>0.54679424045157332</v>
      </c>
      <c r="U147" s="2586">
        <f t="shared" ca="1" si="137"/>
        <v>-0.13619291728717842</v>
      </c>
      <c r="V147" s="2586">
        <f t="shared" ca="1" si="137"/>
        <v>-0.127664752116321</v>
      </c>
      <c r="W147" s="2586">
        <f t="shared" ca="1" si="137"/>
        <v>-4.9699177015027907E-5</v>
      </c>
      <c r="X147" s="2586">
        <f t="shared" ca="1" si="137"/>
        <v>0.10662420459355926</v>
      </c>
      <c r="Y147" s="2586">
        <f t="shared" ca="1" si="137"/>
        <v>0.14999894402798675</v>
      </c>
      <c r="Z147" s="2586">
        <f t="shared" ca="1" si="137"/>
        <v>2.8156056449384348E-3</v>
      </c>
      <c r="AA147" s="2587"/>
      <c r="AB147" s="284"/>
      <c r="AC147" s="284"/>
      <c r="AD147" s="284"/>
      <c r="AE147" s="284"/>
      <c r="AF147" s="284"/>
      <c r="AG147" s="284"/>
      <c r="AH147" s="284"/>
      <c r="AI147" s="284"/>
      <c r="AJ147" s="284"/>
      <c r="AK147" s="284"/>
      <c r="AL147" s="284"/>
      <c r="AM147" s="284"/>
      <c r="AN147" s="284"/>
      <c r="AO147" s="284"/>
      <c r="AP147" s="284"/>
      <c r="AQ147" s="284"/>
      <c r="AR147" s="284"/>
      <c r="AS147" s="284"/>
      <c r="AT147" s="284"/>
      <c r="AU147" s="284"/>
      <c r="AV147" s="284"/>
      <c r="AW147" s="284"/>
      <c r="AX147" s="284"/>
      <c r="AY147" s="284"/>
      <c r="AZ147" s="284"/>
      <c r="BA147" s="284"/>
      <c r="BB147" s="286"/>
      <c r="BC147" s="287"/>
      <c r="BD147" s="283"/>
      <c r="BE147" s="283"/>
    </row>
    <row r="148" spans="1:57" s="282" customFormat="1">
      <c r="A148" s="280"/>
      <c r="B148" s="281"/>
      <c r="D148" s="283"/>
      <c r="E148" s="283"/>
      <c r="F148" s="283"/>
      <c r="G148" s="283"/>
      <c r="H148" s="283"/>
      <c r="I148" s="283"/>
      <c r="J148" s="283"/>
      <c r="K148" s="283"/>
      <c r="L148" s="283"/>
      <c r="M148" s="283"/>
      <c r="N148" s="284"/>
      <c r="O148" s="284"/>
      <c r="P148" s="285"/>
      <c r="Q148" s="311"/>
      <c r="R148" s="311"/>
      <c r="S148" s="311"/>
      <c r="T148" s="311"/>
      <c r="U148" s="311"/>
      <c r="V148" s="311"/>
      <c r="W148" s="311"/>
      <c r="X148" s="311"/>
      <c r="Y148" s="311"/>
      <c r="Z148" s="311"/>
      <c r="AA148" s="284"/>
      <c r="AB148" s="284"/>
      <c r="AC148" s="284"/>
      <c r="AD148" s="284"/>
      <c r="AE148" s="284"/>
      <c r="AF148" s="284"/>
      <c r="AG148" s="284"/>
      <c r="AH148" s="284"/>
      <c r="AI148" s="284"/>
      <c r="AJ148" s="284"/>
      <c r="AK148" s="284"/>
      <c r="AL148" s="284"/>
      <c r="AM148" s="284"/>
      <c r="AN148" s="284"/>
      <c r="AO148" s="284"/>
      <c r="AP148" s="284"/>
      <c r="AQ148" s="284"/>
      <c r="AR148" s="284"/>
      <c r="AS148" s="284"/>
      <c r="AT148" s="284"/>
      <c r="AU148" s="284"/>
      <c r="AV148" s="284"/>
      <c r="AW148" s="284"/>
      <c r="AX148" s="284"/>
      <c r="AY148" s="284"/>
      <c r="AZ148" s="284"/>
      <c r="BA148" s="284"/>
      <c r="BB148" s="286"/>
      <c r="BC148" s="287"/>
      <c r="BD148" s="283"/>
      <c r="BE148" s="283"/>
    </row>
    <row r="149" spans="1:57">
      <c r="D149" s="84"/>
      <c r="E149" s="84"/>
      <c r="F149" s="84"/>
      <c r="G149" s="84"/>
      <c r="H149" s="84"/>
      <c r="I149" s="84"/>
      <c r="J149" s="84"/>
      <c r="K149" s="84"/>
      <c r="L149" s="84"/>
      <c r="M149" s="84"/>
      <c r="N149" s="85"/>
      <c r="O149" s="85"/>
      <c r="P149" s="264"/>
      <c r="Q149" s="311"/>
      <c r="R149" s="311"/>
      <c r="S149" s="311"/>
      <c r="T149" s="311"/>
      <c r="U149" s="311"/>
      <c r="V149" s="311"/>
      <c r="W149" s="311"/>
      <c r="X149" s="311"/>
      <c r="Y149" s="311"/>
      <c r="Z149" s="311"/>
      <c r="AA149" s="85"/>
      <c r="AB149" s="85"/>
      <c r="AC149" s="85"/>
      <c r="AD149" s="85"/>
      <c r="AE149" s="85"/>
      <c r="AF149" s="85"/>
      <c r="AG149" s="85"/>
      <c r="AH149" s="85"/>
      <c r="AI149" s="85"/>
      <c r="AJ149" s="85"/>
      <c r="AK149" s="85"/>
      <c r="AL149" s="85"/>
      <c r="AM149" s="85"/>
      <c r="AN149" s="85"/>
      <c r="AO149" s="85"/>
      <c r="AP149" s="85"/>
      <c r="AQ149" s="85"/>
      <c r="AR149" s="85"/>
      <c r="AS149" s="85"/>
      <c r="AT149" s="85"/>
      <c r="AU149" s="85"/>
      <c r="AV149" s="85"/>
      <c r="AW149" s="85"/>
      <c r="AX149" s="85"/>
      <c r="AY149" s="85"/>
      <c r="AZ149" s="85"/>
      <c r="BA149" s="85"/>
      <c r="BB149" s="85"/>
      <c r="BD149" s="84"/>
      <c r="BE149" s="84"/>
    </row>
    <row r="150" spans="1:57">
      <c r="D150" s="84"/>
      <c r="E150" s="84"/>
      <c r="F150" s="84"/>
      <c r="G150" s="84"/>
      <c r="H150" s="84"/>
      <c r="I150" s="84"/>
      <c r="J150" s="84"/>
      <c r="K150" s="84"/>
      <c r="L150" s="84"/>
      <c r="M150" s="84"/>
      <c r="N150" s="85"/>
      <c r="O150" s="85"/>
      <c r="P150" s="264"/>
      <c r="Q150" s="311"/>
      <c r="R150" s="311"/>
      <c r="S150" s="311"/>
      <c r="T150" s="311"/>
      <c r="U150" s="311"/>
      <c r="V150" s="311"/>
      <c r="W150" s="311"/>
      <c r="X150" s="311"/>
      <c r="Y150" s="311"/>
      <c r="Z150" s="311"/>
      <c r="AA150" s="85"/>
      <c r="AB150" s="85"/>
      <c r="AC150" s="85"/>
      <c r="AD150" s="85"/>
      <c r="AE150" s="85"/>
      <c r="AF150" s="85"/>
      <c r="AG150" s="85"/>
      <c r="AH150" s="85"/>
      <c r="AI150" s="85"/>
      <c r="AJ150" s="85"/>
      <c r="AK150" s="85"/>
      <c r="AL150" s="85"/>
      <c r="AM150" s="85"/>
      <c r="AN150" s="85"/>
      <c r="AO150" s="85"/>
      <c r="AP150" s="85"/>
      <c r="AQ150" s="85"/>
      <c r="AR150" s="85"/>
      <c r="AS150" s="85"/>
      <c r="AT150" s="85"/>
      <c r="AU150" s="85"/>
      <c r="AV150" s="85"/>
      <c r="AW150" s="85"/>
      <c r="AX150" s="85"/>
      <c r="AY150" s="85"/>
      <c r="AZ150" s="85"/>
      <c r="BA150" s="85"/>
      <c r="BB150" s="85"/>
      <c r="BD150" s="84"/>
      <c r="BE150" s="84"/>
    </row>
    <row r="151" spans="1:57">
      <c r="D151" s="84"/>
      <c r="E151" s="84"/>
      <c r="F151" s="84"/>
      <c r="G151" s="84"/>
      <c r="H151" s="84"/>
      <c r="I151" s="84"/>
      <c r="J151" s="84"/>
      <c r="K151" s="84"/>
      <c r="L151" s="84"/>
      <c r="M151" s="84"/>
      <c r="N151" s="85"/>
      <c r="O151" s="85"/>
      <c r="P151" s="264"/>
      <c r="Q151" s="311"/>
      <c r="R151" s="311"/>
      <c r="S151" s="311"/>
      <c r="T151" s="311"/>
      <c r="U151" s="311"/>
      <c r="V151" s="311"/>
      <c r="W151" s="311"/>
      <c r="X151" s="311"/>
      <c r="Y151" s="311"/>
      <c r="Z151" s="311"/>
      <c r="AA151" s="85"/>
      <c r="AB151" s="85"/>
      <c r="AC151" s="85"/>
      <c r="AD151" s="85"/>
      <c r="AE151" s="85"/>
      <c r="AF151" s="85"/>
      <c r="AG151" s="85"/>
      <c r="AH151" s="85"/>
      <c r="AI151" s="85"/>
      <c r="AJ151" s="85"/>
      <c r="AK151" s="85"/>
      <c r="AL151" s="85"/>
      <c r="AM151" s="85"/>
      <c r="AN151" s="85"/>
      <c r="AO151" s="85"/>
      <c r="AP151" s="85"/>
      <c r="AQ151" s="85"/>
      <c r="AR151" s="85"/>
      <c r="AS151" s="85"/>
      <c r="AT151" s="85"/>
      <c r="AU151" s="85"/>
      <c r="AV151" s="85"/>
      <c r="AW151" s="85"/>
      <c r="AX151" s="85"/>
      <c r="AY151" s="85"/>
      <c r="AZ151" s="85"/>
      <c r="BA151" s="85"/>
      <c r="BB151" s="85"/>
      <c r="BD151" s="84"/>
      <c r="BE151" s="84"/>
    </row>
    <row r="152" spans="1:57">
      <c r="D152" s="84"/>
      <c r="E152" s="312"/>
      <c r="F152" s="312"/>
      <c r="G152" s="312"/>
      <c r="H152" s="312"/>
      <c r="I152" s="312"/>
      <c r="J152" s="312"/>
      <c r="K152" s="312"/>
      <c r="L152" s="312"/>
      <c r="M152" s="312"/>
      <c r="N152" s="312"/>
      <c r="O152" s="312"/>
      <c r="P152" s="313"/>
      <c r="Q152" s="314"/>
      <c r="R152" s="314"/>
      <c r="S152" s="312"/>
      <c r="T152" s="312"/>
      <c r="U152" s="312"/>
      <c r="V152" s="312"/>
      <c r="W152" s="312"/>
      <c r="X152" s="276"/>
      <c r="Y152" s="276"/>
      <c r="Z152" s="312"/>
      <c r="AA152" s="312"/>
      <c r="AB152" s="312"/>
      <c r="AC152" s="312"/>
      <c r="AD152" s="312"/>
      <c r="AE152" s="312"/>
      <c r="AF152" s="312"/>
      <c r="AG152" s="312"/>
      <c r="AH152" s="312"/>
      <c r="AI152" s="312"/>
      <c r="AJ152" s="312"/>
      <c r="AK152" s="312"/>
      <c r="AL152" s="312"/>
      <c r="AM152" s="312"/>
      <c r="AN152" s="312"/>
      <c r="AO152" s="312"/>
      <c r="AP152" s="312"/>
      <c r="AQ152" s="312"/>
      <c r="AR152" s="312"/>
      <c r="AS152" s="312"/>
      <c r="AT152" s="312"/>
      <c r="AU152" s="312"/>
      <c r="AV152" s="312"/>
      <c r="AW152" s="312"/>
      <c r="AX152" s="312"/>
      <c r="AY152" s="312"/>
      <c r="AZ152" s="312"/>
      <c r="BA152" s="312"/>
      <c r="BB152" s="312"/>
      <c r="BC152" s="80"/>
      <c r="BD152" s="84"/>
      <c r="BE152" s="187"/>
    </row>
    <row r="153" spans="1:57" ht="13.8" thickBot="1">
      <c r="B153" s="315" t="s">
        <v>418</v>
      </c>
      <c r="C153" s="315"/>
      <c r="D153" s="316"/>
      <c r="E153" s="317"/>
      <c r="F153" s="317"/>
      <c r="G153" s="317"/>
      <c r="H153" s="317"/>
      <c r="I153" s="317"/>
      <c r="J153" s="317"/>
      <c r="K153" s="317"/>
      <c r="L153" s="317"/>
      <c r="M153" s="317"/>
      <c r="N153" s="317"/>
      <c r="O153" s="317"/>
      <c r="P153" s="318"/>
      <c r="Q153" s="319"/>
      <c r="R153" s="319"/>
      <c r="S153" s="319"/>
      <c r="T153" s="319"/>
      <c r="U153" s="319"/>
      <c r="V153" s="317"/>
      <c r="W153" s="317"/>
      <c r="X153" s="317"/>
      <c r="Y153" s="317"/>
      <c r="Z153" s="317"/>
      <c r="AA153" s="317"/>
      <c r="AB153" s="317"/>
      <c r="AC153" s="317"/>
      <c r="AD153" s="317"/>
      <c r="AE153" s="317"/>
      <c r="AF153" s="317"/>
      <c r="AG153" s="317"/>
      <c r="AH153" s="317"/>
      <c r="AI153" s="317"/>
      <c r="AJ153" s="317"/>
      <c r="AK153" s="317"/>
      <c r="AL153" s="317"/>
      <c r="AM153" s="317"/>
      <c r="AN153" s="317"/>
      <c r="AO153" s="317"/>
      <c r="AP153" s="317"/>
      <c r="AQ153" s="317"/>
      <c r="AR153" s="317"/>
      <c r="AS153" s="317"/>
      <c r="AT153" s="317"/>
      <c r="AU153" s="317"/>
      <c r="AV153" s="317"/>
      <c r="AW153" s="317"/>
      <c r="AX153" s="317"/>
      <c r="AY153" s="317"/>
      <c r="AZ153" s="317"/>
      <c r="BA153" s="317"/>
      <c r="BB153" s="317"/>
      <c r="BC153" s="320"/>
      <c r="BD153" s="84"/>
      <c r="BE153" s="84"/>
    </row>
    <row r="154" spans="1:57">
      <c r="B154" s="321" t="s">
        <v>419</v>
      </c>
      <c r="C154" s="321"/>
      <c r="D154" s="322"/>
      <c r="E154" s="85"/>
      <c r="F154" s="85"/>
      <c r="G154" s="85"/>
      <c r="H154" s="85"/>
      <c r="I154" s="85"/>
      <c r="J154" s="85"/>
      <c r="K154" s="85"/>
      <c r="L154" s="85"/>
      <c r="M154" s="85"/>
      <c r="N154" s="85"/>
      <c r="O154" s="85"/>
      <c r="P154" s="1408"/>
      <c r="Q154" s="85"/>
      <c r="R154" s="85"/>
      <c r="S154" s="85"/>
      <c r="T154" s="85"/>
      <c r="U154" s="85"/>
      <c r="V154" s="85"/>
      <c r="W154" s="85"/>
      <c r="X154" s="85"/>
      <c r="Y154" s="85"/>
      <c r="Z154" s="85"/>
      <c r="AA154" s="85"/>
      <c r="AB154" s="85"/>
      <c r="AC154" s="85"/>
      <c r="AD154" s="85"/>
      <c r="AE154" s="85"/>
      <c r="AF154" s="85"/>
      <c r="AG154" s="85"/>
      <c r="AH154" s="85"/>
      <c r="AI154" s="85"/>
      <c r="AJ154" s="85"/>
      <c r="AK154" s="85"/>
      <c r="AL154" s="85"/>
      <c r="AM154" s="85"/>
      <c r="AN154" s="85"/>
      <c r="AO154" s="85"/>
      <c r="AP154" s="85"/>
      <c r="AQ154" s="85"/>
      <c r="AR154" s="85"/>
      <c r="AS154" s="85"/>
      <c r="AT154" s="85"/>
      <c r="AU154" s="85"/>
      <c r="AV154" s="85"/>
      <c r="AW154" s="85"/>
      <c r="AX154" s="85"/>
      <c r="AY154" s="85"/>
      <c r="AZ154" s="85"/>
      <c r="BA154" s="85"/>
      <c r="BB154" s="85"/>
      <c r="BD154" s="84"/>
      <c r="BE154" s="84"/>
    </row>
    <row r="155" spans="1:57" s="95" customFormat="1" ht="13.8" thickBot="1">
      <c r="A155" s="232">
        <v>1</v>
      </c>
      <c r="B155" s="323" t="s">
        <v>420</v>
      </c>
      <c r="C155" s="324" t="s">
        <v>382</v>
      </c>
      <c r="E155" s="89"/>
      <c r="F155" s="89"/>
      <c r="G155" s="89"/>
      <c r="H155" s="89"/>
      <c r="I155" s="90"/>
      <c r="J155" s="90"/>
      <c r="K155" s="90">
        <f>IF($C$155="Di ngang",'BS Raw'!F18/$B$1,0)</f>
        <v>0</v>
      </c>
      <c r="L155" s="90">
        <f>IF($C$155="Di ngang",'BS Raw'!G18/$B$1,0)</f>
        <v>0</v>
      </c>
      <c r="M155" s="90">
        <f>IF($C$155="Di ngang",'BS Raw'!H18/$B$1,0)</f>
        <v>0</v>
      </c>
      <c r="N155" s="90">
        <f>IF($C$155="Di ngang",'BS Raw'!I18/$B$1,0)</f>
        <v>0</v>
      </c>
      <c r="O155" s="90">
        <f>IF($C$155="Di ngang",'BS Raw'!J18/$B$1,0)</f>
        <v>0</v>
      </c>
      <c r="P155" s="90">
        <f>IF($C$155="Di ngang",'BS Raw'!K18/$B$1,0)</f>
        <v>0</v>
      </c>
      <c r="Q155" s="91">
        <f ca="1">MAX(Q411,0)</f>
        <v>1.286453767450439</v>
      </c>
      <c r="R155" s="91">
        <f t="shared" ref="R155:Z155" ca="1" si="138">MAX(R411,0)</f>
        <v>3.394358959809324</v>
      </c>
      <c r="S155" s="91">
        <f t="shared" ca="1" si="138"/>
        <v>1.6164403504626534</v>
      </c>
      <c r="T155" s="91">
        <f t="shared" ca="1" si="138"/>
        <v>2.0699449155581533</v>
      </c>
      <c r="U155" s="91">
        <f t="shared" ca="1" si="138"/>
        <v>5.7548908009739534</v>
      </c>
      <c r="V155" s="91">
        <f t="shared" ca="1" si="138"/>
        <v>6.2808563871731167</v>
      </c>
      <c r="W155" s="91">
        <f t="shared" ca="1" si="138"/>
        <v>8.1178663285536459</v>
      </c>
      <c r="X155" s="91">
        <f t="shared" ca="1" si="138"/>
        <v>6.6192350479977904</v>
      </c>
      <c r="Y155" s="91">
        <f t="shared" ca="1" si="138"/>
        <v>3.1430284102243604</v>
      </c>
      <c r="Z155" s="91">
        <f t="shared" ca="1" si="138"/>
        <v>3.4849330036377069</v>
      </c>
      <c r="AA155" s="91"/>
      <c r="AB155" s="91"/>
      <c r="AC155" s="92"/>
      <c r="AD155" s="92"/>
      <c r="AE155" s="92"/>
      <c r="AF155" s="92"/>
      <c r="AG155" s="92"/>
      <c r="AH155" s="92"/>
      <c r="AI155" s="92"/>
      <c r="AJ155" s="92"/>
      <c r="AK155" s="92"/>
      <c r="AL155" s="92"/>
      <c r="AM155" s="92"/>
      <c r="AN155" s="92"/>
      <c r="AO155" s="92"/>
      <c r="AP155" s="92"/>
      <c r="AQ155" s="92"/>
      <c r="AR155" s="92"/>
      <c r="AS155" s="92"/>
      <c r="AT155" s="92"/>
      <c r="AU155" s="92"/>
      <c r="AV155" s="92"/>
      <c r="AW155" s="92"/>
      <c r="AX155" s="92"/>
      <c r="AY155" s="92"/>
      <c r="AZ155" s="92"/>
      <c r="BA155" s="92"/>
      <c r="BB155" s="93"/>
      <c r="BC155" s="94"/>
    </row>
    <row r="156" spans="1:57" s="150" customFormat="1" ht="13.8" thickTop="1">
      <c r="A156" s="144"/>
      <c r="B156" s="325" t="s">
        <v>421</v>
      </c>
      <c r="C156" s="326" t="s">
        <v>382</v>
      </c>
      <c r="E156" s="168"/>
      <c r="F156" s="168"/>
      <c r="G156" s="168"/>
      <c r="H156" s="168"/>
      <c r="I156" s="168"/>
      <c r="J156" s="168"/>
      <c r="K156" s="168"/>
      <c r="L156" s="168"/>
      <c r="M156" s="168"/>
      <c r="N156" s="119"/>
      <c r="O156" s="119"/>
      <c r="P156" s="455"/>
      <c r="Q156" s="2657">
        <f>Q276</f>
        <v>3.9444017861950675E-2</v>
      </c>
      <c r="R156" s="2657">
        <f t="shared" ref="R156:Z156" si="139">R276</f>
        <v>3.7425660992668988E-2</v>
      </c>
      <c r="S156" s="2657">
        <f t="shared" si="139"/>
        <v>3.6748577175932787E-2</v>
      </c>
      <c r="T156" s="2657">
        <f t="shared" si="139"/>
        <v>3.6182525249443175E-2</v>
      </c>
      <c r="U156" s="2657">
        <f t="shared" si="139"/>
        <v>3.482375430545584E-2</v>
      </c>
      <c r="V156" s="2657">
        <f t="shared" si="139"/>
        <v>3.5996873173783209E-2</v>
      </c>
      <c r="W156" s="2657">
        <f t="shared" si="139"/>
        <v>3.6573663618240791E-2</v>
      </c>
      <c r="X156" s="2657">
        <f t="shared" si="139"/>
        <v>3.7080270329845712E-2</v>
      </c>
      <c r="Y156" s="2657">
        <f t="shared" si="139"/>
        <v>3.7713191293268125E-2</v>
      </c>
      <c r="Z156" s="2657">
        <f t="shared" si="139"/>
        <v>3.8120887950201889E-2</v>
      </c>
      <c r="AA156" s="230"/>
      <c r="AB156" s="299"/>
      <c r="AC156" s="299"/>
      <c r="AD156" s="299"/>
      <c r="AE156" s="299"/>
      <c r="AF156" s="299"/>
      <c r="AG156" s="299"/>
      <c r="AH156" s="299"/>
      <c r="AI156" s="299"/>
      <c r="AJ156" s="299"/>
      <c r="AK156" s="299"/>
      <c r="AL156" s="299"/>
      <c r="AM156" s="299"/>
      <c r="AN156" s="299"/>
      <c r="AO156" s="299"/>
      <c r="AP156" s="299"/>
      <c r="AQ156" s="299"/>
      <c r="AR156" s="299"/>
      <c r="AS156" s="299"/>
      <c r="AT156" s="299"/>
      <c r="AU156" s="299"/>
      <c r="AV156" s="299"/>
      <c r="AW156" s="299"/>
      <c r="AX156" s="299"/>
      <c r="AY156" s="299"/>
      <c r="AZ156" s="299"/>
      <c r="BA156" s="299"/>
      <c r="BB156" s="168"/>
      <c r="BC156" s="327"/>
    </row>
    <row r="157" spans="1:57">
      <c r="B157" s="328" t="s">
        <v>350</v>
      </c>
      <c r="C157" s="329" t="s">
        <v>422</v>
      </c>
      <c r="E157" s="41"/>
      <c r="F157" s="41"/>
      <c r="G157" s="41"/>
      <c r="H157" s="41"/>
      <c r="I157" s="41"/>
      <c r="J157" s="41"/>
      <c r="K157" s="41"/>
      <c r="L157" s="41"/>
      <c r="M157" s="41"/>
      <c r="N157" s="128"/>
      <c r="O157" s="128"/>
      <c r="P157" s="265"/>
      <c r="Q157" s="91">
        <f ca="1">AVERAGE(P155:Q155)*Q156</f>
        <v>2.5371452690944429E-2</v>
      </c>
      <c r="R157" s="91">
        <f t="shared" ref="R157:Z157" ca="1" si="140">AVERAGE(Q155:R155)*R156</f>
        <v>8.7591255150297129E-2</v>
      </c>
      <c r="S157" s="91">
        <f t="shared" ca="1" si="140"/>
        <v>9.2069872583320264E-2</v>
      </c>
      <c r="T157" s="91">
        <f t="shared" ca="1" si="140"/>
        <v>6.6691363983486573E-2</v>
      </c>
      <c r="U157" s="91">
        <f t="shared" ca="1" si="140"/>
        <v>0.13624507823653478</v>
      </c>
      <c r="V157" s="91">
        <f t="shared" ca="1" si="140"/>
        <v>0.21662463254172398</v>
      </c>
      <c r="W157" s="91">
        <f t="shared" ca="1" si="140"/>
        <v>0.26330702056865657</v>
      </c>
      <c r="X157" s="91">
        <f t="shared" ca="1" si="140"/>
        <v>0.27322785146043432</v>
      </c>
      <c r="Y157" s="91">
        <f t="shared" ca="1" si="140"/>
        <v>0.1840830546276066</v>
      </c>
      <c r="Z157" s="91">
        <f t="shared" ca="1" si="140"/>
        <v>0.12633188719804878</v>
      </c>
      <c r="AA157" s="91"/>
      <c r="AB157" s="92"/>
      <c r="AC157" s="92"/>
      <c r="AD157" s="92"/>
      <c r="AE157" s="92"/>
      <c r="AF157" s="92"/>
      <c r="AG157" s="92"/>
      <c r="AH157" s="92"/>
      <c r="AI157" s="92"/>
      <c r="AJ157" s="92"/>
      <c r="AK157" s="92"/>
      <c r="AL157" s="92"/>
      <c r="AM157" s="92"/>
      <c r="AN157" s="92"/>
      <c r="AO157" s="92"/>
      <c r="AP157" s="92"/>
      <c r="AQ157" s="92"/>
      <c r="AR157" s="92"/>
      <c r="AS157" s="92"/>
      <c r="AT157" s="92"/>
      <c r="AU157" s="92"/>
      <c r="AV157" s="92"/>
      <c r="AW157" s="92"/>
      <c r="AX157" s="92"/>
      <c r="AY157" s="92"/>
      <c r="AZ157" s="92"/>
      <c r="BA157" s="92"/>
      <c r="BB157" s="200"/>
      <c r="BC157" s="94"/>
      <c r="BD157" s="84"/>
      <c r="BE157" s="84"/>
    </row>
    <row r="158" spans="1:57" s="88" customFormat="1">
      <c r="A158" s="103"/>
      <c r="B158" s="104" t="s">
        <v>351</v>
      </c>
      <c r="C158" s="104"/>
      <c r="D158" s="105"/>
      <c r="E158" s="136"/>
      <c r="F158" s="136"/>
      <c r="G158" s="136"/>
      <c r="H158" s="330"/>
      <c r="I158" s="330"/>
      <c r="J158" s="330"/>
      <c r="K158" s="330"/>
      <c r="L158" s="330"/>
      <c r="M158" s="330"/>
      <c r="N158" s="330"/>
      <c r="O158" s="330"/>
      <c r="P158" s="331"/>
      <c r="Q158" s="138">
        <f ca="1">Q155</f>
        <v>1.286453767450439</v>
      </c>
      <c r="R158" s="138">
        <f t="shared" ref="R158:Z158" ca="1" si="141">R155</f>
        <v>3.394358959809324</v>
      </c>
      <c r="S158" s="138">
        <f t="shared" ca="1" si="141"/>
        <v>1.6164403504626534</v>
      </c>
      <c r="T158" s="138">
        <f t="shared" ca="1" si="141"/>
        <v>2.0699449155581533</v>
      </c>
      <c r="U158" s="138">
        <f t="shared" ca="1" si="141"/>
        <v>5.7548908009739534</v>
      </c>
      <c r="V158" s="138">
        <f t="shared" ca="1" si="141"/>
        <v>6.2808563871731167</v>
      </c>
      <c r="W158" s="138">
        <f t="shared" ca="1" si="141"/>
        <v>8.1178663285536459</v>
      </c>
      <c r="X158" s="138">
        <f t="shared" ca="1" si="141"/>
        <v>6.6192350479977904</v>
      </c>
      <c r="Y158" s="138">
        <f t="shared" ca="1" si="141"/>
        <v>3.1430284102243604</v>
      </c>
      <c r="Z158" s="138">
        <f t="shared" ca="1" si="141"/>
        <v>3.4849330036377069</v>
      </c>
      <c r="AA158" s="138"/>
      <c r="AB158" s="139"/>
      <c r="AC158" s="139"/>
      <c r="AD158" s="139"/>
      <c r="AE158" s="139"/>
      <c r="AF158" s="139"/>
      <c r="AG158" s="139"/>
      <c r="AH158" s="139"/>
      <c r="AI158" s="139"/>
      <c r="AJ158" s="139"/>
      <c r="AK158" s="139"/>
      <c r="AL158" s="139"/>
      <c r="AM158" s="139"/>
      <c r="AN158" s="139"/>
      <c r="AO158" s="139"/>
      <c r="AP158" s="139"/>
      <c r="AQ158" s="139"/>
      <c r="AR158" s="139"/>
      <c r="AS158" s="139"/>
      <c r="AT158" s="139"/>
      <c r="AU158" s="139"/>
      <c r="AV158" s="139"/>
      <c r="AW158" s="139"/>
      <c r="AX158" s="139"/>
      <c r="AY158" s="139"/>
      <c r="AZ158" s="139"/>
      <c r="BA158" s="139"/>
      <c r="BB158" s="110"/>
      <c r="BC158" s="111"/>
    </row>
    <row r="159" spans="1:57">
      <c r="D159" s="84"/>
      <c r="E159" s="140"/>
      <c r="F159" s="140"/>
      <c r="G159" s="140"/>
      <c r="H159" s="140"/>
      <c r="I159" s="140"/>
      <c r="J159" s="140"/>
      <c r="K159" s="140"/>
      <c r="L159" s="140"/>
      <c r="M159" s="140"/>
      <c r="N159" s="140"/>
      <c r="O159" s="140"/>
      <c r="P159" s="141"/>
      <c r="Q159" s="332"/>
      <c r="R159" s="332"/>
      <c r="S159" s="332"/>
      <c r="T159" s="332"/>
      <c r="U159" s="332"/>
      <c r="V159" s="332"/>
      <c r="W159" s="332"/>
      <c r="X159" s="332"/>
      <c r="Y159" s="332"/>
      <c r="Z159" s="332"/>
      <c r="AA159" s="332"/>
      <c r="AB159" s="140"/>
      <c r="AC159" s="140"/>
      <c r="AD159" s="140"/>
      <c r="AE159" s="140"/>
      <c r="AF159" s="140"/>
      <c r="AG159" s="140"/>
      <c r="AH159" s="140"/>
      <c r="AI159" s="140"/>
      <c r="AJ159" s="140"/>
      <c r="AK159" s="140"/>
      <c r="AL159" s="140"/>
      <c r="AM159" s="140"/>
      <c r="AN159" s="140"/>
      <c r="AO159" s="140"/>
      <c r="AP159" s="140"/>
      <c r="AQ159" s="140"/>
      <c r="AR159" s="140"/>
      <c r="AS159" s="140"/>
      <c r="AT159" s="140"/>
      <c r="AU159" s="140"/>
      <c r="AV159" s="140"/>
      <c r="AW159" s="140"/>
      <c r="AX159" s="140"/>
      <c r="AY159" s="140"/>
      <c r="AZ159" s="140"/>
      <c r="BA159" s="140"/>
      <c r="BB159" s="85"/>
      <c r="BD159" s="84"/>
      <c r="BE159" s="84"/>
    </row>
    <row r="160" spans="1:57" s="95" customFormat="1">
      <c r="A160" s="232">
        <v>2</v>
      </c>
      <c r="B160" s="87" t="s">
        <v>423</v>
      </c>
      <c r="C160" s="87"/>
      <c r="E160" s="89"/>
      <c r="F160" s="89"/>
      <c r="G160" s="89"/>
      <c r="H160" s="89"/>
      <c r="I160" s="90"/>
      <c r="J160" s="90"/>
      <c r="K160" s="90">
        <f>K161+K162</f>
        <v>471.173323541</v>
      </c>
      <c r="L160" s="90">
        <f t="shared" ref="L160:P160" si="142">L161+L162</f>
        <v>509.99535087300001</v>
      </c>
      <c r="M160" s="90">
        <f t="shared" si="142"/>
        <v>427.65273090400001</v>
      </c>
      <c r="N160" s="90">
        <f t="shared" si="142"/>
        <v>2125.6252915599998</v>
      </c>
      <c r="O160" s="90">
        <f t="shared" si="142"/>
        <v>2284.3997887720002</v>
      </c>
      <c r="P160" s="90">
        <f t="shared" si="142"/>
        <v>1903.248325989</v>
      </c>
      <c r="Q160" s="91">
        <f>Q5*Q163</f>
        <v>2699.8874381101941</v>
      </c>
      <c r="R160" s="91">
        <f t="shared" ref="R160:Z160" si="143">R5*R163</f>
        <v>3131.7021646779808</v>
      </c>
      <c r="S160" s="91">
        <f t="shared" si="143"/>
        <v>3135.8011808038987</v>
      </c>
      <c r="T160" s="91">
        <f t="shared" si="143"/>
        <v>3865.347240937981</v>
      </c>
      <c r="U160" s="91">
        <f t="shared" si="143"/>
        <v>4323.4688288808538</v>
      </c>
      <c r="V160" s="91">
        <f t="shared" si="143"/>
        <v>3838.5672859135188</v>
      </c>
      <c r="W160" s="91">
        <f t="shared" si="143"/>
        <v>4104.0607931950753</v>
      </c>
      <c r="X160" s="91">
        <f t="shared" si="143"/>
        <v>4367.0278060329301</v>
      </c>
      <c r="Y160" s="91">
        <f t="shared" si="143"/>
        <v>4637.6572502464714</v>
      </c>
      <c r="Z160" s="91">
        <f t="shared" si="143"/>
        <v>4836.9893904341334</v>
      </c>
      <c r="AA160" s="91"/>
      <c r="AB160" s="92"/>
      <c r="AC160" s="92"/>
      <c r="AD160" s="92"/>
      <c r="AE160" s="92"/>
      <c r="AF160" s="92"/>
      <c r="AG160" s="92"/>
      <c r="AH160" s="92"/>
      <c r="AI160" s="92"/>
      <c r="AJ160" s="92"/>
      <c r="AK160" s="92"/>
      <c r="AL160" s="92"/>
      <c r="AM160" s="92"/>
      <c r="AN160" s="92"/>
      <c r="AO160" s="92"/>
      <c r="AP160" s="92"/>
      <c r="AQ160" s="92"/>
      <c r="AR160" s="92"/>
      <c r="AS160" s="92"/>
      <c r="AT160" s="92"/>
      <c r="AU160" s="92"/>
      <c r="AV160" s="92"/>
      <c r="AW160" s="92"/>
      <c r="AX160" s="92"/>
      <c r="AY160" s="92"/>
      <c r="AZ160" s="92"/>
      <c r="BA160" s="92"/>
      <c r="BB160" s="93"/>
      <c r="BC160" s="94"/>
    </row>
    <row r="161" spans="1:62" s="95" customFormat="1">
      <c r="A161" s="232"/>
      <c r="B161" s="155" t="s">
        <v>424</v>
      </c>
      <c r="C161" s="155"/>
      <c r="E161" s="89"/>
      <c r="F161" s="89"/>
      <c r="G161" s="89"/>
      <c r="H161" s="89"/>
      <c r="I161" s="90"/>
      <c r="J161" s="90"/>
      <c r="K161" s="90">
        <f>('BS Raw'!F17) / Input!$B$1</f>
        <v>371.173323541</v>
      </c>
      <c r="L161" s="90">
        <f>('BS Raw'!G17) / Input!$B$1</f>
        <v>289.99535087300001</v>
      </c>
      <c r="M161" s="90">
        <f>('BS Raw'!H17) / Input!$B$1</f>
        <v>427.65273090400001</v>
      </c>
      <c r="N161" s="90">
        <f>('BS Raw'!I17) / Input!$B$1</f>
        <v>2125.6252915599998</v>
      </c>
      <c r="O161" s="90">
        <f>('BS Raw'!J17) / Input!$B$1</f>
        <v>2274.3997887720002</v>
      </c>
      <c r="P161" s="90">
        <f>('BS Raw'!K17) / Input!$B$1</f>
        <v>1903.248325989</v>
      </c>
      <c r="Q161" s="92"/>
      <c r="R161" s="92"/>
      <c r="S161" s="92"/>
      <c r="T161" s="92"/>
      <c r="U161" s="92"/>
      <c r="V161" s="92"/>
      <c r="W161" s="92"/>
      <c r="X161" s="92"/>
      <c r="Y161" s="92"/>
      <c r="Z161" s="92"/>
      <c r="AA161" s="92"/>
      <c r="AB161" s="92"/>
      <c r="AC161" s="92"/>
      <c r="AD161" s="92"/>
      <c r="AE161" s="92"/>
      <c r="AF161" s="92"/>
      <c r="AG161" s="92"/>
      <c r="AH161" s="92"/>
      <c r="AI161" s="92"/>
      <c r="AJ161" s="92"/>
      <c r="AK161" s="92"/>
      <c r="AL161" s="92"/>
      <c r="AM161" s="92"/>
      <c r="AN161" s="92"/>
      <c r="AO161" s="92"/>
      <c r="AP161" s="92"/>
      <c r="AQ161" s="92"/>
      <c r="AR161" s="92"/>
      <c r="AS161" s="92"/>
      <c r="AT161" s="92"/>
      <c r="AU161" s="92"/>
      <c r="AV161" s="92"/>
      <c r="AW161" s="92"/>
      <c r="AX161" s="92"/>
      <c r="AY161" s="92"/>
      <c r="AZ161" s="92"/>
      <c r="BA161" s="92"/>
      <c r="BB161" s="93"/>
      <c r="BC161" s="94"/>
    </row>
    <row r="162" spans="1:62" s="95" customFormat="1">
      <c r="A162" s="232"/>
      <c r="B162" s="155" t="s">
        <v>425</v>
      </c>
      <c r="C162" s="155"/>
      <c r="E162" s="89"/>
      <c r="F162" s="89"/>
      <c r="G162" s="89"/>
      <c r="H162" s="89"/>
      <c r="I162" s="90"/>
      <c r="J162" s="90"/>
      <c r="K162" s="90">
        <f>('BS Raw'!F18) / Input!$B$1</f>
        <v>100</v>
      </c>
      <c r="L162" s="90">
        <f>('BS Raw'!G18) / Input!$B$1</f>
        <v>220</v>
      </c>
      <c r="M162" s="90">
        <f>('BS Raw'!H18) / Input!$B$1</f>
        <v>0</v>
      </c>
      <c r="N162" s="90">
        <f>('BS Raw'!I18) / Input!$B$1</f>
        <v>0</v>
      </c>
      <c r="O162" s="90">
        <f>('BS Raw'!J18) / Input!$B$1</f>
        <v>10</v>
      </c>
      <c r="P162" s="90">
        <f>('BS Raw'!K18) / Input!$B$1</f>
        <v>0</v>
      </c>
      <c r="Q162" s="92"/>
      <c r="R162" s="92"/>
      <c r="S162" s="92"/>
      <c r="T162" s="92"/>
      <c r="U162" s="92"/>
      <c r="V162" s="92"/>
      <c r="W162" s="92"/>
      <c r="X162" s="92"/>
      <c r="Y162" s="92"/>
      <c r="Z162" s="92"/>
      <c r="AA162" s="92"/>
      <c r="AB162" s="92"/>
      <c r="AC162" s="92"/>
      <c r="AD162" s="92"/>
      <c r="AE162" s="92"/>
      <c r="AF162" s="92"/>
      <c r="AG162" s="92"/>
      <c r="AH162" s="92"/>
      <c r="AI162" s="92"/>
      <c r="AJ162" s="92"/>
      <c r="AK162" s="92"/>
      <c r="AL162" s="92"/>
      <c r="AM162" s="92"/>
      <c r="AN162" s="92"/>
      <c r="AO162" s="92"/>
      <c r="AP162" s="92"/>
      <c r="AQ162" s="92"/>
      <c r="AR162" s="92"/>
      <c r="AS162" s="92"/>
      <c r="AT162" s="92"/>
      <c r="AU162" s="92"/>
      <c r="AV162" s="92"/>
      <c r="AW162" s="92"/>
      <c r="AX162" s="92"/>
      <c r="AY162" s="92"/>
      <c r="AZ162" s="92"/>
      <c r="BA162" s="92"/>
      <c r="BB162" s="93"/>
      <c r="BC162" s="94"/>
    </row>
    <row r="163" spans="1:62" s="150" customFormat="1">
      <c r="A163" s="144"/>
      <c r="B163" s="145" t="s">
        <v>319</v>
      </c>
      <c r="C163" s="145"/>
      <c r="E163" s="333"/>
      <c r="F163" s="333"/>
      <c r="G163" s="333"/>
      <c r="H163" s="333"/>
      <c r="I163" s="334"/>
      <c r="J163" s="334"/>
      <c r="K163" s="334">
        <f>K166/K7</f>
        <v>6.6899834716840384E-2</v>
      </c>
      <c r="L163" s="334">
        <f t="shared" ref="L163:P163" si="144">L166/L7</f>
        <v>6.7448326386750121E-2</v>
      </c>
      <c r="M163" s="334">
        <f t="shared" si="144"/>
        <v>4.3329585020029274E-2</v>
      </c>
      <c r="N163" s="334">
        <f t="shared" si="144"/>
        <v>0.13348122103252263</v>
      </c>
      <c r="O163" s="334">
        <f t="shared" si="144"/>
        <v>0.18172643410665013</v>
      </c>
      <c r="P163" s="334">
        <f t="shared" si="144"/>
        <v>0.14144671560715597</v>
      </c>
      <c r="Q163" s="230">
        <f>AVERAGE(N163:P163)</f>
        <v>0.15221812358210959</v>
      </c>
      <c r="R163" s="230">
        <f t="shared" ref="R163:Z163" si="145">AVERAGE(O163:Q163)+1%</f>
        <v>0.16846375776530523</v>
      </c>
      <c r="S163" s="230">
        <f t="shared" si="145"/>
        <v>0.1640428656515236</v>
      </c>
      <c r="T163" s="230">
        <f t="shared" si="145"/>
        <v>0.1715749156663128</v>
      </c>
      <c r="U163" s="230">
        <f>AVERAGE(R163:T163)+3%</f>
        <v>0.19802717969438052</v>
      </c>
      <c r="V163" s="230">
        <f t="shared" si="145"/>
        <v>0.18788165367073897</v>
      </c>
      <c r="W163" s="230">
        <f t="shared" si="145"/>
        <v>0.19582791634381078</v>
      </c>
      <c r="X163" s="230">
        <f t="shared" si="145"/>
        <v>0.20391224990297677</v>
      </c>
      <c r="Y163" s="230">
        <f t="shared" si="145"/>
        <v>0.20587393997250883</v>
      </c>
      <c r="Z163" s="230">
        <f t="shared" si="145"/>
        <v>0.21187136873976545</v>
      </c>
      <c r="AA163" s="230"/>
      <c r="AB163" s="230"/>
      <c r="AC163" s="299"/>
      <c r="AD163" s="299"/>
      <c r="AE163" s="299"/>
      <c r="AF163" s="299"/>
      <c r="AG163" s="299"/>
      <c r="AH163" s="299"/>
      <c r="AI163" s="299"/>
      <c r="AJ163" s="299"/>
      <c r="AK163" s="299"/>
      <c r="AL163" s="299"/>
      <c r="AM163" s="299"/>
      <c r="AN163" s="299"/>
      <c r="AO163" s="299"/>
      <c r="AP163" s="299"/>
      <c r="AQ163" s="299"/>
      <c r="AR163" s="299"/>
      <c r="AS163" s="299"/>
      <c r="AT163" s="299"/>
      <c r="AU163" s="299"/>
      <c r="AV163" s="299"/>
      <c r="AW163" s="299"/>
      <c r="AX163" s="299"/>
      <c r="AY163" s="299"/>
      <c r="AZ163" s="299"/>
      <c r="BA163" s="299"/>
      <c r="BB163" s="168"/>
      <c r="BC163" s="117"/>
    </row>
    <row r="164" spans="1:62" s="150" customFormat="1">
      <c r="A164" s="159"/>
      <c r="B164" s="145" t="s">
        <v>421</v>
      </c>
      <c r="C164" s="145"/>
      <c r="E164" s="168"/>
      <c r="F164" s="168"/>
      <c r="G164" s="168"/>
      <c r="H164" s="168"/>
      <c r="I164" s="168"/>
      <c r="J164" s="168"/>
      <c r="K164" s="168"/>
      <c r="L164" s="168"/>
      <c r="M164" s="168"/>
      <c r="N164" s="119"/>
      <c r="O164" s="119"/>
      <c r="P164" s="335">
        <v>0.03</v>
      </c>
      <c r="Q164" s="2657">
        <f>P164</f>
        <v>0.03</v>
      </c>
      <c r="R164" s="2657">
        <f t="shared" ref="R164:Z164" si="146">Q164</f>
        <v>0.03</v>
      </c>
      <c r="S164" s="2657">
        <f t="shared" si="146"/>
        <v>0.03</v>
      </c>
      <c r="T164" s="2657">
        <f t="shared" si="146"/>
        <v>0.03</v>
      </c>
      <c r="U164" s="2657">
        <f t="shared" si="146"/>
        <v>0.03</v>
      </c>
      <c r="V164" s="2657">
        <f t="shared" si="146"/>
        <v>0.03</v>
      </c>
      <c r="W164" s="2657">
        <f t="shared" si="146"/>
        <v>0.03</v>
      </c>
      <c r="X164" s="2657">
        <f t="shared" si="146"/>
        <v>0.03</v>
      </c>
      <c r="Y164" s="2657">
        <f t="shared" si="146"/>
        <v>0.03</v>
      </c>
      <c r="Z164" s="2657">
        <f t="shared" si="146"/>
        <v>0.03</v>
      </c>
      <c r="AA164" s="230"/>
      <c r="AB164" s="230"/>
      <c r="AC164" s="230"/>
      <c r="AD164" s="230"/>
      <c r="AE164" s="230"/>
      <c r="AF164" s="230"/>
      <c r="AG164" s="230"/>
      <c r="AH164" s="230"/>
      <c r="AI164" s="230"/>
      <c r="AJ164" s="230"/>
      <c r="AK164" s="230"/>
      <c r="AL164" s="289"/>
      <c r="AM164" s="289"/>
      <c r="AN164" s="289"/>
      <c r="AO164" s="289"/>
      <c r="AP164" s="289"/>
      <c r="AQ164" s="289"/>
      <c r="AR164" s="289"/>
      <c r="AS164" s="289"/>
      <c r="AT164" s="289"/>
      <c r="AU164" s="289"/>
      <c r="AV164" s="289"/>
      <c r="AW164" s="289"/>
      <c r="AX164" s="289"/>
      <c r="AY164" s="289"/>
      <c r="AZ164" s="289"/>
      <c r="BA164" s="289"/>
      <c r="BB164" s="168"/>
      <c r="BC164" s="117"/>
    </row>
    <row r="165" spans="1:62">
      <c r="B165" s="118" t="s">
        <v>350</v>
      </c>
      <c r="C165" s="118"/>
      <c r="D165" s="84"/>
      <c r="E165" s="140"/>
      <c r="F165" s="140"/>
      <c r="G165" s="140"/>
      <c r="H165" s="140"/>
      <c r="I165" s="140"/>
      <c r="J165" s="140"/>
      <c r="K165" s="140"/>
      <c r="L165" s="140"/>
      <c r="M165" s="140"/>
      <c r="N165" s="336"/>
      <c r="O165" s="336"/>
      <c r="P165" s="337">
        <f>AVERAGE(O166:P166)*P164</f>
        <v>62.814721721414998</v>
      </c>
      <c r="Q165" s="338">
        <f>AVERAGE(P166:Q166)*Q164</f>
        <v>69.047036461487906</v>
      </c>
      <c r="R165" s="338">
        <f t="shared" ref="R165:Z165" si="147">AVERAGE(Q166:R166)*R164</f>
        <v>87.47384404182263</v>
      </c>
      <c r="S165" s="338">
        <f t="shared" si="147"/>
        <v>94.012550182228182</v>
      </c>
      <c r="T165" s="338">
        <f t="shared" si="147"/>
        <v>105.0172263261282</v>
      </c>
      <c r="U165" s="338">
        <f t="shared" si="147"/>
        <v>122.83224104728252</v>
      </c>
      <c r="V165" s="338">
        <f t="shared" si="147"/>
        <v>122.43054172191559</v>
      </c>
      <c r="W165" s="338">
        <f t="shared" si="147"/>
        <v>119.13942118662891</v>
      </c>
      <c r="X165" s="338">
        <f t="shared" si="147"/>
        <v>127.06632898842008</v>
      </c>
      <c r="Y165" s="338">
        <f t="shared" si="147"/>
        <v>135.07027584419103</v>
      </c>
      <c r="Z165" s="338">
        <f t="shared" si="147"/>
        <v>142.11969961020907</v>
      </c>
      <c r="AA165" s="338"/>
      <c r="AB165" s="338"/>
      <c r="AC165" s="338"/>
      <c r="AD165" s="338"/>
      <c r="AE165" s="338"/>
      <c r="AF165" s="338"/>
      <c r="AG165" s="338"/>
      <c r="AH165" s="338"/>
      <c r="AI165" s="338"/>
      <c r="AJ165" s="338"/>
      <c r="AK165" s="338"/>
      <c r="AL165" s="338"/>
      <c r="AM165" s="338"/>
      <c r="AN165" s="338"/>
      <c r="AO165" s="338"/>
      <c r="AP165" s="338"/>
      <c r="AQ165" s="338"/>
      <c r="AR165" s="338"/>
      <c r="AS165" s="338"/>
      <c r="AT165" s="338"/>
      <c r="AU165" s="338"/>
      <c r="AV165" s="338"/>
      <c r="AW165" s="338"/>
      <c r="AX165" s="338"/>
      <c r="AY165" s="338"/>
      <c r="AZ165" s="338"/>
      <c r="BA165" s="338"/>
      <c r="BB165" s="85"/>
      <c r="BD165" s="84"/>
      <c r="BE165" s="84"/>
    </row>
    <row r="166" spans="1:62" s="88" customFormat="1">
      <c r="A166" s="103"/>
      <c r="B166" s="104" t="s">
        <v>352</v>
      </c>
      <c r="C166" s="104"/>
      <c r="D166" s="105"/>
      <c r="E166" s="136"/>
      <c r="F166" s="136"/>
      <c r="G166" s="136"/>
      <c r="H166" s="136"/>
      <c r="I166" s="137"/>
      <c r="J166" s="137"/>
      <c r="K166" s="137">
        <f>IF(AND($C$155="Di ngang",ISTEXT('BS Raw'!F11)),'BS Raw'!F17/Input!$B$1,IF(AND($C$155="Growth",ISTEXT('BS Raw'!F11)),'BS Raw'!F17/Input!$B$1+'BS Raw'!F18/Input!$B$1,K160))</f>
        <v>471.173323541</v>
      </c>
      <c r="L166" s="137">
        <f>IF(AND($C$155="Di ngang",ISTEXT('BS Raw'!G11)),'BS Raw'!G17/Input!$B$1,IF(AND($C$155="Growth",ISTEXT('BS Raw'!G11)),'BS Raw'!G17/Input!$B$1+'BS Raw'!G18/Input!$B$1,L160))</f>
        <v>509.99535087300001</v>
      </c>
      <c r="M166" s="137">
        <f>IF(AND($C$155="Di ngang",ISTEXT('BS Raw'!H11)),'BS Raw'!H17/Input!$B$1,IF(AND($C$155="Growth",ISTEXT('BS Raw'!H11)),'BS Raw'!H17/Input!$B$1+'BS Raw'!H18/Input!$B$1,M160))</f>
        <v>427.65273090400001</v>
      </c>
      <c r="N166" s="137">
        <f>IF(AND($C$155="Di ngang",ISTEXT('BS Raw'!I11)),'BS Raw'!I17/Input!$B$1,IF(AND($C$155="Growth",ISTEXT('BS Raw'!I11)),'BS Raw'!I17/Input!$B$1+'BS Raw'!I18/Input!$B$1,N160))</f>
        <v>2125.6252915599998</v>
      </c>
      <c r="O166" s="137">
        <f>IF(AND($C$155="Di ngang",ISTEXT('BS Raw'!J11)),'BS Raw'!J17/Input!$B$1,IF(AND($C$155="Growth",ISTEXT('BS Raw'!J11)),'BS Raw'!J17/Input!$B$1+'BS Raw'!J18/Input!$B$1,O160))</f>
        <v>2284.3997887720002</v>
      </c>
      <c r="P166" s="137">
        <f>IF(AND($C$155="Di ngang",ISTEXT('BS Raw'!K11)),'BS Raw'!K17/Input!$B$1,IF(AND($C$155="Growth",ISTEXT('BS Raw'!K11)),'BS Raw'!K17/Input!$B$1+'BS Raw'!K18/Input!$B$1,P160))</f>
        <v>1903.248325989</v>
      </c>
      <c r="Q166" s="138">
        <f>IF(AND($C$155="Di ngang",ISTEXT('BS Raw'!L11)),'BS Raw'!L17/Input!$B$1,IF(AND($C$155="Growth",ISTEXT('BS Raw'!L11)),'BS Raw'!L17/Input!$B$1+'BS Raw'!L18/Input!$B$1,Q160))</f>
        <v>2699.8874381101941</v>
      </c>
      <c r="R166" s="138">
        <f>IF(AND($C$155="Di ngang",ISTEXT('BS Raw'!M11)),'BS Raw'!M17/Input!$B$1,IF(AND($C$155="Growth",ISTEXT('BS Raw'!M11)),'BS Raw'!M17/Input!$B$1+'BS Raw'!M18/Input!$B$1,R160))</f>
        <v>3131.7021646779808</v>
      </c>
      <c r="S166" s="138">
        <f>IF(AND($C$155="Di ngang",ISTEXT('BS Raw'!N11)),'BS Raw'!N17/Input!$B$1,IF(AND($C$155="Growth",ISTEXT('BS Raw'!N11)),'BS Raw'!N17/Input!$B$1+'BS Raw'!N18/Input!$B$1,S160))</f>
        <v>3135.8011808038987</v>
      </c>
      <c r="T166" s="138">
        <f>IF(AND($C$155="Di ngang",ISTEXT('BS Raw'!O11)),'BS Raw'!O17/Input!$B$1,IF(AND($C$155="Growth",ISTEXT('BS Raw'!O11)),'BS Raw'!O17/Input!$B$1+'BS Raw'!O18/Input!$B$1,T160))</f>
        <v>3865.347240937981</v>
      </c>
      <c r="U166" s="138">
        <f>IF(AND($C$155="Di ngang",ISTEXT('BS Raw'!P11)),'BS Raw'!P17/Input!$B$1,IF(AND($C$155="Growth",ISTEXT('BS Raw'!P11)),'BS Raw'!P17/Input!$B$1+'BS Raw'!P18/Input!$B$1,U160))</f>
        <v>4323.4688288808538</v>
      </c>
      <c r="V166" s="138">
        <f>IF(AND($C$155="Di ngang",ISTEXT('BS Raw'!Q11)),'BS Raw'!Q17/Input!$B$1,IF(AND($C$155="Growth",ISTEXT('BS Raw'!Q11)),'BS Raw'!Q17/Input!$B$1+'BS Raw'!Q18/Input!$B$1,V160))</f>
        <v>3838.5672859135188</v>
      </c>
      <c r="W166" s="138">
        <f>IF(AND($C$155="Di ngang",ISTEXT('BS Raw'!R11)),'BS Raw'!R17/Input!$B$1,IF(AND($C$155="Growth",ISTEXT('BS Raw'!R11)),'BS Raw'!R17/Input!$B$1+'BS Raw'!R18/Input!$B$1,W160))</f>
        <v>4104.0607931950753</v>
      </c>
      <c r="X166" s="138">
        <f>IF(AND($C$155="Di ngang",ISTEXT('BS Raw'!S11)),'BS Raw'!S17/Input!$B$1,IF(AND($C$155="Growth",ISTEXT('BS Raw'!S11)),'BS Raw'!S17/Input!$B$1+'BS Raw'!S18/Input!$B$1,X160))</f>
        <v>4367.0278060329301</v>
      </c>
      <c r="Y166" s="138">
        <f>IF(AND($C$155="Di ngang",ISTEXT('BS Raw'!T11)),'BS Raw'!T17/Input!$B$1,IF(AND($C$155="Growth",ISTEXT('BS Raw'!T11)),'BS Raw'!T17/Input!$B$1+'BS Raw'!T18/Input!$B$1,Y160))</f>
        <v>4637.6572502464714</v>
      </c>
      <c r="Z166" s="138">
        <f>IF(AND($C$155="Di ngang",ISTEXT('BS Raw'!U11)),'BS Raw'!U17/Input!$B$1,IF(AND($C$155="Growth",ISTEXT('BS Raw'!U11)),'BS Raw'!U17/Input!$B$1+'BS Raw'!U18/Input!$B$1,Z160))</f>
        <v>4836.9893904341334</v>
      </c>
      <c r="AA166" s="138"/>
      <c r="AB166" s="138"/>
      <c r="AC166" s="138"/>
      <c r="AD166" s="138"/>
      <c r="AE166" s="138"/>
      <c r="AF166" s="138"/>
      <c r="AG166" s="138"/>
      <c r="AH166" s="138"/>
      <c r="AI166" s="138"/>
      <c r="AJ166" s="138"/>
      <c r="AK166" s="139"/>
      <c r="AL166" s="139"/>
      <c r="AM166" s="139"/>
      <c r="AN166" s="139"/>
      <c r="AO166" s="139"/>
      <c r="AP166" s="139"/>
      <c r="AQ166" s="139"/>
      <c r="AR166" s="139"/>
      <c r="AS166" s="139"/>
      <c r="AT166" s="139"/>
      <c r="AU166" s="139"/>
      <c r="AV166" s="139"/>
      <c r="AW166" s="139"/>
      <c r="AX166" s="139"/>
      <c r="AY166" s="139"/>
      <c r="AZ166" s="139"/>
      <c r="BA166" s="139"/>
      <c r="BB166" s="110"/>
      <c r="BC166" s="111"/>
    </row>
    <row r="167" spans="1:62" s="88" customFormat="1">
      <c r="A167" s="103"/>
      <c r="B167" s="122"/>
      <c r="C167" s="122"/>
      <c r="E167" s="123"/>
      <c r="F167" s="123"/>
      <c r="G167" s="123"/>
      <c r="H167" s="123"/>
      <c r="I167" s="123"/>
      <c r="J167" s="339"/>
      <c r="K167" s="339"/>
      <c r="L167" s="339"/>
      <c r="M167" s="339"/>
      <c r="N167" s="339"/>
      <c r="O167" s="339"/>
      <c r="P167" s="661"/>
      <c r="Q167" s="340"/>
      <c r="R167" s="340"/>
      <c r="S167" s="340"/>
      <c r="T167" s="340"/>
      <c r="U167" s="340"/>
      <c r="V167" s="340"/>
      <c r="W167" s="340"/>
      <c r="X167" s="340"/>
      <c r="Y167" s="340"/>
      <c r="Z167" s="340"/>
      <c r="AA167" s="340"/>
      <c r="AB167" s="340"/>
      <c r="AC167" s="340"/>
      <c r="AD167" s="340"/>
      <c r="AE167" s="340"/>
      <c r="AF167" s="340"/>
      <c r="AG167" s="340"/>
      <c r="AH167" s="340"/>
      <c r="AI167" s="340"/>
      <c r="AJ167" s="340"/>
      <c r="AK167" s="341"/>
      <c r="AL167" s="341"/>
      <c r="AM167" s="341"/>
      <c r="AN167" s="341"/>
      <c r="AO167" s="341"/>
      <c r="AP167" s="341"/>
      <c r="AQ167" s="341"/>
      <c r="AR167" s="341"/>
      <c r="AS167" s="341"/>
      <c r="AT167" s="341"/>
      <c r="AU167" s="341"/>
      <c r="AV167" s="341"/>
      <c r="AW167" s="341"/>
      <c r="AX167" s="341"/>
      <c r="AY167" s="341"/>
      <c r="AZ167" s="341"/>
      <c r="BA167" s="341"/>
      <c r="BB167" s="126"/>
      <c r="BC167" s="94"/>
    </row>
    <row r="168" spans="1:62">
      <c r="E168" s="140"/>
      <c r="F168" s="140"/>
      <c r="G168" s="140"/>
      <c r="H168" s="2725" t="s">
        <v>1488</v>
      </c>
      <c r="I168" s="2725"/>
      <c r="J168" s="2725"/>
      <c r="K168" s="2725"/>
      <c r="L168" s="2725"/>
      <c r="M168" s="2725"/>
      <c r="N168" s="2725"/>
      <c r="O168" s="2725"/>
      <c r="P168" s="2726"/>
      <c r="Q168" s="342">
        <f>'LT. Asset'!BD19</f>
        <v>492.04095805240564</v>
      </c>
      <c r="R168" s="342">
        <f>'LT. Asset'!BE19</f>
        <v>446.08118610560649</v>
      </c>
      <c r="S168" s="342">
        <f>'LT. Asset'!BF19</f>
        <v>437.88904455670814</v>
      </c>
      <c r="T168" s="342">
        <f>'LT. Asset'!BG19</f>
        <v>723.83085289906285</v>
      </c>
      <c r="U168" s="342">
        <f>'LT. Asset'!BH19</f>
        <v>280.2811504405434</v>
      </c>
      <c r="V168" s="342">
        <f>'LT. Asset'!BI19</f>
        <v>227.94186802077786</v>
      </c>
      <c r="W168" s="342">
        <f>'LT. Asset'!BJ19</f>
        <v>184.39961356911385</v>
      </c>
      <c r="X168" s="342">
        <f>'LT. Asset'!BK19</f>
        <v>206.28957720637032</v>
      </c>
      <c r="Y168" s="342">
        <f>'LT. Asset'!BL19</f>
        <v>242.48286050401961</v>
      </c>
      <c r="Z168" s="342">
        <f>'LT. Asset'!BM19</f>
        <v>235.03653164195026</v>
      </c>
      <c r="AA168" s="342"/>
      <c r="AB168" s="140"/>
      <c r="AC168" s="140"/>
      <c r="AD168" s="140"/>
      <c r="AE168" s="140"/>
      <c r="AF168" s="140"/>
      <c r="AG168" s="140"/>
      <c r="AH168" s="140"/>
      <c r="AI168" s="140"/>
      <c r="AJ168" s="140"/>
      <c r="AK168" s="140"/>
      <c r="AL168" s="140"/>
      <c r="AM168" s="140"/>
      <c r="AN168" s="140"/>
      <c r="AO168" s="140"/>
      <c r="AP168" s="140"/>
      <c r="AQ168" s="140"/>
      <c r="AR168" s="140"/>
      <c r="AS168" s="140"/>
      <c r="AT168" s="140"/>
      <c r="AU168" s="140"/>
      <c r="AV168" s="140"/>
      <c r="AW168" s="140"/>
      <c r="AX168" s="140"/>
      <c r="AY168" s="140"/>
      <c r="AZ168" s="140"/>
      <c r="BA168" s="140"/>
    </row>
    <row r="169" spans="1:62">
      <c r="A169" s="74">
        <v>3</v>
      </c>
      <c r="B169" s="5" t="s">
        <v>426</v>
      </c>
      <c r="D169" s="84"/>
      <c r="E169" s="41"/>
      <c r="F169" s="41"/>
      <c r="G169" s="41"/>
      <c r="H169" s="41"/>
      <c r="I169" s="190"/>
      <c r="J169" s="190"/>
      <c r="K169" s="190">
        <f>'BS Raw'!F19</f>
        <v>2002</v>
      </c>
      <c r="L169" s="190">
        <f>'BS Raw'!G19</f>
        <v>2302</v>
      </c>
      <c r="M169" s="190">
        <f>'BS Raw'!H19</f>
        <v>4362</v>
      </c>
      <c r="N169" s="190">
        <f>'BS Raw'!I19</f>
        <v>6812</v>
      </c>
      <c r="O169" s="190">
        <f>'BS Raw'!J19</f>
        <v>8242</v>
      </c>
      <c r="P169" s="190">
        <f>'BS Raw'!K19</f>
        <v>7039.0512328770001</v>
      </c>
      <c r="Q169" s="91">
        <f>SUM(Q171:Q173)-Q168</f>
        <v>7240.5269734545445</v>
      </c>
      <c r="R169" s="91">
        <f t="shared" ref="R169:Z169" si="148">SUM(R171:R173)-R168</f>
        <v>8369.0462558123163</v>
      </c>
      <c r="S169" s="91">
        <f t="shared" si="148"/>
        <v>9866.9949350453426</v>
      </c>
      <c r="T169" s="91">
        <f t="shared" si="148"/>
        <v>11827.517834256236</v>
      </c>
      <c r="U169" s="91">
        <f t="shared" si="148"/>
        <v>13701.92128705046</v>
      </c>
      <c r="V169" s="91">
        <f t="shared" si="148"/>
        <v>15142.693271513081</v>
      </c>
      <c r="W169" s="91">
        <f t="shared" si="148"/>
        <v>16203.771572201886</v>
      </c>
      <c r="X169" s="91">
        <f t="shared" si="148"/>
        <v>17460.158961054767</v>
      </c>
      <c r="Y169" s="91">
        <f t="shared" si="148"/>
        <v>18695.94997251192</v>
      </c>
      <c r="Z169" s="91">
        <f t="shared" si="148"/>
        <v>19404.118316195578</v>
      </c>
      <c r="AA169" s="91"/>
      <c r="AB169" s="92"/>
      <c r="AC169" s="92"/>
      <c r="AD169" s="92"/>
      <c r="AE169" s="92"/>
      <c r="AF169" s="92"/>
      <c r="AG169" s="92"/>
      <c r="AH169" s="92"/>
      <c r="AI169" s="92"/>
      <c r="AJ169" s="92"/>
      <c r="AK169" s="92"/>
      <c r="AL169" s="92"/>
      <c r="AM169" s="92"/>
      <c r="AN169" s="92"/>
      <c r="AO169" s="92"/>
      <c r="AP169" s="92"/>
      <c r="AQ169" s="92"/>
      <c r="AR169" s="92"/>
      <c r="AS169" s="92"/>
      <c r="AT169" s="92"/>
      <c r="AU169" s="92"/>
      <c r="AV169" s="92"/>
      <c r="AW169" s="92"/>
      <c r="AX169" s="92"/>
      <c r="AY169" s="92"/>
      <c r="AZ169" s="92"/>
      <c r="BA169" s="92"/>
      <c r="BB169" s="200"/>
      <c r="BC169" s="94"/>
      <c r="BD169" s="84"/>
      <c r="BE169" s="84"/>
    </row>
    <row r="170" spans="1:62" s="150" customFormat="1" ht="21.6" customHeight="1">
      <c r="A170" s="144"/>
      <c r="B170" s="145" t="s">
        <v>427</v>
      </c>
      <c r="C170" s="145"/>
      <c r="E170" s="168"/>
      <c r="F170" s="168"/>
      <c r="G170" s="168"/>
      <c r="H170" s="168"/>
      <c r="I170" s="168"/>
      <c r="J170" s="168"/>
      <c r="K170" s="1889"/>
      <c r="L170" s="1889">
        <f>L169/K169-1</f>
        <v>0.14985014985014988</v>
      </c>
      <c r="M170" s="1889">
        <f t="shared" ref="M170:P170" si="149">M169/L169-1</f>
        <v>0.89487402258905302</v>
      </c>
      <c r="N170" s="1889">
        <f t="shared" si="149"/>
        <v>0.56166895919303061</v>
      </c>
      <c r="O170" s="1889">
        <f t="shared" si="149"/>
        <v>0.20992366412213737</v>
      </c>
      <c r="P170" s="1889">
        <f t="shared" si="149"/>
        <v>-0.14595350244151906</v>
      </c>
      <c r="Q170" s="1890">
        <f>Q169/P169-1</f>
        <v>2.8622570558446858E-2</v>
      </c>
      <c r="R170" s="1890">
        <f t="shared" ref="R170:Z170" si="150">R169/Q169-1</f>
        <v>0.15586148446034187</v>
      </c>
      <c r="S170" s="1890">
        <f t="shared" si="150"/>
        <v>0.17898678456851624</v>
      </c>
      <c r="T170" s="1890">
        <f t="shared" si="150"/>
        <v>0.19869503451831694</v>
      </c>
      <c r="U170" s="1890">
        <f t="shared" si="150"/>
        <v>0.15847817598425928</v>
      </c>
      <c r="V170" s="1890">
        <f t="shared" si="150"/>
        <v>0.10515109190010308</v>
      </c>
      <c r="W170" s="1890">
        <f t="shared" si="150"/>
        <v>7.0071966833333388E-2</v>
      </c>
      <c r="X170" s="1890">
        <f t="shared" si="150"/>
        <v>7.7536725524337546E-2</v>
      </c>
      <c r="Y170" s="1890">
        <f t="shared" si="150"/>
        <v>7.0777764063523652E-2</v>
      </c>
      <c r="Z170" s="1890">
        <f t="shared" si="150"/>
        <v>3.7878168519110078E-2</v>
      </c>
      <c r="AA170" s="231"/>
      <c r="AB170" s="231"/>
      <c r="AC170" s="231"/>
      <c r="AD170" s="231"/>
      <c r="AE170" s="231"/>
      <c r="AF170" s="231"/>
      <c r="AG170" s="231"/>
      <c r="AH170" s="231"/>
      <c r="AI170" s="231"/>
      <c r="AJ170" s="231"/>
      <c r="AK170" s="231"/>
      <c r="AL170" s="231"/>
      <c r="AM170" s="231"/>
      <c r="AN170" s="231"/>
      <c r="AO170" s="231"/>
      <c r="AP170" s="231"/>
      <c r="AQ170" s="231"/>
      <c r="AR170" s="231"/>
      <c r="AS170" s="231"/>
      <c r="AT170" s="231"/>
      <c r="AU170" s="231"/>
      <c r="AV170" s="231"/>
      <c r="AW170" s="231"/>
      <c r="AX170" s="231"/>
      <c r="AY170" s="231"/>
      <c r="AZ170" s="231"/>
      <c r="BA170" s="231"/>
      <c r="BB170" s="168"/>
      <c r="BC170" s="117"/>
    </row>
    <row r="171" spans="1:62" ht="28.2" customHeight="1">
      <c r="A171" s="39" t="s">
        <v>428</v>
      </c>
      <c r="B171" s="118" t="s">
        <v>429</v>
      </c>
      <c r="C171" s="118"/>
      <c r="D171" s="84"/>
      <c r="E171" s="41"/>
      <c r="F171" s="41"/>
      <c r="G171" s="41"/>
      <c r="H171" s="41"/>
      <c r="I171" s="190"/>
      <c r="J171" s="190"/>
      <c r="K171" s="190">
        <f>'BS Raw'!F20</f>
        <v>0</v>
      </c>
      <c r="L171" s="190">
        <f>'BS Raw'!G20</f>
        <v>0</v>
      </c>
      <c r="M171" s="190">
        <f>'BS Raw'!H20</f>
        <v>0</v>
      </c>
      <c r="N171" s="190">
        <f>'BS Raw'!I20</f>
        <v>0</v>
      </c>
      <c r="O171" s="190">
        <f>'BS Raw'!J20</f>
        <v>0</v>
      </c>
      <c r="P171" s="190">
        <f>'BS Raw'!K20</f>
        <v>0</v>
      </c>
      <c r="Q171" s="1399">
        <v>0</v>
      </c>
      <c r="R171" s="1399">
        <v>0</v>
      </c>
      <c r="S171" s="1399">
        <v>0</v>
      </c>
      <c r="T171" s="1399">
        <v>0</v>
      </c>
      <c r="U171" s="1399">
        <v>0</v>
      </c>
      <c r="V171" s="1399">
        <v>0</v>
      </c>
      <c r="W171" s="1399">
        <v>0</v>
      </c>
      <c r="X171" s="1399">
        <v>0</v>
      </c>
      <c r="Y171" s="1399">
        <v>0</v>
      </c>
      <c r="Z171" s="1399">
        <v>0</v>
      </c>
      <c r="AA171" s="213"/>
      <c r="AB171" s="214"/>
      <c r="AC171" s="214"/>
      <c r="AD171" s="214"/>
      <c r="AE171" s="214"/>
      <c r="AF171" s="214"/>
      <c r="AG171" s="214"/>
      <c r="AH171" s="214"/>
      <c r="AI171" s="214"/>
      <c r="AJ171" s="214"/>
      <c r="AK171" s="214"/>
      <c r="AL171" s="214"/>
      <c r="AM171" s="214"/>
      <c r="AN171" s="214"/>
      <c r="AO171" s="214"/>
      <c r="AP171" s="214"/>
      <c r="AQ171" s="214"/>
      <c r="AR171" s="214"/>
      <c r="AS171" s="214"/>
      <c r="AT171" s="214"/>
      <c r="AU171" s="214"/>
      <c r="AV171" s="214"/>
      <c r="AW171" s="214"/>
      <c r="AX171" s="214"/>
      <c r="AY171" s="214"/>
      <c r="AZ171" s="214"/>
      <c r="BA171" s="214"/>
      <c r="BB171" s="200"/>
      <c r="BC171" s="344"/>
      <c r="BD171" s="84"/>
      <c r="BE171" s="84"/>
    </row>
    <row r="172" spans="1:62" ht="23.4" customHeight="1">
      <c r="A172" s="39" t="s">
        <v>430</v>
      </c>
      <c r="B172" s="118" t="s">
        <v>431</v>
      </c>
      <c r="C172" s="118"/>
      <c r="D172" s="84"/>
      <c r="E172" s="41"/>
      <c r="F172" s="41"/>
      <c r="G172" s="41"/>
      <c r="H172" s="41"/>
      <c r="I172" s="190"/>
      <c r="J172" s="190"/>
      <c r="K172" s="190">
        <f>'BS Raw'!F21</f>
        <v>0</v>
      </c>
      <c r="L172" s="190">
        <f>'BS Raw'!G21</f>
        <v>0</v>
      </c>
      <c r="M172" s="190">
        <f>'BS Raw'!H21</f>
        <v>0</v>
      </c>
      <c r="N172" s="190">
        <f>'BS Raw'!I21</f>
        <v>0</v>
      </c>
      <c r="O172" s="190">
        <f>'BS Raw'!J21</f>
        <v>0</v>
      </c>
      <c r="P172" s="190">
        <f>'BS Raw'!K21</f>
        <v>0</v>
      </c>
      <c r="Q172" s="1399">
        <v>0</v>
      </c>
      <c r="R172" s="1399">
        <v>0</v>
      </c>
      <c r="S172" s="1399">
        <v>0</v>
      </c>
      <c r="T172" s="1399">
        <v>0</v>
      </c>
      <c r="U172" s="1399">
        <v>0</v>
      </c>
      <c r="V172" s="1399">
        <v>0</v>
      </c>
      <c r="W172" s="1399">
        <v>0</v>
      </c>
      <c r="X172" s="1399">
        <v>0</v>
      </c>
      <c r="Y172" s="1399">
        <v>0</v>
      </c>
      <c r="Z172" s="1399">
        <v>0</v>
      </c>
      <c r="AA172" s="213"/>
      <c r="AB172" s="214"/>
      <c r="AC172" s="214"/>
      <c r="AD172" s="214"/>
      <c r="AE172" s="214"/>
      <c r="AF172" s="214"/>
      <c r="AG172" s="214"/>
      <c r="AH172" s="214"/>
      <c r="AI172" s="214"/>
      <c r="AJ172" s="214"/>
      <c r="AK172" s="214"/>
      <c r="AL172" s="214"/>
      <c r="AM172" s="214"/>
      <c r="AN172" s="214"/>
      <c r="AO172" s="214"/>
      <c r="AP172" s="214"/>
      <c r="AQ172" s="214"/>
      <c r="AR172" s="214"/>
      <c r="AS172" s="214"/>
      <c r="AT172" s="214"/>
      <c r="AU172" s="214"/>
      <c r="AV172" s="214"/>
      <c r="AW172" s="214"/>
      <c r="AX172" s="214"/>
      <c r="AY172" s="214"/>
      <c r="AZ172" s="214"/>
      <c r="BA172" s="214"/>
      <c r="BB172" s="200"/>
      <c r="BC172" s="344"/>
      <c r="BD172" s="84"/>
      <c r="BE172" s="84"/>
    </row>
    <row r="173" spans="1:62" ht="22.2" customHeight="1">
      <c r="A173" s="39" t="s">
        <v>432</v>
      </c>
      <c r="B173" s="118" t="s">
        <v>433</v>
      </c>
      <c r="C173" s="118"/>
      <c r="D173" s="84"/>
      <c r="E173" s="41"/>
      <c r="F173" s="41"/>
      <c r="G173" s="41"/>
      <c r="H173" s="41"/>
      <c r="I173" s="190"/>
      <c r="J173" s="190"/>
      <c r="K173" s="190">
        <f>'BS Raw'!F22</f>
        <v>2002</v>
      </c>
      <c r="L173" s="190">
        <f>'BS Raw'!G22</f>
        <v>2302</v>
      </c>
      <c r="M173" s="190">
        <f>'BS Raw'!H22</f>
        <v>4362</v>
      </c>
      <c r="N173" s="190">
        <f>'BS Raw'!I22</f>
        <v>6812</v>
      </c>
      <c r="O173" s="190">
        <f>'BS Raw'!J22</f>
        <v>8242</v>
      </c>
      <c r="P173" s="190">
        <f>'BS Raw'!K22</f>
        <v>7039.0512328770001</v>
      </c>
      <c r="Q173" s="213">
        <f>AVERAGE(N173:P173)*1.05</f>
        <v>7732.5679315069501</v>
      </c>
      <c r="R173" s="213">
        <f>Q173*1.14</f>
        <v>8815.1274419179226</v>
      </c>
      <c r="S173" s="213">
        <f>R173*1.169</f>
        <v>10304.883979602051</v>
      </c>
      <c r="T173" s="213">
        <f>S173*1.218</f>
        <v>12551.348687155298</v>
      </c>
      <c r="U173" s="213">
        <f>T173*1.114</f>
        <v>13982.202437491003</v>
      </c>
      <c r="V173" s="213">
        <f>U173*1.0993</f>
        <v>15370.635139533859</v>
      </c>
      <c r="W173" s="213">
        <f>V173*1.0662</f>
        <v>16388.171185771</v>
      </c>
      <c r="X173" s="213">
        <f>W173*1.078</f>
        <v>17666.448538261138</v>
      </c>
      <c r="Y173" s="213">
        <f>X173*1.072</f>
        <v>18938.432833015941</v>
      </c>
      <c r="Z173" s="213">
        <f>Y173*1.037</f>
        <v>19639.15484783753</v>
      </c>
      <c r="AA173" s="213"/>
      <c r="AB173" s="214"/>
      <c r="AC173" s="214"/>
      <c r="AD173" s="214"/>
      <c r="AE173" s="214"/>
      <c r="AF173" s="214"/>
      <c r="AG173" s="214"/>
      <c r="AH173" s="214"/>
      <c r="AI173" s="214"/>
      <c r="AJ173" s="214"/>
      <c r="AK173" s="214"/>
      <c r="AL173" s="214"/>
      <c r="AM173" s="214"/>
      <c r="AN173" s="214"/>
      <c r="AO173" s="214"/>
      <c r="AP173" s="214"/>
      <c r="AQ173" s="214"/>
      <c r="AR173" s="214"/>
      <c r="AS173" s="214"/>
      <c r="AT173" s="214"/>
      <c r="AU173" s="214"/>
      <c r="AV173" s="214"/>
      <c r="AW173" s="214"/>
      <c r="AX173" s="214"/>
      <c r="AY173" s="214"/>
      <c r="AZ173" s="214"/>
      <c r="BA173" s="214"/>
      <c r="BB173" s="2724" t="s">
        <v>1501</v>
      </c>
      <c r="BC173" s="2724"/>
      <c r="BD173" s="2596">
        <f>Z176-P176</f>
        <v>12365.067083318578</v>
      </c>
      <c r="BE173" s="2723" t="s">
        <v>1500</v>
      </c>
      <c r="BF173" s="2724"/>
      <c r="BG173" s="2724"/>
      <c r="BH173" s="2724"/>
      <c r="BI173" s="2724"/>
      <c r="BJ173" s="2724"/>
    </row>
    <row r="174" spans="1:62" s="47" customFormat="1" ht="19.8" customHeight="1">
      <c r="A174" s="345"/>
      <c r="B174" s="346" t="s">
        <v>421</v>
      </c>
      <c r="C174" s="346"/>
      <c r="E174" s="347"/>
      <c r="F174" s="347"/>
      <c r="G174" s="347"/>
      <c r="H174" s="347"/>
      <c r="I174" s="347"/>
      <c r="J174" s="347"/>
      <c r="K174" s="347"/>
      <c r="L174" s="347"/>
      <c r="M174" s="347"/>
      <c r="N174" s="347"/>
      <c r="O174" s="347"/>
      <c r="P174" s="348"/>
      <c r="Q174" s="2668">
        <f>Q276+0.03</f>
        <v>6.9444017861950674E-2</v>
      </c>
      <c r="R174" s="2668">
        <f>R276+0.03</f>
        <v>6.7425660992668987E-2</v>
      </c>
      <c r="S174" s="2668">
        <f t="shared" ref="S174:Z174" si="151">S276+0.03</f>
        <v>6.6748577175932786E-2</v>
      </c>
      <c r="T174" s="2668">
        <f t="shared" si="151"/>
        <v>6.618252524944318E-2</v>
      </c>
      <c r="U174" s="2668">
        <f t="shared" si="151"/>
        <v>6.4823754305455838E-2</v>
      </c>
      <c r="V174" s="2668">
        <f t="shared" si="151"/>
        <v>6.5996873173783208E-2</v>
      </c>
      <c r="W174" s="2668">
        <f t="shared" si="151"/>
        <v>6.6573663618240797E-2</v>
      </c>
      <c r="X174" s="2668">
        <f t="shared" si="151"/>
        <v>6.7080270329845704E-2</v>
      </c>
      <c r="Y174" s="2668">
        <f t="shared" si="151"/>
        <v>6.7713191293268124E-2</v>
      </c>
      <c r="Z174" s="2668">
        <f t="shared" si="151"/>
        <v>6.812088795020188E-2</v>
      </c>
      <c r="AA174" s="349"/>
      <c r="AB174" s="350"/>
      <c r="AC174" s="350"/>
      <c r="AD174" s="350"/>
      <c r="AE174" s="350"/>
      <c r="AF174" s="350"/>
      <c r="AG174" s="350"/>
      <c r="AH174" s="350"/>
      <c r="AI174" s="350"/>
      <c r="AJ174" s="350"/>
      <c r="AK174" s="350"/>
      <c r="AL174" s="350"/>
      <c r="AM174" s="350"/>
      <c r="AN174" s="350"/>
      <c r="AO174" s="350"/>
      <c r="AP174" s="350"/>
      <c r="AQ174" s="350"/>
      <c r="AR174" s="350"/>
      <c r="AS174" s="350"/>
      <c r="AT174" s="350"/>
      <c r="AU174" s="350"/>
      <c r="AV174" s="350"/>
      <c r="AW174" s="350"/>
      <c r="AX174" s="350"/>
      <c r="AY174" s="350"/>
      <c r="AZ174" s="350"/>
      <c r="BA174" s="350"/>
      <c r="BB174" s="2724" t="s">
        <v>1507</v>
      </c>
      <c r="BC174" s="2724"/>
      <c r="BD174" s="2596">
        <f>900*16000/1000</f>
        <v>14400</v>
      </c>
      <c r="BE174" s="2724"/>
      <c r="BF174" s="2724"/>
      <c r="BG174" s="2724"/>
      <c r="BH174" s="2724"/>
      <c r="BI174" s="2724"/>
      <c r="BJ174" s="2724"/>
    </row>
    <row r="175" spans="1:62" s="51" customFormat="1">
      <c r="A175" s="44"/>
      <c r="B175" s="202" t="s">
        <v>350</v>
      </c>
      <c r="C175" s="202"/>
      <c r="D175" s="203"/>
      <c r="E175" s="219"/>
      <c r="F175" s="219"/>
      <c r="G175" s="219"/>
      <c r="H175" s="219"/>
      <c r="I175" s="219"/>
      <c r="J175" s="219"/>
      <c r="K175" s="219"/>
      <c r="L175" s="219"/>
      <c r="M175" s="219"/>
      <c r="N175" s="219"/>
      <c r="O175" s="219"/>
      <c r="P175" s="351"/>
      <c r="Q175" s="352">
        <f>AVERAGE(P173,Q173)*Q174</f>
        <v>512.90029255070601</v>
      </c>
      <c r="R175" s="352">
        <f t="shared" ref="R175:Z175" si="152">AVERAGE(Q173,R173)*R174</f>
        <v>557.86964922925131</v>
      </c>
      <c r="S175" s="352">
        <f t="shared" si="152"/>
        <v>638.11677898702112</v>
      </c>
      <c r="T175" s="352">
        <f t="shared" si="152"/>
        <v>756.3415977874082</v>
      </c>
      <c r="U175" s="352">
        <f t="shared" si="152"/>
        <v>860.00219947766152</v>
      </c>
      <c r="V175" s="352">
        <f t="shared" si="152"/>
        <v>968.59774943078389</v>
      </c>
      <c r="W175" s="352">
        <f t="shared" si="152"/>
        <v>1057.1500446088519</v>
      </c>
      <c r="X175" s="352">
        <f t="shared" si="152"/>
        <v>1142.1965485340854</v>
      </c>
      <c r="Y175" s="352">
        <f t="shared" si="152"/>
        <v>1239.3166672803359</v>
      </c>
      <c r="Z175" s="352">
        <f t="shared" si="152"/>
        <v>1313.9697638982536</v>
      </c>
      <c r="AA175" s="352"/>
      <c r="AB175" s="353"/>
      <c r="AC175" s="353"/>
      <c r="AD175" s="353"/>
      <c r="AE175" s="353"/>
      <c r="AF175" s="353"/>
      <c r="AG175" s="353"/>
      <c r="AH175" s="353"/>
      <c r="AI175" s="353"/>
      <c r="AJ175" s="353"/>
      <c r="AK175" s="353"/>
      <c r="AL175" s="353"/>
      <c r="AM175" s="353"/>
      <c r="AN175" s="353"/>
      <c r="AO175" s="353"/>
      <c r="AP175" s="353"/>
      <c r="AQ175" s="353"/>
      <c r="AR175" s="353"/>
      <c r="AS175" s="353"/>
      <c r="AT175" s="353"/>
      <c r="AU175" s="353"/>
      <c r="AV175" s="353"/>
      <c r="AW175" s="353"/>
      <c r="AX175" s="353"/>
      <c r="AY175" s="353"/>
      <c r="AZ175" s="353"/>
      <c r="BA175" s="353"/>
      <c r="BB175" s="2724" t="s">
        <v>1505</v>
      </c>
      <c r="BC175" s="2724"/>
      <c r="BD175" s="2596">
        <f>900000000*(1.012^26)</f>
        <v>1227257894.7813833</v>
      </c>
      <c r="BE175" s="203"/>
    </row>
    <row r="176" spans="1:62" s="95" customFormat="1" ht="15" customHeight="1">
      <c r="A176" s="232"/>
      <c r="B176" s="104" t="s">
        <v>434</v>
      </c>
      <c r="C176" s="104"/>
      <c r="D176" s="105"/>
      <c r="E176" s="136"/>
      <c r="F176" s="136"/>
      <c r="G176" s="136"/>
      <c r="H176" s="136"/>
      <c r="I176" s="137"/>
      <c r="J176" s="137"/>
      <c r="K176" s="137">
        <f>IF(ISTEXT('BS Raw'!F11),'BS Raw'!F19/Input!$B$1,Input!K169)</f>
        <v>2002</v>
      </c>
      <c r="L176" s="137">
        <f>IF(ISTEXT('BS Raw'!G11),'BS Raw'!G19/Input!$B$1,Input!L169)</f>
        <v>2302</v>
      </c>
      <c r="M176" s="137">
        <f>IF(ISTEXT('BS Raw'!H11),'BS Raw'!H19/Input!$B$1,Input!M169)</f>
        <v>4362</v>
      </c>
      <c r="N176" s="137">
        <f>IF(ISTEXT('BS Raw'!I11),'BS Raw'!I19/Input!$B$1,Input!N169)</f>
        <v>6812</v>
      </c>
      <c r="O176" s="137">
        <f>IF(ISTEXT('BS Raw'!J11),'BS Raw'!J19/Input!$B$1,Input!O169)</f>
        <v>8242</v>
      </c>
      <c r="P176" s="137">
        <f>IF(ISTEXT('BS Raw'!K11),'BS Raw'!K19/Input!$B$1,Input!P169)</f>
        <v>7039.0512328770001</v>
      </c>
      <c r="Q176" s="138">
        <f>IF(ISTEXT('BS Raw'!L11),'BS Raw'!L19/Input!$B$1,Input!Q169)</f>
        <v>7240.5269734545445</v>
      </c>
      <c r="R176" s="138">
        <f>IF(ISTEXT('BS Raw'!M11),'BS Raw'!M19/Input!$B$1,Input!R169)</f>
        <v>8369.0462558123163</v>
      </c>
      <c r="S176" s="138">
        <f>IF(ISTEXT('BS Raw'!N11),'BS Raw'!N19/Input!$B$1,Input!S169)</f>
        <v>9866.9949350453426</v>
      </c>
      <c r="T176" s="138">
        <f>IF(ISTEXT('BS Raw'!O11),'BS Raw'!O19/Input!$B$1,Input!T169)</f>
        <v>11827.517834256236</v>
      </c>
      <c r="U176" s="138">
        <f>IF(ISTEXT('BS Raw'!P11),'BS Raw'!P19/Input!$B$1,Input!U169)</f>
        <v>13701.92128705046</v>
      </c>
      <c r="V176" s="138">
        <f>IF(ISTEXT('BS Raw'!Q11),'BS Raw'!Q19/Input!$B$1,Input!V169)</f>
        <v>15142.693271513081</v>
      </c>
      <c r="W176" s="138">
        <f>IF(ISTEXT('BS Raw'!R11),'BS Raw'!R19/Input!$B$1,Input!W169)</f>
        <v>16203.771572201886</v>
      </c>
      <c r="X176" s="138">
        <f>IF(ISTEXT('BS Raw'!S11),'BS Raw'!S19/Input!$B$1,Input!X169)</f>
        <v>17460.158961054767</v>
      </c>
      <c r="Y176" s="138">
        <f>IF(ISTEXT('BS Raw'!T11),'BS Raw'!T19/Input!$B$1,Input!Y169)</f>
        <v>18695.94997251192</v>
      </c>
      <c r="Z176" s="138">
        <f>IF(ISTEXT('BS Raw'!U11),'BS Raw'!U19/Input!$B$1,Input!Z169)</f>
        <v>19404.118316195578</v>
      </c>
      <c r="AA176" s="138"/>
      <c r="AB176" s="139"/>
      <c r="AC176" s="139"/>
      <c r="AD176" s="139"/>
      <c r="AE176" s="139"/>
      <c r="AF176" s="139"/>
      <c r="AG176" s="139"/>
      <c r="AH176" s="139"/>
      <c r="AI176" s="139"/>
      <c r="AJ176" s="139"/>
      <c r="AK176" s="139"/>
      <c r="AL176" s="139"/>
      <c r="AM176" s="139"/>
      <c r="AN176" s="139"/>
      <c r="AO176" s="139"/>
      <c r="AP176" s="139"/>
      <c r="AQ176" s="139"/>
      <c r="AR176" s="139"/>
      <c r="AS176" s="139"/>
      <c r="AT176" s="139"/>
      <c r="AU176" s="139"/>
      <c r="AV176" s="139"/>
      <c r="AW176" s="139"/>
      <c r="AX176" s="139"/>
      <c r="AY176" s="139"/>
      <c r="AZ176" s="139"/>
      <c r="BA176" s="139"/>
      <c r="BB176" s="2724" t="s">
        <v>1508</v>
      </c>
      <c r="BC176" s="2724"/>
      <c r="BD176" s="2596">
        <f>AVERAGE('Doanh thu DCM'!J135:S135)</f>
        <v>27830.082875960932</v>
      </c>
    </row>
    <row r="177" spans="1:57">
      <c r="K177" s="2737" t="s">
        <v>1504</v>
      </c>
      <c r="L177" s="2737"/>
      <c r="M177" s="2737"/>
      <c r="N177" s="2737"/>
      <c r="O177" s="2737"/>
      <c r="P177" s="2738"/>
      <c r="Q177" s="2595">
        <f>Q176-P176</f>
        <v>201.47574057754446</v>
      </c>
      <c r="R177" s="2595">
        <f t="shared" ref="R177:Z177" si="153">R176-Q176</f>
        <v>1128.5192823577718</v>
      </c>
      <c r="S177" s="2595">
        <f t="shared" si="153"/>
        <v>1497.9486792330263</v>
      </c>
      <c r="T177" s="2595">
        <f t="shared" si="153"/>
        <v>1960.5228992108932</v>
      </c>
      <c r="U177" s="2595">
        <f t="shared" si="153"/>
        <v>1874.403452794224</v>
      </c>
      <c r="V177" s="2595">
        <f t="shared" si="153"/>
        <v>1440.7719844626208</v>
      </c>
      <c r="W177" s="2595">
        <f t="shared" si="153"/>
        <v>1061.078300688805</v>
      </c>
      <c r="X177" s="2595">
        <f t="shared" si="153"/>
        <v>1256.3873888528815</v>
      </c>
      <c r="Y177" s="2595">
        <f t="shared" si="153"/>
        <v>1235.7910114571532</v>
      </c>
      <c r="Z177" s="2595">
        <f t="shared" si="153"/>
        <v>708.16834368365744</v>
      </c>
      <c r="BB177" s="2724" t="s">
        <v>1506</v>
      </c>
      <c r="BC177" s="2724"/>
      <c r="BD177" s="2596">
        <f>BD175*BD176/1000000000</f>
        <v>34154.688921943241</v>
      </c>
      <c r="BE177" s="2602">
        <f ca="1">(Z176+Z158)-Debt!AB27-Debt!AB20</f>
        <v>16569.849328159122</v>
      </c>
    </row>
    <row r="178" spans="1:57" s="95" customFormat="1">
      <c r="A178" s="232"/>
      <c r="B178" s="356" t="s">
        <v>435</v>
      </c>
      <c r="C178" s="356"/>
      <c r="D178" s="357"/>
      <c r="E178" s="358"/>
      <c r="F178" s="358"/>
      <c r="G178" s="358"/>
      <c r="H178" s="358"/>
      <c r="I178" s="358"/>
      <c r="J178" s="359"/>
      <c r="K178" s="359">
        <f>K155+K160+K173</f>
        <v>2473.1733235410002</v>
      </c>
      <c r="L178" s="359">
        <f t="shared" ref="L178:Z178" si="154">L155+L160+L173</f>
        <v>2811.995350873</v>
      </c>
      <c r="M178" s="359">
        <f t="shared" si="154"/>
        <v>4789.6527309040002</v>
      </c>
      <c r="N178" s="359">
        <f t="shared" si="154"/>
        <v>8937.6252915599998</v>
      </c>
      <c r="O178" s="359">
        <f t="shared" si="154"/>
        <v>10526.399788772</v>
      </c>
      <c r="P178" s="359">
        <f t="shared" si="154"/>
        <v>8942.2995588659996</v>
      </c>
      <c r="Q178" s="1401">
        <f t="shared" ca="1" si="154"/>
        <v>10433.741823384595</v>
      </c>
      <c r="R178" s="1401">
        <f t="shared" ca="1" si="154"/>
        <v>11950.223965555713</v>
      </c>
      <c r="S178" s="1401">
        <f t="shared" ca="1" si="154"/>
        <v>13442.301600756413</v>
      </c>
      <c r="T178" s="1401">
        <f t="shared" ca="1" si="154"/>
        <v>16418.765873008837</v>
      </c>
      <c r="U178" s="1401">
        <f t="shared" ca="1" si="154"/>
        <v>18311.426157172831</v>
      </c>
      <c r="V178" s="1401">
        <f t="shared" ca="1" si="154"/>
        <v>19215.483281834549</v>
      </c>
      <c r="W178" s="1401">
        <f t="shared" ca="1" si="154"/>
        <v>20500.34984529463</v>
      </c>
      <c r="X178" s="1401">
        <f t="shared" ca="1" si="154"/>
        <v>22040.095579342065</v>
      </c>
      <c r="Y178" s="1401">
        <f t="shared" ca="1" si="154"/>
        <v>23579.233111672635</v>
      </c>
      <c r="Z178" s="1401">
        <f t="shared" ca="1" si="154"/>
        <v>24479.629171275301</v>
      </c>
      <c r="AA178" s="1401"/>
      <c r="AB178" s="358"/>
      <c r="AC178" s="358"/>
      <c r="AD178" s="358"/>
      <c r="AE178" s="358"/>
      <c r="AF178" s="358"/>
      <c r="AG178" s="358"/>
      <c r="AH178" s="358"/>
      <c r="AI178" s="358"/>
      <c r="AJ178" s="358"/>
      <c r="AK178" s="358"/>
      <c r="AL178" s="358"/>
      <c r="AM178" s="358"/>
      <c r="AN178" s="358"/>
      <c r="AO178" s="358"/>
      <c r="AP178" s="358"/>
      <c r="AQ178" s="358"/>
      <c r="AR178" s="358"/>
      <c r="AS178" s="358"/>
      <c r="AT178" s="358"/>
      <c r="AU178" s="358"/>
      <c r="AV178" s="358"/>
      <c r="AW178" s="358"/>
      <c r="AX178" s="358"/>
      <c r="AY178" s="358"/>
      <c r="AZ178" s="358"/>
      <c r="BA178" s="358"/>
      <c r="BB178" s="357"/>
      <c r="BC178" s="94"/>
      <c r="BD178" s="2601">
        <f>BD173/BD177</f>
        <v>0.36203131908411079</v>
      </c>
      <c r="BE178" s="2603">
        <f ca="1">BE177/BD177</f>
        <v>0.48514127492209569</v>
      </c>
    </row>
    <row r="179" spans="1:57" s="150" customFormat="1">
      <c r="A179" s="159"/>
      <c r="B179" s="145" t="s">
        <v>421</v>
      </c>
      <c r="C179" s="145"/>
      <c r="E179" s="168"/>
      <c r="F179" s="168"/>
      <c r="G179" s="168"/>
      <c r="H179" s="168"/>
      <c r="I179" s="169"/>
      <c r="J179" s="169"/>
      <c r="K179" s="169">
        <f>K180/AVERAGE(J178:K178)</f>
        <v>4.7590603895679123E-2</v>
      </c>
      <c r="L179" s="169">
        <f t="shared" ref="L179:Z179" si="155">L180/AVERAGE(K178:L178)</f>
        <v>4.2359763081510883E-2</v>
      </c>
      <c r="M179" s="169">
        <f t="shared" si="155"/>
        <v>3.4422988755989654E-2</v>
      </c>
      <c r="N179" s="169">
        <f t="shared" si="155"/>
        <v>3.8193882093887264E-2</v>
      </c>
      <c r="O179" s="169">
        <f t="shared" si="155"/>
        <v>5.3275242624703421E-2</v>
      </c>
      <c r="P179" s="169">
        <f t="shared" si="155"/>
        <v>2.9044393005257577E-2</v>
      </c>
      <c r="Q179" s="120">
        <f t="shared" ca="1" si="155"/>
        <v>6.0071372576443856E-2</v>
      </c>
      <c r="R179" s="120">
        <f t="shared" ca="1" si="155"/>
        <v>5.76690556635076E-2</v>
      </c>
      <c r="S179" s="120">
        <f t="shared" ca="1" si="155"/>
        <v>5.7672199413929863E-2</v>
      </c>
      <c r="T179" s="120">
        <f t="shared" ca="1" si="155"/>
        <v>5.7695560698513823E-2</v>
      </c>
      <c r="U179" s="120">
        <f t="shared" ca="1" si="155"/>
        <v>5.6606118661765362E-2</v>
      </c>
      <c r="V179" s="120">
        <f t="shared" ca="1" si="155"/>
        <v>5.8157995534316269E-2</v>
      </c>
      <c r="W179" s="120">
        <f t="shared" ca="1" si="155"/>
        <v>5.9248550523915207E-2</v>
      </c>
      <c r="X179" s="120">
        <f t="shared" ca="1" si="155"/>
        <v>5.9686074873053968E-2</v>
      </c>
      <c r="Y179" s="120">
        <f t="shared" ca="1" si="155"/>
        <v>6.0262659079851538E-2</v>
      </c>
      <c r="Z179" s="120">
        <f t="shared" ca="1" si="155"/>
        <v>6.0601342862515076E-2</v>
      </c>
      <c r="AA179" s="120"/>
      <c r="AB179" s="231"/>
      <c r="AC179" s="231"/>
      <c r="AD179" s="231"/>
      <c r="AE179" s="231"/>
      <c r="AF179" s="231"/>
      <c r="AG179" s="231"/>
      <c r="AH179" s="231"/>
      <c r="AI179" s="231"/>
      <c r="AJ179" s="231"/>
      <c r="AK179" s="231"/>
      <c r="AL179" s="231"/>
      <c r="AM179" s="231"/>
      <c r="AN179" s="231"/>
      <c r="AO179" s="231"/>
      <c r="AP179" s="231"/>
      <c r="AQ179" s="231"/>
      <c r="AR179" s="231"/>
      <c r="AS179" s="231"/>
      <c r="AT179" s="231"/>
      <c r="AU179" s="231"/>
      <c r="AV179" s="231"/>
      <c r="AW179" s="231"/>
      <c r="AX179" s="231"/>
      <c r="AY179" s="231"/>
      <c r="AZ179" s="231"/>
      <c r="BA179" s="231"/>
      <c r="BB179" s="168"/>
      <c r="BC179" s="117"/>
    </row>
    <row r="180" spans="1:57">
      <c r="B180" s="118" t="s">
        <v>436</v>
      </c>
      <c r="C180" s="118"/>
      <c r="D180" s="84"/>
      <c r="E180" s="128"/>
      <c r="F180" s="128"/>
      <c r="G180" s="128"/>
      <c r="H180" s="128"/>
      <c r="I180" s="129"/>
      <c r="J180" s="129"/>
      <c r="K180" s="129">
        <f>K59</f>
        <v>117.699812006</v>
      </c>
      <c r="L180" s="129">
        <f t="shared" ref="L180:Z180" si="156">L59</f>
        <v>111.939246447</v>
      </c>
      <c r="M180" s="129">
        <f t="shared" si="156"/>
        <v>130.835723223</v>
      </c>
      <c r="N180" s="129">
        <f t="shared" si="156"/>
        <v>262.14901913</v>
      </c>
      <c r="O180" s="129">
        <f t="shared" si="156"/>
        <v>518.47532930399996</v>
      </c>
      <c r="P180" s="129">
        <f t="shared" si="156"/>
        <v>282.72827757699997</v>
      </c>
      <c r="Q180" s="91">
        <f t="shared" ca="1" si="156"/>
        <v>581.97270046488484</v>
      </c>
      <c r="R180" s="91">
        <f t="shared" ca="1" si="156"/>
        <v>645.43108452622425</v>
      </c>
      <c r="S180" s="91">
        <f t="shared" ca="1" si="156"/>
        <v>732.22139904183268</v>
      </c>
      <c r="T180" s="91">
        <f t="shared" ca="1" si="156"/>
        <v>861.42551547751998</v>
      </c>
      <c r="U180" s="91">
        <f t="shared" ca="1" si="156"/>
        <v>982.97068560318064</v>
      </c>
      <c r="V180" s="91">
        <f t="shared" ca="1" si="156"/>
        <v>1091.2449157852411</v>
      </c>
      <c r="W180" s="91">
        <f t="shared" ca="1" si="156"/>
        <v>1176.5527728160494</v>
      </c>
      <c r="X180" s="91">
        <f t="shared" ca="1" si="156"/>
        <v>1269.5361053739659</v>
      </c>
      <c r="Y180" s="91">
        <f t="shared" ca="1" si="156"/>
        <v>1374.5710261791544</v>
      </c>
      <c r="Z180" s="91">
        <f t="shared" ca="1" si="156"/>
        <v>1456.215795395661</v>
      </c>
      <c r="AA180" s="198"/>
      <c r="AB180" s="194"/>
      <c r="AC180" s="194"/>
      <c r="AD180" s="194"/>
      <c r="AE180" s="194"/>
      <c r="AF180" s="194"/>
      <c r="AG180" s="194"/>
      <c r="AH180" s="194"/>
      <c r="AI180" s="194"/>
      <c r="AJ180" s="194"/>
      <c r="AK180" s="194"/>
      <c r="AL180" s="194"/>
      <c r="AM180" s="194"/>
      <c r="AN180" s="194"/>
      <c r="AO180" s="194"/>
      <c r="AP180" s="194"/>
      <c r="AQ180" s="194"/>
      <c r="AR180" s="194"/>
      <c r="AS180" s="194"/>
      <c r="AT180" s="194"/>
      <c r="AU180" s="194"/>
      <c r="AV180" s="194"/>
      <c r="AW180" s="194"/>
      <c r="AX180" s="194"/>
      <c r="AY180" s="194"/>
      <c r="AZ180" s="194"/>
      <c r="BA180" s="194"/>
      <c r="BB180" s="85"/>
      <c r="BD180" s="84"/>
      <c r="BE180" s="84"/>
    </row>
    <row r="181" spans="1:57">
      <c r="D181" s="84"/>
      <c r="E181" s="140"/>
      <c r="F181" s="140"/>
      <c r="G181" s="140"/>
      <c r="H181" s="140"/>
      <c r="I181" s="140"/>
      <c r="J181" s="140"/>
      <c r="K181" s="140"/>
      <c r="L181" s="140"/>
      <c r="M181" s="140"/>
      <c r="N181" s="140"/>
      <c r="O181" s="140"/>
      <c r="P181" s="141"/>
      <c r="Q181" s="140"/>
      <c r="R181" s="140"/>
      <c r="S181" s="140"/>
      <c r="T181" s="140"/>
      <c r="U181" s="140"/>
      <c r="V181" s="140"/>
      <c r="W181" s="140"/>
      <c r="X181" s="140"/>
      <c r="Y181" s="140"/>
      <c r="Z181" s="140"/>
      <c r="AA181" s="140"/>
      <c r="AB181" s="140"/>
      <c r="AC181" s="140"/>
      <c r="AD181" s="140"/>
      <c r="AE181" s="140"/>
      <c r="AF181" s="140"/>
      <c r="AG181" s="140"/>
      <c r="AH181" s="140"/>
      <c r="AI181" s="140"/>
      <c r="AJ181" s="140"/>
      <c r="AK181" s="140"/>
      <c r="AL181" s="140"/>
      <c r="AM181" s="140"/>
      <c r="AN181" s="140"/>
      <c r="AO181" s="140"/>
      <c r="AP181" s="140"/>
      <c r="AQ181" s="140"/>
      <c r="AR181" s="140"/>
      <c r="AS181" s="140"/>
      <c r="AT181" s="140"/>
      <c r="AU181" s="140"/>
      <c r="AV181" s="140"/>
      <c r="AW181" s="140"/>
      <c r="AX181" s="140"/>
      <c r="AY181" s="140"/>
      <c r="AZ181" s="140"/>
      <c r="BA181" s="140"/>
      <c r="BB181" s="85"/>
      <c r="BD181" s="84"/>
      <c r="BE181" s="84"/>
    </row>
    <row r="182" spans="1:57" s="95" customFormat="1">
      <c r="A182" s="232">
        <v>4</v>
      </c>
      <c r="B182" s="87" t="s">
        <v>437</v>
      </c>
      <c r="C182" s="87"/>
      <c r="E182" s="89"/>
      <c r="F182" s="89"/>
      <c r="G182" s="89"/>
      <c r="H182" s="89"/>
      <c r="I182" s="90"/>
      <c r="J182" s="90"/>
      <c r="K182" s="90">
        <f>'BS Raw'!F23</f>
        <v>401.90973443600001</v>
      </c>
      <c r="L182" s="90">
        <f>'BS Raw'!G23</f>
        <v>217.396300223</v>
      </c>
      <c r="M182" s="90">
        <f>'BS Raw'!H23</f>
        <v>187.45807717599999</v>
      </c>
      <c r="N182" s="90">
        <f>'BS Raw'!I23</f>
        <v>188.14970842400001</v>
      </c>
      <c r="O182" s="90">
        <f>'BS Raw'!J23</f>
        <v>365.83832569700002</v>
      </c>
      <c r="P182" s="90">
        <f>'BS Raw'!K23</f>
        <v>528.62319192699999</v>
      </c>
      <c r="Q182" s="91">
        <f>Q183+Q185+Q187+Q189+Q191+Q193</f>
        <v>707.6839334266059</v>
      </c>
      <c r="R182" s="91">
        <f t="shared" ref="R182:Z182" si="157">R183+R185+R187+R189+R191+R193</f>
        <v>770.21438361429773</v>
      </c>
      <c r="S182" s="91">
        <f t="shared" si="157"/>
        <v>801.6352077174198</v>
      </c>
      <c r="T182" s="91">
        <f t="shared" si="157"/>
        <v>1096.4912703996604</v>
      </c>
      <c r="U182" s="91">
        <f t="shared" si="157"/>
        <v>1029.4911553331885</v>
      </c>
      <c r="V182" s="91">
        <f t="shared" si="157"/>
        <v>1013.680181095388</v>
      </c>
      <c r="W182" s="91">
        <f t="shared" si="157"/>
        <v>1022.5921282666756</v>
      </c>
      <c r="X182" s="91">
        <f t="shared" si="157"/>
        <v>1056.2495420335272</v>
      </c>
      <c r="Y182" s="91">
        <f t="shared" si="157"/>
        <v>1118.4303066230393</v>
      </c>
      <c r="Z182" s="91">
        <f t="shared" si="157"/>
        <v>1147.3553125259837</v>
      </c>
      <c r="AA182" s="91"/>
      <c r="AB182" s="92"/>
      <c r="AC182" s="92"/>
      <c r="AD182" s="92"/>
      <c r="AE182" s="92"/>
      <c r="AF182" s="92"/>
      <c r="AG182" s="92"/>
      <c r="AH182" s="92"/>
      <c r="AI182" s="92"/>
      <c r="AJ182" s="92"/>
      <c r="AK182" s="92"/>
      <c r="AL182" s="92"/>
      <c r="AM182" s="92"/>
      <c r="AN182" s="92"/>
      <c r="AO182" s="92"/>
      <c r="AP182" s="92"/>
      <c r="AQ182" s="92"/>
      <c r="AR182" s="92"/>
      <c r="AS182" s="92"/>
      <c r="AT182" s="92"/>
      <c r="AU182" s="92"/>
      <c r="AV182" s="92"/>
      <c r="AW182" s="92"/>
      <c r="AX182" s="92"/>
      <c r="AY182" s="92"/>
      <c r="AZ182" s="92"/>
      <c r="BA182" s="92"/>
      <c r="BB182" s="93"/>
      <c r="BC182" s="94"/>
    </row>
    <row r="183" spans="1:57" s="95" customFormat="1">
      <c r="A183" s="232" t="s">
        <v>438</v>
      </c>
      <c r="B183" s="155" t="s">
        <v>439</v>
      </c>
      <c r="C183" s="155"/>
      <c r="E183" s="89"/>
      <c r="F183" s="89"/>
      <c r="G183" s="89"/>
      <c r="H183" s="89"/>
      <c r="I183" s="90"/>
      <c r="J183" s="90"/>
      <c r="K183" s="90">
        <f>'BS Raw'!F24</f>
        <v>2.9264001560000001</v>
      </c>
      <c r="L183" s="90">
        <f>'BS Raw'!G24</f>
        <v>44.753555075000001</v>
      </c>
      <c r="M183" s="90">
        <f>'BS Raw'!H24</f>
        <v>44.653507005000002</v>
      </c>
      <c r="N183" s="90">
        <f>'BS Raw'!I24</f>
        <v>1.404795808</v>
      </c>
      <c r="O183" s="90">
        <f>'BS Raw'!J24</f>
        <v>198.51199179400001</v>
      </c>
      <c r="P183" s="90">
        <f>'BS Raw'!K24</f>
        <v>298.90489990600003</v>
      </c>
      <c r="Q183" s="91">
        <f>Q5/(365/Q184)</f>
        <v>404.46694264590479</v>
      </c>
      <c r="R183" s="91">
        <f t="shared" ref="R183:Z183" si="158">R5/(365/R184)</f>
        <v>460.27880293170051</v>
      </c>
      <c r="S183" s="91">
        <f t="shared" si="158"/>
        <v>468.2430958862281</v>
      </c>
      <c r="T183" s="91">
        <f t="shared" si="158"/>
        <v>721.27013428429382</v>
      </c>
      <c r="U183" s="91">
        <f t="shared" si="158"/>
        <v>660.07506473359899</v>
      </c>
      <c r="V183" s="91">
        <f t="shared" si="158"/>
        <v>648.61587533573254</v>
      </c>
      <c r="W183" s="91">
        <f t="shared" si="158"/>
        <v>662.46540207928524</v>
      </c>
      <c r="X183" s="91">
        <f t="shared" si="158"/>
        <v>692.00181458936152</v>
      </c>
      <c r="Y183" s="91">
        <f t="shared" si="158"/>
        <v>734.37510860762757</v>
      </c>
      <c r="Z183" s="91">
        <f t="shared" si="158"/>
        <v>755.78792347312412</v>
      </c>
      <c r="AA183" s="91"/>
      <c r="AB183" s="92"/>
      <c r="AC183" s="92"/>
      <c r="AD183" s="92"/>
      <c r="AE183" s="92"/>
      <c r="AF183" s="92"/>
      <c r="AG183" s="92"/>
      <c r="AH183" s="92"/>
      <c r="AI183" s="92"/>
      <c r="AJ183" s="92"/>
      <c r="AK183" s="92"/>
      <c r="AL183" s="92"/>
      <c r="AM183" s="92"/>
      <c r="AN183" s="92"/>
      <c r="AO183" s="92"/>
      <c r="AP183" s="92"/>
      <c r="AQ183" s="92"/>
      <c r="AR183" s="92"/>
      <c r="AS183" s="92"/>
      <c r="AT183" s="92"/>
      <c r="AU183" s="92"/>
      <c r="AV183" s="92"/>
      <c r="AW183" s="92"/>
      <c r="AX183" s="92"/>
      <c r="AY183" s="92"/>
      <c r="AZ183" s="92"/>
      <c r="BA183" s="92"/>
      <c r="BB183" s="93"/>
      <c r="BC183" s="94"/>
    </row>
    <row r="184" spans="1:57" s="51" customFormat="1">
      <c r="A184" s="44"/>
      <c r="B184" s="202" t="s">
        <v>440</v>
      </c>
      <c r="C184" s="202"/>
      <c r="D184" s="360"/>
      <c r="E184" s="361"/>
      <c r="F184" s="361"/>
      <c r="G184" s="361"/>
      <c r="H184" s="361"/>
      <c r="I184" s="361"/>
      <c r="J184" s="361"/>
      <c r="K184" s="2555">
        <f>365/(K7/K183)</f>
        <v>0.15165995631364634</v>
      </c>
      <c r="L184" s="2555">
        <f t="shared" ref="L184:P184" si="159">365/(L7/L183)</f>
        <v>2.1603562078401262</v>
      </c>
      <c r="M184" s="2555">
        <f t="shared" si="159"/>
        <v>1.6513598365334232</v>
      </c>
      <c r="N184" s="2555">
        <f t="shared" si="159"/>
        <v>3.2198788319690752E-2</v>
      </c>
      <c r="O184" s="2555">
        <f t="shared" si="159"/>
        <v>5.7640216696336131</v>
      </c>
      <c r="P184" s="2555">
        <f t="shared" si="159"/>
        <v>8.1081786672509715</v>
      </c>
      <c r="Q184" s="2556">
        <f>AVERAGE(O184:P184)*1.2</f>
        <v>8.3233202021307502</v>
      </c>
      <c r="R184" s="2556">
        <f>AVERAGE(P184:Q184)*1.1</f>
        <v>9.0373243781599459</v>
      </c>
      <c r="S184" s="2556">
        <f>AVERAGE(Q184:R184)*1.03</f>
        <v>8.9407319588497085</v>
      </c>
      <c r="T184" s="2556">
        <f>AVERAGE(R184:S184)*1.3</f>
        <v>11.685736619056275</v>
      </c>
      <c r="U184" s="2556">
        <f>AVERAGE(S184:T184)*1.07</f>
        <v>11.035160689179701</v>
      </c>
      <c r="V184" s="2556">
        <f t="shared" ref="V184:Z184" si="160">AVERAGE(T184:U184)*1.02</f>
        <v>11.587657627200349</v>
      </c>
      <c r="W184" s="2556">
        <f t="shared" si="160"/>
        <v>11.537637341353825</v>
      </c>
      <c r="X184" s="2556">
        <f t="shared" si="160"/>
        <v>11.793900433962628</v>
      </c>
      <c r="Y184" s="2556">
        <f t="shared" si="160"/>
        <v>11.899084265411393</v>
      </c>
      <c r="Z184" s="2556">
        <f t="shared" si="160"/>
        <v>12.083422196680752</v>
      </c>
      <c r="AA184" s="362"/>
      <c r="AB184" s="362"/>
      <c r="AC184" s="362"/>
      <c r="AD184" s="362"/>
      <c r="AE184" s="362"/>
      <c r="AF184" s="362"/>
      <c r="AG184" s="362"/>
      <c r="AH184" s="362"/>
      <c r="AI184" s="362"/>
      <c r="AJ184" s="362"/>
      <c r="AK184" s="362"/>
      <c r="AL184" s="362"/>
      <c r="AM184" s="362"/>
      <c r="AN184" s="362"/>
      <c r="AO184" s="362"/>
      <c r="AP184" s="362"/>
      <c r="AQ184" s="362"/>
      <c r="AR184" s="362"/>
      <c r="AS184" s="362"/>
      <c r="AT184" s="362"/>
      <c r="AU184" s="362"/>
      <c r="AV184" s="362"/>
      <c r="AW184" s="362"/>
      <c r="AX184" s="362"/>
      <c r="AY184" s="362"/>
      <c r="AZ184" s="362"/>
      <c r="BA184" s="362"/>
      <c r="BB184" s="354"/>
      <c r="BC184" s="363"/>
      <c r="BD184" s="203"/>
      <c r="BE184" s="203"/>
    </row>
    <row r="185" spans="1:57" s="95" customFormat="1">
      <c r="A185" s="232" t="s">
        <v>441</v>
      </c>
      <c r="B185" s="155" t="s">
        <v>442</v>
      </c>
      <c r="C185" s="155"/>
      <c r="E185" s="89"/>
      <c r="F185" s="89"/>
      <c r="G185" s="89"/>
      <c r="H185" s="89"/>
      <c r="I185" s="90"/>
      <c r="J185" s="90"/>
      <c r="K185" s="90">
        <f>'BS Raw'!F25</f>
        <v>55.315027567000001</v>
      </c>
      <c r="L185" s="90">
        <f>'BS Raw'!G25</f>
        <v>15.505616231999999</v>
      </c>
      <c r="M185" s="90">
        <f>'BS Raw'!H25</f>
        <v>86.006714411000004</v>
      </c>
      <c r="N185" s="90">
        <f>'BS Raw'!I25</f>
        <v>86.290003561000006</v>
      </c>
      <c r="O185" s="90">
        <f>'BS Raw'!J25</f>
        <v>54.781183900000002</v>
      </c>
      <c r="P185" s="90">
        <f>'BS Raw'!K25</f>
        <v>225.76399805599999</v>
      </c>
      <c r="Q185" s="91">
        <f>(Q197+Q9-P197)*Q186</f>
        <v>135.03157786578646</v>
      </c>
      <c r="R185" s="91">
        <f t="shared" ref="R185:Z185" si="161">(R197+R9-Q197)*R186</f>
        <v>132.87776357410078</v>
      </c>
      <c r="S185" s="91">
        <f t="shared" si="161"/>
        <v>146.44069780925369</v>
      </c>
      <c r="T185" s="91">
        <f t="shared" si="161"/>
        <v>169.82499754564429</v>
      </c>
      <c r="U185" s="91">
        <f t="shared" si="161"/>
        <v>164.00566679757708</v>
      </c>
      <c r="V185" s="91">
        <f t="shared" si="161"/>
        <v>173.10825351445507</v>
      </c>
      <c r="W185" s="91">
        <f t="shared" si="161"/>
        <v>163.26521053363911</v>
      </c>
      <c r="X185" s="91">
        <f t="shared" si="161"/>
        <v>164.77750894144589</v>
      </c>
      <c r="Y185" s="91">
        <f t="shared" si="161"/>
        <v>173.21067747213525</v>
      </c>
      <c r="Z185" s="91">
        <f t="shared" si="161"/>
        <v>178.13114738886122</v>
      </c>
      <c r="AA185" s="91"/>
      <c r="AB185" s="92"/>
      <c r="AC185" s="92"/>
      <c r="AD185" s="92"/>
      <c r="AE185" s="92"/>
      <c r="AF185" s="92"/>
      <c r="AG185" s="92"/>
      <c r="AH185" s="92"/>
      <c r="AI185" s="92"/>
      <c r="AJ185" s="92"/>
      <c r="AK185" s="92"/>
      <c r="AL185" s="92"/>
      <c r="AM185" s="92"/>
      <c r="AN185" s="92"/>
      <c r="AO185" s="92"/>
      <c r="AP185" s="92"/>
      <c r="AQ185" s="92"/>
      <c r="AR185" s="92"/>
      <c r="AS185" s="92"/>
      <c r="AT185" s="92"/>
      <c r="AU185" s="92"/>
      <c r="AV185" s="92"/>
      <c r="AW185" s="92"/>
      <c r="AX185" s="92"/>
      <c r="AY185" s="92"/>
      <c r="AZ185" s="92"/>
      <c r="BA185" s="92"/>
      <c r="BB185" s="93"/>
      <c r="BC185" s="94"/>
    </row>
    <row r="186" spans="1:57" s="47" customFormat="1">
      <c r="A186" s="345"/>
      <c r="B186" s="346" t="s">
        <v>443</v>
      </c>
      <c r="C186" s="346"/>
      <c r="I186" s="364"/>
      <c r="J186" s="364"/>
      <c r="K186" s="364">
        <f>K185/(K197-J197+K9)</f>
        <v>8.6399267904601843E-3</v>
      </c>
      <c r="L186" s="364">
        <f t="shared" ref="L186:P186" si="162">L185/(L197-K197+L9)</f>
        <v>2.6838216592664551E-3</v>
      </c>
      <c r="M186" s="364">
        <f t="shared" si="162"/>
        <v>1.0167758030039898E-2</v>
      </c>
      <c r="N186" s="364">
        <f t="shared" si="162"/>
        <v>8.378038372402705E-3</v>
      </c>
      <c r="O186" s="364">
        <f t="shared" si="162"/>
        <v>5.2589248925274442E-3</v>
      </c>
      <c r="P186" s="364">
        <f t="shared" si="162"/>
        <v>1.9243742715187612E-2</v>
      </c>
      <c r="Q186" s="365">
        <f>AVERAGE(K186:P186)</f>
        <v>9.0620354099807173E-3</v>
      </c>
      <c r="R186" s="365">
        <f t="shared" ref="R186:Z186" si="163">AVERAGE(L186:Q186)</f>
        <v>9.1323868465674734E-3</v>
      </c>
      <c r="S186" s="365">
        <f t="shared" si="163"/>
        <v>1.0207147711117642E-2</v>
      </c>
      <c r="T186" s="365">
        <f t="shared" si="163"/>
        <v>1.0213712657963933E-2</v>
      </c>
      <c r="U186" s="365">
        <f t="shared" si="163"/>
        <v>1.0519658372224136E-2</v>
      </c>
      <c r="V186" s="365">
        <f t="shared" si="163"/>
        <v>1.1396447285506921E-2</v>
      </c>
      <c r="W186" s="365">
        <f t="shared" si="163"/>
        <v>1.008856471389347E-2</v>
      </c>
      <c r="X186" s="365">
        <f t="shared" si="163"/>
        <v>1.0259652931212263E-2</v>
      </c>
      <c r="Y186" s="365">
        <f t="shared" si="163"/>
        <v>1.0447530611986396E-2</v>
      </c>
      <c r="Z186" s="365">
        <f t="shared" si="163"/>
        <v>1.0487594428797853E-2</v>
      </c>
      <c r="AA186" s="365"/>
      <c r="AB186" s="366"/>
      <c r="AC186" s="366"/>
      <c r="AD186" s="366"/>
      <c r="AE186" s="366"/>
      <c r="AF186" s="366"/>
      <c r="AG186" s="366"/>
      <c r="AH186" s="366"/>
      <c r="AI186" s="366"/>
      <c r="AJ186" s="366"/>
      <c r="AK186" s="366"/>
      <c r="AL186" s="366"/>
      <c r="AM186" s="366"/>
      <c r="AN186" s="366"/>
      <c r="AO186" s="366"/>
      <c r="AP186" s="366"/>
      <c r="AQ186" s="366"/>
      <c r="AR186" s="366"/>
      <c r="AS186" s="366"/>
      <c r="AT186" s="366"/>
      <c r="AU186" s="366"/>
      <c r="AV186" s="366"/>
      <c r="AW186" s="366"/>
      <c r="AX186" s="366"/>
      <c r="AY186" s="366"/>
      <c r="AZ186" s="366"/>
      <c r="BA186" s="366"/>
      <c r="BB186" s="347"/>
      <c r="BC186" s="363"/>
    </row>
    <row r="187" spans="1:57" s="95" customFormat="1">
      <c r="A187" s="232" t="s">
        <v>444</v>
      </c>
      <c r="B187" s="155" t="s">
        <v>445</v>
      </c>
      <c r="C187" s="155"/>
      <c r="E187" s="89"/>
      <c r="F187" s="89"/>
      <c r="G187" s="89"/>
      <c r="H187" s="89"/>
      <c r="I187" s="90"/>
      <c r="J187" s="90"/>
      <c r="K187" s="90">
        <f>'BS Raw'!F29</f>
        <v>343.752902807</v>
      </c>
      <c r="L187" s="90">
        <f>'BS Raw'!G29</f>
        <v>157.27812240599999</v>
      </c>
      <c r="M187" s="90">
        <f>'BS Raw'!H29</f>
        <v>94.287650528</v>
      </c>
      <c r="N187" s="90">
        <f>'BS Raw'!I29</f>
        <v>141.98859486399999</v>
      </c>
      <c r="O187" s="90">
        <f>'BS Raw'!J29</f>
        <v>155.14349551199999</v>
      </c>
      <c r="P187" s="90">
        <f>'BS Raw'!K29</f>
        <v>115.4425456</v>
      </c>
      <c r="Q187" s="91">
        <f>Q7*Q188</f>
        <v>174.66868350498063</v>
      </c>
      <c r="R187" s="91">
        <f t="shared" ref="R187:Z187" si="164">R7*R188</f>
        <v>184.43570566165405</v>
      </c>
      <c r="S187" s="91">
        <f t="shared" si="164"/>
        <v>194.45696360456068</v>
      </c>
      <c r="T187" s="91">
        <f t="shared" si="164"/>
        <v>216.95750232051006</v>
      </c>
      <c r="U187" s="91">
        <f t="shared" si="164"/>
        <v>215.99088119719144</v>
      </c>
      <c r="V187" s="91">
        <f t="shared" si="164"/>
        <v>202.35282831126204</v>
      </c>
      <c r="W187" s="91">
        <f t="shared" si="164"/>
        <v>207.48028817973474</v>
      </c>
      <c r="X187" s="91">
        <f t="shared" si="164"/>
        <v>210.56243529416008</v>
      </c>
      <c r="Y187" s="91">
        <f t="shared" si="164"/>
        <v>222.61594619444659</v>
      </c>
      <c r="Z187" s="91">
        <f t="shared" si="164"/>
        <v>225.55089702872615</v>
      </c>
      <c r="AA187" s="91"/>
      <c r="AB187" s="92"/>
      <c r="AC187" s="92"/>
      <c r="AD187" s="92"/>
      <c r="AE187" s="92"/>
      <c r="AF187" s="92"/>
      <c r="AG187" s="92"/>
      <c r="AH187" s="92"/>
      <c r="AI187" s="92"/>
      <c r="AJ187" s="92"/>
      <c r="AK187" s="92"/>
      <c r="AL187" s="92"/>
      <c r="AM187" s="92"/>
      <c r="AN187" s="92"/>
      <c r="AO187" s="92"/>
      <c r="AP187" s="92"/>
      <c r="AQ187" s="92"/>
      <c r="AR187" s="92"/>
      <c r="AS187" s="92"/>
      <c r="AT187" s="92"/>
      <c r="AU187" s="92"/>
      <c r="AV187" s="92"/>
      <c r="AW187" s="92"/>
      <c r="AX187" s="92"/>
      <c r="AY187" s="92"/>
      <c r="AZ187" s="92"/>
      <c r="BA187" s="92"/>
      <c r="BB187" s="93"/>
      <c r="BC187" s="94"/>
    </row>
    <row r="188" spans="1:57" s="47" customFormat="1">
      <c r="A188" s="345"/>
      <c r="B188" s="346" t="s">
        <v>319</v>
      </c>
      <c r="C188" s="346"/>
      <c r="D188" s="1643"/>
      <c r="E188" s="1643"/>
      <c r="F188" s="1643"/>
      <c r="G188" s="1643"/>
      <c r="H188" s="1643"/>
      <c r="I188" s="364"/>
      <c r="J188" s="364"/>
      <c r="K188" s="364">
        <f>K187/K7</f>
        <v>4.8807967752489433E-2</v>
      </c>
      <c r="L188" s="364">
        <f t="shared" ref="L188:P188" si="165">L187/L7</f>
        <v>2.0800476152138068E-2</v>
      </c>
      <c r="M188" s="364">
        <f t="shared" si="165"/>
        <v>9.5531829324594902E-3</v>
      </c>
      <c r="N188" s="364">
        <f t="shared" si="165"/>
        <v>8.9163462113444249E-3</v>
      </c>
      <c r="O188" s="364">
        <f t="shared" si="165"/>
        <v>1.2341830161607833E-2</v>
      </c>
      <c r="P188" s="364">
        <f t="shared" si="165"/>
        <v>8.5795262202393811E-3</v>
      </c>
      <c r="Q188" s="365">
        <f>AVERAGE(M188:P188)</f>
        <v>9.8477213814127818E-3</v>
      </c>
      <c r="R188" s="365">
        <f t="shared" ref="R188:Z188" si="166">AVERAGE(N188:Q188)</f>
        <v>9.9213559936511039E-3</v>
      </c>
      <c r="S188" s="365">
        <f t="shared" si="166"/>
        <v>1.0172608439227775E-2</v>
      </c>
      <c r="T188" s="365">
        <f t="shared" si="166"/>
        <v>9.630303008632761E-3</v>
      </c>
      <c r="U188" s="365">
        <f t="shared" si="166"/>
        <v>9.8929972057311064E-3</v>
      </c>
      <c r="V188" s="365">
        <f t="shared" si="166"/>
        <v>9.9043161618106862E-3</v>
      </c>
      <c r="W188" s="365">
        <f t="shared" si="166"/>
        <v>9.9000562038505831E-3</v>
      </c>
      <c r="X188" s="365">
        <f t="shared" si="166"/>
        <v>9.8319181450062833E-3</v>
      </c>
      <c r="Y188" s="365">
        <f t="shared" si="166"/>
        <v>9.8823219290996647E-3</v>
      </c>
      <c r="Z188" s="365">
        <f t="shared" si="166"/>
        <v>9.8796531099418043E-3</v>
      </c>
      <c r="AA188" s="365"/>
      <c r="AB188" s="366"/>
      <c r="AC188" s="366"/>
      <c r="AD188" s="366"/>
      <c r="AE188" s="366"/>
      <c r="AF188" s="366"/>
      <c r="AG188" s="366"/>
      <c r="AH188" s="366"/>
      <c r="AI188" s="366"/>
      <c r="AJ188" s="366"/>
      <c r="AK188" s="366"/>
      <c r="AL188" s="366"/>
      <c r="AM188" s="366"/>
      <c r="AN188" s="366"/>
      <c r="AO188" s="366"/>
      <c r="AP188" s="366"/>
      <c r="AQ188" s="366"/>
      <c r="AR188" s="366"/>
      <c r="AS188" s="366"/>
      <c r="AT188" s="366"/>
      <c r="AU188" s="366"/>
      <c r="AV188" s="366"/>
      <c r="AW188" s="366"/>
      <c r="AX188" s="366"/>
      <c r="AY188" s="366"/>
      <c r="AZ188" s="366"/>
      <c r="BA188" s="366"/>
      <c r="BB188" s="347"/>
      <c r="BC188" s="363"/>
    </row>
    <row r="189" spans="1:57">
      <c r="A189" s="74" t="s">
        <v>446</v>
      </c>
      <c r="B189" s="118" t="s">
        <v>447</v>
      </c>
      <c r="C189" s="118"/>
      <c r="D189" s="1644">
        <f>'IS Raw'!I30/$B$1</f>
        <v>0</v>
      </c>
      <c r="E189" s="1644"/>
      <c r="F189" s="1644"/>
      <c r="G189" s="1644"/>
      <c r="H189" s="1644"/>
      <c r="I189" s="190"/>
      <c r="J189" s="190"/>
      <c r="K189" s="190">
        <f>'BS Raw'!F30</f>
        <v>-8.4596093999999997E-2</v>
      </c>
      <c r="L189" s="190">
        <f>'BS Raw'!G30</f>
        <v>-0.14099349</v>
      </c>
      <c r="M189" s="190">
        <f>'BS Raw'!H30</f>
        <v>-37.489794768000003</v>
      </c>
      <c r="N189" s="190">
        <f>'BS Raw'!I30</f>
        <v>-41.533685808999998</v>
      </c>
      <c r="O189" s="190">
        <f>'BS Raw'!J30</f>
        <v>-42.598345508999998</v>
      </c>
      <c r="P189" s="190">
        <f>'BS Raw'!K30</f>
        <v>-111.488251635</v>
      </c>
      <c r="Q189" s="91">
        <f>-Q183*Q190</f>
        <v>-6.4832705900659979</v>
      </c>
      <c r="R189" s="91">
        <f t="shared" ref="R189:Z189" si="167">-R183*R190</f>
        <v>-7.3778885531576117</v>
      </c>
      <c r="S189" s="91">
        <f t="shared" si="167"/>
        <v>-7.5055495826226641</v>
      </c>
      <c r="T189" s="91">
        <f t="shared" si="167"/>
        <v>-11.561363750787759</v>
      </c>
      <c r="U189" s="91">
        <f t="shared" si="167"/>
        <v>-10.580457395178872</v>
      </c>
      <c r="V189" s="91">
        <f t="shared" si="167"/>
        <v>-10.396776066061639</v>
      </c>
      <c r="W189" s="91">
        <f t="shared" si="167"/>
        <v>-10.618772525983497</v>
      </c>
      <c r="X189" s="91">
        <f t="shared" si="167"/>
        <v>-11.09221679144051</v>
      </c>
      <c r="Y189" s="91">
        <f t="shared" si="167"/>
        <v>-11.771425651170114</v>
      </c>
      <c r="Z189" s="91">
        <f t="shared" si="167"/>
        <v>-12.114655364728035</v>
      </c>
      <c r="AA189" s="91"/>
      <c r="AB189" s="92"/>
      <c r="AC189" s="92"/>
      <c r="AD189" s="92"/>
      <c r="AE189" s="92"/>
      <c r="AF189" s="92"/>
      <c r="AG189" s="92"/>
      <c r="AH189" s="92"/>
      <c r="AI189" s="92"/>
      <c r="AJ189" s="92"/>
      <c r="AK189" s="92"/>
      <c r="AL189" s="92"/>
      <c r="AM189" s="92"/>
      <c r="AN189" s="92"/>
      <c r="AO189" s="92"/>
      <c r="AP189" s="92"/>
      <c r="AQ189" s="92"/>
      <c r="AR189" s="92"/>
      <c r="AS189" s="92"/>
      <c r="AT189" s="92"/>
      <c r="AU189" s="92"/>
      <c r="AV189" s="92"/>
      <c r="AW189" s="92"/>
      <c r="AX189" s="92"/>
      <c r="AY189" s="92"/>
      <c r="AZ189" s="92"/>
      <c r="BA189" s="92"/>
      <c r="BB189" s="200"/>
      <c r="BD189" s="84"/>
      <c r="BE189" s="84"/>
    </row>
    <row r="190" spans="1:57" s="47" customFormat="1">
      <c r="A190" s="345"/>
      <c r="B190" s="346" t="s">
        <v>448</v>
      </c>
      <c r="C190" s="346"/>
      <c r="D190" s="1645"/>
      <c r="E190" s="1646"/>
      <c r="F190" s="1646"/>
      <c r="G190" s="1646"/>
      <c r="H190" s="1646"/>
      <c r="I190" s="364"/>
      <c r="J190" s="364"/>
      <c r="K190" s="364">
        <f>-K189/K183</f>
        <v>2.8907903735089877E-2</v>
      </c>
      <c r="L190" s="364">
        <f t="shared" ref="L190:P190" si="168">-L189/L183</f>
        <v>3.1504422333313372E-3</v>
      </c>
      <c r="M190" s="364">
        <f t="shared" si="168"/>
        <v>0.83957111731005019</v>
      </c>
      <c r="N190" s="364">
        <f t="shared" si="168"/>
        <v>29.565639057630214</v>
      </c>
      <c r="O190" s="364">
        <f t="shared" si="168"/>
        <v>0.21458827310143147</v>
      </c>
      <c r="P190" s="364">
        <f t="shared" si="168"/>
        <v>0.3729890398921562</v>
      </c>
      <c r="Q190" s="2557">
        <f>AVERAGE(K190:L190)</f>
        <v>1.6029172984210607E-2</v>
      </c>
      <c r="R190" s="2557">
        <f>Q190</f>
        <v>1.6029172984210607E-2</v>
      </c>
      <c r="S190" s="2557">
        <f t="shared" ref="S190:Z190" si="169">R190</f>
        <v>1.6029172984210607E-2</v>
      </c>
      <c r="T190" s="2557">
        <f t="shared" si="169"/>
        <v>1.6029172984210607E-2</v>
      </c>
      <c r="U190" s="2557">
        <f t="shared" si="169"/>
        <v>1.6029172984210607E-2</v>
      </c>
      <c r="V190" s="2557">
        <f t="shared" si="169"/>
        <v>1.6029172984210607E-2</v>
      </c>
      <c r="W190" s="2557">
        <f t="shared" si="169"/>
        <v>1.6029172984210607E-2</v>
      </c>
      <c r="X190" s="2557">
        <f t="shared" si="169"/>
        <v>1.6029172984210607E-2</v>
      </c>
      <c r="Y190" s="2557">
        <f t="shared" si="169"/>
        <v>1.6029172984210607E-2</v>
      </c>
      <c r="Z190" s="2557">
        <f t="shared" si="169"/>
        <v>1.6029172984210607E-2</v>
      </c>
      <c r="AA190" s="367"/>
      <c r="AB190" s="366"/>
      <c r="AC190" s="366"/>
      <c r="AD190" s="366"/>
      <c r="AE190" s="366"/>
      <c r="AF190" s="366"/>
      <c r="AG190" s="366"/>
      <c r="AH190" s="366"/>
      <c r="AI190" s="366"/>
      <c r="AJ190" s="366"/>
      <c r="AK190" s="366"/>
      <c r="AL190" s="366"/>
      <c r="AM190" s="366"/>
      <c r="AN190" s="366"/>
      <c r="AO190" s="366"/>
      <c r="AP190" s="366"/>
      <c r="AQ190" s="366"/>
      <c r="AR190" s="366"/>
      <c r="AS190" s="366"/>
      <c r="AT190" s="366"/>
      <c r="AU190" s="366"/>
      <c r="AV190" s="366"/>
      <c r="AW190" s="366"/>
      <c r="AX190" s="366"/>
      <c r="AY190" s="366"/>
      <c r="AZ190" s="366"/>
      <c r="BA190" s="366"/>
      <c r="BB190" s="347"/>
      <c r="BC190" s="363"/>
    </row>
    <row r="191" spans="1:57">
      <c r="A191" s="74" t="s">
        <v>449</v>
      </c>
      <c r="B191" s="118" t="s">
        <v>450</v>
      </c>
      <c r="C191" s="118"/>
      <c r="D191" s="1646"/>
      <c r="E191" s="1646"/>
      <c r="F191" s="1646"/>
      <c r="G191" s="1646"/>
      <c r="H191" s="1646"/>
      <c r="I191" s="212"/>
      <c r="J191" s="212"/>
      <c r="K191" s="212">
        <f>'BS Raw'!F28</f>
        <v>0</v>
      </c>
      <c r="L191" s="212">
        <f>'BS Raw'!G28</f>
        <v>0</v>
      </c>
      <c r="M191" s="212">
        <f>'BS Raw'!H28</f>
        <v>0</v>
      </c>
      <c r="N191" s="212">
        <f>'BS Raw'!I28</f>
        <v>0</v>
      </c>
      <c r="O191" s="212">
        <f>'BS Raw'!J28</f>
        <v>0</v>
      </c>
      <c r="P191" s="212">
        <f>'BS Raw'!K28</f>
        <v>0</v>
      </c>
      <c r="Q191" s="198">
        <f>0</f>
        <v>0</v>
      </c>
      <c r="R191" s="198">
        <f>0</f>
        <v>0</v>
      </c>
      <c r="S191" s="198">
        <f>0</f>
        <v>0</v>
      </c>
      <c r="T191" s="198">
        <f>0</f>
        <v>0</v>
      </c>
      <c r="U191" s="198">
        <f>0</f>
        <v>0</v>
      </c>
      <c r="V191" s="198">
        <f>0</f>
        <v>0</v>
      </c>
      <c r="W191" s="198">
        <f>0</f>
        <v>0</v>
      </c>
      <c r="X191" s="198">
        <f>0</f>
        <v>0</v>
      </c>
      <c r="Y191" s="198">
        <f>0</f>
        <v>0</v>
      </c>
      <c r="Z191" s="198">
        <f>0</f>
        <v>0</v>
      </c>
      <c r="AA191" s="198"/>
      <c r="AB191" s="192"/>
      <c r="AC191" s="192"/>
      <c r="AD191" s="192"/>
      <c r="AE191" s="192"/>
      <c r="AF191" s="192"/>
      <c r="AG191" s="192"/>
      <c r="AH191" s="192"/>
      <c r="AI191" s="192"/>
      <c r="AJ191" s="192"/>
      <c r="AK191" s="192"/>
      <c r="AL191" s="192"/>
      <c r="AM191" s="192"/>
      <c r="AN191" s="192"/>
      <c r="AO191" s="192"/>
      <c r="AP191" s="192"/>
      <c r="AQ191" s="192"/>
      <c r="AR191" s="192"/>
      <c r="AS191" s="192"/>
      <c r="AT191" s="192"/>
      <c r="AU191" s="192"/>
      <c r="AV191" s="192"/>
      <c r="AW191" s="192"/>
      <c r="AX191" s="192"/>
      <c r="AY191" s="192"/>
      <c r="AZ191" s="192"/>
      <c r="BA191" s="192"/>
      <c r="BB191" s="85"/>
      <c r="BC191" s="368"/>
      <c r="BD191" s="84"/>
      <c r="BE191" s="84"/>
    </row>
    <row r="192" spans="1:57">
      <c r="B192" s="118"/>
      <c r="C192" s="118"/>
      <c r="D192" s="1646"/>
      <c r="E192" s="1646"/>
      <c r="F192" s="1646"/>
      <c r="G192" s="1646"/>
      <c r="H192" s="1646"/>
      <c r="I192" s="1646"/>
      <c r="J192" s="114"/>
      <c r="K192" s="114"/>
      <c r="L192" s="114"/>
      <c r="M192" s="114"/>
      <c r="N192" s="140"/>
      <c r="O192" s="140"/>
      <c r="P192" s="141"/>
      <c r="Q192" s="192"/>
      <c r="R192" s="192"/>
      <c r="S192" s="192"/>
      <c r="T192" s="192"/>
      <c r="U192" s="192"/>
      <c r="V192" s="192"/>
      <c r="W192" s="192"/>
      <c r="X192" s="192"/>
      <c r="Y192" s="192"/>
      <c r="Z192" s="192"/>
      <c r="AA192" s="192"/>
      <c r="AB192" s="194"/>
      <c r="AC192" s="194"/>
      <c r="AD192" s="194"/>
      <c r="AE192" s="194"/>
      <c r="AF192" s="194"/>
      <c r="AG192" s="194"/>
      <c r="AH192" s="194"/>
      <c r="AI192" s="194"/>
      <c r="AJ192" s="194"/>
      <c r="AK192" s="194"/>
      <c r="AL192" s="194"/>
      <c r="AM192" s="194"/>
      <c r="AN192" s="194"/>
      <c r="AO192" s="194"/>
      <c r="AP192" s="194"/>
      <c r="AQ192" s="194"/>
      <c r="AR192" s="194"/>
      <c r="AS192" s="194"/>
      <c r="AT192" s="194"/>
      <c r="AU192" s="194"/>
      <c r="AV192" s="194"/>
      <c r="AW192" s="194"/>
      <c r="AX192" s="194"/>
      <c r="AY192" s="194"/>
      <c r="AZ192" s="194"/>
      <c r="BA192" s="194"/>
      <c r="BB192" s="85"/>
      <c r="BC192" s="242"/>
      <c r="BD192" s="84"/>
      <c r="BE192" s="84"/>
    </row>
    <row r="193" spans="1:57">
      <c r="A193" s="74" t="s">
        <v>451</v>
      </c>
      <c r="B193" s="118" t="s">
        <v>452</v>
      </c>
      <c r="C193" s="118"/>
      <c r="D193" s="1646"/>
      <c r="E193" s="1646"/>
      <c r="F193" s="1646"/>
      <c r="G193" s="1646"/>
      <c r="H193" s="1646"/>
      <c r="I193" s="212"/>
      <c r="J193" s="212"/>
      <c r="K193" s="212">
        <f>'BS Raw'!F31</f>
        <v>0</v>
      </c>
      <c r="L193" s="212">
        <f>'BS Raw'!G31</f>
        <v>0</v>
      </c>
      <c r="M193" s="212">
        <f>'BS Raw'!H31</f>
        <v>0</v>
      </c>
      <c r="N193" s="212">
        <f>'BS Raw'!I31</f>
        <v>0</v>
      </c>
      <c r="O193" s="212">
        <f>'BS Raw'!J31</f>
        <v>0</v>
      </c>
      <c r="P193" s="212">
        <f>'BS Raw'!K31</f>
        <v>0</v>
      </c>
      <c r="Q193" s="198">
        <f>0</f>
        <v>0</v>
      </c>
      <c r="R193" s="198">
        <f>0</f>
        <v>0</v>
      </c>
      <c r="S193" s="198">
        <f>0</f>
        <v>0</v>
      </c>
      <c r="T193" s="198">
        <f>0</f>
        <v>0</v>
      </c>
      <c r="U193" s="198">
        <f>0</f>
        <v>0</v>
      </c>
      <c r="V193" s="198">
        <f>0</f>
        <v>0</v>
      </c>
      <c r="W193" s="198">
        <f>0</f>
        <v>0</v>
      </c>
      <c r="X193" s="198">
        <f>0</f>
        <v>0</v>
      </c>
      <c r="Y193" s="198">
        <f>0</f>
        <v>0</v>
      </c>
      <c r="Z193" s="198">
        <f>0</f>
        <v>0</v>
      </c>
      <c r="AA193" s="198"/>
      <c r="AB193" s="192"/>
      <c r="AC193" s="192"/>
      <c r="AD193" s="192"/>
      <c r="AE193" s="192"/>
      <c r="AF193" s="192"/>
      <c r="AG193" s="192"/>
      <c r="AH193" s="192"/>
      <c r="AI193" s="192"/>
      <c r="AJ193" s="192"/>
      <c r="AK193" s="192"/>
      <c r="AL193" s="192"/>
      <c r="AM193" s="192"/>
      <c r="AN193" s="192"/>
      <c r="AO193" s="192"/>
      <c r="AP193" s="192"/>
      <c r="AQ193" s="192"/>
      <c r="AR193" s="192"/>
      <c r="AS193" s="192"/>
      <c r="AT193" s="192"/>
      <c r="AU193" s="192"/>
      <c r="AV193" s="192"/>
      <c r="AW193" s="192"/>
      <c r="AX193" s="192"/>
      <c r="AY193" s="192"/>
      <c r="AZ193" s="192"/>
      <c r="BA193" s="192"/>
      <c r="BB193" s="85"/>
      <c r="BC193" s="242"/>
      <c r="BD193" s="84"/>
      <c r="BE193" s="84"/>
    </row>
    <row r="194" spans="1:57">
      <c r="B194" s="118"/>
      <c r="C194" s="118"/>
      <c r="D194" s="1647"/>
      <c r="E194" s="1647"/>
      <c r="F194" s="1647"/>
      <c r="G194" s="1647"/>
      <c r="H194" s="1647"/>
      <c r="I194" s="1647"/>
      <c r="J194" s="114"/>
      <c r="K194" s="114"/>
      <c r="L194" s="114"/>
      <c r="M194" s="114"/>
      <c r="N194" s="140"/>
      <c r="O194" s="140"/>
      <c r="P194" s="141"/>
      <c r="Q194" s="194"/>
      <c r="R194" s="194"/>
      <c r="S194" s="194"/>
      <c r="T194" s="194"/>
      <c r="U194" s="194"/>
      <c r="V194" s="194"/>
      <c r="W194" s="194"/>
      <c r="X194" s="194"/>
      <c r="Y194" s="194"/>
      <c r="Z194" s="194"/>
      <c r="AA194" s="194"/>
      <c r="AB194" s="194"/>
      <c r="AC194" s="194"/>
      <c r="AD194" s="194"/>
      <c r="AE194" s="194"/>
      <c r="AF194" s="194"/>
      <c r="AG194" s="194"/>
      <c r="AH194" s="194"/>
      <c r="AI194" s="194"/>
      <c r="AJ194" s="194"/>
      <c r="AK194" s="194"/>
      <c r="AL194" s="194"/>
      <c r="AM194" s="194"/>
      <c r="AN194" s="194"/>
      <c r="AO194" s="194"/>
      <c r="AP194" s="194"/>
      <c r="AQ194" s="194"/>
      <c r="AR194" s="194"/>
      <c r="AS194" s="194"/>
      <c r="AT194" s="194"/>
      <c r="AU194" s="194"/>
      <c r="AV194" s="194"/>
      <c r="AW194" s="194"/>
      <c r="AX194" s="194"/>
      <c r="AY194" s="194"/>
      <c r="AZ194" s="194"/>
      <c r="BA194" s="194"/>
      <c r="BB194" s="85"/>
      <c r="BC194" s="369"/>
      <c r="BD194" s="84"/>
      <c r="BE194" s="84"/>
    </row>
    <row r="195" spans="1:57" s="88" customFormat="1">
      <c r="A195" s="103"/>
      <c r="B195" s="104" t="s">
        <v>453</v>
      </c>
      <c r="C195" s="104"/>
      <c r="D195" s="110"/>
      <c r="E195" s="106"/>
      <c r="F195" s="106"/>
      <c r="G195" s="106"/>
      <c r="H195" s="106"/>
      <c r="I195" s="107"/>
      <c r="J195" s="107"/>
      <c r="K195" s="107">
        <f>IF(ISTEXT('BS Raw'!F11),'BS Raw'!F23/$B$1,Input!K182)</f>
        <v>401.90973443600001</v>
      </c>
      <c r="L195" s="107">
        <f>IF(ISTEXT('BS Raw'!G11),'BS Raw'!G23/$B$1,Input!L182)</f>
        <v>217.396300223</v>
      </c>
      <c r="M195" s="107">
        <f>IF(ISTEXT('BS Raw'!H11),'BS Raw'!H23/$B$1,Input!M182)</f>
        <v>187.45807717599999</v>
      </c>
      <c r="N195" s="107">
        <f>IF(ISTEXT('BS Raw'!I11),'BS Raw'!I23/$B$1,Input!N182)</f>
        <v>188.14970842400001</v>
      </c>
      <c r="O195" s="107">
        <f>IF(ISTEXT('BS Raw'!J11),'BS Raw'!J23/$B$1,Input!O182)</f>
        <v>365.83832569700002</v>
      </c>
      <c r="P195" s="107">
        <f>IF(ISTEXT('BS Raw'!K11),'BS Raw'!K23/$B$1,Input!P182)</f>
        <v>528.62319192699999</v>
      </c>
      <c r="Q195" s="107">
        <f>IF(ISTEXT('BS Raw'!L11),'BS Raw'!L23/$B$1,Input!Q182)</f>
        <v>707.6839334266059</v>
      </c>
      <c r="R195" s="107">
        <f>IF(ISTEXT('BS Raw'!M11),'BS Raw'!M23/$B$1,Input!R182)</f>
        <v>770.21438361429773</v>
      </c>
      <c r="S195" s="107">
        <f>IF(ISTEXT('BS Raw'!N11),'BS Raw'!N23/$B$1,Input!S182)</f>
        <v>801.6352077174198</v>
      </c>
      <c r="T195" s="107">
        <f>IF(ISTEXT('BS Raw'!O11),'BS Raw'!O23/$B$1,Input!T182)</f>
        <v>1096.4912703996604</v>
      </c>
      <c r="U195" s="107">
        <f>IF(ISTEXT('BS Raw'!P11),'BS Raw'!P23/$B$1,Input!U182)</f>
        <v>1029.4911553331885</v>
      </c>
      <c r="V195" s="107">
        <f>IF(ISTEXT('BS Raw'!Q11),'BS Raw'!Q23/$B$1,Input!V182)</f>
        <v>1013.680181095388</v>
      </c>
      <c r="W195" s="107">
        <f>IF(ISTEXT('BS Raw'!R11),'BS Raw'!R23/$B$1,Input!W182)</f>
        <v>1022.5921282666756</v>
      </c>
      <c r="X195" s="107">
        <f>IF(ISTEXT('BS Raw'!S11),'BS Raw'!S23/$B$1,Input!X182)</f>
        <v>1056.2495420335272</v>
      </c>
      <c r="Y195" s="107">
        <f>IF(ISTEXT('BS Raw'!T11),'BS Raw'!T23/$B$1,Input!Y182)</f>
        <v>1118.4303066230393</v>
      </c>
      <c r="Z195" s="107">
        <f>IF(ISTEXT('BS Raw'!U11),'BS Raw'!U23/$B$1,Input!Z182)</f>
        <v>1147.3553125259837</v>
      </c>
      <c r="AA195" s="108"/>
      <c r="AB195" s="109"/>
      <c r="AC195" s="109"/>
      <c r="AD195" s="109"/>
      <c r="AE195" s="109"/>
      <c r="AF195" s="109"/>
      <c r="AG195" s="109"/>
      <c r="AH195" s="109"/>
      <c r="AI195" s="109"/>
      <c r="AJ195" s="109"/>
      <c r="AK195" s="109"/>
      <c r="AL195" s="109"/>
      <c r="AM195" s="109"/>
      <c r="AN195" s="109"/>
      <c r="AO195" s="109"/>
      <c r="AP195" s="109"/>
      <c r="AQ195" s="109"/>
      <c r="AR195" s="109"/>
      <c r="AS195" s="109"/>
      <c r="AT195" s="109"/>
      <c r="AU195" s="109"/>
      <c r="AV195" s="109"/>
      <c r="AW195" s="109"/>
      <c r="AX195" s="109"/>
      <c r="AY195" s="109"/>
      <c r="AZ195" s="109"/>
      <c r="BA195" s="109"/>
      <c r="BB195" s="110"/>
      <c r="BC195" s="111"/>
    </row>
    <row r="196" spans="1:57">
      <c r="D196" s="84"/>
      <c r="E196" s="140"/>
      <c r="F196" s="140"/>
      <c r="G196" s="140"/>
      <c r="H196" s="140"/>
      <c r="I196" s="140"/>
      <c r="J196" s="140"/>
      <c r="K196" s="140"/>
      <c r="L196" s="140"/>
      <c r="M196" s="140"/>
      <c r="N196" s="140"/>
      <c r="O196" s="140"/>
      <c r="P196" s="141"/>
      <c r="Q196" s="140"/>
      <c r="R196" s="140"/>
      <c r="S196" s="140"/>
      <c r="T196" s="140"/>
      <c r="U196" s="140"/>
      <c r="V196" s="140"/>
      <c r="W196" s="140"/>
      <c r="X196" s="140"/>
      <c r="Y196" s="140"/>
      <c r="Z196" s="140"/>
      <c r="AA196" s="140"/>
      <c r="AB196" s="140"/>
      <c r="AC196" s="140"/>
      <c r="AD196" s="140"/>
      <c r="AE196" s="140"/>
      <c r="AF196" s="140"/>
      <c r="AG196" s="140"/>
      <c r="AH196" s="140"/>
      <c r="AI196" s="140"/>
      <c r="AJ196" s="140"/>
      <c r="AK196" s="140"/>
      <c r="AL196" s="140"/>
      <c r="AM196" s="140"/>
      <c r="AN196" s="140"/>
      <c r="AO196" s="140"/>
      <c r="AP196" s="140"/>
      <c r="AQ196" s="140"/>
      <c r="AR196" s="140"/>
      <c r="AS196" s="140"/>
      <c r="AT196" s="140"/>
      <c r="AU196" s="140"/>
      <c r="AV196" s="140"/>
      <c r="AW196" s="140"/>
      <c r="AX196" s="140"/>
      <c r="AY196" s="140"/>
      <c r="AZ196" s="140"/>
      <c r="BA196" s="140"/>
      <c r="BB196" s="85"/>
      <c r="BD196" s="84"/>
      <c r="BE196" s="84"/>
    </row>
    <row r="197" spans="1:57" s="93" customFormat="1">
      <c r="A197" s="370">
        <v>5</v>
      </c>
      <c r="B197" s="94" t="s">
        <v>454</v>
      </c>
      <c r="C197" s="94"/>
      <c r="E197" s="128"/>
      <c r="F197" s="128"/>
      <c r="G197" s="128"/>
      <c r="H197" s="128"/>
      <c r="I197" s="129"/>
      <c r="J197" s="129">
        <f>'BS Raw'!E32</f>
        <v>982.64129170000001</v>
      </c>
      <c r="K197" s="129">
        <f>'BS Raw'!F32</f>
        <v>1301.1230715409999</v>
      </c>
      <c r="L197" s="129">
        <f>'BS Raw'!G32</f>
        <v>834.13488603799999</v>
      </c>
      <c r="M197" s="129">
        <f>'BS Raw'!H32</f>
        <v>2204.0777077339999</v>
      </c>
      <c r="N197" s="129">
        <f>'BS Raw'!I32</f>
        <v>2282.5277024090001</v>
      </c>
      <c r="O197" s="129">
        <f>'BS Raw'!J32</f>
        <v>2160.5881618560002</v>
      </c>
      <c r="P197" s="129">
        <f>'BS Raw'!K32</f>
        <v>2950.3006368440001</v>
      </c>
      <c r="Q197" s="91">
        <f>Q9/(365/Q199)</f>
        <v>3932.8570885216805</v>
      </c>
      <c r="R197" s="91">
        <f t="shared" ref="R197:Z197" si="170">R9/(365/R199)</f>
        <v>4099.4140757093919</v>
      </c>
      <c r="S197" s="91">
        <f t="shared" si="170"/>
        <v>3988.5857813988309</v>
      </c>
      <c r="T197" s="91">
        <f t="shared" si="170"/>
        <v>4919.5163940431257</v>
      </c>
      <c r="U197" s="91">
        <f t="shared" si="170"/>
        <v>4622.5026425816868</v>
      </c>
      <c r="V197" s="91">
        <f t="shared" si="170"/>
        <v>4477.2886816885384</v>
      </c>
      <c r="W197" s="91">
        <f t="shared" si="170"/>
        <v>4715.8645422812715</v>
      </c>
      <c r="X197" s="91">
        <f t="shared" si="170"/>
        <v>4770.0805313353621</v>
      </c>
      <c r="Y197" s="91">
        <f t="shared" si="170"/>
        <v>4929.5030409536612</v>
      </c>
      <c r="Z197" s="91">
        <f t="shared" si="170"/>
        <v>5113.4870052798842</v>
      </c>
      <c r="AA197" s="91"/>
      <c r="AB197" s="92"/>
      <c r="AC197" s="92"/>
      <c r="AD197" s="92"/>
      <c r="AE197" s="92"/>
      <c r="AF197" s="92"/>
      <c r="AG197" s="92"/>
      <c r="AH197" s="92"/>
      <c r="AI197" s="92"/>
      <c r="AJ197" s="92"/>
      <c r="AK197" s="92"/>
      <c r="AL197" s="92"/>
      <c r="AM197" s="92"/>
      <c r="AN197" s="92"/>
      <c r="AO197" s="92"/>
      <c r="AP197" s="92"/>
      <c r="AQ197" s="92"/>
      <c r="AR197" s="92"/>
      <c r="AS197" s="92"/>
      <c r="AT197" s="92"/>
      <c r="AU197" s="92"/>
      <c r="AV197" s="92"/>
      <c r="AW197" s="92"/>
      <c r="AX197" s="92"/>
      <c r="AY197" s="92"/>
      <c r="AZ197" s="92"/>
      <c r="BA197" s="92"/>
      <c r="BC197" s="242"/>
    </row>
    <row r="198" spans="1:57" s="240" customFormat="1">
      <c r="A198" s="371"/>
      <c r="B198" s="372" t="s">
        <v>455</v>
      </c>
      <c r="C198" s="372"/>
      <c r="E198" s="128"/>
      <c r="I198" s="373"/>
      <c r="J198" s="373"/>
      <c r="K198" s="373">
        <f>AVERAGE(J197:K197)/K11</f>
        <v>0.18769304119307961</v>
      </c>
      <c r="L198" s="373">
        <f t="shared" ref="L198:P198" si="171">AVERAGE(K197:L197)/L11</f>
        <v>0.17097308166259784</v>
      </c>
      <c r="M198" s="373">
        <f t="shared" si="171"/>
        <v>0.21429589343881081</v>
      </c>
      <c r="N198" s="373">
        <f t="shared" si="171"/>
        <v>0.21947767545953678</v>
      </c>
      <c r="O198" s="373">
        <f t="shared" si="171"/>
        <v>0.21079914909513803</v>
      </c>
      <c r="P198" s="373">
        <f t="shared" si="171"/>
        <v>0.23354239045118061</v>
      </c>
      <c r="Q198" s="374">
        <f t="shared" ref="Q198" si="172">AVERAGE(P197:Q197)/Q11</f>
        <v>0.2472710607181049</v>
      </c>
      <c r="R198" s="374">
        <f t="shared" ref="R198" si="173">AVERAGE(Q197:R197)/R11</f>
        <v>0.27921608535301751</v>
      </c>
      <c r="S198" s="374">
        <f t="shared" ref="S198" si="174">AVERAGE(R197:S197)/S11</f>
        <v>0.27971242372861549</v>
      </c>
      <c r="T198" s="374">
        <f t="shared" ref="T198" si="175">AVERAGE(S197:T197)/T11</f>
        <v>0.28376573800688526</v>
      </c>
      <c r="U198" s="374">
        <f t="shared" ref="U198" si="176">AVERAGE(T197:U197)/U11</f>
        <v>0.30030123364836619</v>
      </c>
      <c r="V198" s="374">
        <f t="shared" ref="V198" si="177">AVERAGE(U197:V197)/V11</f>
        <v>0.29670235474053019</v>
      </c>
      <c r="W198" s="374">
        <f t="shared" ref="W198" si="178">AVERAGE(V197:W197)/W11</f>
        <v>0.2882838754283753</v>
      </c>
      <c r="X198" s="374">
        <f t="shared" ref="X198" si="179">AVERAGE(W197:X197)/X11</f>
        <v>0.29631515809796627</v>
      </c>
      <c r="Y198" s="374">
        <f t="shared" ref="Y198" si="180">AVERAGE(X197:Y197)/Y11</f>
        <v>0.29536457991607723</v>
      </c>
      <c r="Z198" s="374">
        <f t="shared" ref="Z198" si="181">AVERAGE(Y197:Z197)/Z11</f>
        <v>0.2988815298485889</v>
      </c>
      <c r="AA198" s="374"/>
      <c r="AB198" s="253"/>
      <c r="AC198" s="253"/>
      <c r="AD198" s="253"/>
      <c r="AE198" s="253"/>
      <c r="AF198" s="253"/>
      <c r="AG198" s="253"/>
      <c r="AH198" s="253"/>
      <c r="AI198" s="253"/>
      <c r="AJ198" s="253"/>
      <c r="AK198" s="253"/>
      <c r="AL198" s="253"/>
      <c r="AM198" s="253"/>
      <c r="AN198" s="253"/>
      <c r="AO198" s="253"/>
      <c r="AP198" s="253"/>
      <c r="AQ198" s="253"/>
      <c r="AR198" s="253"/>
      <c r="AS198" s="253"/>
      <c r="AT198" s="253"/>
      <c r="AU198" s="253"/>
      <c r="AV198" s="253"/>
      <c r="AW198" s="253"/>
      <c r="AX198" s="253"/>
      <c r="AY198" s="253"/>
      <c r="AZ198" s="253"/>
      <c r="BA198" s="253"/>
      <c r="BB198" s="375"/>
      <c r="BC198" s="376"/>
    </row>
    <row r="199" spans="1:57" s="37" customFormat="1" ht="12.75" customHeight="1">
      <c r="A199" s="30"/>
      <c r="B199" s="377" t="s">
        <v>456</v>
      </c>
      <c r="C199" s="377"/>
      <c r="D199" s="378"/>
      <c r="E199" s="33"/>
      <c r="F199" s="33"/>
      <c r="G199" s="33"/>
      <c r="H199" s="33"/>
      <c r="I199" s="33"/>
      <c r="J199" s="33"/>
      <c r="K199" s="33">
        <f>365/(K11/K207)</f>
        <v>78.061720220439099</v>
      </c>
      <c r="L199" s="33">
        <f t="shared" ref="L199:P199" si="182">365/(L11/L207)</f>
        <v>48.756950597867892</v>
      </c>
      <c r="M199" s="33">
        <f t="shared" si="182"/>
        <v>113.48682638786214</v>
      </c>
      <c r="N199" s="33">
        <f t="shared" si="182"/>
        <v>81.51009389188809</v>
      </c>
      <c r="O199" s="33">
        <f t="shared" si="182"/>
        <v>74.830055479977787</v>
      </c>
      <c r="P199" s="33">
        <f t="shared" si="182"/>
        <v>98.41434865908569</v>
      </c>
      <c r="Q199" s="379">
        <f>AVERAGE(K199:P199)*1.25</f>
        <v>103.13749900773347</v>
      </c>
      <c r="R199" s="379">
        <f>AVERAGE(L199:Q199)*1.2</f>
        <v>104.027154804883</v>
      </c>
      <c r="S199" s="379">
        <f>AVERAGE(M199:R199)*1.05</f>
        <v>100.69604619050028</v>
      </c>
      <c r="T199" s="379">
        <f>AVERAGE(N199:S199)*1.22</f>
        <v>114.39842360026056</v>
      </c>
      <c r="U199" s="379">
        <f>AVERAGE(O199:T199)*1.07</f>
        <v>106.19812911406862</v>
      </c>
      <c r="V199" s="379">
        <f t="shared" ref="V199:Z199" si="183">AVERAGE(P199:U199)*1.02</f>
        <v>106.56817223401038</v>
      </c>
      <c r="W199" s="379">
        <f t="shared" si="183"/>
        <v>107.95432224174758</v>
      </c>
      <c r="X199" s="379">
        <f t="shared" si="183"/>
        <v>108.77318219152998</v>
      </c>
      <c r="Y199" s="379">
        <f t="shared" si="183"/>
        <v>109.58000684725995</v>
      </c>
      <c r="Z199" s="379">
        <f t="shared" si="183"/>
        <v>111.0902801589091</v>
      </c>
      <c r="AA199" s="379"/>
      <c r="AB199" s="379"/>
      <c r="AC199" s="379"/>
      <c r="AD199" s="379"/>
      <c r="AE199" s="379"/>
      <c r="AF199" s="379"/>
      <c r="AG199" s="379"/>
      <c r="AH199" s="379"/>
      <c r="AI199" s="379"/>
      <c r="AJ199" s="379"/>
      <c r="AK199" s="379"/>
      <c r="AL199" s="379"/>
      <c r="AM199" s="379"/>
      <c r="AN199" s="379"/>
      <c r="AO199" s="379"/>
      <c r="AP199" s="379"/>
      <c r="AQ199" s="379"/>
      <c r="AR199" s="379"/>
      <c r="AS199" s="379"/>
      <c r="AT199" s="379"/>
      <c r="AU199" s="379"/>
      <c r="AV199" s="379"/>
      <c r="AW199" s="379"/>
      <c r="AX199" s="379"/>
      <c r="AY199" s="379"/>
      <c r="AZ199" s="379"/>
      <c r="BA199" s="379"/>
      <c r="BB199" s="378"/>
      <c r="BC199" s="380"/>
      <c r="BD199" s="378"/>
      <c r="BE199" s="378"/>
    </row>
    <row r="200" spans="1:57" s="95" customFormat="1">
      <c r="A200" s="232" t="s">
        <v>457</v>
      </c>
      <c r="B200" s="155" t="s">
        <v>458</v>
      </c>
      <c r="C200" s="155"/>
      <c r="E200" s="128"/>
      <c r="F200" s="128"/>
      <c r="G200" s="128"/>
      <c r="H200" s="128"/>
      <c r="I200" s="128"/>
      <c r="J200" s="128"/>
      <c r="K200" s="128"/>
      <c r="L200" s="128"/>
      <c r="M200" s="128"/>
      <c r="N200" s="128"/>
      <c r="O200" s="128"/>
      <c r="P200" s="265"/>
      <c r="Q200" s="92"/>
      <c r="R200" s="92"/>
      <c r="S200" s="92"/>
      <c r="T200" s="92"/>
      <c r="U200" s="92"/>
      <c r="V200" s="92"/>
      <c r="W200" s="92"/>
      <c r="X200" s="92"/>
      <c r="Y200" s="92"/>
      <c r="Z200" s="92"/>
      <c r="AA200" s="92"/>
      <c r="AB200" s="92"/>
      <c r="AC200" s="92"/>
      <c r="AD200" s="92"/>
      <c r="AE200" s="92"/>
      <c r="AF200" s="92"/>
      <c r="AG200" s="92"/>
      <c r="AH200" s="92"/>
      <c r="AI200" s="92"/>
      <c r="AJ200" s="92"/>
      <c r="AK200" s="92"/>
      <c r="AL200" s="92"/>
      <c r="AM200" s="92"/>
      <c r="AN200" s="92"/>
      <c r="AO200" s="92"/>
      <c r="AP200" s="92"/>
      <c r="AQ200" s="92"/>
      <c r="AR200" s="92"/>
      <c r="AS200" s="92"/>
      <c r="AT200" s="92"/>
      <c r="AU200" s="92"/>
      <c r="AV200" s="92"/>
      <c r="AW200" s="92"/>
      <c r="AX200" s="92"/>
      <c r="AY200" s="92"/>
      <c r="AZ200" s="92"/>
      <c r="BA200" s="92"/>
      <c r="BB200" s="93"/>
      <c r="BC200" s="242"/>
    </row>
    <row r="201" spans="1:57">
      <c r="A201" s="74" t="s">
        <v>459</v>
      </c>
      <c r="B201" s="118" t="s">
        <v>460</v>
      </c>
      <c r="C201" s="118"/>
      <c r="D201" s="84"/>
      <c r="E201" s="128"/>
      <c r="F201" s="128"/>
      <c r="G201" s="128"/>
      <c r="H201" s="128"/>
      <c r="I201" s="128"/>
      <c r="J201" s="128"/>
      <c r="K201" s="128"/>
      <c r="L201" s="128"/>
      <c r="M201" s="128"/>
      <c r="N201" s="140"/>
      <c r="O201" s="140"/>
      <c r="P201" s="141"/>
      <c r="Q201" s="194"/>
      <c r="R201" s="194"/>
      <c r="S201" s="194"/>
      <c r="T201" s="194"/>
      <c r="U201" s="194"/>
      <c r="V201" s="194"/>
      <c r="W201" s="194"/>
      <c r="X201" s="194"/>
      <c r="Y201" s="194"/>
      <c r="Z201" s="194"/>
      <c r="AA201" s="194"/>
      <c r="AB201" s="194"/>
      <c r="AC201" s="194"/>
      <c r="AD201" s="194"/>
      <c r="AE201" s="194"/>
      <c r="AF201" s="194"/>
      <c r="AG201" s="194"/>
      <c r="AH201" s="194"/>
      <c r="AI201" s="194"/>
      <c r="AJ201" s="194"/>
      <c r="AK201" s="194"/>
      <c r="AL201" s="194"/>
      <c r="AM201" s="194"/>
      <c r="AN201" s="194"/>
      <c r="AO201" s="194"/>
      <c r="AP201" s="194"/>
      <c r="AQ201" s="194"/>
      <c r="AR201" s="194"/>
      <c r="AS201" s="194"/>
      <c r="AT201" s="194"/>
      <c r="AU201" s="194"/>
      <c r="AV201" s="194"/>
      <c r="AW201" s="194"/>
      <c r="AX201" s="194"/>
      <c r="AY201" s="194"/>
      <c r="AZ201" s="194"/>
      <c r="BA201" s="194"/>
      <c r="BB201" s="85"/>
      <c r="BC201" s="242"/>
      <c r="BD201" s="84"/>
      <c r="BE201" s="84"/>
    </row>
    <row r="202" spans="1:57">
      <c r="A202" s="74" t="s">
        <v>461</v>
      </c>
      <c r="B202" s="118" t="s">
        <v>462</v>
      </c>
      <c r="C202" s="118"/>
      <c r="D202" s="84"/>
      <c r="E202" s="128"/>
      <c r="F202" s="128"/>
      <c r="G202" s="128"/>
      <c r="H202" s="129"/>
      <c r="I202" s="128"/>
      <c r="J202" s="128"/>
      <c r="K202" s="128"/>
      <c r="L202" s="128"/>
      <c r="M202" s="128"/>
      <c r="N202" s="140"/>
      <c r="O202" s="140"/>
      <c r="P202" s="141"/>
      <c r="Q202" s="194"/>
      <c r="R202" s="194"/>
      <c r="S202" s="194"/>
      <c r="T202" s="194"/>
      <c r="U202" s="194"/>
      <c r="V202" s="194"/>
      <c r="W202" s="194"/>
      <c r="X202" s="194"/>
      <c r="Y202" s="194"/>
      <c r="Z202" s="194"/>
      <c r="AA202" s="194"/>
      <c r="AB202" s="194"/>
      <c r="AC202" s="194"/>
      <c r="AD202" s="194"/>
      <c r="AE202" s="194"/>
      <c r="AF202" s="194"/>
      <c r="AG202" s="194"/>
      <c r="AH202" s="194"/>
      <c r="AI202" s="194"/>
      <c r="AJ202" s="194"/>
      <c r="AK202" s="194"/>
      <c r="AL202" s="194"/>
      <c r="AM202" s="194"/>
      <c r="AN202" s="194"/>
      <c r="AO202" s="194"/>
      <c r="AP202" s="194"/>
      <c r="AQ202" s="194"/>
      <c r="AR202" s="194"/>
      <c r="AS202" s="194"/>
      <c r="AT202" s="194"/>
      <c r="AU202" s="194"/>
      <c r="AV202" s="194"/>
      <c r="AW202" s="194"/>
      <c r="AX202" s="194"/>
      <c r="AY202" s="194"/>
      <c r="AZ202" s="194"/>
      <c r="BA202" s="194"/>
      <c r="BB202" s="85"/>
      <c r="BC202" s="242"/>
      <c r="BD202" s="84"/>
      <c r="BE202" s="84"/>
    </row>
    <row r="203" spans="1:57">
      <c r="A203" s="74" t="s">
        <v>463</v>
      </c>
      <c r="B203" s="118" t="s">
        <v>464</v>
      </c>
      <c r="C203" s="118"/>
      <c r="D203" s="84"/>
      <c r="E203" s="128"/>
      <c r="F203" s="128"/>
      <c r="G203" s="128"/>
      <c r="H203" s="128"/>
      <c r="I203" s="128"/>
      <c r="J203" s="128"/>
      <c r="K203" s="128"/>
      <c r="L203" s="128"/>
      <c r="M203" s="128"/>
      <c r="N203" s="140"/>
      <c r="O203" s="140"/>
      <c r="P203" s="141"/>
      <c r="Q203" s="194"/>
      <c r="R203" s="194"/>
      <c r="S203" s="194"/>
      <c r="T203" s="194"/>
      <c r="U203" s="194"/>
      <c r="V203" s="194"/>
      <c r="W203" s="194"/>
      <c r="X203" s="194"/>
      <c r="Y203" s="194"/>
      <c r="Z203" s="194"/>
      <c r="AA203" s="194"/>
      <c r="AB203" s="194"/>
      <c r="AC203" s="194"/>
      <c r="AD203" s="194"/>
      <c r="AE203" s="194"/>
      <c r="AF203" s="194"/>
      <c r="AG203" s="194"/>
      <c r="AH203" s="194"/>
      <c r="AI203" s="194"/>
      <c r="AJ203" s="194"/>
      <c r="AK203" s="194"/>
      <c r="AL203" s="194"/>
      <c r="AM203" s="194"/>
      <c r="AN203" s="194"/>
      <c r="AO203" s="194"/>
      <c r="AP203" s="194"/>
      <c r="AQ203" s="194"/>
      <c r="AR203" s="194"/>
      <c r="AS203" s="194"/>
      <c r="AT203" s="194"/>
      <c r="AU203" s="194"/>
      <c r="AV203" s="194"/>
      <c r="AW203" s="194"/>
      <c r="AX203" s="194"/>
      <c r="AY203" s="194"/>
      <c r="AZ203" s="194"/>
      <c r="BA203" s="194"/>
      <c r="BB203" s="85"/>
      <c r="BC203" s="242"/>
      <c r="BD203" s="84"/>
      <c r="BE203" s="84"/>
    </row>
    <row r="204" spans="1:57">
      <c r="A204" s="74" t="s">
        <v>465</v>
      </c>
      <c r="B204" s="118" t="s">
        <v>466</v>
      </c>
      <c r="C204" s="118"/>
      <c r="D204" s="84"/>
      <c r="E204" s="128"/>
      <c r="F204" s="128"/>
      <c r="G204" s="128"/>
      <c r="H204" s="128"/>
      <c r="I204" s="128"/>
      <c r="J204" s="128"/>
      <c r="K204" s="128"/>
      <c r="L204" s="128"/>
      <c r="M204" s="128"/>
      <c r="N204" s="140"/>
      <c r="O204" s="140"/>
      <c r="P204" s="141"/>
      <c r="Q204" s="194"/>
      <c r="R204" s="194"/>
      <c r="S204" s="194"/>
      <c r="T204" s="194"/>
      <c r="U204" s="194"/>
      <c r="V204" s="194"/>
      <c r="W204" s="194"/>
      <c r="X204" s="194"/>
      <c r="Y204" s="194"/>
      <c r="Z204" s="194"/>
      <c r="AA204" s="194"/>
      <c r="AB204" s="194"/>
      <c r="AC204" s="194"/>
      <c r="AD204" s="194"/>
      <c r="AE204" s="194"/>
      <c r="AF204" s="194"/>
      <c r="AG204" s="194"/>
      <c r="AH204" s="194"/>
      <c r="AI204" s="194"/>
      <c r="AJ204" s="194"/>
      <c r="AK204" s="194"/>
      <c r="AL204" s="194"/>
      <c r="AM204" s="194"/>
      <c r="AN204" s="194"/>
      <c r="AO204" s="194"/>
      <c r="AP204" s="194"/>
      <c r="AQ204" s="194"/>
      <c r="AR204" s="194"/>
      <c r="AS204" s="194"/>
      <c r="AT204" s="194"/>
      <c r="AU204" s="194"/>
      <c r="AV204" s="194"/>
      <c r="AW204" s="194"/>
      <c r="AX204" s="194"/>
      <c r="AY204" s="194"/>
      <c r="AZ204" s="194"/>
      <c r="BA204" s="194"/>
      <c r="BB204" s="85"/>
      <c r="BC204" s="242"/>
      <c r="BD204" s="84"/>
      <c r="BE204" s="84"/>
    </row>
    <row r="205" spans="1:57">
      <c r="A205" s="74" t="s">
        <v>467</v>
      </c>
      <c r="B205" s="118" t="s">
        <v>355</v>
      </c>
      <c r="C205" s="118"/>
      <c r="D205" s="84"/>
      <c r="E205" s="128"/>
      <c r="F205" s="128"/>
      <c r="G205" s="128"/>
      <c r="H205" s="128"/>
      <c r="I205" s="128"/>
      <c r="J205" s="128"/>
      <c r="K205" s="128"/>
      <c r="L205" s="128"/>
      <c r="M205" s="128"/>
      <c r="N205" s="140"/>
      <c r="O205" s="140"/>
      <c r="P205" s="141"/>
      <c r="Q205" s="194"/>
      <c r="R205" s="194"/>
      <c r="S205" s="194"/>
      <c r="T205" s="194"/>
      <c r="U205" s="194"/>
      <c r="V205" s="194"/>
      <c r="W205" s="194"/>
      <c r="X205" s="194"/>
      <c r="Y205" s="194"/>
      <c r="Z205" s="194"/>
      <c r="AA205" s="194"/>
      <c r="AB205" s="194"/>
      <c r="AC205" s="194"/>
      <c r="AD205" s="194"/>
      <c r="AE205" s="194"/>
      <c r="AF205" s="194"/>
      <c r="AG205" s="194"/>
      <c r="AH205" s="194"/>
      <c r="AI205" s="194"/>
      <c r="AJ205" s="194"/>
      <c r="AK205" s="194"/>
      <c r="AL205" s="194"/>
      <c r="AM205" s="194"/>
      <c r="AN205" s="194"/>
      <c r="AO205" s="194"/>
      <c r="AP205" s="194"/>
      <c r="AQ205" s="194"/>
      <c r="AR205" s="194"/>
      <c r="AS205" s="194"/>
      <c r="AT205" s="194"/>
      <c r="AU205" s="194"/>
      <c r="AV205" s="194"/>
      <c r="AW205" s="194"/>
      <c r="AX205" s="194"/>
      <c r="AY205" s="194"/>
      <c r="AZ205" s="194"/>
      <c r="BA205" s="194"/>
      <c r="BB205" s="85"/>
      <c r="BC205" s="242"/>
      <c r="BD205" s="84"/>
      <c r="BE205" s="84"/>
    </row>
    <row r="206" spans="1:57">
      <c r="A206" s="74" t="s">
        <v>468</v>
      </c>
      <c r="B206" s="118" t="s">
        <v>469</v>
      </c>
      <c r="C206" s="118"/>
      <c r="D206" s="84"/>
      <c r="E206" s="41"/>
      <c r="F206" s="41"/>
      <c r="G206" s="41"/>
      <c r="H206" s="41"/>
      <c r="I206" s="190"/>
      <c r="J206" s="190"/>
      <c r="K206" s="190">
        <f>'BS Raw'!F34</f>
        <v>-8.7142649999999993</v>
      </c>
      <c r="L206" s="190">
        <f>'BS Raw'!G34</f>
        <v>-0.29558695699999998</v>
      </c>
      <c r="M206" s="190">
        <f>'BS Raw'!H34</f>
        <v>0</v>
      </c>
      <c r="N206" s="190">
        <f>'BS Raw'!I34</f>
        <v>-139.31527484099999</v>
      </c>
      <c r="O206" s="190">
        <f>'BS Raw'!J34</f>
        <v>-31.606502869</v>
      </c>
      <c r="P206" s="190">
        <f>'BS Raw'!K34</f>
        <v>-42.064332383999997</v>
      </c>
      <c r="Q206" s="178"/>
      <c r="R206" s="178"/>
      <c r="S206" s="178"/>
      <c r="T206" s="178"/>
      <c r="U206" s="178"/>
      <c r="V206" s="178"/>
      <c r="W206" s="178"/>
      <c r="X206" s="178"/>
      <c r="Y206" s="178"/>
      <c r="Z206" s="178"/>
      <c r="AA206" s="178"/>
      <c r="AB206" s="178"/>
      <c r="AC206" s="178"/>
      <c r="AD206" s="178"/>
      <c r="AE206" s="178"/>
      <c r="AF206" s="178"/>
      <c r="AG206" s="178"/>
      <c r="AH206" s="178"/>
      <c r="AI206" s="178"/>
      <c r="AJ206" s="178"/>
      <c r="AK206" s="178"/>
      <c r="AL206" s="178"/>
      <c r="AM206" s="178"/>
      <c r="AN206" s="178"/>
      <c r="AO206" s="178"/>
      <c r="AP206" s="178"/>
      <c r="AQ206" s="178"/>
      <c r="AR206" s="178"/>
      <c r="AS206" s="178"/>
      <c r="AT206" s="178"/>
      <c r="AU206" s="178"/>
      <c r="AV206" s="178"/>
      <c r="AW206" s="178"/>
      <c r="AX206" s="178"/>
      <c r="AY206" s="178"/>
      <c r="AZ206" s="178"/>
      <c r="BA206" s="178"/>
      <c r="BB206" s="84"/>
      <c r="BC206" s="242"/>
      <c r="BD206" s="84"/>
      <c r="BE206" s="84"/>
    </row>
    <row r="207" spans="1:57" s="88" customFormat="1">
      <c r="A207" s="103"/>
      <c r="B207" s="104" t="s">
        <v>470</v>
      </c>
      <c r="C207" s="104"/>
      <c r="D207" s="105"/>
      <c r="E207" s="136"/>
      <c r="F207" s="136"/>
      <c r="G207" s="136"/>
      <c r="H207" s="136"/>
      <c r="I207" s="137"/>
      <c r="J207" s="137">
        <f>IF(ISTEXT('BS Raw'!E11),'BS Raw'!E32/$B$1,Input!J197)</f>
        <v>982.64129170000001</v>
      </c>
      <c r="K207" s="137">
        <f>IF(ISTEXT('BS Raw'!F11),'BS Raw'!F32/$B$1,Input!K197)</f>
        <v>1301.1230715409999</v>
      </c>
      <c r="L207" s="137">
        <f>IF(ISTEXT('BS Raw'!G11),'BS Raw'!G32/$B$1,Input!L197)</f>
        <v>834.13488603799999</v>
      </c>
      <c r="M207" s="137">
        <f>IF(ISTEXT('BS Raw'!H11),'BS Raw'!H32/$B$1,Input!M197)</f>
        <v>2204.0777077339999</v>
      </c>
      <c r="N207" s="137">
        <f>IF(ISTEXT('BS Raw'!I11),'BS Raw'!I32/$B$1,Input!N197)</f>
        <v>2282.5277024090001</v>
      </c>
      <c r="O207" s="137">
        <f>IF(ISTEXT('BS Raw'!J11),'BS Raw'!J32/$B$1,Input!O197)</f>
        <v>2160.5881618560002</v>
      </c>
      <c r="P207" s="137">
        <f>IF(ISTEXT('BS Raw'!K11),'BS Raw'!K32/$B$1,Input!P197)</f>
        <v>2950.3006368440001</v>
      </c>
      <c r="Q207" s="138">
        <f>IF(ISTEXT('BS Raw'!Q11),'BS Raw'!Q32/$B$1,Input!Q197)</f>
        <v>3932.8570885216805</v>
      </c>
      <c r="R207" s="138">
        <f>IF(ISTEXT('BS Raw'!R11),'BS Raw'!R32/$B$1,Input!R197)</f>
        <v>4099.4140757093919</v>
      </c>
      <c r="S207" s="138">
        <f>IF(ISTEXT('BS Raw'!S11),'BS Raw'!S32/$B$1,Input!S197)</f>
        <v>3988.5857813988309</v>
      </c>
      <c r="T207" s="138">
        <f>IF(ISTEXT('BS Raw'!T11),'BS Raw'!T32/$B$1,Input!T197)</f>
        <v>4919.5163940431257</v>
      </c>
      <c r="U207" s="138">
        <f>IF(ISTEXT('BS Raw'!U11),'BS Raw'!U32/$B$1,Input!U197)</f>
        <v>4622.5026425816868</v>
      </c>
      <c r="V207" s="138">
        <f>IF(ISTEXT('BS Raw'!V11),'BS Raw'!V32/$B$1,Input!V197)</f>
        <v>4477.2886816885384</v>
      </c>
      <c r="W207" s="138">
        <f>IF(ISTEXT('BS Raw'!W11),'BS Raw'!W32/$B$1,Input!W197)</f>
        <v>4715.8645422812715</v>
      </c>
      <c r="X207" s="138">
        <f>IF(ISTEXT('BS Raw'!X11),'BS Raw'!X32/$B$1,Input!X197)</f>
        <v>4770.0805313353621</v>
      </c>
      <c r="Y207" s="138">
        <f>IF(ISTEXT('BS Raw'!Y11),'BS Raw'!Y32/$B$1,Input!Y197)</f>
        <v>4929.5030409536612</v>
      </c>
      <c r="Z207" s="138">
        <f>IF(ISTEXT('BS Raw'!Z11),'BS Raw'!Z32/$B$1,Input!Z197)</f>
        <v>5113.4870052798842</v>
      </c>
      <c r="AA207" s="138"/>
      <c r="AB207" s="139"/>
      <c r="AC207" s="139"/>
      <c r="AD207" s="139"/>
      <c r="AE207" s="139"/>
      <c r="AF207" s="139"/>
      <c r="AG207" s="139"/>
      <c r="AH207" s="139"/>
      <c r="AI207" s="139"/>
      <c r="AJ207" s="139"/>
      <c r="AK207" s="139"/>
      <c r="AL207" s="139"/>
      <c r="AM207" s="139"/>
      <c r="AN207" s="139"/>
      <c r="AO207" s="139"/>
      <c r="AP207" s="139"/>
      <c r="AQ207" s="139"/>
      <c r="AR207" s="139"/>
      <c r="AS207" s="139"/>
      <c r="AT207" s="139"/>
      <c r="AU207" s="139"/>
      <c r="AV207" s="139"/>
      <c r="AW207" s="139"/>
      <c r="AX207" s="139"/>
      <c r="AY207" s="139"/>
      <c r="AZ207" s="139"/>
      <c r="BA207" s="139"/>
      <c r="BB207" s="110"/>
      <c r="BC207" s="111"/>
    </row>
    <row r="208" spans="1:57">
      <c r="D208" s="84"/>
      <c r="E208" s="140"/>
      <c r="F208" s="140"/>
      <c r="G208" s="140"/>
      <c r="H208" s="140"/>
      <c r="I208" s="140"/>
      <c r="J208" s="140"/>
      <c r="K208" s="140"/>
      <c r="L208" s="140"/>
      <c r="M208" s="140"/>
      <c r="N208" s="140"/>
      <c r="O208" s="140"/>
      <c r="P208" s="141"/>
      <c r="Q208" s="140"/>
      <c r="R208" s="140"/>
      <c r="S208" s="140"/>
      <c r="T208" s="140"/>
      <c r="U208" s="140"/>
      <c r="V208" s="140"/>
      <c r="W208" s="140"/>
      <c r="X208" s="140"/>
      <c r="Y208" s="140"/>
      <c r="Z208" s="140"/>
      <c r="AA208" s="140"/>
      <c r="AB208" s="140"/>
      <c r="AC208" s="140"/>
      <c r="AD208" s="140"/>
      <c r="AE208" s="140"/>
      <c r="AF208" s="140"/>
      <c r="AG208" s="140"/>
      <c r="AH208" s="140"/>
      <c r="AI208" s="140"/>
      <c r="AJ208" s="140"/>
      <c r="AK208" s="140"/>
      <c r="AL208" s="140"/>
      <c r="AM208" s="140"/>
      <c r="AN208" s="140"/>
      <c r="AO208" s="140"/>
      <c r="AP208" s="140"/>
      <c r="AQ208" s="140"/>
      <c r="AR208" s="140"/>
      <c r="AS208" s="140"/>
      <c r="AT208" s="140"/>
      <c r="AU208" s="140"/>
      <c r="AV208" s="140"/>
      <c r="AW208" s="140"/>
      <c r="AX208" s="140"/>
      <c r="AY208" s="140"/>
      <c r="AZ208" s="140"/>
      <c r="BA208" s="140"/>
      <c r="BB208" s="85"/>
      <c r="BD208" s="84"/>
      <c r="BE208" s="84"/>
    </row>
    <row r="209" spans="1:57" s="95" customFormat="1">
      <c r="A209" s="232">
        <v>6</v>
      </c>
      <c r="B209" s="87" t="s">
        <v>471</v>
      </c>
      <c r="C209" s="87"/>
      <c r="E209" s="89"/>
      <c r="F209" s="89"/>
      <c r="G209" s="89"/>
      <c r="H209" s="89"/>
      <c r="I209" s="90"/>
      <c r="J209" s="90"/>
      <c r="K209" s="90">
        <f>'BS Raw'!F35</f>
        <v>73.830829320000007</v>
      </c>
      <c r="L209" s="90">
        <f>'BS Raw'!G35</f>
        <v>114.665589805</v>
      </c>
      <c r="M209" s="90">
        <f>'BS Raw'!H35</f>
        <v>95.103133615000004</v>
      </c>
      <c r="N209" s="90">
        <f>'BS Raw'!I35</f>
        <v>215.88388823899999</v>
      </c>
      <c r="O209" s="90">
        <f>'BS Raw'!J35</f>
        <v>451.66914876099997</v>
      </c>
      <c r="P209" s="90">
        <f>'BS Raw'!K35</f>
        <v>499.639397159</v>
      </c>
      <c r="Q209" s="91">
        <f>Q7*Q210</f>
        <v>715.10567180137173</v>
      </c>
      <c r="R209" s="91">
        <f t="shared" ref="R209:Z209" si="184">R7*R210</f>
        <v>841.92393402484561</v>
      </c>
      <c r="S209" s="91">
        <f t="shared" si="184"/>
        <v>961.72143341036758</v>
      </c>
      <c r="T209" s="91">
        <f t="shared" si="184"/>
        <v>1286.1490857138494</v>
      </c>
      <c r="U209" s="91">
        <f t="shared" si="184"/>
        <v>1404.8258378103051</v>
      </c>
      <c r="V209" s="91">
        <f t="shared" si="184"/>
        <v>1411.3727173778148</v>
      </c>
      <c r="W209" s="91">
        <f t="shared" si="184"/>
        <v>1559.350947280162</v>
      </c>
      <c r="X209" s="91">
        <f t="shared" si="184"/>
        <v>1715.1559060125137</v>
      </c>
      <c r="Y209" s="91">
        <f t="shared" si="184"/>
        <v>1934.7342624972723</v>
      </c>
      <c r="Z209" s="91">
        <f t="shared" si="184"/>
        <v>2096.1364814473559</v>
      </c>
      <c r="AA209" s="91"/>
      <c r="AB209" s="92"/>
      <c r="AC209" s="92"/>
      <c r="AD209" s="92"/>
      <c r="AE209" s="92"/>
      <c r="AF209" s="92"/>
      <c r="AG209" s="92"/>
      <c r="AH209" s="92"/>
      <c r="AI209" s="92"/>
      <c r="AJ209" s="92"/>
      <c r="AK209" s="92"/>
      <c r="AL209" s="92"/>
      <c r="AM209" s="92"/>
      <c r="AN209" s="92"/>
      <c r="AO209" s="92"/>
      <c r="AP209" s="92"/>
      <c r="AQ209" s="92"/>
      <c r="AR209" s="92"/>
      <c r="AS209" s="92"/>
      <c r="AT209" s="92"/>
      <c r="AU209" s="92"/>
      <c r="AV209" s="92"/>
      <c r="AW209" s="92"/>
      <c r="AX209" s="92"/>
      <c r="AY209" s="92"/>
      <c r="AZ209" s="92"/>
      <c r="BA209" s="92"/>
      <c r="BB209" s="93"/>
      <c r="BC209" s="94"/>
    </row>
    <row r="210" spans="1:57" s="150" customFormat="1">
      <c r="A210" s="159"/>
      <c r="B210" s="167" t="s">
        <v>319</v>
      </c>
      <c r="C210" s="167"/>
      <c r="E210" s="166"/>
      <c r="F210" s="166"/>
      <c r="G210" s="166"/>
      <c r="H210" s="166"/>
      <c r="I210" s="229"/>
      <c r="J210" s="229"/>
      <c r="K210" s="229">
        <f>IF(K$7,K209/K$7,0)</f>
        <v>1.0482915801334525E-2</v>
      </c>
      <c r="L210" s="229">
        <f t="shared" ref="L210:P210" si="185">IF(L$7,L209/L$7,0)</f>
        <v>1.5164848293730391E-2</v>
      </c>
      <c r="M210" s="229">
        <f t="shared" si="185"/>
        <v>9.6358073171462673E-3</v>
      </c>
      <c r="N210" s="229">
        <f t="shared" si="185"/>
        <v>1.3556690879530294E-2</v>
      </c>
      <c r="O210" s="229">
        <f t="shared" si="185"/>
        <v>3.5930761420900667E-2</v>
      </c>
      <c r="P210" s="229">
        <f t="shared" si="185"/>
        <v>3.7132491199936238E-2</v>
      </c>
      <c r="Q210" s="230">
        <f>AVERAGE(K210:P210)+2%</f>
        <v>4.0317252485429729E-2</v>
      </c>
      <c r="R210" s="230">
        <f t="shared" ref="R210:Z210" si="186">AVERAGE(L210:Q210)+2%</f>
        <v>4.5289641932778929E-2</v>
      </c>
      <c r="S210" s="230">
        <f t="shared" si="186"/>
        <v>5.0310440872620356E-2</v>
      </c>
      <c r="T210" s="230">
        <f t="shared" si="186"/>
        <v>5.708954646519937E-2</v>
      </c>
      <c r="U210" s="230">
        <f t="shared" si="186"/>
        <v>6.4345022396144216E-2</v>
      </c>
      <c r="V210" s="230">
        <f t="shared" si="186"/>
        <v>6.9080732558684813E-2</v>
      </c>
      <c r="W210" s="230">
        <f t="shared" si="186"/>
        <v>7.4405439451809566E-2</v>
      </c>
      <c r="X210" s="230">
        <f t="shared" si="186"/>
        <v>8.0086803946206195E-2</v>
      </c>
      <c r="Y210" s="230">
        <f t="shared" si="186"/>
        <v>8.5886330948444084E-2</v>
      </c>
      <c r="Z210" s="230">
        <f t="shared" si="186"/>
        <v>9.1815645961081382E-2</v>
      </c>
      <c r="AA210" s="230"/>
      <c r="AB210" s="299"/>
      <c r="AC210" s="299"/>
      <c r="AD210" s="299"/>
      <c r="AE210" s="299"/>
      <c r="AF210" s="299"/>
      <c r="AG210" s="299"/>
      <c r="AH210" s="299"/>
      <c r="AI210" s="299"/>
      <c r="AJ210" s="299"/>
      <c r="AK210" s="299"/>
      <c r="AL210" s="299"/>
      <c r="AM210" s="299"/>
      <c r="AN210" s="299"/>
      <c r="AO210" s="299"/>
      <c r="AP210" s="289"/>
      <c r="AQ210" s="289"/>
      <c r="AR210" s="289"/>
      <c r="AS210" s="289"/>
      <c r="AT210" s="289"/>
      <c r="AU210" s="289"/>
      <c r="AV210" s="289"/>
      <c r="AW210" s="289"/>
      <c r="AX210" s="289"/>
      <c r="AY210" s="289"/>
      <c r="AZ210" s="289"/>
      <c r="BA210" s="289"/>
      <c r="BB210" s="168"/>
      <c r="BC210" s="117"/>
    </row>
    <row r="211" spans="1:57" s="88" customFormat="1">
      <c r="A211" s="103"/>
      <c r="B211" s="104" t="s">
        <v>472</v>
      </c>
      <c r="C211" s="104"/>
      <c r="D211" s="105"/>
      <c r="E211" s="136"/>
      <c r="F211" s="136"/>
      <c r="G211" s="136"/>
      <c r="H211" s="136"/>
      <c r="I211" s="137"/>
      <c r="J211" s="137"/>
      <c r="K211" s="137">
        <f>IF(ISTEXT('BS Raw'!F11),'BS Raw'!F35/$B$1,Input!K209)</f>
        <v>73.830829320000007</v>
      </c>
      <c r="L211" s="137">
        <f>IF(ISTEXT('BS Raw'!G11),'BS Raw'!G35/$B$1,Input!L209)</f>
        <v>114.665589805</v>
      </c>
      <c r="M211" s="137">
        <f>IF(ISTEXT('BS Raw'!H11),'BS Raw'!H35/$B$1,Input!M209)</f>
        <v>95.103133615000004</v>
      </c>
      <c r="N211" s="137">
        <f>IF(ISTEXT('BS Raw'!I11),'BS Raw'!I35/$B$1,Input!N209)</f>
        <v>215.88388823899999</v>
      </c>
      <c r="O211" s="137">
        <f>IF(ISTEXT('BS Raw'!J11),'BS Raw'!J35/$B$1,Input!O209)</f>
        <v>451.66914876099997</v>
      </c>
      <c r="P211" s="137">
        <f>IF(ISTEXT('BS Raw'!K11),'BS Raw'!K35/$B$1,Input!P209)</f>
        <v>499.639397159</v>
      </c>
      <c r="Q211" s="138">
        <f>IF(ISTEXT('BS Raw'!Q11),'BS Raw'!Q35/$B$1,Input!Q209)</f>
        <v>715.10567180137173</v>
      </c>
      <c r="R211" s="138">
        <f>IF(ISTEXT('BS Raw'!R11),'BS Raw'!R35/$B$1,Input!R209)</f>
        <v>841.92393402484561</v>
      </c>
      <c r="S211" s="138">
        <f>IF(ISTEXT('BS Raw'!S11),'BS Raw'!S35/$B$1,Input!S209)</f>
        <v>961.72143341036758</v>
      </c>
      <c r="T211" s="138">
        <f>IF(ISTEXT('BS Raw'!T11),'BS Raw'!T35/$B$1,Input!T209)</f>
        <v>1286.1490857138494</v>
      </c>
      <c r="U211" s="138">
        <f>IF(ISTEXT('BS Raw'!U11),'BS Raw'!U35/$B$1,Input!U209)</f>
        <v>1404.8258378103051</v>
      </c>
      <c r="V211" s="138">
        <f>IF(ISTEXT('BS Raw'!V11),'BS Raw'!V35/$B$1,Input!V209)</f>
        <v>1411.3727173778148</v>
      </c>
      <c r="W211" s="138">
        <f>IF(ISTEXT('BS Raw'!W11),'BS Raw'!W35/$B$1,Input!W209)</f>
        <v>1559.350947280162</v>
      </c>
      <c r="X211" s="138">
        <f>IF(ISTEXT('BS Raw'!X11),'BS Raw'!X35/$B$1,Input!X209)</f>
        <v>1715.1559060125137</v>
      </c>
      <c r="Y211" s="138">
        <f>IF(ISTEXT('BS Raw'!Y11),'BS Raw'!Y35/$B$1,Input!Y209)</f>
        <v>1934.7342624972723</v>
      </c>
      <c r="Z211" s="138">
        <f>IF(ISTEXT('BS Raw'!Z11),'BS Raw'!Z35/$B$1,Input!Z209)</f>
        <v>2096.1364814473559</v>
      </c>
      <c r="AA211" s="138"/>
      <c r="AB211" s="139"/>
      <c r="AC211" s="139"/>
      <c r="AD211" s="139"/>
      <c r="AE211" s="139"/>
      <c r="AF211" s="139"/>
      <c r="AG211" s="139"/>
      <c r="AH211" s="139"/>
      <c r="AI211" s="139"/>
      <c r="AJ211" s="139"/>
      <c r="AK211" s="139"/>
      <c r="AL211" s="139"/>
      <c r="AM211" s="139"/>
      <c r="AN211" s="139"/>
      <c r="AO211" s="139"/>
      <c r="AP211" s="139"/>
      <c r="AQ211" s="139"/>
      <c r="AR211" s="139"/>
      <c r="AS211" s="139"/>
      <c r="AT211" s="139"/>
      <c r="AU211" s="139"/>
      <c r="AV211" s="139"/>
      <c r="AW211" s="139"/>
      <c r="AX211" s="139"/>
      <c r="AY211" s="139"/>
      <c r="AZ211" s="139"/>
      <c r="BA211" s="139"/>
      <c r="BB211" s="110"/>
      <c r="BC211" s="111"/>
    </row>
    <row r="212" spans="1:57" s="18" customFormat="1">
      <c r="A212" s="17"/>
      <c r="D212" s="151"/>
      <c r="E212" s="152"/>
      <c r="F212" s="152"/>
      <c r="G212" s="152"/>
      <c r="H212" s="152"/>
      <c r="I212" s="152"/>
      <c r="J212" s="152"/>
      <c r="K212" s="152"/>
      <c r="L212" s="152"/>
      <c r="M212" s="152"/>
      <c r="N212" s="124"/>
      <c r="O212" s="124"/>
      <c r="P212" s="125"/>
      <c r="Q212" s="124"/>
      <c r="R212" s="124"/>
      <c r="S212" s="124"/>
      <c r="T212" s="124"/>
      <c r="U212" s="124"/>
      <c r="V212" s="124"/>
      <c r="W212" s="124"/>
      <c r="X212" s="124"/>
      <c r="Y212" s="124"/>
      <c r="Z212" s="124"/>
      <c r="AA212" s="124"/>
      <c r="AB212" s="124"/>
      <c r="AC212" s="124"/>
      <c r="AD212" s="124"/>
      <c r="AE212" s="124"/>
      <c r="AF212" s="124"/>
      <c r="AG212" s="124"/>
      <c r="AH212" s="124"/>
      <c r="AI212" s="124"/>
      <c r="AJ212" s="124"/>
      <c r="AK212" s="124"/>
      <c r="AL212" s="124"/>
      <c r="AM212" s="124"/>
      <c r="AN212" s="124"/>
      <c r="AO212" s="124"/>
      <c r="AP212" s="124"/>
      <c r="AQ212" s="124"/>
      <c r="AR212" s="124"/>
      <c r="AS212" s="124"/>
      <c r="AT212" s="124"/>
      <c r="AU212" s="124"/>
      <c r="AV212" s="124"/>
      <c r="AW212" s="124"/>
      <c r="AX212" s="124"/>
      <c r="AY212" s="124"/>
      <c r="AZ212" s="124"/>
      <c r="BA212" s="124"/>
      <c r="BB212" s="227"/>
      <c r="BC212" s="94"/>
      <c r="BD212" s="151"/>
      <c r="BE212" s="151"/>
    </row>
    <row r="213" spans="1:57" s="95" customFormat="1">
      <c r="A213" s="86"/>
      <c r="B213" s="381" t="s">
        <v>473</v>
      </c>
      <c r="C213" s="381"/>
      <c r="E213" s="128"/>
      <c r="F213" s="128"/>
      <c r="G213" s="128"/>
      <c r="H213" s="128"/>
      <c r="I213" s="129"/>
      <c r="J213" s="129"/>
      <c r="K213" s="129">
        <f>K155+K160+K169+K182+K197+K209</f>
        <v>4250.0369588379999</v>
      </c>
      <c r="L213" s="129">
        <f t="shared" ref="L213:Z213" si="187">L155+L160+L169+L182+L197+L209</f>
        <v>3978.1921269389995</v>
      </c>
      <c r="M213" s="129">
        <f t="shared" si="187"/>
        <v>7276.2916494290002</v>
      </c>
      <c r="N213" s="129">
        <f t="shared" si="187"/>
        <v>11624.186590632</v>
      </c>
      <c r="O213" s="129">
        <f t="shared" si="187"/>
        <v>13504.495425085999</v>
      </c>
      <c r="P213" s="129">
        <f t="shared" si="187"/>
        <v>12920.862784796</v>
      </c>
      <c r="Q213" s="91">
        <f t="shared" ca="1" si="187"/>
        <v>15297.347559081849</v>
      </c>
      <c r="R213" s="91">
        <f t="shared" ca="1" si="187"/>
        <v>17215.695172798642</v>
      </c>
      <c r="S213" s="91">
        <f t="shared" ca="1" si="187"/>
        <v>18756.354978726322</v>
      </c>
      <c r="T213" s="91">
        <f t="shared" ca="1" si="187"/>
        <v>22997.091770266412</v>
      </c>
      <c r="U213" s="91">
        <f t="shared" ca="1" si="187"/>
        <v>25087.964642457468</v>
      </c>
      <c r="V213" s="91">
        <f t="shared" ca="1" si="187"/>
        <v>25889.882993975512</v>
      </c>
      <c r="W213" s="91">
        <f t="shared" ca="1" si="187"/>
        <v>27613.757849553625</v>
      </c>
      <c r="X213" s="91">
        <f t="shared" ca="1" si="187"/>
        <v>29375.291981517097</v>
      </c>
      <c r="Y213" s="91">
        <f t="shared" ca="1" si="187"/>
        <v>31319.417861242589</v>
      </c>
      <c r="Z213" s="91">
        <f t="shared" ca="1" si="187"/>
        <v>32601.571438886571</v>
      </c>
      <c r="AA213" s="91"/>
      <c r="AB213" s="92"/>
      <c r="AC213" s="92"/>
      <c r="AD213" s="92"/>
      <c r="AE213" s="92"/>
      <c r="AF213" s="92"/>
      <c r="AG213" s="92"/>
      <c r="AH213" s="92"/>
      <c r="AI213" s="92"/>
      <c r="AJ213" s="92"/>
      <c r="AK213" s="92"/>
      <c r="AL213" s="92"/>
      <c r="AM213" s="92"/>
      <c r="AN213" s="92"/>
      <c r="AO213" s="92"/>
      <c r="AP213" s="92"/>
      <c r="AQ213" s="92"/>
      <c r="AR213" s="92"/>
      <c r="AS213" s="92"/>
      <c r="AT213" s="92"/>
      <c r="AU213" s="92"/>
      <c r="AV213" s="92"/>
      <c r="AW213" s="92"/>
      <c r="AX213" s="92"/>
      <c r="AY213" s="92"/>
      <c r="AZ213" s="92"/>
      <c r="BA213" s="92"/>
      <c r="BB213" s="93"/>
      <c r="BC213" s="94"/>
    </row>
    <row r="214" spans="1:57" s="88" customFormat="1">
      <c r="A214" s="103"/>
      <c r="B214" s="104" t="s">
        <v>474</v>
      </c>
      <c r="C214" s="104"/>
      <c r="D214" s="105"/>
      <c r="E214" s="136"/>
      <c r="F214" s="136"/>
      <c r="G214" s="136"/>
      <c r="H214" s="136"/>
      <c r="I214" s="137"/>
      <c r="J214" s="137"/>
      <c r="K214" s="137">
        <f>K158+K166+K176+K195+K207+K211</f>
        <v>4250.0369588379999</v>
      </c>
      <c r="L214" s="137">
        <f t="shared" ref="L214:Z214" si="188">L158+L166+L176+L195+L207+L211</f>
        <v>3978.1921269389995</v>
      </c>
      <c r="M214" s="137">
        <f t="shared" si="188"/>
        <v>7276.2916494290002</v>
      </c>
      <c r="N214" s="137">
        <f t="shared" si="188"/>
        <v>11624.186590632</v>
      </c>
      <c r="O214" s="137">
        <f t="shared" si="188"/>
        <v>13504.495425085999</v>
      </c>
      <c r="P214" s="137">
        <f t="shared" si="188"/>
        <v>12920.862784796</v>
      </c>
      <c r="Q214" s="138">
        <f t="shared" ca="1" si="188"/>
        <v>15297.347559081849</v>
      </c>
      <c r="R214" s="138">
        <f t="shared" ca="1" si="188"/>
        <v>17215.695172798642</v>
      </c>
      <c r="S214" s="138">
        <f t="shared" ca="1" si="188"/>
        <v>18756.354978726322</v>
      </c>
      <c r="T214" s="138">
        <f t="shared" ca="1" si="188"/>
        <v>22997.091770266412</v>
      </c>
      <c r="U214" s="138">
        <f t="shared" ca="1" si="188"/>
        <v>25087.964642457468</v>
      </c>
      <c r="V214" s="138">
        <f t="shared" ca="1" si="188"/>
        <v>25889.882993975512</v>
      </c>
      <c r="W214" s="138">
        <f t="shared" ca="1" si="188"/>
        <v>27613.757849553625</v>
      </c>
      <c r="X214" s="138">
        <f t="shared" ca="1" si="188"/>
        <v>29375.291981517097</v>
      </c>
      <c r="Y214" s="138">
        <f t="shared" ca="1" si="188"/>
        <v>31319.417861242589</v>
      </c>
      <c r="Z214" s="138">
        <f t="shared" ca="1" si="188"/>
        <v>32601.571438886571</v>
      </c>
      <c r="AA214" s="138"/>
      <c r="AB214" s="139"/>
      <c r="AC214" s="139"/>
      <c r="AD214" s="139"/>
      <c r="AE214" s="139"/>
      <c r="AF214" s="139"/>
      <c r="AG214" s="139"/>
      <c r="AH214" s="139"/>
      <c r="AI214" s="139"/>
      <c r="AJ214" s="139"/>
      <c r="AK214" s="139"/>
      <c r="AL214" s="139"/>
      <c r="AM214" s="139"/>
      <c r="AN214" s="139"/>
      <c r="AO214" s="139"/>
      <c r="AP214" s="139"/>
      <c r="AQ214" s="139"/>
      <c r="AR214" s="139"/>
      <c r="AS214" s="139"/>
      <c r="AT214" s="139"/>
      <c r="AU214" s="139"/>
      <c r="AV214" s="139"/>
      <c r="AW214" s="139"/>
      <c r="AX214" s="139"/>
      <c r="AY214" s="139"/>
      <c r="AZ214" s="139"/>
      <c r="BA214" s="139"/>
      <c r="BB214" s="105"/>
      <c r="BC214" s="382"/>
    </row>
    <row r="215" spans="1:57" s="384" customFormat="1">
      <c r="A215" s="383"/>
      <c r="B215" s="384" t="s">
        <v>383</v>
      </c>
      <c r="D215" s="385"/>
      <c r="E215" s="386"/>
      <c r="F215" s="386"/>
      <c r="G215" s="386"/>
      <c r="H215" s="386"/>
      <c r="I215" s="387"/>
      <c r="J215" s="387"/>
      <c r="K215" s="387">
        <f>IF(ISTEXT('BS Raw'!F11),K214-'BS Raw'!F15/Input!$B$1,"Chưa có BCTC")</f>
        <v>0</v>
      </c>
      <c r="L215" s="387">
        <f>IF(ISTEXT('BS Raw'!G11),L214-'BS Raw'!G15/Input!$B$1,"Chưa có BCTC")</f>
        <v>-4.5474735088646412E-13</v>
      </c>
      <c r="M215" s="387">
        <f>IF(ISTEXT('BS Raw'!H11),M214-'BS Raw'!H15/Input!$B$1,"Chưa có BCTC")</f>
        <v>0</v>
      </c>
      <c r="N215" s="387">
        <f>IF(ISTEXT('BS Raw'!I11),N214-'BS Raw'!I15/Input!$B$1,"Chưa có BCTC")</f>
        <v>0</v>
      </c>
      <c r="O215" s="387">
        <f>IF(ISTEXT('BS Raw'!J11),O214-'BS Raw'!J15/Input!$B$1,"Chưa có BCTC")</f>
        <v>0</v>
      </c>
      <c r="P215" s="387">
        <f>IF(ISTEXT('BS Raw'!K11),P214-'BS Raw'!K15/Input!$B$1,"Chưa có BCTC")</f>
        <v>0</v>
      </c>
      <c r="Q215" s="1484" t="str">
        <f>IF(ISTEXT('BS Raw'!L11),Q214-'BS Raw'!L15/Input!$B$1,"Chưa có BCTC")</f>
        <v>Chưa có BCTC</v>
      </c>
      <c r="R215" s="1484" t="str">
        <f>IF(ISTEXT('BS Raw'!M11),R214-'BS Raw'!M15/Input!$B$1,"Chưa có BCTC")</f>
        <v>Chưa có BCTC</v>
      </c>
      <c r="S215" s="1484" t="str">
        <f>IF(ISTEXT('BS Raw'!N11),S214-'BS Raw'!N15/Input!$B$1,"Chưa có BCTC")</f>
        <v>Chưa có BCTC</v>
      </c>
      <c r="T215" s="1484" t="str">
        <f>IF(ISTEXT('BS Raw'!O11),T214-'BS Raw'!O15/Input!$B$1,"Chưa có BCTC")</f>
        <v>Chưa có BCTC</v>
      </c>
      <c r="U215" s="1484" t="str">
        <f>IF(ISTEXT('BS Raw'!P11),U214-'BS Raw'!P15/Input!$B$1,"Chưa có BCTC")</f>
        <v>Chưa có BCTC</v>
      </c>
      <c r="V215" s="1484" t="str">
        <f>IF(ISTEXT('BS Raw'!Q11),V214-'BS Raw'!Q15/Input!$B$1,"Chưa có BCTC")</f>
        <v>Chưa có BCTC</v>
      </c>
      <c r="W215" s="1484" t="str">
        <f>IF(ISTEXT('BS Raw'!R11),W214-'BS Raw'!R15/Input!$B$1,"Chưa có BCTC")</f>
        <v>Chưa có BCTC</v>
      </c>
      <c r="X215" s="1484" t="str">
        <f>IF(ISTEXT('BS Raw'!S11),X214-'BS Raw'!S15/Input!$B$1,"Chưa có BCTC")</f>
        <v>Chưa có BCTC</v>
      </c>
      <c r="Y215" s="1484" t="str">
        <f>IF(ISTEXT('BS Raw'!T11),Y214-'BS Raw'!T15/Input!$B$1,"Chưa có BCTC")</f>
        <v>Chưa có BCTC</v>
      </c>
      <c r="Z215" s="1484" t="str">
        <f>IF(ISTEXT('BS Raw'!U11),Z214-'BS Raw'!U15/Input!$B$1,"Chưa có BCTC")</f>
        <v>Chưa có BCTC</v>
      </c>
      <c r="AA215" s="1485"/>
      <c r="AB215" s="386"/>
      <c r="AC215" s="386"/>
      <c r="AD215" s="386"/>
      <c r="AE215" s="386"/>
      <c r="AF215" s="386"/>
      <c r="AG215" s="386"/>
      <c r="AH215" s="386"/>
      <c r="AI215" s="386"/>
      <c r="AJ215" s="386"/>
      <c r="AK215" s="386"/>
      <c r="AL215" s="386"/>
      <c r="AM215" s="386"/>
      <c r="AN215" s="386"/>
      <c r="AO215" s="386"/>
      <c r="AP215" s="386"/>
      <c r="AQ215" s="386"/>
      <c r="AR215" s="386"/>
      <c r="AS215" s="386"/>
      <c r="AT215" s="386"/>
      <c r="AU215" s="386"/>
      <c r="AV215" s="386"/>
      <c r="AW215" s="386"/>
      <c r="AX215" s="386"/>
      <c r="AY215" s="386"/>
      <c r="AZ215" s="386"/>
      <c r="BA215" s="386"/>
      <c r="BB215" s="385"/>
      <c r="BC215" s="388"/>
      <c r="BD215" s="385"/>
      <c r="BE215" s="385"/>
    </row>
    <row r="216" spans="1:57">
      <c r="A216" s="39"/>
      <c r="D216" s="84"/>
      <c r="E216" s="85"/>
      <c r="F216" s="85"/>
      <c r="G216" s="85"/>
      <c r="H216" s="85"/>
      <c r="I216" s="85"/>
      <c r="J216" s="85"/>
      <c r="K216" s="85"/>
      <c r="L216" s="85"/>
      <c r="M216" s="85"/>
      <c r="N216" s="85"/>
      <c r="O216" s="85"/>
      <c r="P216" s="264"/>
      <c r="Q216" s="85"/>
      <c r="R216" s="85"/>
      <c r="S216" s="85"/>
      <c r="T216" s="85"/>
      <c r="U216" s="85"/>
      <c r="V216" s="85"/>
      <c r="W216" s="85"/>
      <c r="X216" s="85"/>
      <c r="Y216" s="85"/>
      <c r="Z216" s="85"/>
      <c r="AA216" s="85"/>
      <c r="AB216" s="85"/>
      <c r="AC216" s="85"/>
      <c r="AD216" s="85"/>
      <c r="AE216" s="85"/>
      <c r="AF216" s="85"/>
      <c r="AG216" s="85"/>
      <c r="AH216" s="85"/>
      <c r="AI216" s="85"/>
      <c r="AJ216" s="85"/>
      <c r="AK216" s="85"/>
      <c r="AL216" s="85"/>
      <c r="AM216" s="85"/>
      <c r="AN216" s="85"/>
      <c r="AO216" s="85"/>
      <c r="AP216" s="85"/>
      <c r="AQ216" s="85"/>
      <c r="AR216" s="85"/>
      <c r="AS216" s="85"/>
      <c r="AT216" s="85"/>
      <c r="AU216" s="85"/>
      <c r="AV216" s="85"/>
      <c r="AW216" s="85"/>
      <c r="AX216" s="85"/>
      <c r="AY216" s="85"/>
      <c r="AZ216" s="85"/>
      <c r="BA216" s="85"/>
      <c r="BB216" s="85"/>
      <c r="BD216" s="84"/>
      <c r="BE216" s="84"/>
    </row>
    <row r="217" spans="1:57" ht="13.5" customHeight="1">
      <c r="A217" s="39">
        <v>7</v>
      </c>
      <c r="B217" s="5" t="s">
        <v>475</v>
      </c>
      <c r="D217" s="84"/>
      <c r="E217" s="41"/>
      <c r="F217" s="41"/>
      <c r="G217" s="41"/>
      <c r="H217" s="41"/>
      <c r="I217" s="190"/>
      <c r="J217" s="190"/>
      <c r="K217" s="190">
        <f>'BS Raw'!F42</f>
        <v>3.0000000000000001E-3</v>
      </c>
      <c r="L217" s="190">
        <f>'BS Raw'!G42</f>
        <v>3.0000000000000001E-3</v>
      </c>
      <c r="M217" s="190">
        <f>'BS Raw'!H42</f>
        <v>3.0000000000000001E-3</v>
      </c>
      <c r="N217" s="190">
        <f>'BS Raw'!I42</f>
        <v>0</v>
      </c>
      <c r="O217" s="190">
        <f>'BS Raw'!J42</f>
        <v>0</v>
      </c>
      <c r="P217" s="190">
        <f>'BS Raw'!K42</f>
        <v>0.51152601600000003</v>
      </c>
      <c r="Q217" s="91">
        <f>Q218*Q5</f>
        <v>0.1157117042920911</v>
      </c>
      <c r="R217" s="91">
        <f t="shared" ref="R217:Z217" si="189">R218*R5</f>
        <v>0.14016798215701534</v>
      </c>
      <c r="S217" s="91">
        <f t="shared" si="189"/>
        <v>0.16689211730316902</v>
      </c>
      <c r="T217" s="91">
        <f t="shared" si="189"/>
        <v>0.22832883523194145</v>
      </c>
      <c r="U217" s="91">
        <f t="shared" si="189"/>
        <v>0.25815489257612506</v>
      </c>
      <c r="V217" s="91">
        <f t="shared" si="189"/>
        <v>0.28184115093805934</v>
      </c>
      <c r="W217" s="91">
        <f t="shared" si="189"/>
        <v>0.20450541277825954</v>
      </c>
      <c r="X217" s="91">
        <f t="shared" si="189"/>
        <v>0.22052628298631355</v>
      </c>
      <c r="Y217" s="91">
        <f t="shared" si="189"/>
        <v>0.24231241538851803</v>
      </c>
      <c r="Z217" s="91">
        <f t="shared" si="189"/>
        <v>0.25328251343758607</v>
      </c>
      <c r="AA217" s="91"/>
      <c r="AB217" s="92"/>
      <c r="AC217" s="92"/>
      <c r="AD217" s="92"/>
      <c r="AE217" s="92"/>
      <c r="AF217" s="92"/>
      <c r="AG217" s="92"/>
      <c r="AH217" s="92"/>
      <c r="AI217" s="92"/>
      <c r="AJ217" s="92"/>
      <c r="AK217" s="92"/>
      <c r="AL217" s="92"/>
      <c r="AM217" s="92"/>
      <c r="AN217" s="92"/>
      <c r="AO217" s="92"/>
      <c r="AP217" s="92"/>
      <c r="AQ217" s="92"/>
      <c r="AR217" s="92"/>
      <c r="AS217" s="92"/>
      <c r="AT217" s="92"/>
      <c r="AU217" s="92"/>
      <c r="AV217" s="92"/>
      <c r="AW217" s="92"/>
      <c r="AX217" s="92"/>
      <c r="AY217" s="92"/>
      <c r="AZ217" s="92"/>
      <c r="BA217" s="92"/>
      <c r="BB217" s="200"/>
      <c r="BC217" s="94"/>
      <c r="BD217" s="84"/>
      <c r="BE217" s="84"/>
    </row>
    <row r="218" spans="1:57" s="150" customFormat="1">
      <c r="A218" s="159"/>
      <c r="B218" s="145" t="s">
        <v>319</v>
      </c>
      <c r="C218" s="145"/>
      <c r="I218" s="229"/>
      <c r="J218" s="229"/>
      <c r="K218" s="229">
        <f>K220/K7</f>
        <v>4.2595684883475143E-7</v>
      </c>
      <c r="L218" s="229">
        <f t="shared" ref="L218:P218" si="190">L220/L7</f>
        <v>3.9675847792314224E-7</v>
      </c>
      <c r="M218" s="229">
        <f t="shared" si="190"/>
        <v>3.03958669421587E-7</v>
      </c>
      <c r="N218" s="229">
        <f t="shared" si="190"/>
        <v>0</v>
      </c>
      <c r="O218" s="229">
        <f t="shared" si="190"/>
        <v>0</v>
      </c>
      <c r="P218" s="229">
        <f t="shared" si="190"/>
        <v>3.8015887849640326E-5</v>
      </c>
      <c r="Q218" s="230">
        <f>AVERAGE(K218:P218)</f>
        <v>6.5237603076366344E-6</v>
      </c>
      <c r="R218" s="230">
        <f t="shared" ref="R218:Z218" si="191">AVERAGE(L218:Q218)</f>
        <v>7.5400608841036142E-6</v>
      </c>
      <c r="S218" s="230">
        <f t="shared" si="191"/>
        <v>8.7306112851336915E-6</v>
      </c>
      <c r="T218" s="230">
        <f t="shared" si="191"/>
        <v>1.0135053387752376E-5</v>
      </c>
      <c r="U218" s="230">
        <f t="shared" si="191"/>
        <v>1.1824228952377774E-5</v>
      </c>
      <c r="V218" s="230">
        <f t="shared" si="191"/>
        <v>1.3794933777774068E-5</v>
      </c>
      <c r="W218" s="230">
        <f t="shared" si="191"/>
        <v>9.7581080991296931E-6</v>
      </c>
      <c r="X218" s="230">
        <f t="shared" si="191"/>
        <v>1.0297166064378536E-5</v>
      </c>
      <c r="Y218" s="230">
        <f t="shared" si="191"/>
        <v>1.0756683594424356E-5</v>
      </c>
      <c r="Z218" s="230">
        <f t="shared" si="191"/>
        <v>1.1094362312639466E-5</v>
      </c>
      <c r="AA218" s="230"/>
      <c r="AB218" s="289"/>
      <c r="AC218" s="289"/>
      <c r="AD218" s="289"/>
      <c r="AE218" s="289"/>
      <c r="AF218" s="289"/>
      <c r="AG218" s="289"/>
      <c r="AH218" s="289"/>
      <c r="AI218" s="289"/>
      <c r="AJ218" s="289"/>
      <c r="AK218" s="289"/>
      <c r="AL218" s="289"/>
      <c r="AM218" s="289"/>
      <c r="AN218" s="289"/>
      <c r="AO218" s="289"/>
      <c r="AP218" s="289"/>
      <c r="AQ218" s="289"/>
      <c r="AR218" s="289"/>
      <c r="AS218" s="289"/>
      <c r="AT218" s="289"/>
      <c r="AU218" s="289"/>
      <c r="AV218" s="289"/>
      <c r="AW218" s="289"/>
      <c r="AX218" s="289"/>
      <c r="AY218" s="289"/>
      <c r="AZ218" s="289"/>
      <c r="BA218" s="289"/>
      <c r="BB218" s="168"/>
      <c r="BC218" s="117"/>
    </row>
    <row r="219" spans="1:57" s="390" customFormat="1">
      <c r="A219" s="389"/>
      <c r="B219" s="145" t="s">
        <v>427</v>
      </c>
      <c r="C219" s="145"/>
      <c r="M219" s="391"/>
      <c r="N219" s="392"/>
      <c r="O219" s="392"/>
      <c r="P219" s="393"/>
      <c r="Q219" s="394"/>
      <c r="R219" s="394"/>
      <c r="S219" s="394"/>
      <c r="T219" s="394"/>
      <c r="U219" s="394"/>
      <c r="V219" s="394"/>
      <c r="W219" s="394"/>
      <c r="X219" s="394"/>
      <c r="Y219" s="394"/>
      <c r="Z219" s="394"/>
      <c r="AA219" s="394"/>
      <c r="AB219" s="394"/>
      <c r="AC219" s="394"/>
      <c r="AD219" s="394"/>
      <c r="AE219" s="394"/>
      <c r="AF219" s="394"/>
      <c r="AG219" s="394"/>
      <c r="AH219" s="394"/>
      <c r="AI219" s="394"/>
      <c r="AJ219" s="394"/>
      <c r="AK219" s="394"/>
      <c r="AL219" s="394"/>
      <c r="AM219" s="394"/>
      <c r="AN219" s="394"/>
      <c r="AO219" s="394"/>
      <c r="AP219" s="394"/>
      <c r="AQ219" s="394"/>
      <c r="AR219" s="394"/>
      <c r="AS219" s="394"/>
      <c r="AT219" s="394"/>
      <c r="AU219" s="394"/>
      <c r="AV219" s="394"/>
      <c r="AW219" s="394"/>
      <c r="AX219" s="394"/>
      <c r="AY219" s="394"/>
      <c r="AZ219" s="394"/>
      <c r="BA219" s="394"/>
      <c r="BB219" s="392"/>
      <c r="BC219" s="117"/>
    </row>
    <row r="220" spans="1:57" s="88" customFormat="1">
      <c r="A220" s="103"/>
      <c r="B220" s="104" t="s">
        <v>475</v>
      </c>
      <c r="C220" s="104"/>
      <c r="D220" s="105"/>
      <c r="E220" s="136"/>
      <c r="F220" s="136"/>
      <c r="G220" s="136"/>
      <c r="H220" s="136"/>
      <c r="I220" s="137"/>
      <c r="J220" s="137"/>
      <c r="K220" s="137">
        <f>IF(ISTEXT('BS Raw'!F11),'BS Raw'!F42/$B$1,Input!K217)</f>
        <v>3.0000000000000001E-3</v>
      </c>
      <c r="L220" s="137">
        <f>IF(ISTEXT('BS Raw'!G11),'BS Raw'!G42/$B$1,Input!L217)</f>
        <v>3.0000000000000001E-3</v>
      </c>
      <c r="M220" s="137">
        <f>IF(ISTEXT('BS Raw'!H11),'BS Raw'!H42/$B$1,Input!M217)</f>
        <v>3.0000000000000001E-3</v>
      </c>
      <c r="N220" s="137">
        <f>IF(ISTEXT('BS Raw'!I11),'BS Raw'!I42/$B$1,Input!N217)</f>
        <v>0</v>
      </c>
      <c r="O220" s="137">
        <f>IF(ISTEXT('BS Raw'!J11),'BS Raw'!J42/$B$1,Input!O217)</f>
        <v>0</v>
      </c>
      <c r="P220" s="137">
        <f>IF(ISTEXT('BS Raw'!K11),'BS Raw'!K42/$B$1,Input!P217)</f>
        <v>0.51152601600000003</v>
      </c>
      <c r="Q220" s="137">
        <f>IF(ISTEXT('BS Raw'!L11),'BS Raw'!L42/$B$1,Input!Q217)</f>
        <v>0.1157117042920911</v>
      </c>
      <c r="R220" s="137">
        <f>IF(ISTEXT('BS Raw'!M11),'BS Raw'!M42/$B$1,Input!R217)</f>
        <v>0.14016798215701534</v>
      </c>
      <c r="S220" s="137">
        <f>IF(ISTEXT('BS Raw'!N11),'BS Raw'!N42/$B$1,Input!S217)</f>
        <v>0.16689211730316902</v>
      </c>
      <c r="T220" s="137">
        <f>IF(ISTEXT('BS Raw'!O11),'BS Raw'!O42/$B$1,Input!T217)</f>
        <v>0.22832883523194145</v>
      </c>
      <c r="U220" s="137">
        <f>IF(ISTEXT('BS Raw'!P11),'BS Raw'!P42/$B$1,Input!U217)</f>
        <v>0.25815489257612506</v>
      </c>
      <c r="V220" s="137">
        <f>IF(ISTEXT('BS Raw'!Q11),'BS Raw'!Q42/$B$1,Input!V217)</f>
        <v>0.28184115093805934</v>
      </c>
      <c r="W220" s="137">
        <f>IF(ISTEXT('BS Raw'!R11),'BS Raw'!R42/$B$1,Input!W217)</f>
        <v>0.20450541277825954</v>
      </c>
      <c r="X220" s="137">
        <f>IF(ISTEXT('BS Raw'!S11),'BS Raw'!S42/$B$1,Input!X217)</f>
        <v>0.22052628298631355</v>
      </c>
      <c r="Y220" s="137">
        <f>IF(ISTEXT('BS Raw'!T11),'BS Raw'!T42/$B$1,Input!Y217)</f>
        <v>0.24231241538851803</v>
      </c>
      <c r="Z220" s="137">
        <f>IF(ISTEXT('BS Raw'!U11),'BS Raw'!U42/$B$1,Input!Z217)</f>
        <v>0.25328251343758607</v>
      </c>
      <c r="AA220" s="138"/>
      <c r="AB220" s="139"/>
      <c r="AC220" s="139"/>
      <c r="AD220" s="139"/>
      <c r="AE220" s="139"/>
      <c r="AF220" s="139"/>
      <c r="AG220" s="139"/>
      <c r="AH220" s="139"/>
      <c r="AI220" s="139"/>
      <c r="AJ220" s="139"/>
      <c r="AK220" s="139"/>
      <c r="AL220" s="139"/>
      <c r="AM220" s="139"/>
      <c r="AN220" s="139"/>
      <c r="AO220" s="139"/>
      <c r="AP220" s="139"/>
      <c r="AQ220" s="139"/>
      <c r="AR220" s="139"/>
      <c r="AS220" s="139"/>
      <c r="AT220" s="139"/>
      <c r="AU220" s="139"/>
      <c r="AV220" s="139"/>
      <c r="AW220" s="139"/>
      <c r="AX220" s="139"/>
      <c r="AY220" s="139"/>
      <c r="AZ220" s="139"/>
      <c r="BA220" s="139"/>
      <c r="BB220" s="110"/>
      <c r="BC220" s="382"/>
    </row>
    <row r="221" spans="1:57">
      <c r="A221" s="39"/>
      <c r="D221" s="84"/>
      <c r="E221" s="140"/>
      <c r="F221" s="140"/>
      <c r="G221" s="140"/>
      <c r="H221" s="140"/>
      <c r="I221" s="140"/>
      <c r="J221" s="140"/>
      <c r="K221" s="140"/>
      <c r="L221" s="140"/>
      <c r="M221" s="140"/>
      <c r="N221" s="140"/>
      <c r="O221" s="140"/>
      <c r="P221" s="141"/>
      <c r="Q221" s="140"/>
      <c r="R221" s="140"/>
      <c r="S221" s="140"/>
      <c r="T221" s="140"/>
      <c r="U221" s="140"/>
      <c r="V221" s="140"/>
      <c r="W221" s="140"/>
      <c r="X221" s="140"/>
      <c r="Y221" s="140"/>
      <c r="Z221" s="140"/>
      <c r="AA221" s="140"/>
      <c r="AB221" s="140"/>
      <c r="AC221" s="140"/>
      <c r="AD221" s="140"/>
      <c r="AE221" s="140"/>
      <c r="AF221" s="140"/>
      <c r="AG221" s="140"/>
      <c r="AH221" s="140"/>
      <c r="AI221" s="140"/>
      <c r="AJ221" s="140"/>
      <c r="AK221" s="140"/>
      <c r="AL221" s="140"/>
      <c r="AM221" s="140"/>
      <c r="AN221" s="140"/>
      <c r="AO221" s="140"/>
      <c r="AP221" s="140"/>
      <c r="AQ221" s="140"/>
      <c r="AR221" s="140"/>
      <c r="AS221" s="140"/>
      <c r="AT221" s="140"/>
      <c r="AU221" s="140"/>
      <c r="AV221" s="140"/>
      <c r="AW221" s="140"/>
      <c r="AX221" s="140"/>
      <c r="AY221" s="140"/>
      <c r="AZ221" s="140"/>
      <c r="BA221" s="140"/>
      <c r="BB221" s="85"/>
      <c r="BD221" s="84"/>
      <c r="BE221" s="84"/>
    </row>
    <row r="222" spans="1:57" s="95" customFormat="1">
      <c r="A222" s="86">
        <v>8</v>
      </c>
      <c r="B222" s="87" t="s">
        <v>476</v>
      </c>
      <c r="C222" s="87"/>
      <c r="E222" s="89"/>
      <c r="F222" s="89"/>
      <c r="G222" s="89"/>
      <c r="H222" s="89"/>
      <c r="I222" s="90"/>
      <c r="J222" s="90"/>
      <c r="K222" s="90">
        <f>'BS Raw'!F51</f>
        <v>5134.4875672569997</v>
      </c>
      <c r="L222" s="90">
        <f>'BS Raw'!G51</f>
        <v>3899.6310245270001</v>
      </c>
      <c r="M222" s="90">
        <f>'BS Raw'!H51</f>
        <v>3366.6880868059998</v>
      </c>
      <c r="N222" s="90">
        <f>'BS Raw'!I51</f>
        <v>2159.6449481770001</v>
      </c>
      <c r="O222" s="90">
        <f>'BS Raw'!J51</f>
        <v>1249.7676991010001</v>
      </c>
      <c r="P222" s="90">
        <f>'BS Raw'!K51</f>
        <v>1571.196451367</v>
      </c>
      <c r="Q222" s="91">
        <f>'LT. Asset'!Q41</f>
        <v>1362.4554136632614</v>
      </c>
      <c r="R222" s="91">
        <f>'LT. Asset'!R41</f>
        <v>1055.8317323962074</v>
      </c>
      <c r="S222" s="91">
        <f>'LT. Asset'!S41</f>
        <v>1344.8052124684946</v>
      </c>
      <c r="T222" s="91">
        <f>'LT. Asset'!T41</f>
        <v>1991.0247798095879</v>
      </c>
      <c r="U222" s="91">
        <f>'LT. Asset'!U41</f>
        <v>2087.4996383659745</v>
      </c>
      <c r="V222" s="91">
        <f>'LT. Asset'!V41</f>
        <v>2099.9839488508114</v>
      </c>
      <c r="W222" s="91">
        <f>'LT. Asset'!W41</f>
        <v>2043.1077933541928</v>
      </c>
      <c r="X222" s="91">
        <f>'LT. Asset'!X41</f>
        <v>1991.7645263121085</v>
      </c>
      <c r="Y222" s="91">
        <f>'LT. Asset'!Y41</f>
        <v>1959.2439304419931</v>
      </c>
      <c r="Z222" s="91">
        <f>'LT. Asset'!Z41</f>
        <v>1894.8945027264017</v>
      </c>
      <c r="AA222" s="91"/>
      <c r="AB222" s="92"/>
      <c r="AC222" s="92"/>
      <c r="AD222" s="92"/>
      <c r="AE222" s="92"/>
      <c r="AF222" s="92"/>
      <c r="AG222" s="92"/>
      <c r="AH222" s="92"/>
      <c r="AI222" s="92"/>
      <c r="AJ222" s="92"/>
      <c r="AK222" s="92"/>
      <c r="AL222" s="92"/>
      <c r="AM222" s="92"/>
      <c r="AN222" s="92"/>
      <c r="AO222" s="92"/>
      <c r="AP222" s="92"/>
      <c r="AQ222" s="92"/>
      <c r="AR222" s="92"/>
      <c r="AS222" s="92"/>
      <c r="AT222" s="92"/>
      <c r="AU222" s="92"/>
      <c r="AV222" s="92"/>
      <c r="AW222" s="92"/>
      <c r="AX222" s="92"/>
      <c r="AY222" s="92"/>
      <c r="AZ222" s="92"/>
      <c r="BA222" s="92"/>
      <c r="BB222" s="93"/>
      <c r="BC222" s="94"/>
    </row>
    <row r="223" spans="1:57">
      <c r="A223" s="39"/>
      <c r="B223" s="118" t="s">
        <v>477</v>
      </c>
      <c r="C223" s="118"/>
      <c r="D223" s="84"/>
      <c r="E223" s="41"/>
      <c r="F223" s="41"/>
      <c r="G223" s="41"/>
      <c r="H223" s="41"/>
      <c r="I223" s="41"/>
      <c r="J223" s="41"/>
      <c r="K223" s="41"/>
      <c r="L223" s="41"/>
      <c r="M223" s="41"/>
      <c r="N223" s="128"/>
      <c r="O223" s="128"/>
      <c r="P223" s="265"/>
      <c r="Q223" s="91">
        <f>'LT. Asset'!Q24+'LT. Asset'!Q25</f>
        <v>579.33854738428408</v>
      </c>
      <c r="R223" s="91">
        <f>'LT. Asset'!R24+'LT. Asset'!R25</f>
        <v>525.22462235014962</v>
      </c>
      <c r="S223" s="91">
        <f>'LT. Asset'!S24+'LT. Asset'!S25</f>
        <v>515.57903633289834</v>
      </c>
      <c r="T223" s="91">
        <f>'LT. Asset'!T24+'LT. Asset'!T25</f>
        <v>852.25245583276751</v>
      </c>
      <c r="U223" s="91">
        <f>'LT. Asset'!U24+'LT. Asset'!U25</f>
        <v>330.00845132515593</v>
      </c>
      <c r="V223" s="91">
        <f>'LT. Asset'!V24+'LT. Asset'!V25</f>
        <v>268.38316718575459</v>
      </c>
      <c r="W223" s="91">
        <f>'LT. Asset'!W24+'LT. Asset'!W25</f>
        <v>217.11567404105341</v>
      </c>
      <c r="X223" s="91">
        <f>'LT. Asset'!X24+'LT. Asset'!X25</f>
        <v>242.88934090427475</v>
      </c>
      <c r="Y223" s="91">
        <f>'LT. Asset'!Y24+'LT. Asset'!Y25</f>
        <v>285.50401317408762</v>
      </c>
      <c r="Z223" s="91">
        <f>'LT. Asset'!Z24+'LT. Asset'!Z25</f>
        <v>276.73656144939304</v>
      </c>
      <c r="AA223" s="91"/>
      <c r="AB223" s="92"/>
      <c r="AC223" s="92"/>
      <c r="AD223" s="92"/>
      <c r="AE223" s="92"/>
      <c r="AF223" s="92"/>
      <c r="AG223" s="92"/>
      <c r="AH223" s="92"/>
      <c r="AI223" s="92"/>
      <c r="AJ223" s="92"/>
      <c r="AK223" s="92"/>
      <c r="AL223" s="92"/>
      <c r="AM223" s="92"/>
      <c r="AN223" s="92"/>
      <c r="AO223" s="92"/>
      <c r="AP223" s="92"/>
      <c r="AQ223" s="92"/>
      <c r="AR223" s="92"/>
      <c r="AS223" s="92"/>
      <c r="AT223" s="92"/>
      <c r="AU223" s="92"/>
      <c r="AV223" s="92"/>
      <c r="AW223" s="92"/>
      <c r="AX223" s="92"/>
      <c r="AY223" s="92"/>
      <c r="AZ223" s="92"/>
      <c r="BA223" s="92"/>
      <c r="BB223" s="200"/>
      <c r="BC223" s="94"/>
      <c r="BD223" s="84"/>
      <c r="BE223" s="84"/>
    </row>
    <row r="224" spans="1:57" s="47" customFormat="1">
      <c r="A224" s="345"/>
      <c r="B224" s="346" t="s">
        <v>319</v>
      </c>
      <c r="C224" s="346"/>
      <c r="E224" s="395"/>
      <c r="F224" s="395"/>
      <c r="G224" s="395"/>
      <c r="H224" s="395"/>
      <c r="I224" s="395"/>
      <c r="J224" s="395"/>
      <c r="K224" s="395">
        <f>IF(K$7,K223/K$7,0)</f>
        <v>0</v>
      </c>
      <c r="L224" s="395">
        <f t="shared" ref="L224:P224" si="192">IF(L$7,L223/L$7,0)</f>
        <v>0</v>
      </c>
      <c r="M224" s="395">
        <f t="shared" si="192"/>
        <v>0</v>
      </c>
      <c r="N224" s="395">
        <f t="shared" si="192"/>
        <v>0</v>
      </c>
      <c r="O224" s="395">
        <f t="shared" si="192"/>
        <v>0</v>
      </c>
      <c r="P224" s="395">
        <f t="shared" si="192"/>
        <v>0</v>
      </c>
      <c r="Q224" s="396">
        <f>IF(Q$7,Q223/Q$7,0)</f>
        <v>3.2662778957683936E-2</v>
      </c>
      <c r="R224" s="396">
        <f t="shared" ref="R224:Z224" si="193">IF(R$7,R223/R$7,0)</f>
        <v>2.8253425421464903E-2</v>
      </c>
      <c r="S224" s="396">
        <f t="shared" si="193"/>
        <v>2.6971436552689014E-2</v>
      </c>
      <c r="T224" s="396">
        <f t="shared" si="193"/>
        <v>3.7829756066218641E-2</v>
      </c>
      <c r="U224" s="396">
        <f t="shared" si="193"/>
        <v>1.5115326483838011E-2</v>
      </c>
      <c r="V224" s="396">
        <f t="shared" si="193"/>
        <v>1.3136222322660108E-2</v>
      </c>
      <c r="W224" s="396">
        <f t="shared" si="193"/>
        <v>1.0359814874950015E-2</v>
      </c>
      <c r="X224" s="396">
        <f t="shared" si="193"/>
        <v>1.1341377747313643E-2</v>
      </c>
      <c r="Y224" s="396">
        <f t="shared" si="193"/>
        <v>1.2674036242542224E-2</v>
      </c>
      <c r="Z224" s="396">
        <f t="shared" si="193"/>
        <v>1.2121704085308459E-2</v>
      </c>
      <c r="AA224" s="396"/>
      <c r="AB224" s="397"/>
      <c r="AC224" s="397"/>
      <c r="AD224" s="397"/>
      <c r="AE224" s="397"/>
      <c r="AF224" s="397"/>
      <c r="AG224" s="397"/>
      <c r="AH224" s="397"/>
      <c r="AI224" s="397"/>
      <c r="AJ224" s="397"/>
      <c r="AK224" s="397"/>
      <c r="AL224" s="397"/>
      <c r="AM224" s="397"/>
      <c r="AN224" s="397"/>
      <c r="AO224" s="397"/>
      <c r="AP224" s="397"/>
      <c r="AQ224" s="397"/>
      <c r="AR224" s="397"/>
      <c r="AS224" s="397"/>
      <c r="AT224" s="397"/>
      <c r="AU224" s="397"/>
      <c r="AV224" s="397"/>
      <c r="AW224" s="397"/>
      <c r="AX224" s="397"/>
      <c r="AY224" s="397"/>
      <c r="AZ224" s="397"/>
      <c r="BA224" s="397"/>
      <c r="BC224" s="363"/>
    </row>
    <row r="225" spans="1:57">
      <c r="A225" s="39"/>
      <c r="B225" s="118" t="s">
        <v>478</v>
      </c>
      <c r="C225" s="118"/>
      <c r="D225" s="84"/>
      <c r="E225" s="41"/>
      <c r="F225" s="41"/>
      <c r="G225" s="41"/>
      <c r="H225" s="41"/>
      <c r="I225" s="41"/>
      <c r="J225" s="41"/>
      <c r="K225" s="41"/>
      <c r="L225" s="41"/>
      <c r="M225" s="41"/>
      <c r="N225" s="41"/>
      <c r="O225" s="41"/>
      <c r="P225" s="268"/>
      <c r="Q225" s="177">
        <f>'LT. Asset'!Q35+'LT. Asset'!Q36</f>
        <v>788.07958508802369</v>
      </c>
      <c r="R225" s="177">
        <f>'LT. Asset'!R35+'LT. Asset'!R36</f>
        <v>831.84830361720287</v>
      </c>
      <c r="S225" s="177">
        <f>'LT. Asset'!S35+'LT. Asset'!S36</f>
        <v>226.6055562606137</v>
      </c>
      <c r="T225" s="177">
        <f>'LT. Asset'!T35+'LT. Asset'!T36</f>
        <v>206.03288849167495</v>
      </c>
      <c r="U225" s="177">
        <f>'LT. Asset'!U35+'LT. Asset'!U36</f>
        <v>233.53359276877129</v>
      </c>
      <c r="V225" s="177">
        <f>'LT. Asset'!V35+'LT. Asset'!V36</f>
        <v>255.89885670091749</v>
      </c>
      <c r="W225" s="177">
        <f>'LT. Asset'!W35+'LT. Asset'!W36</f>
        <v>273.99182953767195</v>
      </c>
      <c r="X225" s="177">
        <f>'LT. Asset'!X35+'LT. Asset'!X36</f>
        <v>294.2326079463615</v>
      </c>
      <c r="Y225" s="177">
        <f>'LT. Asset'!Y35+'LT. Asset'!Y36</f>
        <v>318.02460904420212</v>
      </c>
      <c r="Z225" s="177">
        <f>'LT. Asset'!Z35+'LT. Asset'!Z36</f>
        <v>341.08598916498488</v>
      </c>
      <c r="AA225" s="177"/>
      <c r="AB225" s="178"/>
      <c r="AC225" s="178"/>
      <c r="AD225" s="178"/>
      <c r="AE225" s="178"/>
      <c r="AF225" s="178"/>
      <c r="AG225" s="178"/>
      <c r="AH225" s="178"/>
      <c r="AI225" s="178"/>
      <c r="AJ225" s="178"/>
      <c r="AK225" s="178"/>
      <c r="AL225" s="178"/>
      <c r="AM225" s="178"/>
      <c r="AN225" s="178"/>
      <c r="AO225" s="178"/>
      <c r="AP225" s="178"/>
      <c r="AQ225" s="178"/>
      <c r="AR225" s="178"/>
      <c r="AS225" s="178"/>
      <c r="AT225" s="178"/>
      <c r="AU225" s="178"/>
      <c r="AV225" s="178"/>
      <c r="AW225" s="178"/>
      <c r="AX225" s="178"/>
      <c r="AY225" s="178"/>
      <c r="AZ225" s="178"/>
      <c r="BA225" s="178"/>
      <c r="BB225" s="85"/>
      <c r="BD225" s="84"/>
      <c r="BE225" s="84"/>
    </row>
    <row r="226" spans="1:57" s="88" customFormat="1">
      <c r="A226" s="103"/>
      <c r="B226" s="104" t="s">
        <v>479</v>
      </c>
      <c r="C226" s="104"/>
      <c r="D226" s="105"/>
      <c r="E226" s="136"/>
      <c r="F226" s="136"/>
      <c r="G226" s="136"/>
      <c r="H226" s="136"/>
      <c r="I226" s="137"/>
      <c r="J226" s="137"/>
      <c r="K226" s="137">
        <f>IF(ISTEXT('BS Raw'!F11),'BS Raw'!F51/Input!$B$1,Input!K222)</f>
        <v>5134.4875672569997</v>
      </c>
      <c r="L226" s="137">
        <f>IF(ISTEXT('BS Raw'!G11),'BS Raw'!G51/Input!$B$1,Input!L222)</f>
        <v>3899.6310245270001</v>
      </c>
      <c r="M226" s="137">
        <f>IF(ISTEXT('BS Raw'!H11),'BS Raw'!H51/Input!$B$1,Input!M222)</f>
        <v>3366.6880868059998</v>
      </c>
      <c r="N226" s="137">
        <f>IF(ISTEXT('BS Raw'!I11),'BS Raw'!I51/Input!$B$1,Input!N222)</f>
        <v>2159.6449481770001</v>
      </c>
      <c r="O226" s="137">
        <f>IF(ISTEXT('BS Raw'!J11),'BS Raw'!J51/Input!$B$1,Input!O222)</f>
        <v>1249.7676991010001</v>
      </c>
      <c r="P226" s="137">
        <f>IF(ISTEXT('BS Raw'!K11),'BS Raw'!K51/Input!$B$1,Input!P222)</f>
        <v>1571.196451367</v>
      </c>
      <c r="Q226" s="138">
        <f>IF(ISTEXT('BS Raw'!Q11),'BS Raw'!Q51/Input!$B$1,Input!Q222)</f>
        <v>1362.4554136632614</v>
      </c>
      <c r="R226" s="138">
        <f>IF(ISTEXT('BS Raw'!R11),'BS Raw'!R51/Input!$B$1,Input!R222)</f>
        <v>1055.8317323962074</v>
      </c>
      <c r="S226" s="138">
        <f>IF(ISTEXT('BS Raw'!S11),'BS Raw'!S51/Input!$B$1,Input!S222)</f>
        <v>1344.8052124684946</v>
      </c>
      <c r="T226" s="138">
        <f>IF(ISTEXT('BS Raw'!T11),'BS Raw'!T51/Input!$B$1,Input!T222)</f>
        <v>1991.0247798095879</v>
      </c>
      <c r="U226" s="138">
        <f>IF(ISTEXT('BS Raw'!U11),'BS Raw'!U51/Input!$B$1,Input!U222)</f>
        <v>2087.4996383659745</v>
      </c>
      <c r="V226" s="138">
        <f>IF(ISTEXT('BS Raw'!V11),'BS Raw'!V51/Input!$B$1,Input!V222)</f>
        <v>2099.9839488508114</v>
      </c>
      <c r="W226" s="138">
        <f>IF(ISTEXT('BS Raw'!W11),'BS Raw'!W51/Input!$B$1,Input!W222)</f>
        <v>2043.1077933541928</v>
      </c>
      <c r="X226" s="138">
        <f>IF(ISTEXT('BS Raw'!X11),'BS Raw'!X51/Input!$B$1,Input!X222)</f>
        <v>1991.7645263121085</v>
      </c>
      <c r="Y226" s="138">
        <f>IF(ISTEXT('BS Raw'!Y11),'BS Raw'!Y51/Input!$B$1,Input!Y222)</f>
        <v>1959.2439304419931</v>
      </c>
      <c r="Z226" s="138">
        <f>IF(ISTEXT('BS Raw'!Z11),'BS Raw'!Z51/Input!$B$1,Input!Z222)</f>
        <v>1894.8945027264017</v>
      </c>
      <c r="AA226" s="138"/>
      <c r="AB226" s="139"/>
      <c r="AC226" s="139"/>
      <c r="AD226" s="139"/>
      <c r="AE226" s="139"/>
      <c r="AF226" s="139"/>
      <c r="AG226" s="139"/>
      <c r="AH226" s="139"/>
      <c r="AI226" s="139"/>
      <c r="AJ226" s="139"/>
      <c r="AK226" s="139"/>
      <c r="AL226" s="139"/>
      <c r="AM226" s="139"/>
      <c r="AN226" s="139"/>
      <c r="AO226" s="139"/>
      <c r="AP226" s="139"/>
      <c r="AQ226" s="139"/>
      <c r="AR226" s="139"/>
      <c r="AS226" s="139"/>
      <c r="AT226" s="139"/>
      <c r="AU226" s="139"/>
      <c r="AV226" s="139"/>
      <c r="AW226" s="139"/>
      <c r="AX226" s="139"/>
      <c r="AY226" s="139"/>
      <c r="AZ226" s="139"/>
      <c r="BA226" s="139"/>
      <c r="BB226" s="110"/>
      <c r="BC226" s="111"/>
    </row>
    <row r="227" spans="1:57">
      <c r="A227" s="39"/>
      <c r="B227" s="118"/>
      <c r="C227" s="118"/>
      <c r="D227" s="84"/>
      <c r="E227" s="140"/>
      <c r="F227" s="140"/>
      <c r="G227" s="140"/>
      <c r="H227" s="140"/>
      <c r="I227" s="140"/>
      <c r="J227" s="140"/>
      <c r="K227" s="140"/>
      <c r="L227" s="140"/>
      <c r="M227" s="140"/>
      <c r="N227" s="140"/>
      <c r="O227" s="140"/>
      <c r="P227" s="141"/>
      <c r="Q227" s="140"/>
      <c r="R227" s="140"/>
      <c r="S227" s="140"/>
      <c r="T227" s="140"/>
      <c r="U227" s="140"/>
      <c r="V227" s="140"/>
      <c r="W227" s="140"/>
      <c r="X227" s="140"/>
      <c r="Y227" s="140"/>
      <c r="Z227" s="140"/>
      <c r="AA227" s="140"/>
      <c r="AB227" s="140"/>
      <c r="AC227" s="140"/>
      <c r="AD227" s="140"/>
      <c r="AE227" s="140"/>
      <c r="AF227" s="140"/>
      <c r="AG227" s="140"/>
      <c r="AH227" s="140"/>
      <c r="AI227" s="140"/>
      <c r="AJ227" s="140"/>
      <c r="AK227" s="140"/>
      <c r="AL227" s="140"/>
      <c r="AM227" s="140"/>
      <c r="AN227" s="140"/>
      <c r="AO227" s="140"/>
      <c r="AP227" s="140"/>
      <c r="AQ227" s="140"/>
      <c r="AR227" s="140"/>
      <c r="AS227" s="140"/>
      <c r="AT227" s="140"/>
      <c r="AU227" s="140"/>
      <c r="AV227" s="140"/>
      <c r="AW227" s="140"/>
      <c r="AX227" s="140"/>
      <c r="AY227" s="140"/>
      <c r="AZ227" s="140"/>
      <c r="BA227" s="140"/>
      <c r="BB227" s="85"/>
      <c r="BD227" s="84"/>
      <c r="BE227" s="84"/>
    </row>
    <row r="228" spans="1:57">
      <c r="A228" s="39">
        <v>9</v>
      </c>
      <c r="B228" s="5" t="s">
        <v>480</v>
      </c>
      <c r="D228" s="84"/>
      <c r="E228" s="41"/>
      <c r="F228" s="41"/>
      <c r="G228" s="41"/>
      <c r="H228" s="41"/>
      <c r="I228" s="190"/>
      <c r="J228" s="190"/>
      <c r="K228" s="190">
        <f>'BS Raw'!F57</f>
        <v>53.148677360999997</v>
      </c>
      <c r="L228" s="190">
        <f>'BS Raw'!G57</f>
        <v>55.797572195999997</v>
      </c>
      <c r="M228" s="190">
        <f>'BS Raw'!H57</f>
        <v>38.935203139000002</v>
      </c>
      <c r="N228" s="190">
        <f>'BS Raw'!I57</f>
        <v>47.207630471999998</v>
      </c>
      <c r="O228" s="190">
        <f>'BS Raw'!J57</f>
        <v>350.40774098100002</v>
      </c>
      <c r="P228" s="190">
        <f>'BS Raw'!K57</f>
        <v>363.78572410300001</v>
      </c>
      <c r="Q228" s="198">
        <f>'LT. Asset'!Q108</f>
        <v>445.32655525121618</v>
      </c>
      <c r="R228" s="198">
        <f>'LT. Asset'!R108</f>
        <v>464.07593457728149</v>
      </c>
      <c r="S228" s="198">
        <f>'LT. Asset'!S108</f>
        <v>433.09784409652923</v>
      </c>
      <c r="T228" s="198">
        <f>'LT. Asset'!T108</f>
        <v>469.43540202227246</v>
      </c>
      <c r="U228" s="198">
        <f>'LT. Asset'!U108</f>
        <v>403.12369017596325</v>
      </c>
      <c r="V228" s="198">
        <f>'LT. Asset'!V108</f>
        <v>342.50330405832415</v>
      </c>
      <c r="W228" s="198">
        <f>'LT. Asset'!W108</f>
        <v>325.8403884756267</v>
      </c>
      <c r="X228" s="198">
        <f>'LT. Asset'!X108</f>
        <v>294.0570765171658</v>
      </c>
      <c r="Y228" s="198">
        <f>'LT. Asset'!Y108</f>
        <v>272.38546965652267</v>
      </c>
      <c r="Z228" s="198">
        <f>'LT. Asset'!Z108</f>
        <v>242.86699132716512</v>
      </c>
      <c r="AA228" s="198"/>
      <c r="AB228" s="194"/>
      <c r="AC228" s="194"/>
      <c r="AD228" s="194"/>
      <c r="AE228" s="194"/>
      <c r="AF228" s="194"/>
      <c r="AG228" s="194"/>
      <c r="AH228" s="194"/>
      <c r="AI228" s="194"/>
      <c r="AJ228" s="194"/>
      <c r="AK228" s="194"/>
      <c r="AL228" s="194"/>
      <c r="AM228" s="194"/>
      <c r="AN228" s="194"/>
      <c r="AO228" s="194"/>
      <c r="AP228" s="194"/>
      <c r="AQ228" s="194"/>
      <c r="AR228" s="194"/>
      <c r="AS228" s="194"/>
      <c r="AT228" s="194"/>
      <c r="AU228" s="194"/>
      <c r="AV228" s="194"/>
      <c r="AW228" s="194"/>
      <c r="AX228" s="194"/>
      <c r="AY228" s="194"/>
      <c r="AZ228" s="194"/>
      <c r="BA228" s="194"/>
      <c r="BB228" s="85"/>
      <c r="BC228" s="94"/>
      <c r="BD228" s="84"/>
      <c r="BE228" s="84"/>
    </row>
    <row r="229" spans="1:57">
      <c r="A229" s="39"/>
      <c r="B229" s="118" t="s">
        <v>477</v>
      </c>
      <c r="C229" s="118"/>
      <c r="D229" s="84"/>
      <c r="E229" s="41"/>
      <c r="F229" s="41"/>
      <c r="G229" s="41"/>
      <c r="H229" s="41"/>
      <c r="I229" s="41"/>
      <c r="J229" s="41"/>
      <c r="K229" s="41"/>
      <c r="L229" s="41"/>
      <c r="M229" s="41"/>
      <c r="N229" s="140"/>
      <c r="O229" s="140"/>
      <c r="P229" s="141"/>
      <c r="Q229" s="198">
        <f>'LT. Asset'!Q92+'LT. Asset'!Q93</f>
        <v>158.72288969432441</v>
      </c>
      <c r="R229" s="198">
        <f>'LT. Asset'!R92+'LT. Asset'!R93</f>
        <v>143.89715680826018</v>
      </c>
      <c r="S229" s="198">
        <f>'LT. Asset'!S92+'LT. Asset'!S93</f>
        <v>141.25453050216393</v>
      </c>
      <c r="T229" s="198">
        <f>'LT. Asset'!T92+'LT. Asset'!T93</f>
        <v>233.49382351582673</v>
      </c>
      <c r="U229" s="198">
        <f>'LT. Asset'!U92+'LT. Asset'!U93</f>
        <v>90.413274335659167</v>
      </c>
      <c r="V229" s="198">
        <f>'LT. Asset'!V92+'LT. Asset'!V93</f>
        <v>73.529634845412218</v>
      </c>
      <c r="W229" s="198">
        <f>'LT. Asset'!W92+'LT. Asset'!W93</f>
        <v>59.48374631261737</v>
      </c>
      <c r="X229" s="198">
        <f>'LT. Asset'!X92+'LT. Asset'!X93</f>
        <v>66.545024905280755</v>
      </c>
      <c r="Y229" s="198">
        <f>'LT. Asset'!Y92+'LT. Asset'!Y93</f>
        <v>78.220277581941815</v>
      </c>
      <c r="Z229" s="198">
        <f>'LT. Asset'!Z92+'LT. Asset'!Z93</f>
        <v>75.818236013532342</v>
      </c>
      <c r="AA229" s="198"/>
      <c r="AB229" s="194"/>
      <c r="AC229" s="194"/>
      <c r="AD229" s="194"/>
      <c r="AE229" s="194"/>
      <c r="AF229" s="194"/>
      <c r="AG229" s="194"/>
      <c r="AH229" s="194"/>
      <c r="AI229" s="194"/>
      <c r="AJ229" s="194"/>
      <c r="AK229" s="194"/>
      <c r="AL229" s="194"/>
      <c r="AM229" s="194"/>
      <c r="AN229" s="194"/>
      <c r="AO229" s="194"/>
      <c r="AP229" s="194"/>
      <c r="AQ229" s="194"/>
      <c r="AR229" s="194"/>
      <c r="AS229" s="194"/>
      <c r="AT229" s="194"/>
      <c r="AU229" s="194"/>
      <c r="AV229" s="194"/>
      <c r="AW229" s="194"/>
      <c r="AX229" s="194"/>
      <c r="AY229" s="194"/>
      <c r="AZ229" s="194"/>
      <c r="BA229" s="194"/>
      <c r="BB229" s="85"/>
      <c r="BC229" s="94"/>
      <c r="BD229" s="84"/>
      <c r="BE229" s="84"/>
    </row>
    <row r="230" spans="1:57">
      <c r="A230" s="39"/>
      <c r="B230" s="346" t="s">
        <v>319</v>
      </c>
      <c r="C230" s="346"/>
      <c r="D230" s="84"/>
      <c r="E230" s="41"/>
      <c r="F230" s="41"/>
      <c r="G230" s="41"/>
      <c r="H230" s="41"/>
      <c r="I230" s="41"/>
      <c r="J230" s="41"/>
      <c r="K230" s="41"/>
      <c r="L230" s="41"/>
      <c r="M230" s="41"/>
      <c r="N230" s="140"/>
      <c r="O230" s="140"/>
      <c r="P230" s="141"/>
      <c r="Q230" s="2558">
        <f>Q229/Q7</f>
        <v>8.9487065637490221E-3</v>
      </c>
      <c r="R230" s="2558">
        <f t="shared" ref="R230:Z230" si="194">R229/R7</f>
        <v>7.7406644990314806E-3</v>
      </c>
      <c r="S230" s="2558">
        <f t="shared" si="194"/>
        <v>7.3894346719695931E-3</v>
      </c>
      <c r="T230" s="2558">
        <f t="shared" si="194"/>
        <v>1.0364316730470861E-2</v>
      </c>
      <c r="U230" s="2558">
        <f t="shared" si="194"/>
        <v>4.1411853380378116E-3</v>
      </c>
      <c r="V230" s="2558">
        <f t="shared" si="194"/>
        <v>3.5989650199068791E-3</v>
      </c>
      <c r="W230" s="2558">
        <f t="shared" si="194"/>
        <v>2.8383054451917851E-3</v>
      </c>
      <c r="X230" s="2558">
        <f t="shared" si="194"/>
        <v>3.1072267800859293E-3</v>
      </c>
      <c r="Y230" s="2558">
        <f t="shared" si="194"/>
        <v>3.4723386965869107E-3</v>
      </c>
      <c r="Z230" s="2558">
        <f t="shared" si="194"/>
        <v>3.3210148178927285E-3</v>
      </c>
      <c r="AA230" s="194"/>
      <c r="AB230" s="194"/>
      <c r="AC230" s="194"/>
      <c r="AD230" s="194"/>
      <c r="AE230" s="194"/>
      <c r="AF230" s="194"/>
      <c r="AG230" s="194"/>
      <c r="AH230" s="194"/>
      <c r="AI230" s="194"/>
      <c r="AJ230" s="194"/>
      <c r="AK230" s="194"/>
      <c r="AL230" s="194"/>
      <c r="AM230" s="194"/>
      <c r="AN230" s="194"/>
      <c r="AO230" s="194"/>
      <c r="AP230" s="194"/>
      <c r="AQ230" s="194"/>
      <c r="AR230" s="194"/>
      <c r="AS230" s="194"/>
      <c r="AT230" s="194"/>
      <c r="AU230" s="194"/>
      <c r="AV230" s="194"/>
      <c r="AW230" s="194"/>
      <c r="AX230" s="194"/>
      <c r="AY230" s="194"/>
      <c r="AZ230" s="194"/>
      <c r="BA230" s="194"/>
      <c r="BB230" s="85"/>
      <c r="BC230" s="94"/>
      <c r="BD230" s="84"/>
      <c r="BE230" s="84"/>
    </row>
    <row r="231" spans="1:57">
      <c r="A231" s="39"/>
      <c r="B231" s="118" t="s">
        <v>481</v>
      </c>
      <c r="C231" s="118"/>
      <c r="D231" s="84"/>
      <c r="E231" s="128"/>
      <c r="F231" s="128"/>
      <c r="G231" s="128"/>
      <c r="H231" s="128"/>
      <c r="I231" s="128"/>
      <c r="J231" s="128"/>
      <c r="K231" s="128"/>
      <c r="L231" s="128"/>
      <c r="M231" s="128"/>
      <c r="N231" s="140"/>
      <c r="O231" s="140"/>
      <c r="P231" s="398"/>
      <c r="Q231" s="198">
        <f>'LT. Asset'!Q102+'LT. Asset'!Q103</f>
        <v>77.182058546108138</v>
      </c>
      <c r="R231" s="198">
        <f>'LT. Asset'!R102+'LT. Asset'!R103</f>
        <v>125.14777748219487</v>
      </c>
      <c r="S231" s="198">
        <f>'LT. Asset'!S102+'LT. Asset'!S103</f>
        <v>172.23262098291619</v>
      </c>
      <c r="T231" s="198">
        <f>'LT. Asset'!T102+'LT. Asset'!T103</f>
        <v>197.15626559008359</v>
      </c>
      <c r="U231" s="198">
        <f>'LT. Asset'!U102+'LT. Asset'!U103</f>
        <v>156.72498618196846</v>
      </c>
      <c r="V231" s="198">
        <f>'LT. Asset'!V102+'LT. Asset'!V103</f>
        <v>134.15002096305125</v>
      </c>
      <c r="W231" s="198">
        <f>'LT. Asset'!W102+'LT. Asset'!W103</f>
        <v>76.146661895314793</v>
      </c>
      <c r="X231" s="198">
        <f>'LT. Asset'!X102+'LT. Asset'!X103</f>
        <v>98.328336863741697</v>
      </c>
      <c r="Y231" s="198">
        <f>'LT. Asset'!Y102+'LT. Asset'!Y103</f>
        <v>99.89188444258491</v>
      </c>
      <c r="Z231" s="198">
        <f>'LT. Asset'!Z102+'LT. Asset'!Z103</f>
        <v>105.33671434288991</v>
      </c>
      <c r="AA231" s="198"/>
      <c r="AB231" s="194"/>
      <c r="AC231" s="194"/>
      <c r="AD231" s="194"/>
      <c r="AE231" s="194"/>
      <c r="AF231" s="194"/>
      <c r="AG231" s="194"/>
      <c r="AH231" s="194"/>
      <c r="AI231" s="194"/>
      <c r="AJ231" s="194"/>
      <c r="AK231" s="194"/>
      <c r="AL231" s="194"/>
      <c r="AM231" s="194"/>
      <c r="AN231" s="194"/>
      <c r="AO231" s="194"/>
      <c r="AP231" s="194"/>
      <c r="AQ231" s="194"/>
      <c r="AR231" s="194"/>
      <c r="AS231" s="194"/>
      <c r="AT231" s="194"/>
      <c r="AU231" s="194"/>
      <c r="AV231" s="194"/>
      <c r="AW231" s="194"/>
      <c r="AX231" s="194"/>
      <c r="AY231" s="194"/>
      <c r="AZ231" s="194"/>
      <c r="BA231" s="194"/>
      <c r="BB231" s="85"/>
      <c r="BD231" s="84"/>
      <c r="BE231" s="84"/>
    </row>
    <row r="232" spans="1:57" s="88" customFormat="1">
      <c r="A232" s="103"/>
      <c r="B232" s="104" t="s">
        <v>482</v>
      </c>
      <c r="C232" s="104"/>
      <c r="D232" s="105"/>
      <c r="E232" s="136"/>
      <c r="F232" s="136"/>
      <c r="G232" s="136"/>
      <c r="H232" s="136"/>
      <c r="I232" s="137"/>
      <c r="J232" s="137"/>
      <c r="K232" s="137">
        <f>IF(ISTEXT('BS Raw'!F11),'BS Raw'!F57/Input!$B$1,Input!K228)</f>
        <v>53.148677360999997</v>
      </c>
      <c r="L232" s="137">
        <f>IF(ISTEXT('BS Raw'!G11),'BS Raw'!G57/Input!$B$1,Input!L228)</f>
        <v>55.797572195999997</v>
      </c>
      <c r="M232" s="137">
        <f>IF(ISTEXT('BS Raw'!H11),'BS Raw'!H57/Input!$B$1,Input!M228)</f>
        <v>38.935203139000002</v>
      </c>
      <c r="N232" s="137">
        <f>IF(ISTEXT('BS Raw'!I11),'BS Raw'!I57/Input!$B$1,Input!N228)</f>
        <v>47.207630471999998</v>
      </c>
      <c r="O232" s="137">
        <f>IF(ISTEXT('BS Raw'!J11),'BS Raw'!J57/Input!$B$1,Input!O228)</f>
        <v>350.40774098100002</v>
      </c>
      <c r="P232" s="137">
        <f>IF(ISTEXT('BS Raw'!K11),'BS Raw'!K57/Input!$B$1,Input!P228)</f>
        <v>363.78572410300001</v>
      </c>
      <c r="Q232" s="138">
        <f>IF(ISTEXT('BS Raw'!Q11),'BS Raw'!Q57/Input!$B$1,Input!Q228)</f>
        <v>445.32655525121618</v>
      </c>
      <c r="R232" s="138">
        <f>IF(ISTEXT('BS Raw'!R11),'BS Raw'!R57/Input!$B$1,Input!R228)</f>
        <v>464.07593457728149</v>
      </c>
      <c r="S232" s="138">
        <f>IF(ISTEXT('BS Raw'!S11),'BS Raw'!S57/Input!$B$1,Input!S228)</f>
        <v>433.09784409652923</v>
      </c>
      <c r="T232" s="138">
        <f>IF(ISTEXT('BS Raw'!T11),'BS Raw'!T57/Input!$B$1,Input!T228)</f>
        <v>469.43540202227246</v>
      </c>
      <c r="U232" s="138">
        <f>IF(ISTEXT('BS Raw'!U11),'BS Raw'!U57/Input!$B$1,Input!U228)</f>
        <v>403.12369017596325</v>
      </c>
      <c r="V232" s="138">
        <f>IF(ISTEXT('BS Raw'!V11),'BS Raw'!V57/Input!$B$1,Input!V228)</f>
        <v>342.50330405832415</v>
      </c>
      <c r="W232" s="138">
        <f>IF(ISTEXT('BS Raw'!W11),'BS Raw'!W57/Input!$B$1,Input!W228)</f>
        <v>325.8403884756267</v>
      </c>
      <c r="X232" s="138">
        <f>IF(ISTEXT('BS Raw'!X11),'BS Raw'!X57/Input!$B$1,Input!X228)</f>
        <v>294.0570765171658</v>
      </c>
      <c r="Y232" s="138">
        <f>IF(ISTEXT('BS Raw'!Y11),'BS Raw'!Y57/Input!$B$1,Input!Y228)</f>
        <v>272.38546965652267</v>
      </c>
      <c r="Z232" s="138">
        <f>IF(ISTEXT('BS Raw'!Z11),'BS Raw'!Z57/Input!$B$1,Input!Z228)</f>
        <v>242.86699132716512</v>
      </c>
      <c r="AA232" s="138"/>
      <c r="AB232" s="139"/>
      <c r="AC232" s="139"/>
      <c r="AD232" s="139"/>
      <c r="AE232" s="139"/>
      <c r="AF232" s="139"/>
      <c r="AG232" s="139"/>
      <c r="AH232" s="139"/>
      <c r="AI232" s="139"/>
      <c r="AJ232" s="139"/>
      <c r="AK232" s="139"/>
      <c r="AL232" s="139"/>
      <c r="AM232" s="139"/>
      <c r="AN232" s="139"/>
      <c r="AO232" s="139"/>
      <c r="AP232" s="139"/>
      <c r="AQ232" s="139"/>
      <c r="AR232" s="139"/>
      <c r="AS232" s="139"/>
      <c r="AT232" s="139"/>
      <c r="AU232" s="139"/>
      <c r="AV232" s="139"/>
      <c r="AW232" s="139"/>
      <c r="AX232" s="139"/>
      <c r="AY232" s="139"/>
      <c r="AZ232" s="139"/>
      <c r="BA232" s="139"/>
      <c r="BB232" s="110"/>
      <c r="BC232" s="111"/>
    </row>
    <row r="233" spans="1:57">
      <c r="A233" s="39"/>
      <c r="D233" s="84"/>
      <c r="E233" s="140"/>
      <c r="F233" s="140"/>
      <c r="G233" s="140"/>
      <c r="H233" s="140"/>
      <c r="I233" s="140"/>
      <c r="J233" s="140"/>
      <c r="K233" s="140"/>
      <c r="L233" s="140"/>
      <c r="M233" s="140"/>
      <c r="N233" s="140"/>
      <c r="O233" s="140"/>
      <c r="P233" s="141"/>
      <c r="Q233" s="140"/>
      <c r="R233" s="140"/>
      <c r="S233" s="140"/>
      <c r="T233" s="140"/>
      <c r="U233" s="140"/>
      <c r="V233" s="140"/>
      <c r="W233" s="140"/>
      <c r="X233" s="140"/>
      <c r="Y233" s="140"/>
      <c r="Z233" s="140"/>
      <c r="AA233" s="140"/>
      <c r="AB233" s="140"/>
      <c r="AC233" s="140"/>
      <c r="AD233" s="140"/>
      <c r="AE233" s="140"/>
      <c r="AF233" s="140"/>
      <c r="AG233" s="140"/>
      <c r="AH233" s="140"/>
      <c r="AI233" s="140"/>
      <c r="AJ233" s="140"/>
      <c r="AK233" s="140"/>
      <c r="AL233" s="140"/>
      <c r="AM233" s="140"/>
      <c r="AN233" s="140"/>
      <c r="AO233" s="140"/>
      <c r="AP233" s="140"/>
      <c r="AQ233" s="140"/>
      <c r="AR233" s="140"/>
      <c r="AS233" s="140"/>
      <c r="AT233" s="140"/>
      <c r="AU233" s="140"/>
      <c r="AV233" s="140"/>
      <c r="AW233" s="140"/>
      <c r="AX233" s="140"/>
      <c r="AY233" s="140"/>
      <c r="AZ233" s="140"/>
      <c r="BA233" s="140"/>
      <c r="BB233" s="85"/>
      <c r="BD233" s="84"/>
      <c r="BE233" s="84"/>
    </row>
    <row r="234" spans="1:57">
      <c r="A234" s="39">
        <v>10</v>
      </c>
      <c r="B234" s="5" t="s">
        <v>483</v>
      </c>
      <c r="D234" s="84"/>
      <c r="E234" s="41"/>
      <c r="F234" s="41"/>
      <c r="G234" s="41"/>
      <c r="H234" s="41"/>
      <c r="I234" s="190"/>
      <c r="J234" s="190"/>
      <c r="K234" s="190">
        <f>'BS Raw'!F54</f>
        <v>0</v>
      </c>
      <c r="L234" s="190">
        <f>'BS Raw'!G54</f>
        <v>0</v>
      </c>
      <c r="M234" s="190">
        <f>'BS Raw'!H54</f>
        <v>0</v>
      </c>
      <c r="N234" s="190">
        <f>'BS Raw'!I54</f>
        <v>0</v>
      </c>
      <c r="O234" s="190">
        <f>'BS Raw'!J54</f>
        <v>0</v>
      </c>
      <c r="P234" s="190">
        <f>'BS Raw'!K54</f>
        <v>11.212288815999999</v>
      </c>
      <c r="Q234" s="177">
        <f>'LT. Asset'!Q75</f>
        <v>11.257121304596755</v>
      </c>
      <c r="R234" s="177">
        <f>'LT. Asset'!R75</f>
        <v>11.062543132916627</v>
      </c>
      <c r="S234" s="177">
        <f>'LT. Asset'!S75</f>
        <v>10.706429093422036</v>
      </c>
      <c r="T234" s="177">
        <f>'LT. Asset'!T75</f>
        <v>10.679269310181812</v>
      </c>
      <c r="U234" s="177">
        <f>'LT. Asset'!U75</f>
        <v>9.6764838538704634</v>
      </c>
      <c r="V234" s="177">
        <f>'LT. Asset'!V75</f>
        <v>8.4939421650743014</v>
      </c>
      <c r="W234" s="177">
        <f>'LT. Asset'!W75</f>
        <v>7.3267857983513522</v>
      </c>
      <c r="X234" s="177">
        <f>'LT. Asset'!X75</f>
        <v>6.2827215763301094</v>
      </c>
      <c r="Y234" s="177">
        <f>'LT. Asset'!Y75</f>
        <v>5.3754919652900242</v>
      </c>
      <c r="Z234" s="177">
        <f>'LT. Asset'!Z75</f>
        <v>4.6155612223849456</v>
      </c>
      <c r="AA234" s="177"/>
      <c r="AB234" s="178"/>
      <c r="AC234" s="178"/>
      <c r="AD234" s="178"/>
      <c r="AE234" s="178"/>
      <c r="AF234" s="178"/>
      <c r="AG234" s="178"/>
      <c r="AH234" s="178"/>
      <c r="AI234" s="178"/>
      <c r="AJ234" s="178"/>
      <c r="AK234" s="178"/>
      <c r="AL234" s="178"/>
      <c r="AM234" s="178"/>
      <c r="AN234" s="178"/>
      <c r="AO234" s="178"/>
      <c r="AP234" s="178"/>
      <c r="AQ234" s="178"/>
      <c r="AR234" s="178"/>
      <c r="AS234" s="178"/>
      <c r="AT234" s="178"/>
      <c r="AU234" s="178"/>
      <c r="AV234" s="178"/>
      <c r="AW234" s="178"/>
      <c r="AX234" s="178"/>
      <c r="AY234" s="178"/>
      <c r="AZ234" s="178"/>
      <c r="BA234" s="178"/>
      <c r="BB234" s="85"/>
      <c r="BC234" s="94"/>
      <c r="BD234" s="84"/>
      <c r="BE234" s="84"/>
    </row>
    <row r="235" spans="1:57" ht="13.8">
      <c r="A235" s="39"/>
      <c r="B235" s="118" t="s">
        <v>477</v>
      </c>
      <c r="C235" s="118"/>
      <c r="D235" s="84"/>
      <c r="E235" s="41"/>
      <c r="F235" s="41"/>
      <c r="G235" s="41"/>
      <c r="H235" s="41"/>
      <c r="I235" s="41"/>
      <c r="J235" s="41"/>
      <c r="K235" s="41"/>
      <c r="L235" s="41"/>
      <c r="M235" s="41"/>
      <c r="N235" s="399"/>
      <c r="O235" s="399"/>
      <c r="P235" s="400"/>
      <c r="Q235" s="401">
        <f>'LT. Asset'!Q59+'LT. Asset'!Q60</f>
        <v>0.979163363516106</v>
      </c>
      <c r="R235" s="401">
        <f>'LT. Asset'!R59+'LT. Asset'!R60</f>
        <v>0.8877032438870649</v>
      </c>
      <c r="S235" s="401">
        <f>'LT. Asset'!S59+'LT. Asset'!S60</f>
        <v>0.87140085128712808</v>
      </c>
      <c r="T235" s="401">
        <f>'LT. Asset'!T59+'LT. Asset'!T60</f>
        <v>1.4404261290497926</v>
      </c>
      <c r="U235" s="401">
        <f>'LT. Asset'!U59+'LT. Asset'!U60</f>
        <v>0.55776054717440082</v>
      </c>
      <c r="V235" s="401">
        <f>'LT. Asset'!V59+'LT. Asset'!V60</f>
        <v>0.45360517762750491</v>
      </c>
      <c r="W235" s="401">
        <f>'LT. Asset'!W59+'LT. Asset'!W60</f>
        <v>0.3669559269376374</v>
      </c>
      <c r="X235" s="401">
        <f>'LT. Asset'!X59+'LT. Asset'!X60</f>
        <v>0.41051703718980154</v>
      </c>
      <c r="Y235" s="401">
        <f>'LT. Asset'!Y59+'LT. Asset'!Y60</f>
        <v>0.48254180754772585</v>
      </c>
      <c r="Z235" s="401">
        <f>'LT. Asset'!Z59+'LT. Asset'!Z60</f>
        <v>0.46772358500932015</v>
      </c>
      <c r="AA235" s="401"/>
      <c r="AB235" s="402"/>
      <c r="AC235" s="402"/>
      <c r="AD235" s="402"/>
      <c r="AE235" s="402"/>
      <c r="AF235" s="402"/>
      <c r="AG235" s="402"/>
      <c r="AH235" s="402"/>
      <c r="AI235" s="402"/>
      <c r="AJ235" s="402"/>
      <c r="AK235" s="402"/>
      <c r="AL235" s="402"/>
      <c r="AM235" s="402"/>
      <c r="AN235" s="402"/>
      <c r="AO235" s="402"/>
      <c r="AP235" s="402"/>
      <c r="AQ235" s="402"/>
      <c r="AR235" s="402"/>
      <c r="AS235" s="402"/>
      <c r="AT235" s="402"/>
      <c r="AU235" s="402"/>
      <c r="AV235" s="402"/>
      <c r="AW235" s="402"/>
      <c r="AX235" s="402"/>
      <c r="AY235" s="402"/>
      <c r="AZ235" s="402"/>
      <c r="BA235" s="402"/>
      <c r="BB235" s="85"/>
      <c r="BC235" s="94"/>
      <c r="BD235" s="84"/>
      <c r="BE235" s="84"/>
    </row>
    <row r="236" spans="1:57">
      <c r="A236" s="39"/>
      <c r="B236" s="346" t="s">
        <v>319</v>
      </c>
      <c r="C236" s="346"/>
      <c r="D236" s="84"/>
      <c r="E236" s="41"/>
      <c r="F236" s="41"/>
      <c r="G236" s="41"/>
      <c r="H236" s="41"/>
      <c r="I236" s="41"/>
      <c r="J236" s="41"/>
      <c r="K236" s="41"/>
      <c r="L236" s="41"/>
      <c r="M236" s="41"/>
      <c r="N236" s="41"/>
      <c r="O236" s="41"/>
      <c r="P236" s="268"/>
      <c r="Q236" s="178"/>
      <c r="R236" s="178"/>
      <c r="S236" s="178"/>
      <c r="T236" s="178"/>
      <c r="U236" s="178"/>
      <c r="V236" s="178"/>
      <c r="W236" s="178"/>
      <c r="X236" s="178"/>
      <c r="Y236" s="178"/>
      <c r="Z236" s="178"/>
      <c r="AA236" s="178"/>
      <c r="AB236" s="178"/>
      <c r="AC236" s="178"/>
      <c r="AD236" s="178"/>
      <c r="AE236" s="178"/>
      <c r="AF236" s="178"/>
      <c r="AG236" s="178"/>
      <c r="AH236" s="178"/>
      <c r="AI236" s="178"/>
      <c r="AJ236" s="178"/>
      <c r="AK236" s="178"/>
      <c r="AL236" s="178"/>
      <c r="AM236" s="178"/>
      <c r="AN236" s="178"/>
      <c r="AO236" s="178"/>
      <c r="AP236" s="178"/>
      <c r="AQ236" s="178"/>
      <c r="AR236" s="178"/>
      <c r="AS236" s="178"/>
      <c r="AT236" s="178"/>
      <c r="AU236" s="178"/>
      <c r="AV236" s="178"/>
      <c r="AW236" s="178"/>
      <c r="AX236" s="178"/>
      <c r="AY236" s="178"/>
      <c r="AZ236" s="178"/>
      <c r="BA236" s="178"/>
      <c r="BB236" s="85"/>
      <c r="BC236" s="94"/>
      <c r="BD236" s="84"/>
      <c r="BE236" s="84"/>
    </row>
    <row r="237" spans="1:57">
      <c r="A237" s="39"/>
      <c r="B237" s="118" t="s">
        <v>484</v>
      </c>
      <c r="C237" s="118"/>
      <c r="D237" s="84"/>
      <c r="E237" s="128"/>
      <c r="F237" s="128"/>
      <c r="G237" s="128"/>
      <c r="H237" s="128"/>
      <c r="I237" s="128"/>
      <c r="J237" s="128"/>
      <c r="K237" s="128"/>
      <c r="L237" s="128"/>
      <c r="M237" s="128"/>
      <c r="N237" s="140"/>
      <c r="O237" s="140"/>
      <c r="P237" s="141"/>
      <c r="Q237" s="198"/>
      <c r="R237" s="198"/>
      <c r="S237" s="198"/>
      <c r="T237" s="198"/>
      <c r="U237" s="198"/>
      <c r="V237" s="198"/>
      <c r="W237" s="198"/>
      <c r="X237" s="198"/>
      <c r="Y237" s="198"/>
      <c r="Z237" s="198"/>
      <c r="AA237" s="198"/>
      <c r="AB237" s="194"/>
      <c r="AC237" s="194"/>
      <c r="AD237" s="194"/>
      <c r="AE237" s="194"/>
      <c r="AF237" s="194"/>
      <c r="AG237" s="194"/>
      <c r="AH237" s="194"/>
      <c r="AI237" s="194"/>
      <c r="AJ237" s="194"/>
      <c r="AK237" s="194"/>
      <c r="AL237" s="194"/>
      <c r="AM237" s="194"/>
      <c r="AN237" s="194"/>
      <c r="AO237" s="194"/>
      <c r="AP237" s="194"/>
      <c r="AQ237" s="194"/>
      <c r="AR237" s="194"/>
      <c r="AS237" s="194"/>
      <c r="AT237" s="194"/>
      <c r="AU237" s="194"/>
      <c r="AV237" s="194"/>
      <c r="AW237" s="194"/>
      <c r="AX237" s="194"/>
      <c r="AY237" s="194"/>
      <c r="AZ237" s="194"/>
      <c r="BA237" s="194"/>
      <c r="BB237" s="85"/>
      <c r="BD237" s="84"/>
      <c r="BE237" s="84"/>
    </row>
    <row r="238" spans="1:57" s="88" customFormat="1">
      <c r="A238" s="103"/>
      <c r="B238" s="104" t="s">
        <v>485</v>
      </c>
      <c r="C238" s="104"/>
      <c r="D238" s="105"/>
      <c r="E238" s="136"/>
      <c r="F238" s="136"/>
      <c r="G238" s="136"/>
      <c r="H238" s="136"/>
      <c r="I238" s="137"/>
      <c r="J238" s="137"/>
      <c r="K238" s="137">
        <f>IF(ISTEXT('BS Raw'!F11),'BS Raw'!F54/Input!$B$1,Input!K234)</f>
        <v>0</v>
      </c>
      <c r="L238" s="137">
        <f>IF(ISTEXT('BS Raw'!G11),'BS Raw'!G54/Input!$B$1,Input!L234)</f>
        <v>0</v>
      </c>
      <c r="M238" s="137">
        <f>IF(ISTEXT('BS Raw'!H11),'BS Raw'!H54/Input!$B$1,Input!M234)</f>
        <v>0</v>
      </c>
      <c r="N238" s="137">
        <f>IF(ISTEXT('BS Raw'!I11),'BS Raw'!I54/Input!$B$1,Input!N234)</f>
        <v>0</v>
      </c>
      <c r="O238" s="137">
        <f>IF(ISTEXT('BS Raw'!J11),'BS Raw'!J54/Input!$B$1,Input!O234)</f>
        <v>0</v>
      </c>
      <c r="P238" s="137">
        <f>IF(ISTEXT('BS Raw'!K11),'BS Raw'!K54/Input!$B$1,Input!P234)</f>
        <v>11.212288815999999</v>
      </c>
      <c r="Q238" s="138">
        <f>IF(ISTEXT('BS Raw'!L11),'BS Raw'!L54/Input!$B$1,Input!Q234)</f>
        <v>11.257121304596755</v>
      </c>
      <c r="R238" s="138">
        <f>IF(ISTEXT('BS Raw'!M11),'BS Raw'!M54/Input!$B$1,Input!R234)</f>
        <v>11.062543132916627</v>
      </c>
      <c r="S238" s="138">
        <f>IF(ISTEXT('BS Raw'!N11),'BS Raw'!N54/Input!$B$1,Input!S234)</f>
        <v>10.706429093422036</v>
      </c>
      <c r="T238" s="138">
        <f>IF(ISTEXT('BS Raw'!O11),'BS Raw'!O54/Input!$B$1,Input!T234)</f>
        <v>10.679269310181812</v>
      </c>
      <c r="U238" s="138">
        <f>IF(ISTEXT('BS Raw'!P11),'BS Raw'!P54/Input!$B$1,Input!U234)</f>
        <v>9.6764838538704634</v>
      </c>
      <c r="V238" s="138">
        <f>IF(ISTEXT('BS Raw'!Q11),'BS Raw'!Q54/Input!$B$1,Input!V234)</f>
        <v>8.4939421650743014</v>
      </c>
      <c r="W238" s="138">
        <f>IF(ISTEXT('BS Raw'!R11),'BS Raw'!R54/Input!$B$1,Input!W234)</f>
        <v>7.3267857983513522</v>
      </c>
      <c r="X238" s="138">
        <f>IF(ISTEXT('BS Raw'!S11),'BS Raw'!S54/Input!$B$1,Input!X234)</f>
        <v>6.2827215763301094</v>
      </c>
      <c r="Y238" s="138">
        <f>IF(ISTEXT('BS Raw'!T11),'BS Raw'!T54/Input!$B$1,Input!Y234)</f>
        <v>5.3754919652900242</v>
      </c>
      <c r="Z238" s="138">
        <f>IF(ISTEXT('BS Raw'!U11),'BS Raw'!U54/Input!$B$1,Input!Z234)</f>
        <v>4.6155612223849456</v>
      </c>
      <c r="AA238" s="138"/>
      <c r="AB238" s="139"/>
      <c r="AC238" s="139"/>
      <c r="AD238" s="139"/>
      <c r="AE238" s="139"/>
      <c r="AF238" s="139"/>
      <c r="AG238" s="139"/>
      <c r="AH238" s="139"/>
      <c r="AI238" s="139"/>
      <c r="AJ238" s="139"/>
      <c r="AK238" s="139"/>
      <c r="AL238" s="139"/>
      <c r="AM238" s="139"/>
      <c r="AN238" s="139"/>
      <c r="AO238" s="139"/>
      <c r="AP238" s="139"/>
      <c r="AQ238" s="139"/>
      <c r="AR238" s="139"/>
      <c r="AS238" s="139"/>
      <c r="AT238" s="139"/>
      <c r="AU238" s="139"/>
      <c r="AV238" s="139"/>
      <c r="AW238" s="139"/>
      <c r="AX238" s="139"/>
      <c r="AY238" s="139"/>
      <c r="AZ238" s="139"/>
      <c r="BA238" s="139"/>
      <c r="BB238" s="110"/>
      <c r="BC238" s="111"/>
    </row>
    <row r="239" spans="1:57">
      <c r="A239" s="39"/>
      <c r="D239" s="84"/>
      <c r="E239" s="140"/>
      <c r="F239" s="140"/>
      <c r="G239" s="140"/>
      <c r="H239" s="140"/>
      <c r="I239" s="140"/>
      <c r="J239" s="140"/>
      <c r="K239" s="140"/>
      <c r="L239" s="140"/>
      <c r="M239" s="140"/>
      <c r="N239" s="140"/>
      <c r="O239" s="140"/>
      <c r="P239" s="141"/>
      <c r="Q239" s="140"/>
      <c r="R239" s="140"/>
      <c r="S239" s="140"/>
      <c r="T239" s="140"/>
      <c r="U239" s="140"/>
      <c r="V239" s="140"/>
      <c r="W239" s="140"/>
      <c r="X239" s="140"/>
      <c r="Y239" s="140"/>
      <c r="Z239" s="140"/>
      <c r="AA239" s="140"/>
      <c r="AB239" s="140"/>
      <c r="AC239" s="140"/>
      <c r="AD239" s="140"/>
      <c r="AE239" s="140"/>
      <c r="AF239" s="140"/>
      <c r="AG239" s="140"/>
      <c r="AH239" s="140"/>
      <c r="AI239" s="140"/>
      <c r="AJ239" s="140"/>
      <c r="AK239" s="140"/>
      <c r="AL239" s="140"/>
      <c r="AM239" s="140"/>
      <c r="AN239" s="140"/>
      <c r="AO239" s="140"/>
      <c r="AP239" s="140"/>
      <c r="AQ239" s="140"/>
      <c r="AR239" s="140"/>
      <c r="AS239" s="140"/>
      <c r="AT239" s="140"/>
      <c r="AU239" s="140"/>
      <c r="AV239" s="140"/>
      <c r="AW239" s="140"/>
      <c r="AX239" s="140"/>
      <c r="AY239" s="140"/>
      <c r="AZ239" s="140"/>
      <c r="BA239" s="140"/>
      <c r="BB239" s="85"/>
      <c r="BD239" s="84"/>
      <c r="BE239" s="84"/>
    </row>
    <row r="240" spans="1:57">
      <c r="A240" s="39">
        <v>11</v>
      </c>
      <c r="B240" s="5" t="s">
        <v>486</v>
      </c>
      <c r="D240" s="84"/>
      <c r="E240" s="41"/>
      <c r="F240" s="41"/>
      <c r="G240" s="41"/>
      <c r="H240" s="41"/>
      <c r="I240" s="190"/>
      <c r="J240" s="190"/>
      <c r="K240" s="190">
        <f>'BS Raw'!F61</f>
        <v>0</v>
      </c>
      <c r="L240" s="190">
        <f>'BS Raw'!G61</f>
        <v>0</v>
      </c>
      <c r="M240" s="190">
        <f>'BS Raw'!H61</f>
        <v>0</v>
      </c>
      <c r="N240" s="190">
        <f>'BS Raw'!I61</f>
        <v>0</v>
      </c>
      <c r="O240" s="190">
        <f>'BS Raw'!J61</f>
        <v>0</v>
      </c>
      <c r="P240" s="190">
        <f>'BS Raw'!K61</f>
        <v>0</v>
      </c>
      <c r="Q240" s="198">
        <f>'LT. Asset'!Q142</f>
        <v>0</v>
      </c>
      <c r="R240" s="198">
        <f>'LT. Asset'!R142</f>
        <v>0</v>
      </c>
      <c r="S240" s="198">
        <f>'LT. Asset'!S142</f>
        <v>0</v>
      </c>
      <c r="T240" s="198">
        <f>'LT. Asset'!T142</f>
        <v>0</v>
      </c>
      <c r="U240" s="198">
        <f>'LT. Asset'!U142</f>
        <v>0</v>
      </c>
      <c r="V240" s="198">
        <f>'LT. Asset'!V142</f>
        <v>0</v>
      </c>
      <c r="W240" s="198">
        <f>'LT. Asset'!W142</f>
        <v>0</v>
      </c>
      <c r="X240" s="198">
        <f>'LT. Asset'!X142</f>
        <v>0</v>
      </c>
      <c r="Y240" s="198">
        <f>'LT. Asset'!Y142</f>
        <v>0</v>
      </c>
      <c r="Z240" s="198">
        <f>'LT. Asset'!Z142</f>
        <v>0</v>
      </c>
      <c r="AA240" s="198"/>
      <c r="AB240" s="194"/>
      <c r="AC240" s="194"/>
      <c r="AD240" s="194"/>
      <c r="AE240" s="194"/>
      <c r="AF240" s="194"/>
      <c r="AG240" s="194"/>
      <c r="AH240" s="194"/>
      <c r="AI240" s="194"/>
      <c r="AJ240" s="194"/>
      <c r="AK240" s="194"/>
      <c r="AL240" s="194"/>
      <c r="AM240" s="194"/>
      <c r="AN240" s="194"/>
      <c r="AO240" s="194"/>
      <c r="AP240" s="194"/>
      <c r="AQ240" s="194"/>
      <c r="AR240" s="194"/>
      <c r="AS240" s="194"/>
      <c r="AT240" s="194"/>
      <c r="AU240" s="194"/>
      <c r="AV240" s="194"/>
      <c r="AW240" s="194"/>
      <c r="AX240" s="194"/>
      <c r="AY240" s="194"/>
      <c r="AZ240" s="194"/>
      <c r="BA240" s="194"/>
      <c r="BB240" s="85"/>
      <c r="BC240" s="94"/>
      <c r="BD240" s="84"/>
      <c r="BE240" s="84"/>
    </row>
    <row r="241" spans="1:57" ht="13.8">
      <c r="A241" s="39"/>
      <c r="B241" s="118" t="s">
        <v>477</v>
      </c>
      <c r="C241" s="118"/>
      <c r="D241" s="84"/>
      <c r="E241" s="41"/>
      <c r="F241" s="41"/>
      <c r="G241" s="41"/>
      <c r="H241" s="41"/>
      <c r="I241" s="41"/>
      <c r="J241" s="41"/>
      <c r="K241" s="41"/>
      <c r="L241" s="41"/>
      <c r="M241" s="41"/>
      <c r="N241" s="399"/>
      <c r="O241" s="399"/>
      <c r="P241" s="400"/>
      <c r="Q241" s="401">
        <f>'LT. Asset'!Q126</f>
        <v>0</v>
      </c>
      <c r="R241" s="401">
        <f>'LT. Asset'!R126</f>
        <v>0</v>
      </c>
      <c r="S241" s="401">
        <f>'LT. Asset'!S126</f>
        <v>0</v>
      </c>
      <c r="T241" s="401">
        <f>'LT. Asset'!T126</f>
        <v>0</v>
      </c>
      <c r="U241" s="401">
        <f>'LT. Asset'!U126</f>
        <v>0</v>
      </c>
      <c r="V241" s="401">
        <f>'LT. Asset'!V126</f>
        <v>0</v>
      </c>
      <c r="W241" s="401">
        <f>'LT. Asset'!W126</f>
        <v>0</v>
      </c>
      <c r="X241" s="401">
        <f>'LT. Asset'!X126</f>
        <v>0</v>
      </c>
      <c r="Y241" s="401">
        <f>'LT. Asset'!Y126</f>
        <v>0</v>
      </c>
      <c r="Z241" s="401">
        <f>'LT. Asset'!Z126</f>
        <v>0</v>
      </c>
      <c r="AA241" s="401"/>
      <c r="AB241" s="402"/>
      <c r="AC241" s="402"/>
      <c r="AD241" s="402"/>
      <c r="AE241" s="402"/>
      <c r="AF241" s="402"/>
      <c r="AG241" s="402"/>
      <c r="AH241" s="402"/>
      <c r="AI241" s="402"/>
      <c r="AJ241" s="402"/>
      <c r="AK241" s="402"/>
      <c r="AL241" s="402"/>
      <c r="AM241" s="402"/>
      <c r="AN241" s="402"/>
      <c r="AO241" s="402"/>
      <c r="AP241" s="402"/>
      <c r="AQ241" s="402"/>
      <c r="AR241" s="402"/>
      <c r="AS241" s="402"/>
      <c r="AT241" s="402"/>
      <c r="AU241" s="402"/>
      <c r="AV241" s="402"/>
      <c r="AW241" s="402"/>
      <c r="AX241" s="402"/>
      <c r="AY241" s="402"/>
      <c r="AZ241" s="402"/>
      <c r="BA241" s="402"/>
      <c r="BB241" s="85"/>
      <c r="BC241" s="94"/>
      <c r="BD241" s="84"/>
      <c r="BE241" s="84"/>
    </row>
    <row r="242" spans="1:57">
      <c r="A242" s="39"/>
      <c r="B242" s="346" t="s">
        <v>319</v>
      </c>
      <c r="C242" s="346"/>
      <c r="D242" s="84"/>
      <c r="E242" s="41"/>
      <c r="F242" s="41"/>
      <c r="G242" s="41"/>
      <c r="H242" s="41"/>
      <c r="I242" s="41"/>
      <c r="J242" s="41"/>
      <c r="K242" s="41"/>
      <c r="L242" s="41"/>
      <c r="M242" s="41"/>
      <c r="N242" s="41"/>
      <c r="O242" s="140"/>
      <c r="P242" s="141"/>
      <c r="Q242" s="194"/>
      <c r="R242" s="194"/>
      <c r="S242" s="194"/>
      <c r="T242" s="194"/>
      <c r="U242" s="194"/>
      <c r="V242" s="194"/>
      <c r="W242" s="194"/>
      <c r="X242" s="194"/>
      <c r="Y242" s="194"/>
      <c r="Z242" s="194"/>
      <c r="AA242" s="194"/>
      <c r="AB242" s="194"/>
      <c r="AC242" s="194"/>
      <c r="AD242" s="194"/>
      <c r="AE242" s="194"/>
      <c r="AF242" s="194"/>
      <c r="AG242" s="194"/>
      <c r="AH242" s="194"/>
      <c r="AI242" s="194"/>
      <c r="AJ242" s="194"/>
      <c r="AK242" s="194"/>
      <c r="AL242" s="194"/>
      <c r="AM242" s="194"/>
      <c r="AN242" s="194"/>
      <c r="AO242" s="194"/>
      <c r="AP242" s="194"/>
      <c r="AQ242" s="194"/>
      <c r="AR242" s="194"/>
      <c r="AS242" s="194"/>
      <c r="AT242" s="194"/>
      <c r="AU242" s="194"/>
      <c r="AV242" s="194"/>
      <c r="AW242" s="194"/>
      <c r="AX242" s="194"/>
      <c r="AY242" s="194"/>
      <c r="AZ242" s="194"/>
      <c r="BA242" s="194"/>
      <c r="BB242" s="85"/>
      <c r="BC242" s="94"/>
      <c r="BD242" s="84"/>
      <c r="BE242" s="84"/>
    </row>
    <row r="243" spans="1:57">
      <c r="A243" s="39"/>
      <c r="B243" s="118" t="s">
        <v>484</v>
      </c>
      <c r="C243" s="118"/>
      <c r="D243" s="84"/>
      <c r="E243" s="128"/>
      <c r="F243" s="128"/>
      <c r="G243" s="128"/>
      <c r="H243" s="128"/>
      <c r="I243" s="128"/>
      <c r="J243" s="128"/>
      <c r="K243" s="128"/>
      <c r="L243" s="128"/>
      <c r="M243" s="128"/>
      <c r="N243" s="140"/>
      <c r="O243" s="140"/>
      <c r="P243" s="141"/>
      <c r="Q243" s="198">
        <f>'LT. Asset'!Q136</f>
        <v>0</v>
      </c>
      <c r="R243" s="198">
        <f>'LT. Asset'!R136</f>
        <v>0</v>
      </c>
      <c r="S243" s="198">
        <f>'LT. Asset'!S136</f>
        <v>0</v>
      </c>
      <c r="T243" s="198">
        <f>'LT. Asset'!T136</f>
        <v>0</v>
      </c>
      <c r="U243" s="198">
        <f>'LT. Asset'!U136</f>
        <v>0</v>
      </c>
      <c r="V243" s="198">
        <f>'LT. Asset'!V136</f>
        <v>0</v>
      </c>
      <c r="W243" s="198">
        <f>'LT. Asset'!W136</f>
        <v>0</v>
      </c>
      <c r="X243" s="198">
        <f>'LT. Asset'!X136</f>
        <v>0</v>
      </c>
      <c r="Y243" s="198">
        <f>'LT. Asset'!Y136</f>
        <v>0</v>
      </c>
      <c r="Z243" s="198">
        <f>'LT. Asset'!Z136</f>
        <v>0</v>
      </c>
      <c r="AA243" s="198"/>
      <c r="AB243" s="194"/>
      <c r="AC243" s="194"/>
      <c r="AD243" s="194"/>
      <c r="AE243" s="194"/>
      <c r="AF243" s="194"/>
      <c r="AG243" s="194"/>
      <c r="AH243" s="194"/>
      <c r="AI243" s="194"/>
      <c r="AJ243" s="194"/>
      <c r="AK243" s="194"/>
      <c r="AL243" s="194"/>
      <c r="AM243" s="194"/>
      <c r="AN243" s="194"/>
      <c r="AO243" s="194"/>
      <c r="AP243" s="194"/>
      <c r="AQ243" s="194"/>
      <c r="AR243" s="194"/>
      <c r="AS243" s="194"/>
      <c r="AT243" s="194"/>
      <c r="AU243" s="194"/>
      <c r="AV243" s="194"/>
      <c r="AW243" s="194"/>
      <c r="AX243" s="194"/>
      <c r="AY243" s="194"/>
      <c r="AZ243" s="194"/>
      <c r="BA243" s="194"/>
      <c r="BB243" s="85"/>
      <c r="BD243" s="84"/>
      <c r="BE243" s="84"/>
    </row>
    <row r="244" spans="1:57" s="88" customFormat="1">
      <c r="A244" s="103"/>
      <c r="B244" s="104" t="s">
        <v>487</v>
      </c>
      <c r="C244" s="104"/>
      <c r="D244" s="105"/>
      <c r="E244" s="136"/>
      <c r="F244" s="136"/>
      <c r="G244" s="136"/>
      <c r="H244" s="136"/>
      <c r="I244" s="137"/>
      <c r="J244" s="137"/>
      <c r="K244" s="137">
        <f>IF(ISTEXT('BS Raw'!F11),'BS Raw'!F61/Input!$B$1,Input!K240)</f>
        <v>0</v>
      </c>
      <c r="L244" s="137">
        <f>IF(ISTEXT('BS Raw'!G11),'BS Raw'!G61/Input!$B$1,Input!L240)</f>
        <v>0</v>
      </c>
      <c r="M244" s="137">
        <f>IF(ISTEXT('BS Raw'!H11),'BS Raw'!H61/Input!$B$1,Input!M240)</f>
        <v>0</v>
      </c>
      <c r="N244" s="137">
        <f>IF(ISTEXT('BS Raw'!I11),'BS Raw'!I61/Input!$B$1,Input!N240)</f>
        <v>0</v>
      </c>
      <c r="O244" s="137">
        <f>IF(ISTEXT('BS Raw'!J11),'BS Raw'!J61/Input!$B$1,Input!O240)</f>
        <v>0</v>
      </c>
      <c r="P244" s="137">
        <f>IF(ISTEXT('BS Raw'!K11),'BS Raw'!K61/Input!$B$1,Input!P240)</f>
        <v>0</v>
      </c>
      <c r="Q244" s="138">
        <f>IF(ISTEXT('BS Raw'!L11),'BS Raw'!L61/Input!$B$1,Input!Q240)</f>
        <v>0</v>
      </c>
      <c r="R244" s="138">
        <f>IF(ISTEXT('BS Raw'!M11),'BS Raw'!M61/Input!$B$1,Input!R240)</f>
        <v>0</v>
      </c>
      <c r="S244" s="138">
        <f>IF(ISTEXT('BS Raw'!N11),'BS Raw'!N61/Input!$B$1,Input!S240)</f>
        <v>0</v>
      </c>
      <c r="T244" s="138">
        <f>IF(ISTEXT('BS Raw'!O11),'BS Raw'!O61/Input!$B$1,Input!T240)</f>
        <v>0</v>
      </c>
      <c r="U244" s="138">
        <f>IF(ISTEXT('BS Raw'!P11),'BS Raw'!P61/Input!$B$1,Input!U240)</f>
        <v>0</v>
      </c>
      <c r="V244" s="138">
        <f>IF(ISTEXT('BS Raw'!Q11),'BS Raw'!Q61/Input!$B$1,Input!V240)</f>
        <v>0</v>
      </c>
      <c r="W244" s="138">
        <f>IF(ISTEXT('BS Raw'!R11),'BS Raw'!R61/Input!$B$1,Input!W240)</f>
        <v>0</v>
      </c>
      <c r="X244" s="138">
        <f>IF(ISTEXT('BS Raw'!S11),'BS Raw'!S61/Input!$B$1,Input!X240)</f>
        <v>0</v>
      </c>
      <c r="Y244" s="138">
        <f>IF(ISTEXT('BS Raw'!T11),'BS Raw'!T61/Input!$B$1,Input!Y240)</f>
        <v>0</v>
      </c>
      <c r="Z244" s="138">
        <f>IF(ISTEXT('BS Raw'!U11),'BS Raw'!U61/Input!$B$1,Input!Z240)</f>
        <v>0</v>
      </c>
      <c r="AA244" s="138"/>
      <c r="AB244" s="139"/>
      <c r="AC244" s="139"/>
      <c r="AD244" s="139"/>
      <c r="AE244" s="139"/>
      <c r="AF244" s="139"/>
      <c r="AG244" s="139"/>
      <c r="AH244" s="139"/>
      <c r="AI244" s="139"/>
      <c r="AJ244" s="139"/>
      <c r="AK244" s="139"/>
      <c r="AL244" s="139"/>
      <c r="AM244" s="139"/>
      <c r="AN244" s="139"/>
      <c r="AO244" s="139"/>
      <c r="AP244" s="139"/>
      <c r="AQ244" s="139"/>
      <c r="AR244" s="139"/>
      <c r="AS244" s="139"/>
      <c r="AT244" s="139"/>
      <c r="AU244" s="139"/>
      <c r="AV244" s="139"/>
      <c r="AW244" s="139"/>
      <c r="AX244" s="139"/>
      <c r="AY244" s="139"/>
      <c r="AZ244" s="139"/>
      <c r="BA244" s="139"/>
      <c r="BB244" s="110"/>
      <c r="BC244" s="111"/>
    </row>
    <row r="245" spans="1:57">
      <c r="A245" s="39"/>
      <c r="D245" s="84"/>
      <c r="E245" s="140"/>
      <c r="F245" s="140"/>
      <c r="G245" s="140"/>
      <c r="H245" s="140"/>
      <c r="I245" s="140"/>
      <c r="J245" s="140"/>
      <c r="K245" s="140"/>
      <c r="L245" s="140"/>
      <c r="M245" s="140"/>
      <c r="N245" s="140"/>
      <c r="O245" s="140"/>
      <c r="P245" s="141"/>
      <c r="Q245" s="140"/>
      <c r="R245" s="140"/>
      <c r="S245" s="140"/>
      <c r="T245" s="140"/>
      <c r="U245" s="140"/>
      <c r="V245" s="140"/>
      <c r="W245" s="140"/>
      <c r="X245" s="140"/>
      <c r="Y245" s="140"/>
      <c r="Z245" s="140"/>
      <c r="AA245" s="140"/>
      <c r="AB245" s="140"/>
      <c r="AC245" s="140"/>
      <c r="AD245" s="140"/>
      <c r="AE245" s="140"/>
      <c r="AF245" s="140"/>
      <c r="AG245" s="140"/>
      <c r="AH245" s="140"/>
      <c r="AI245" s="140"/>
      <c r="AJ245" s="140"/>
      <c r="AK245" s="140"/>
      <c r="AL245" s="140"/>
      <c r="AM245" s="140"/>
      <c r="AN245" s="140"/>
      <c r="AO245" s="140"/>
      <c r="AP245" s="140"/>
      <c r="AQ245" s="140"/>
      <c r="AR245" s="140"/>
      <c r="AS245" s="140"/>
      <c r="AT245" s="140"/>
      <c r="AU245" s="140"/>
      <c r="AV245" s="140"/>
      <c r="AW245" s="140"/>
      <c r="AX245" s="140"/>
      <c r="AY245" s="140"/>
      <c r="AZ245" s="140"/>
      <c r="BA245" s="140"/>
      <c r="BB245" s="85"/>
      <c r="BD245" s="84"/>
      <c r="BE245" s="84"/>
    </row>
    <row r="246" spans="1:57">
      <c r="A246" s="39">
        <v>12</v>
      </c>
      <c r="B246" s="5" t="s">
        <v>488</v>
      </c>
      <c r="D246" s="84"/>
      <c r="E246" s="41"/>
      <c r="F246" s="41"/>
      <c r="G246" s="41"/>
      <c r="H246" s="41"/>
      <c r="I246" s="190"/>
      <c r="J246" s="190"/>
      <c r="K246" s="190">
        <f>'BS Raw'!F64</f>
        <v>698.50608688499995</v>
      </c>
      <c r="L246" s="190">
        <f>'BS Raw'!G64</f>
        <v>760.95529727300004</v>
      </c>
      <c r="M246" s="190">
        <f>'BS Raw'!H64</f>
        <v>66.117926734999998</v>
      </c>
      <c r="N246" s="190">
        <f>'BS Raw'!I64</f>
        <v>33.176188396000001</v>
      </c>
      <c r="O246" s="190">
        <f>'BS Raw'!J64</f>
        <v>88.189941648000001</v>
      </c>
      <c r="P246" s="190">
        <f>'BS Raw'!K64</f>
        <v>601.16557409799998</v>
      </c>
      <c r="Q246" s="198">
        <f>'LT. Asset'!Q216</f>
        <v>655.73942212749739</v>
      </c>
      <c r="R246" s="198">
        <f>'LT. Asset'!R216</f>
        <v>705.21572376650136</v>
      </c>
      <c r="S246" s="198">
        <f>'LT. Asset'!S216</f>
        <v>753.78340859097159</v>
      </c>
      <c r="T246" s="198">
        <f>'LT. Asset'!T216</f>
        <v>834.0658206924611</v>
      </c>
      <c r="U246" s="198">
        <f>'LT. Asset'!U216</f>
        <v>865.15270616276734</v>
      </c>
      <c r="V246" s="198">
        <f>'LT. Asset'!V216</f>
        <v>890.43447318103404</v>
      </c>
      <c r="W246" s="198">
        <f>'LT. Asset'!W216</f>
        <v>910.88682846351242</v>
      </c>
      <c r="X246" s="198">
        <f>'LT. Asset'!X216</f>
        <v>933.76707014317083</v>
      </c>
      <c r="Y246" s="198">
        <f>'LT. Asset'!Y216</f>
        <v>960.66162548930265</v>
      </c>
      <c r="Z246" s="198">
        <f>'LT. Asset'!Z216</f>
        <v>986.73028450902962</v>
      </c>
      <c r="AA246" s="198"/>
      <c r="AB246" s="194"/>
      <c r="AC246" s="194"/>
      <c r="AD246" s="194"/>
      <c r="AE246" s="194"/>
      <c r="AF246" s="194"/>
      <c r="AG246" s="194"/>
      <c r="AH246" s="194"/>
      <c r="AI246" s="194"/>
      <c r="AJ246" s="194"/>
      <c r="AK246" s="194"/>
      <c r="AL246" s="194"/>
      <c r="AM246" s="194"/>
      <c r="AN246" s="194"/>
      <c r="AO246" s="194"/>
      <c r="AP246" s="194"/>
      <c r="AQ246" s="194"/>
      <c r="AR246" s="194"/>
      <c r="AS246" s="194"/>
      <c r="AT246" s="194"/>
      <c r="AU246" s="194"/>
      <c r="AV246" s="194"/>
      <c r="AW246" s="194"/>
      <c r="AX246" s="194"/>
      <c r="AY246" s="194"/>
      <c r="AZ246" s="194"/>
      <c r="BA246" s="194"/>
      <c r="BB246" s="85"/>
      <c r="BC246" s="94"/>
      <c r="BD246" s="84"/>
      <c r="BE246" s="84"/>
    </row>
    <row r="247" spans="1:57">
      <c r="A247" s="39"/>
      <c r="B247" s="112"/>
      <c r="C247" s="112"/>
      <c r="D247" s="84"/>
      <c r="E247" s="128"/>
      <c r="F247" s="128"/>
      <c r="G247" s="128"/>
      <c r="H247" s="128"/>
      <c r="I247" s="128"/>
      <c r="J247" s="128"/>
      <c r="K247" s="128"/>
      <c r="L247" s="128"/>
      <c r="M247" s="128"/>
      <c r="N247" s="140"/>
      <c r="O247" s="140"/>
      <c r="P247" s="141"/>
      <c r="Q247" s="194"/>
      <c r="R247" s="194"/>
      <c r="S247" s="194"/>
      <c r="T247" s="194"/>
      <c r="U247" s="194"/>
      <c r="V247" s="194"/>
      <c r="W247" s="194"/>
      <c r="X247" s="194"/>
      <c r="Y247" s="194"/>
      <c r="Z247" s="194"/>
      <c r="AA247" s="194"/>
      <c r="AB247" s="194"/>
      <c r="AC247" s="194"/>
      <c r="AD247" s="194"/>
      <c r="AE247" s="194"/>
      <c r="AF247" s="194"/>
      <c r="AG247" s="194"/>
      <c r="AH247" s="194"/>
      <c r="AI247" s="194"/>
      <c r="AJ247" s="194"/>
      <c r="AK247" s="194"/>
      <c r="AL247" s="194"/>
      <c r="AM247" s="194"/>
      <c r="AN247" s="194"/>
      <c r="AO247" s="194"/>
      <c r="AP247" s="194"/>
      <c r="AQ247" s="194"/>
      <c r="AR247" s="194"/>
      <c r="AS247" s="194"/>
      <c r="AT247" s="194"/>
      <c r="AU247" s="194"/>
      <c r="AV247" s="194"/>
      <c r="AW247" s="194"/>
      <c r="AX247" s="194"/>
      <c r="AY247" s="194"/>
      <c r="AZ247" s="194"/>
      <c r="BA247" s="194"/>
      <c r="BB247" s="85"/>
      <c r="BD247" s="84"/>
      <c r="BE247" s="84"/>
    </row>
    <row r="248" spans="1:57">
      <c r="A248" s="39"/>
      <c r="B248" s="112"/>
      <c r="C248" s="112"/>
      <c r="D248" s="84"/>
      <c r="E248" s="41"/>
      <c r="F248" s="41"/>
      <c r="G248" s="41"/>
      <c r="H248" s="41"/>
      <c r="I248" s="41"/>
      <c r="J248" s="41"/>
      <c r="K248" s="41"/>
      <c r="L248" s="41"/>
      <c r="M248" s="41"/>
      <c r="N248" s="140"/>
      <c r="O248" s="140"/>
      <c r="P248" s="141"/>
      <c r="Q248" s="194"/>
      <c r="R248" s="194"/>
      <c r="S248" s="194"/>
      <c r="T248" s="194"/>
      <c r="U248" s="194"/>
      <c r="V248" s="194"/>
      <c r="W248" s="194"/>
      <c r="X248" s="194"/>
      <c r="Y248" s="194"/>
      <c r="Z248" s="194"/>
      <c r="AA248" s="194"/>
      <c r="AB248" s="194"/>
      <c r="AC248" s="194"/>
      <c r="AD248" s="194"/>
      <c r="AE248" s="194"/>
      <c r="AF248" s="194"/>
      <c r="AG248" s="194"/>
      <c r="AH248" s="194"/>
      <c r="AI248" s="194"/>
      <c r="AJ248" s="194"/>
      <c r="AK248" s="194"/>
      <c r="AL248" s="194"/>
      <c r="AM248" s="194"/>
      <c r="AN248" s="194"/>
      <c r="AO248" s="194"/>
      <c r="AP248" s="194"/>
      <c r="AQ248" s="194"/>
      <c r="AR248" s="194"/>
      <c r="AS248" s="194"/>
      <c r="AT248" s="194"/>
      <c r="AU248" s="194"/>
      <c r="AV248" s="194"/>
      <c r="AW248" s="194"/>
      <c r="AX248" s="194"/>
      <c r="AY248" s="194"/>
      <c r="AZ248" s="194"/>
      <c r="BA248" s="194"/>
      <c r="BB248" s="85"/>
      <c r="BD248" s="84"/>
      <c r="BE248" s="84"/>
    </row>
    <row r="249" spans="1:57" s="88" customFormat="1">
      <c r="A249" s="103"/>
      <c r="B249" s="104" t="s">
        <v>83</v>
      </c>
      <c r="C249" s="104"/>
      <c r="D249" s="105"/>
      <c r="E249" s="136"/>
      <c r="F249" s="136"/>
      <c r="G249" s="136"/>
      <c r="H249" s="136"/>
      <c r="I249" s="137"/>
      <c r="J249" s="137"/>
      <c r="K249" s="137">
        <f>IF(ISTEXT('BS Raw'!F11),'BS Raw'!F64/Input!$B$1,Input!K246)</f>
        <v>698.50608688499995</v>
      </c>
      <c r="L249" s="137">
        <f>IF(ISTEXT('BS Raw'!G11),'BS Raw'!G64/Input!$B$1,Input!L246)</f>
        <v>760.95529727300004</v>
      </c>
      <c r="M249" s="137">
        <f>IF(ISTEXT('BS Raw'!H11),'BS Raw'!H64/Input!$B$1,Input!M246)</f>
        <v>66.117926734999998</v>
      </c>
      <c r="N249" s="137">
        <f>IF(ISTEXT('BS Raw'!I11),'BS Raw'!I64/Input!$B$1,Input!N246)</f>
        <v>33.176188396000001</v>
      </c>
      <c r="O249" s="137">
        <f>IF(ISTEXT('BS Raw'!J11),'BS Raw'!J64/Input!$B$1,Input!O246)</f>
        <v>88.189941648000001</v>
      </c>
      <c r="P249" s="137">
        <f>IF(ISTEXT('BS Raw'!K11),'BS Raw'!K64/Input!$B$1,Input!P246)</f>
        <v>601.16557409799998</v>
      </c>
      <c r="Q249" s="138">
        <f>IF(ISTEXT('BS Raw'!L11),'BS Raw'!L64/Input!$B$1,Input!Q246)</f>
        <v>655.73942212749739</v>
      </c>
      <c r="R249" s="138">
        <f>IF(ISTEXT('BS Raw'!M11),'BS Raw'!M64/Input!$B$1,Input!R246)</f>
        <v>705.21572376650136</v>
      </c>
      <c r="S249" s="138">
        <f>IF(ISTEXT('BS Raw'!N11),'BS Raw'!N64/Input!$B$1,Input!S246)</f>
        <v>753.78340859097159</v>
      </c>
      <c r="T249" s="138">
        <f>IF(ISTEXT('BS Raw'!O11),'BS Raw'!O64/Input!$B$1,Input!T246)</f>
        <v>834.0658206924611</v>
      </c>
      <c r="U249" s="138">
        <f>IF(ISTEXT('BS Raw'!P11),'BS Raw'!P64/Input!$B$1,Input!U246)</f>
        <v>865.15270616276734</v>
      </c>
      <c r="V249" s="138">
        <f>IF(ISTEXT('BS Raw'!Q11),'BS Raw'!Q64/Input!$B$1,Input!V246)</f>
        <v>890.43447318103404</v>
      </c>
      <c r="W249" s="138">
        <f>IF(ISTEXT('BS Raw'!R11),'BS Raw'!R64/Input!$B$1,Input!W246)</f>
        <v>910.88682846351242</v>
      </c>
      <c r="X249" s="138">
        <f>IF(ISTEXT('BS Raw'!S11),'BS Raw'!S64/Input!$B$1,Input!X246)</f>
        <v>933.76707014317083</v>
      </c>
      <c r="Y249" s="138">
        <f>IF(ISTEXT('BS Raw'!T11),'BS Raw'!T64/Input!$B$1,Input!Y246)</f>
        <v>960.66162548930265</v>
      </c>
      <c r="Z249" s="138">
        <f>IF(ISTEXT('BS Raw'!U11),'BS Raw'!U64/Input!$B$1,Input!Z246)</f>
        <v>986.73028450902962</v>
      </c>
      <c r="AA249" s="138"/>
      <c r="AB249" s="139"/>
      <c r="AC249" s="139"/>
      <c r="AD249" s="139"/>
      <c r="AE249" s="139"/>
      <c r="AF249" s="139"/>
      <c r="AG249" s="139"/>
      <c r="AH249" s="139"/>
      <c r="AI249" s="139"/>
      <c r="AJ249" s="139"/>
      <c r="AK249" s="139"/>
      <c r="AL249" s="139"/>
      <c r="AM249" s="139"/>
      <c r="AN249" s="139"/>
      <c r="AO249" s="139"/>
      <c r="AP249" s="139"/>
      <c r="AQ249" s="139"/>
      <c r="AR249" s="139"/>
      <c r="AS249" s="139"/>
      <c r="AT249" s="139"/>
      <c r="AU249" s="139"/>
      <c r="AV249" s="139"/>
      <c r="AW249" s="139"/>
      <c r="AX249" s="139"/>
      <c r="AY249" s="139"/>
      <c r="AZ249" s="139"/>
      <c r="BA249" s="139"/>
      <c r="BB249" s="110"/>
      <c r="BC249" s="111"/>
    </row>
    <row r="250" spans="1:57">
      <c r="A250" s="39"/>
      <c r="D250" s="84"/>
      <c r="E250" s="140"/>
      <c r="F250" s="140"/>
      <c r="G250" s="140"/>
      <c r="H250" s="140"/>
      <c r="I250" s="140"/>
      <c r="J250" s="140"/>
      <c r="K250" s="140"/>
      <c r="L250" s="140"/>
      <c r="M250" s="140"/>
      <c r="N250" s="140"/>
      <c r="O250" s="140"/>
      <c r="P250" s="141"/>
      <c r="Q250" s="140"/>
      <c r="R250" s="140"/>
      <c r="S250" s="140"/>
      <c r="T250" s="140"/>
      <c r="U250" s="140"/>
      <c r="V250" s="140"/>
      <c r="W250" s="140"/>
      <c r="X250" s="140"/>
      <c r="Y250" s="140"/>
      <c r="Z250" s="140"/>
      <c r="AA250" s="140"/>
      <c r="AB250" s="140"/>
      <c r="AC250" s="140"/>
      <c r="AD250" s="140"/>
      <c r="AE250" s="140"/>
      <c r="AF250" s="140"/>
      <c r="AG250" s="140"/>
      <c r="AH250" s="140"/>
      <c r="AI250" s="140"/>
      <c r="AJ250" s="140"/>
      <c r="AK250" s="140"/>
      <c r="AL250" s="140"/>
      <c r="AM250" s="140"/>
      <c r="AN250" s="140"/>
      <c r="AO250" s="140"/>
      <c r="AP250" s="140"/>
      <c r="AQ250" s="140"/>
      <c r="AR250" s="140"/>
      <c r="AS250" s="140"/>
      <c r="AT250" s="140"/>
      <c r="AU250" s="140"/>
      <c r="AV250" s="140"/>
      <c r="AW250" s="140"/>
      <c r="AX250" s="140"/>
      <c r="AY250" s="140"/>
      <c r="AZ250" s="140"/>
      <c r="BA250" s="140"/>
      <c r="BB250" s="85"/>
      <c r="BD250" s="84"/>
      <c r="BE250" s="84"/>
    </row>
    <row r="251" spans="1:57">
      <c r="A251" s="39">
        <v>13</v>
      </c>
      <c r="B251" s="5" t="s">
        <v>489</v>
      </c>
      <c r="D251" s="84"/>
      <c r="E251" s="41"/>
      <c r="F251" s="41"/>
      <c r="G251" s="41"/>
      <c r="H251" s="41"/>
      <c r="I251" s="190"/>
      <c r="J251" s="190"/>
      <c r="K251" s="190">
        <f>'BS Raw'!F67</f>
        <v>0</v>
      </c>
      <c r="L251" s="190">
        <f>'BS Raw'!G67</f>
        <v>0</v>
      </c>
      <c r="M251" s="190">
        <f>'BS Raw'!H67</f>
        <v>0</v>
      </c>
      <c r="N251" s="190">
        <f>'BS Raw'!I67</f>
        <v>0</v>
      </c>
      <c r="O251" s="190">
        <f>'BS Raw'!J67</f>
        <v>0</v>
      </c>
      <c r="P251" s="190">
        <f>'BS Raw'!K67</f>
        <v>0</v>
      </c>
      <c r="Q251" s="191">
        <f>P251</f>
        <v>0</v>
      </c>
      <c r="R251" s="191">
        <f t="shared" ref="R251:Z251" si="195">Q251</f>
        <v>0</v>
      </c>
      <c r="S251" s="191">
        <f t="shared" si="195"/>
        <v>0</v>
      </c>
      <c r="T251" s="191">
        <f t="shared" si="195"/>
        <v>0</v>
      </c>
      <c r="U251" s="191">
        <f t="shared" si="195"/>
        <v>0</v>
      </c>
      <c r="V251" s="191">
        <f t="shared" si="195"/>
        <v>0</v>
      </c>
      <c r="W251" s="191">
        <f t="shared" si="195"/>
        <v>0</v>
      </c>
      <c r="X251" s="191">
        <f t="shared" si="195"/>
        <v>0</v>
      </c>
      <c r="Y251" s="191">
        <f t="shared" si="195"/>
        <v>0</v>
      </c>
      <c r="Z251" s="191">
        <f t="shared" si="195"/>
        <v>0</v>
      </c>
      <c r="AA251" s="191"/>
      <c r="AB251" s="192"/>
      <c r="AC251" s="192"/>
      <c r="AD251" s="192"/>
      <c r="AE251" s="192"/>
      <c r="AF251" s="192"/>
      <c r="AG251" s="192"/>
      <c r="AH251" s="192"/>
      <c r="AI251" s="192"/>
      <c r="AJ251" s="192"/>
      <c r="AK251" s="192"/>
      <c r="AL251" s="192"/>
      <c r="AM251" s="192"/>
      <c r="AN251" s="192"/>
      <c r="AO251" s="192"/>
      <c r="AP251" s="192"/>
      <c r="AQ251" s="192"/>
      <c r="AR251" s="192"/>
      <c r="AS251" s="192"/>
      <c r="AT251" s="192"/>
      <c r="AU251" s="192"/>
      <c r="AV251" s="192"/>
      <c r="AW251" s="192"/>
      <c r="AX251" s="192"/>
      <c r="AY251" s="192"/>
      <c r="AZ251" s="192"/>
      <c r="BA251" s="192"/>
      <c r="BB251" s="85"/>
      <c r="BC251" s="344"/>
      <c r="BD251" s="84"/>
      <c r="BE251" s="84"/>
    </row>
    <row r="252" spans="1:57">
      <c r="A252" s="39"/>
      <c r="B252" s="118" t="s">
        <v>372</v>
      </c>
      <c r="C252" s="118"/>
      <c r="D252" s="84"/>
      <c r="E252" s="140"/>
      <c r="F252" s="140"/>
      <c r="G252" s="140"/>
      <c r="H252" s="140"/>
      <c r="I252" s="140"/>
      <c r="J252" s="140"/>
      <c r="K252" s="140"/>
      <c r="L252" s="140"/>
      <c r="M252" s="140"/>
      <c r="N252" s="140"/>
      <c r="O252" s="140"/>
      <c r="P252" s="141"/>
      <c r="Q252" s="194"/>
      <c r="R252" s="194"/>
      <c r="S252" s="194"/>
      <c r="T252" s="194"/>
      <c r="U252" s="194"/>
      <c r="V252" s="194"/>
      <c r="W252" s="194"/>
      <c r="X252" s="194"/>
      <c r="Y252" s="194"/>
      <c r="Z252" s="194"/>
      <c r="AA252" s="194"/>
      <c r="AB252" s="194"/>
      <c r="AC252" s="194"/>
      <c r="AD252" s="194"/>
      <c r="AE252" s="194"/>
      <c r="AF252" s="194"/>
      <c r="AG252" s="194"/>
      <c r="AH252" s="194"/>
      <c r="AI252" s="194"/>
      <c r="AJ252" s="194"/>
      <c r="AK252" s="194"/>
      <c r="AL252" s="194"/>
      <c r="AM252" s="194"/>
      <c r="AN252" s="194"/>
      <c r="AO252" s="194"/>
      <c r="AP252" s="194"/>
      <c r="AQ252" s="194"/>
      <c r="AR252" s="194"/>
      <c r="AS252" s="194"/>
      <c r="AT252" s="194"/>
      <c r="AU252" s="194"/>
      <c r="AV252" s="194"/>
      <c r="AW252" s="194"/>
      <c r="AX252" s="194"/>
      <c r="AY252" s="194"/>
      <c r="AZ252" s="194"/>
      <c r="BA252" s="194"/>
      <c r="BB252" s="85"/>
      <c r="BC252" s="242"/>
      <c r="BD252" s="84"/>
      <c r="BE252" s="84"/>
    </row>
    <row r="253" spans="1:57">
      <c r="A253" s="39"/>
      <c r="B253" s="118" t="s">
        <v>490</v>
      </c>
      <c r="C253" s="118"/>
      <c r="D253" s="84"/>
      <c r="E253" s="140"/>
      <c r="F253" s="140"/>
      <c r="G253" s="140"/>
      <c r="H253" s="140"/>
      <c r="I253" s="140"/>
      <c r="J253" s="140"/>
      <c r="K253" s="140"/>
      <c r="L253" s="140"/>
      <c r="M253" s="140"/>
      <c r="N253" s="140"/>
      <c r="O253" s="140"/>
      <c r="P253" s="141"/>
      <c r="Q253" s="194"/>
      <c r="R253" s="194"/>
      <c r="S253" s="194"/>
      <c r="T253" s="194"/>
      <c r="U253" s="194"/>
      <c r="V253" s="194"/>
      <c r="W253" s="194"/>
      <c r="X253" s="194"/>
      <c r="Y253" s="194"/>
      <c r="Z253" s="194"/>
      <c r="AA253" s="194"/>
      <c r="AB253" s="194"/>
      <c r="AC253" s="194"/>
      <c r="AD253" s="194"/>
      <c r="AE253" s="194"/>
      <c r="AF253" s="194"/>
      <c r="AG253" s="194"/>
      <c r="AH253" s="194"/>
      <c r="AI253" s="194"/>
      <c r="AJ253" s="194"/>
      <c r="AK253" s="194"/>
      <c r="AL253" s="194"/>
      <c r="AM253" s="194"/>
      <c r="AN253" s="194"/>
      <c r="AO253" s="194"/>
      <c r="AP253" s="194"/>
      <c r="AQ253" s="194"/>
      <c r="AR253" s="194"/>
      <c r="AS253" s="194"/>
      <c r="AT253" s="194"/>
      <c r="AU253" s="194"/>
      <c r="AV253" s="194"/>
      <c r="AW253" s="194"/>
      <c r="AX253" s="194"/>
      <c r="AY253" s="194"/>
      <c r="AZ253" s="194"/>
      <c r="BA253" s="194"/>
      <c r="BB253" s="85"/>
      <c r="BC253" s="369"/>
      <c r="BD253" s="84"/>
      <c r="BE253" s="84"/>
    </row>
    <row r="254" spans="1:57" s="248" customFormat="1">
      <c r="A254" s="103"/>
      <c r="B254" s="104" t="s">
        <v>491</v>
      </c>
      <c r="C254" s="104"/>
      <c r="D254" s="403"/>
      <c r="E254" s="136"/>
      <c r="F254" s="136"/>
      <c r="G254" s="136"/>
      <c r="H254" s="136"/>
      <c r="I254" s="137"/>
      <c r="J254" s="137"/>
      <c r="K254" s="137">
        <f>IF(ISTEXT('BS Raw'!F11),'BS Raw'!F67/Input!$B$1,Input!K251)</f>
        <v>0</v>
      </c>
      <c r="L254" s="137">
        <f>IF(ISTEXT('BS Raw'!G11),'BS Raw'!G67/Input!$B$1,Input!L251)</f>
        <v>0</v>
      </c>
      <c r="M254" s="137">
        <f>IF(ISTEXT('BS Raw'!H11),'BS Raw'!H67/Input!$B$1,Input!M251)</f>
        <v>0</v>
      </c>
      <c r="N254" s="137">
        <f>IF(ISTEXT('BS Raw'!I11),'BS Raw'!I67/Input!$B$1,Input!N251)</f>
        <v>0</v>
      </c>
      <c r="O254" s="137">
        <f>IF(ISTEXT('BS Raw'!J11),'BS Raw'!J67/Input!$B$1,Input!O251)</f>
        <v>0</v>
      </c>
      <c r="P254" s="137">
        <f>IF(ISTEXT('BS Raw'!K11),'BS Raw'!K67/Input!$B$1,Input!P251)</f>
        <v>0</v>
      </c>
      <c r="Q254" s="138">
        <f>IF(ISTEXT('BS Raw'!L11),'BS Raw'!L67/Input!$B$1,Input!Q251)</f>
        <v>0</v>
      </c>
      <c r="R254" s="138">
        <f>IF(ISTEXT('BS Raw'!M11),'BS Raw'!M67/Input!$B$1,Input!R251)</f>
        <v>0</v>
      </c>
      <c r="S254" s="138">
        <f>IF(ISTEXT('BS Raw'!N11),'BS Raw'!N67/Input!$B$1,Input!S251)</f>
        <v>0</v>
      </c>
      <c r="T254" s="138">
        <f>IF(ISTEXT('BS Raw'!O11),'BS Raw'!O67/Input!$B$1,Input!T251)</f>
        <v>0</v>
      </c>
      <c r="U254" s="138">
        <f>IF(ISTEXT('BS Raw'!P11),'BS Raw'!P67/Input!$B$1,Input!U251)</f>
        <v>0</v>
      </c>
      <c r="V254" s="138">
        <f>IF(ISTEXT('BS Raw'!Q11),'BS Raw'!Q67/Input!$B$1,Input!V251)</f>
        <v>0</v>
      </c>
      <c r="W254" s="138">
        <f>IF(ISTEXT('BS Raw'!R11),'BS Raw'!R67/Input!$B$1,Input!W251)</f>
        <v>0</v>
      </c>
      <c r="X254" s="138">
        <f>IF(ISTEXT('BS Raw'!S11),'BS Raw'!S67/Input!$B$1,Input!X251)</f>
        <v>0</v>
      </c>
      <c r="Y254" s="138">
        <f>IF(ISTEXT('BS Raw'!T11),'BS Raw'!T67/Input!$B$1,Input!Y251)</f>
        <v>0</v>
      </c>
      <c r="Z254" s="138">
        <f>IF(ISTEXT('BS Raw'!U11),'BS Raw'!U67/Input!$B$1,Input!Z251)</f>
        <v>0</v>
      </c>
      <c r="AA254" s="138"/>
      <c r="AB254" s="139"/>
      <c r="AC254" s="139"/>
      <c r="AD254" s="139"/>
      <c r="AE254" s="139"/>
      <c r="AF254" s="139"/>
      <c r="AG254" s="139"/>
      <c r="AH254" s="139"/>
      <c r="AI254" s="139"/>
      <c r="AJ254" s="139"/>
      <c r="AK254" s="139"/>
      <c r="AL254" s="139"/>
      <c r="AM254" s="139"/>
      <c r="AN254" s="139"/>
      <c r="AO254" s="139"/>
      <c r="AP254" s="139"/>
      <c r="AQ254" s="139"/>
      <c r="AR254" s="139"/>
      <c r="AS254" s="139"/>
      <c r="AT254" s="139"/>
      <c r="AU254" s="139"/>
      <c r="AV254" s="139"/>
      <c r="AW254" s="139"/>
      <c r="AX254" s="139"/>
      <c r="AY254" s="139"/>
      <c r="AZ254" s="139"/>
      <c r="BA254" s="139"/>
      <c r="BB254" s="404"/>
      <c r="BC254" s="111"/>
    </row>
    <row r="255" spans="1:57">
      <c r="A255" s="39"/>
      <c r="D255" s="84"/>
      <c r="E255" s="140"/>
      <c r="F255" s="140"/>
      <c r="G255" s="140"/>
      <c r="H255" s="140"/>
      <c r="I255" s="140"/>
      <c r="J255" s="140"/>
      <c r="K255" s="140"/>
      <c r="L255" s="140"/>
      <c r="M255" s="140"/>
      <c r="N255" s="140"/>
      <c r="O255" s="140"/>
      <c r="P255" s="141"/>
      <c r="Q255" s="140"/>
      <c r="R255" s="140"/>
      <c r="S255" s="140"/>
      <c r="T255" s="140"/>
      <c r="U255" s="140"/>
      <c r="V255" s="140"/>
      <c r="W255" s="140"/>
      <c r="X255" s="140"/>
      <c r="Y255" s="140"/>
      <c r="Z255" s="140"/>
      <c r="AA255" s="140"/>
      <c r="AB255" s="140"/>
      <c r="AC255" s="140"/>
      <c r="AD255" s="140"/>
      <c r="AE255" s="140"/>
      <c r="AF255" s="140"/>
      <c r="AG255" s="140"/>
      <c r="AH255" s="140"/>
      <c r="AI255" s="140"/>
      <c r="AJ255" s="140"/>
      <c r="AK255" s="140"/>
      <c r="AL255" s="140"/>
      <c r="AM255" s="140"/>
      <c r="AN255" s="140"/>
      <c r="AO255" s="140"/>
      <c r="AP255" s="140"/>
      <c r="AQ255" s="140"/>
      <c r="AR255" s="140"/>
      <c r="AS255" s="140"/>
      <c r="AT255" s="140"/>
      <c r="AU255" s="140"/>
      <c r="AV255" s="140"/>
      <c r="AW255" s="140"/>
      <c r="AX255" s="140"/>
      <c r="AY255" s="140"/>
      <c r="AZ255" s="140"/>
      <c r="BA255" s="140"/>
      <c r="BB255" s="85"/>
      <c r="BD255" s="84"/>
      <c r="BE255" s="84"/>
    </row>
    <row r="256" spans="1:57">
      <c r="A256" s="39">
        <v>14</v>
      </c>
      <c r="B256" s="5" t="s">
        <v>492</v>
      </c>
      <c r="D256" s="84"/>
      <c r="E256" s="41"/>
      <c r="F256" s="41"/>
      <c r="G256" s="41"/>
      <c r="H256" s="41"/>
      <c r="I256" s="190"/>
      <c r="J256" s="190"/>
      <c r="K256" s="190">
        <f>'BS Raw'!F74</f>
        <v>36.412462404999999</v>
      </c>
      <c r="L256" s="190">
        <f>'BS Raw'!G74</f>
        <v>22.901670675999998</v>
      </c>
      <c r="M256" s="190">
        <f>'BS Raw'!H74</f>
        <v>324.085468816</v>
      </c>
      <c r="N256" s="190">
        <f>'BS Raw'!I74</f>
        <v>302.64536233899997</v>
      </c>
      <c r="O256" s="190">
        <f>'BS Raw'!J74</f>
        <v>45.105620483000003</v>
      </c>
      <c r="P256" s="190">
        <f>'BS Raw'!K74</f>
        <v>260.112988949</v>
      </c>
      <c r="Q256" s="198">
        <f>Q5*Q257</f>
        <v>245.24150977980378</v>
      </c>
      <c r="R256" s="198">
        <f t="shared" ref="R256:Z256" si="196">R5*R257</f>
        <v>283.85334911834428</v>
      </c>
      <c r="S256" s="198">
        <f t="shared" si="196"/>
        <v>330.88240712003977</v>
      </c>
      <c r="T256" s="198">
        <f t="shared" si="196"/>
        <v>331.65796105413978</v>
      </c>
      <c r="U256" s="198">
        <f t="shared" si="196"/>
        <v>305.8266299459508</v>
      </c>
      <c r="V256" s="198">
        <f t="shared" si="196"/>
        <v>321.66858798663395</v>
      </c>
      <c r="W256" s="198">
        <f t="shared" si="196"/>
        <v>317.43256604278162</v>
      </c>
      <c r="X256" s="198">
        <f t="shared" si="196"/>
        <v>329.09194028159055</v>
      </c>
      <c r="Y256" s="198">
        <f t="shared" si="196"/>
        <v>346.52077436225267</v>
      </c>
      <c r="Z256" s="198">
        <f t="shared" si="196"/>
        <v>343.85292451895424</v>
      </c>
      <c r="AA256" s="198"/>
      <c r="AB256" s="194"/>
      <c r="AC256" s="194"/>
      <c r="AD256" s="194"/>
      <c r="AE256" s="194"/>
      <c r="AF256" s="194"/>
      <c r="AG256" s="194"/>
      <c r="AH256" s="194"/>
      <c r="AI256" s="194"/>
      <c r="AJ256" s="194"/>
      <c r="AK256" s="194"/>
      <c r="AL256" s="194"/>
      <c r="AM256" s="194"/>
      <c r="AN256" s="194"/>
      <c r="AO256" s="194"/>
      <c r="AP256" s="194"/>
      <c r="AQ256" s="194"/>
      <c r="AR256" s="194"/>
      <c r="AS256" s="194"/>
      <c r="AT256" s="194"/>
      <c r="AU256" s="194"/>
      <c r="AV256" s="194"/>
      <c r="AW256" s="194"/>
      <c r="AX256" s="194"/>
      <c r="AY256" s="194"/>
      <c r="AZ256" s="194"/>
      <c r="BA256" s="194"/>
      <c r="BB256" s="85"/>
      <c r="BD256" s="84"/>
      <c r="BE256" s="84"/>
    </row>
    <row r="257" spans="1:57" s="150" customFormat="1">
      <c r="A257" s="159"/>
      <c r="B257" s="145" t="s">
        <v>319</v>
      </c>
      <c r="C257" s="145"/>
      <c r="E257" s="166"/>
      <c r="F257" s="166"/>
      <c r="G257" s="166"/>
      <c r="H257" s="166"/>
      <c r="I257" s="229"/>
      <c r="J257" s="229"/>
      <c r="K257" s="229">
        <f>K256/K7</f>
        <v>5.1700459147825508E-3</v>
      </c>
      <c r="L257" s="229">
        <f t="shared" ref="L257:P257" si="197">L256/L7</f>
        <v>3.0288106664356062E-3</v>
      </c>
      <c r="M257" s="229">
        <f t="shared" si="197"/>
        <v>3.2836195960060863E-2</v>
      </c>
      <c r="N257" s="229">
        <f t="shared" si="197"/>
        <v>1.900498298794337E-2</v>
      </c>
      <c r="O257" s="229">
        <f t="shared" si="197"/>
        <v>3.5882001078934513E-3</v>
      </c>
      <c r="P257" s="229">
        <f t="shared" si="197"/>
        <v>1.9331228337993108E-2</v>
      </c>
      <c r="Q257" s="230">
        <f>AVERAGE(K257:P257)</f>
        <v>1.3826577329184827E-2</v>
      </c>
      <c r="R257" s="230">
        <f t="shared" ref="R257:Z257" si="198">AVERAGE(L257:Q257)</f>
        <v>1.5269332564918537E-2</v>
      </c>
      <c r="S257" s="230">
        <f t="shared" si="198"/>
        <v>1.7309419547999024E-2</v>
      </c>
      <c r="T257" s="230">
        <f t="shared" si="198"/>
        <v>1.4721623479322052E-2</v>
      </c>
      <c r="U257" s="230">
        <f t="shared" si="198"/>
        <v>1.4007730227885167E-2</v>
      </c>
      <c r="V257" s="230">
        <f t="shared" si="198"/>
        <v>1.574431858121712E-2</v>
      </c>
      <c r="W257" s="230">
        <f t="shared" si="198"/>
        <v>1.5146500288421122E-2</v>
      </c>
      <c r="X257" s="230">
        <f t="shared" si="198"/>
        <v>1.5366487448293838E-2</v>
      </c>
      <c r="Y257" s="230">
        <f t="shared" si="198"/>
        <v>1.5382679928856386E-2</v>
      </c>
      <c r="Z257" s="230">
        <f t="shared" si="198"/>
        <v>1.5061556658999281E-2</v>
      </c>
      <c r="AA257" s="230"/>
      <c r="AB257" s="299"/>
      <c r="AC257" s="299"/>
      <c r="AD257" s="299"/>
      <c r="AE257" s="299"/>
      <c r="AF257" s="299"/>
      <c r="AG257" s="299"/>
      <c r="AH257" s="299"/>
      <c r="AI257" s="299"/>
      <c r="AJ257" s="299"/>
      <c r="AK257" s="299"/>
      <c r="AL257" s="299"/>
      <c r="AM257" s="299"/>
      <c r="AN257" s="299"/>
      <c r="AO257" s="299"/>
      <c r="AP257" s="289"/>
      <c r="AQ257" s="289"/>
      <c r="AR257" s="289"/>
      <c r="AS257" s="289"/>
      <c r="AT257" s="289"/>
      <c r="AU257" s="289"/>
      <c r="AV257" s="289"/>
      <c r="AW257" s="289"/>
      <c r="AX257" s="289"/>
      <c r="AY257" s="289"/>
      <c r="AZ257" s="289"/>
      <c r="BA257" s="289"/>
      <c r="BB257" s="168"/>
      <c r="BC257" s="288"/>
    </row>
    <row r="258" spans="1:57" s="150" customFormat="1">
      <c r="A258" s="159"/>
      <c r="B258" s="145" t="s">
        <v>427</v>
      </c>
      <c r="C258" s="145"/>
      <c r="I258" s="229"/>
      <c r="J258" s="229"/>
      <c r="K258" s="229"/>
      <c r="L258" s="229">
        <f>L256/K256-1</f>
        <v>-0.37104855965865025</v>
      </c>
      <c r="M258" s="229">
        <f t="shared" ref="M258:Z258" si="199">M256/L256-1</f>
        <v>13.151171475696231</v>
      </c>
      <c r="N258" s="229">
        <f t="shared" si="199"/>
        <v>-6.6155716747586357E-2</v>
      </c>
      <c r="O258" s="229">
        <f t="shared" si="199"/>
        <v>-0.85096212896044254</v>
      </c>
      <c r="P258" s="229">
        <f t="shared" si="199"/>
        <v>4.766753370503678</v>
      </c>
      <c r="Q258" s="179">
        <f t="shared" si="199"/>
        <v>-5.7173150903710002E-2</v>
      </c>
      <c r="R258" s="179">
        <f t="shared" si="199"/>
        <v>0.15744414301318366</v>
      </c>
      <c r="S258" s="179">
        <f t="shared" si="199"/>
        <v>0.1656808283142297</v>
      </c>
      <c r="T258" s="179">
        <f t="shared" si="199"/>
        <v>2.3438959503780943E-3</v>
      </c>
      <c r="U258" s="179">
        <f t="shared" si="199"/>
        <v>-7.7885454719937464E-2</v>
      </c>
      <c r="V258" s="179">
        <f t="shared" si="199"/>
        <v>5.1800453228951771E-2</v>
      </c>
      <c r="W258" s="179">
        <f t="shared" si="199"/>
        <v>-1.3168901478276651E-2</v>
      </c>
      <c r="X258" s="179">
        <f t="shared" si="199"/>
        <v>3.673023969833511E-2</v>
      </c>
      <c r="Y258" s="179">
        <f t="shared" si="199"/>
        <v>5.2960379600147434E-2</v>
      </c>
      <c r="Z258" s="179">
        <f t="shared" si="199"/>
        <v>-7.6989607569948326E-3</v>
      </c>
      <c r="AA258" s="231"/>
      <c r="AB258" s="231"/>
      <c r="AC258" s="231"/>
      <c r="AD258" s="231"/>
      <c r="AE258" s="231"/>
      <c r="AF258" s="231"/>
      <c r="AG258" s="231"/>
      <c r="AH258" s="231"/>
      <c r="AI258" s="231"/>
      <c r="AJ258" s="231"/>
      <c r="AK258" s="231"/>
      <c r="AL258" s="231"/>
      <c r="AM258" s="231"/>
      <c r="AN258" s="231"/>
      <c r="AO258" s="231"/>
      <c r="AP258" s="231"/>
      <c r="AQ258" s="231"/>
      <c r="AR258" s="231"/>
      <c r="AS258" s="231"/>
      <c r="AT258" s="231"/>
      <c r="AU258" s="231"/>
      <c r="AV258" s="231"/>
      <c r="AW258" s="231"/>
      <c r="AX258" s="231"/>
      <c r="AY258" s="231"/>
      <c r="AZ258" s="231"/>
      <c r="BA258" s="231"/>
      <c r="BB258" s="168"/>
      <c r="BC258" s="117"/>
    </row>
    <row r="259" spans="1:57" s="88" customFormat="1">
      <c r="A259" s="103"/>
      <c r="B259" s="104" t="s">
        <v>493</v>
      </c>
      <c r="C259" s="104"/>
      <c r="D259" s="105"/>
      <c r="E259" s="136"/>
      <c r="F259" s="136"/>
      <c r="G259" s="136"/>
      <c r="H259" s="136"/>
      <c r="I259" s="137"/>
      <c r="J259" s="137"/>
      <c r="K259" s="137">
        <f>IF(ISTEXT('BS Raw'!F11),'BS Raw'!F74/Input!$B$1,Input!K256)</f>
        <v>36.412462404999999</v>
      </c>
      <c r="L259" s="137">
        <f>IF(ISTEXT('BS Raw'!G11),'BS Raw'!G74/Input!$B$1,Input!L256)</f>
        <v>22.901670675999998</v>
      </c>
      <c r="M259" s="137">
        <f>IF(ISTEXT('BS Raw'!H11),'BS Raw'!H74/Input!$B$1,Input!M256)</f>
        <v>324.085468816</v>
      </c>
      <c r="N259" s="137">
        <f>IF(ISTEXT('BS Raw'!I11),'BS Raw'!I74/Input!$B$1,Input!N256)</f>
        <v>302.64536233899997</v>
      </c>
      <c r="O259" s="137">
        <f>IF(ISTEXT('BS Raw'!J11),'BS Raw'!J74/Input!$B$1,Input!O256)</f>
        <v>45.105620483000003</v>
      </c>
      <c r="P259" s="137">
        <f>IF(ISTEXT('BS Raw'!K11),'BS Raw'!K74/Input!$B$1,Input!P256)</f>
        <v>260.112988949</v>
      </c>
      <c r="Q259" s="137">
        <f>IF(ISTEXT('BS Raw'!L11),'BS Raw'!L74/Input!$B$1,Input!Q256)</f>
        <v>245.24150977980378</v>
      </c>
      <c r="R259" s="137">
        <f>IF(ISTEXT('BS Raw'!M11),'BS Raw'!M74/Input!$B$1,Input!R256)</f>
        <v>283.85334911834428</v>
      </c>
      <c r="S259" s="137">
        <f>IF(ISTEXT('BS Raw'!N11),'BS Raw'!N74/Input!$B$1,Input!S256)</f>
        <v>330.88240712003977</v>
      </c>
      <c r="T259" s="137">
        <f>IF(ISTEXT('BS Raw'!O11),'BS Raw'!O74/Input!$B$1,Input!T256)</f>
        <v>331.65796105413978</v>
      </c>
      <c r="U259" s="137">
        <f>IF(ISTEXT('BS Raw'!P11),'BS Raw'!P74/Input!$B$1,Input!U256)</f>
        <v>305.8266299459508</v>
      </c>
      <c r="V259" s="137">
        <f>IF(ISTEXT('BS Raw'!Q11),'BS Raw'!Q74/Input!$B$1,Input!V256)</f>
        <v>321.66858798663395</v>
      </c>
      <c r="W259" s="137">
        <f>IF(ISTEXT('BS Raw'!R11),'BS Raw'!R74/Input!$B$1,Input!W256)</f>
        <v>317.43256604278162</v>
      </c>
      <c r="X259" s="137">
        <f>IF(ISTEXT('BS Raw'!S11),'BS Raw'!S74/Input!$B$1,Input!X256)</f>
        <v>329.09194028159055</v>
      </c>
      <c r="Y259" s="137">
        <f>IF(ISTEXT('BS Raw'!T11),'BS Raw'!T74/Input!$B$1,Input!Y256)</f>
        <v>346.52077436225267</v>
      </c>
      <c r="Z259" s="137">
        <f>IF(ISTEXT('BS Raw'!U11),'BS Raw'!U74/Input!$B$1,Input!Z256)</f>
        <v>343.85292451895424</v>
      </c>
      <c r="AA259" s="138"/>
      <c r="AB259" s="139"/>
      <c r="AC259" s="139"/>
      <c r="AD259" s="139"/>
      <c r="AE259" s="139"/>
      <c r="AF259" s="139"/>
      <c r="AG259" s="139"/>
      <c r="AH259" s="139"/>
      <c r="AI259" s="139"/>
      <c r="AJ259" s="139"/>
      <c r="AK259" s="139"/>
      <c r="AL259" s="139"/>
      <c r="AM259" s="139"/>
      <c r="AN259" s="139"/>
      <c r="AO259" s="139"/>
      <c r="AP259" s="139"/>
      <c r="AQ259" s="139"/>
      <c r="AR259" s="139"/>
      <c r="AS259" s="139"/>
      <c r="AT259" s="139"/>
      <c r="AU259" s="139"/>
      <c r="AV259" s="139"/>
      <c r="AW259" s="139"/>
      <c r="AX259" s="139"/>
      <c r="AY259" s="139"/>
      <c r="AZ259" s="139"/>
      <c r="BA259" s="139"/>
      <c r="BB259" s="110"/>
      <c r="BC259" s="111"/>
    </row>
    <row r="260" spans="1:57" s="18" customFormat="1">
      <c r="A260" s="17"/>
      <c r="D260" s="151"/>
      <c r="E260" s="20"/>
      <c r="F260" s="20"/>
      <c r="G260" s="20"/>
      <c r="H260" s="20"/>
      <c r="I260" s="20"/>
      <c r="J260" s="20"/>
      <c r="K260" s="20"/>
      <c r="L260" s="20"/>
      <c r="M260" s="20"/>
      <c r="N260" s="124"/>
      <c r="O260" s="124"/>
      <c r="P260" s="125"/>
      <c r="Q260" s="124"/>
      <c r="R260" s="124"/>
      <c r="S260" s="124"/>
      <c r="T260" s="124"/>
      <c r="U260" s="124"/>
      <c r="V260" s="124"/>
      <c r="W260" s="124"/>
      <c r="X260" s="124"/>
      <c r="Y260" s="124"/>
      <c r="Z260" s="124"/>
      <c r="AA260" s="124"/>
      <c r="AB260" s="124"/>
      <c r="AC260" s="124"/>
      <c r="AD260" s="124"/>
      <c r="AE260" s="124"/>
      <c r="AF260" s="124"/>
      <c r="AG260" s="124"/>
      <c r="AH260" s="124"/>
      <c r="AI260" s="124"/>
      <c r="AJ260" s="124"/>
      <c r="AK260" s="124"/>
      <c r="AL260" s="124"/>
      <c r="AM260" s="124"/>
      <c r="AN260" s="124"/>
      <c r="AO260" s="124"/>
      <c r="AP260" s="124"/>
      <c r="AQ260" s="124"/>
      <c r="AR260" s="124"/>
      <c r="AS260" s="124"/>
      <c r="AT260" s="124"/>
      <c r="AU260" s="124"/>
      <c r="AV260" s="124"/>
      <c r="AW260" s="124"/>
      <c r="AX260" s="124"/>
      <c r="AY260" s="124"/>
      <c r="AZ260" s="124"/>
      <c r="BA260" s="124"/>
      <c r="BB260" s="227"/>
      <c r="BC260" s="94"/>
      <c r="BD260" s="151"/>
      <c r="BE260" s="151"/>
    </row>
    <row r="261" spans="1:57" s="95" customFormat="1">
      <c r="A261" s="86"/>
      <c r="B261" s="87" t="s">
        <v>494</v>
      </c>
      <c r="C261" s="87"/>
      <c r="E261" s="128"/>
      <c r="F261" s="128"/>
      <c r="G261" s="128"/>
      <c r="H261" s="128"/>
      <c r="I261" s="129"/>
      <c r="J261" s="129"/>
      <c r="K261" s="129">
        <f>K222+K228+K234+K240+K246+K251+K256+K217</f>
        <v>5922.5577939079994</v>
      </c>
      <c r="L261" s="129">
        <f t="shared" ref="L261:Z261" si="200">L222+L228+L234+L240+L246+L251+L256+L217</f>
        <v>4739.2885646720006</v>
      </c>
      <c r="M261" s="129">
        <f t="shared" si="200"/>
        <v>3795.8296854959995</v>
      </c>
      <c r="N261" s="129">
        <f t="shared" si="200"/>
        <v>2542.6741293839996</v>
      </c>
      <c r="O261" s="129">
        <f t="shared" si="200"/>
        <v>1733.471002213</v>
      </c>
      <c r="P261" s="129">
        <f t="shared" si="200"/>
        <v>2807.9845533490002</v>
      </c>
      <c r="Q261" s="91">
        <f t="shared" si="200"/>
        <v>2720.135733830668</v>
      </c>
      <c r="R261" s="91">
        <f t="shared" si="200"/>
        <v>2520.1794509734082</v>
      </c>
      <c r="S261" s="91">
        <f t="shared" si="200"/>
        <v>2873.4421934867601</v>
      </c>
      <c r="T261" s="91">
        <f t="shared" si="200"/>
        <v>3637.0915617238757</v>
      </c>
      <c r="U261" s="91">
        <f t="shared" si="200"/>
        <v>3671.5373033971023</v>
      </c>
      <c r="V261" s="91">
        <f t="shared" si="200"/>
        <v>3663.3660973928158</v>
      </c>
      <c r="W261" s="91">
        <f t="shared" si="200"/>
        <v>3604.7988675472434</v>
      </c>
      <c r="X261" s="91">
        <f t="shared" si="200"/>
        <v>3555.1838611133521</v>
      </c>
      <c r="Y261" s="91">
        <f t="shared" si="200"/>
        <v>3544.42960433075</v>
      </c>
      <c r="Z261" s="91">
        <f t="shared" si="200"/>
        <v>3473.2135468173733</v>
      </c>
      <c r="AA261" s="91"/>
      <c r="AB261" s="92"/>
      <c r="AC261" s="92"/>
      <c r="AD261" s="92"/>
      <c r="AE261" s="92"/>
      <c r="AF261" s="92"/>
      <c r="AG261" s="92"/>
      <c r="AH261" s="92"/>
      <c r="AI261" s="92"/>
      <c r="AJ261" s="92"/>
      <c r="AK261" s="92"/>
      <c r="AL261" s="92"/>
      <c r="AM261" s="92"/>
      <c r="AN261" s="92"/>
      <c r="AO261" s="92"/>
      <c r="AP261" s="92"/>
      <c r="AQ261" s="92"/>
      <c r="AR261" s="92"/>
      <c r="AS261" s="92"/>
      <c r="AT261" s="92"/>
      <c r="AU261" s="92"/>
      <c r="AV261" s="92"/>
      <c r="AW261" s="92"/>
      <c r="AX261" s="92"/>
      <c r="AY261" s="92"/>
      <c r="AZ261" s="92"/>
      <c r="BA261" s="92"/>
      <c r="BB261" s="93"/>
      <c r="BC261" s="94"/>
    </row>
    <row r="262" spans="1:57" s="88" customFormat="1">
      <c r="A262" s="103"/>
      <c r="B262" s="104" t="s">
        <v>494</v>
      </c>
      <c r="C262" s="104"/>
      <c r="D262" s="105"/>
      <c r="E262" s="136"/>
      <c r="F262" s="136"/>
      <c r="G262" s="136"/>
      <c r="H262" s="136"/>
      <c r="I262" s="137"/>
      <c r="J262" s="137"/>
      <c r="K262" s="137">
        <f>K226+K232+K238+K244+K249+K254+K259+K220</f>
        <v>5922.5577939079994</v>
      </c>
      <c r="L262" s="137">
        <f t="shared" ref="L262:Z262" si="201">L226+L232+L238+L244+L249+L254+L259+L220</f>
        <v>4739.2885646720006</v>
      </c>
      <c r="M262" s="137">
        <f t="shared" si="201"/>
        <v>3795.8296854959995</v>
      </c>
      <c r="N262" s="137">
        <f t="shared" si="201"/>
        <v>2542.6741293839996</v>
      </c>
      <c r="O262" s="137">
        <f t="shared" si="201"/>
        <v>1733.471002213</v>
      </c>
      <c r="P262" s="137">
        <f t="shared" si="201"/>
        <v>2807.9845533490002</v>
      </c>
      <c r="Q262" s="138">
        <f t="shared" si="201"/>
        <v>2720.135733830668</v>
      </c>
      <c r="R262" s="138">
        <f t="shared" si="201"/>
        <v>2520.1794509734082</v>
      </c>
      <c r="S262" s="138">
        <f t="shared" si="201"/>
        <v>2873.4421934867601</v>
      </c>
      <c r="T262" s="138">
        <f t="shared" si="201"/>
        <v>3637.0915617238757</v>
      </c>
      <c r="U262" s="138">
        <f t="shared" si="201"/>
        <v>3671.5373033971023</v>
      </c>
      <c r="V262" s="138">
        <f t="shared" si="201"/>
        <v>3663.3660973928158</v>
      </c>
      <c r="W262" s="138">
        <f t="shared" si="201"/>
        <v>3604.7988675472434</v>
      </c>
      <c r="X262" s="138">
        <f t="shared" si="201"/>
        <v>3555.1838611133521</v>
      </c>
      <c r="Y262" s="138">
        <f t="shared" si="201"/>
        <v>3544.42960433075</v>
      </c>
      <c r="Z262" s="138">
        <f t="shared" si="201"/>
        <v>3473.2135468173733</v>
      </c>
      <c r="AA262" s="138"/>
      <c r="AB262" s="139"/>
      <c r="AC262" s="139"/>
      <c r="AD262" s="139"/>
      <c r="AE262" s="139"/>
      <c r="AF262" s="139"/>
      <c r="AG262" s="139"/>
      <c r="AH262" s="139"/>
      <c r="AI262" s="139"/>
      <c r="AJ262" s="139"/>
      <c r="AK262" s="139"/>
      <c r="AL262" s="139"/>
      <c r="AM262" s="139"/>
      <c r="AN262" s="139"/>
      <c r="AO262" s="139"/>
      <c r="AP262" s="139"/>
      <c r="AQ262" s="139"/>
      <c r="AR262" s="139"/>
      <c r="AS262" s="139"/>
      <c r="AT262" s="139"/>
      <c r="AU262" s="139"/>
      <c r="AV262" s="139"/>
      <c r="AW262" s="139"/>
      <c r="AX262" s="139"/>
      <c r="AY262" s="139"/>
      <c r="AZ262" s="139"/>
      <c r="BA262" s="139"/>
      <c r="BC262" s="405"/>
    </row>
    <row r="263" spans="1:57">
      <c r="A263" s="39"/>
      <c r="D263" s="84"/>
      <c r="E263" s="140"/>
      <c r="F263" s="140"/>
      <c r="G263" s="140"/>
      <c r="H263" s="140"/>
      <c r="I263" s="140"/>
      <c r="J263" s="140"/>
      <c r="K263" s="140"/>
      <c r="L263" s="140"/>
      <c r="M263" s="140"/>
      <c r="N263" s="128"/>
      <c r="O263" s="128"/>
      <c r="P263" s="265"/>
      <c r="Q263" s="124"/>
      <c r="R263" s="124"/>
      <c r="S263" s="128"/>
      <c r="T263" s="128"/>
      <c r="U263" s="128"/>
      <c r="V263" s="128"/>
      <c r="W263" s="128"/>
      <c r="X263" s="128"/>
      <c r="Y263" s="128"/>
      <c r="Z263" s="128"/>
      <c r="AA263" s="128"/>
      <c r="AB263" s="128"/>
      <c r="AC263" s="128"/>
      <c r="AD263" s="128"/>
      <c r="AE263" s="128"/>
      <c r="AF263" s="128"/>
      <c r="AG263" s="128"/>
      <c r="AH263" s="128"/>
      <c r="AI263" s="128"/>
      <c r="AJ263" s="128"/>
      <c r="AK263" s="128"/>
      <c r="AL263" s="128"/>
      <c r="AM263" s="128"/>
      <c r="AN263" s="128"/>
      <c r="AO263" s="128"/>
      <c r="AP263" s="128"/>
      <c r="AQ263" s="128"/>
      <c r="AR263" s="128"/>
      <c r="AS263" s="128"/>
      <c r="AT263" s="128"/>
      <c r="AU263" s="128"/>
      <c r="AV263" s="128"/>
      <c r="AW263" s="128"/>
      <c r="AX263" s="128"/>
      <c r="AY263" s="128"/>
      <c r="AZ263" s="128"/>
      <c r="BA263" s="128"/>
      <c r="BB263" s="200"/>
      <c r="BC263" s="94"/>
      <c r="BD263" s="84"/>
      <c r="BE263" s="84"/>
    </row>
    <row r="264" spans="1:57" s="95" customFormat="1">
      <c r="A264" s="86"/>
      <c r="B264" s="87" t="s">
        <v>495</v>
      </c>
      <c r="C264" s="87"/>
      <c r="E264" s="128"/>
      <c r="F264" s="128"/>
      <c r="G264" s="128"/>
      <c r="H264" s="128"/>
      <c r="I264" s="129"/>
      <c r="J264" s="129"/>
      <c r="K264" s="129">
        <f>K261+K213</f>
        <v>10172.594752745999</v>
      </c>
      <c r="L264" s="129">
        <f t="shared" ref="L264:Z264" si="202">L261+L213</f>
        <v>8717.4806916109992</v>
      </c>
      <c r="M264" s="129">
        <f t="shared" si="202"/>
        <v>11072.121334924999</v>
      </c>
      <c r="N264" s="129">
        <f t="shared" si="202"/>
        <v>14166.860720016</v>
      </c>
      <c r="O264" s="129">
        <f t="shared" si="202"/>
        <v>15237.966427298999</v>
      </c>
      <c r="P264" s="129">
        <f t="shared" si="202"/>
        <v>15728.847338145</v>
      </c>
      <c r="Q264" s="91">
        <f t="shared" ca="1" si="202"/>
        <v>18017.483292912519</v>
      </c>
      <c r="R264" s="91">
        <f t="shared" ca="1" si="202"/>
        <v>19735.874623772048</v>
      </c>
      <c r="S264" s="91">
        <f t="shared" ca="1" si="202"/>
        <v>21629.797172213082</v>
      </c>
      <c r="T264" s="91">
        <f t="shared" ca="1" si="202"/>
        <v>26634.183331990287</v>
      </c>
      <c r="U264" s="91">
        <f t="shared" ca="1" si="202"/>
        <v>28759.501945854568</v>
      </c>
      <c r="V264" s="91">
        <f t="shared" ca="1" si="202"/>
        <v>29553.249091368329</v>
      </c>
      <c r="W264" s="91">
        <f t="shared" ca="1" si="202"/>
        <v>31218.55671710087</v>
      </c>
      <c r="X264" s="91">
        <f t="shared" ca="1" si="202"/>
        <v>32930.475842630447</v>
      </c>
      <c r="Y264" s="91">
        <f t="shared" ca="1" si="202"/>
        <v>34863.847465573337</v>
      </c>
      <c r="Z264" s="91">
        <f t="shared" ca="1" si="202"/>
        <v>36074.784985703947</v>
      </c>
      <c r="AA264" s="91"/>
      <c r="AB264" s="92"/>
      <c r="AC264" s="92"/>
      <c r="AD264" s="92"/>
      <c r="AE264" s="92"/>
      <c r="AF264" s="92"/>
      <c r="AG264" s="92"/>
      <c r="AH264" s="92"/>
      <c r="AI264" s="92"/>
      <c r="AJ264" s="92"/>
      <c r="AK264" s="92"/>
      <c r="AL264" s="92"/>
      <c r="AM264" s="92"/>
      <c r="AN264" s="92"/>
      <c r="AO264" s="92"/>
      <c r="AP264" s="92"/>
      <c r="AQ264" s="92"/>
      <c r="AR264" s="92"/>
      <c r="AS264" s="92"/>
      <c r="AT264" s="92"/>
      <c r="AU264" s="92"/>
      <c r="AV264" s="92"/>
      <c r="AW264" s="92"/>
      <c r="AX264" s="92"/>
      <c r="AY264" s="92"/>
      <c r="AZ264" s="92"/>
      <c r="BA264" s="92"/>
      <c r="BB264" s="93"/>
      <c r="BC264" s="94"/>
    </row>
    <row r="265" spans="1:57" s="95" customFormat="1" ht="13.8" thickBot="1">
      <c r="A265" s="86"/>
      <c r="B265" s="406" t="s">
        <v>495</v>
      </c>
      <c r="C265" s="406"/>
      <c r="D265" s="407"/>
      <c r="E265" s="408"/>
      <c r="F265" s="408"/>
      <c r="G265" s="408"/>
      <c r="H265" s="408"/>
      <c r="I265" s="409"/>
      <c r="J265" s="409"/>
      <c r="K265" s="409">
        <f>K262+K214</f>
        <v>10172.594752745999</v>
      </c>
      <c r="L265" s="409">
        <f t="shared" ref="L265:Z265" si="203">L262+L214</f>
        <v>8717.4806916109992</v>
      </c>
      <c r="M265" s="409">
        <f t="shared" si="203"/>
        <v>11072.121334924999</v>
      </c>
      <c r="N265" s="409">
        <f t="shared" si="203"/>
        <v>14166.860720016</v>
      </c>
      <c r="O265" s="409">
        <f t="shared" si="203"/>
        <v>15237.966427298999</v>
      </c>
      <c r="P265" s="409">
        <f t="shared" si="203"/>
        <v>15728.847338145</v>
      </c>
      <c r="Q265" s="410">
        <f t="shared" ca="1" si="203"/>
        <v>18017.483292912519</v>
      </c>
      <c r="R265" s="410">
        <f t="shared" ca="1" si="203"/>
        <v>19735.874623772048</v>
      </c>
      <c r="S265" s="410">
        <f t="shared" ca="1" si="203"/>
        <v>21629.797172213082</v>
      </c>
      <c r="T265" s="410">
        <f t="shared" ca="1" si="203"/>
        <v>26634.183331990287</v>
      </c>
      <c r="U265" s="410">
        <f t="shared" ca="1" si="203"/>
        <v>28759.501945854568</v>
      </c>
      <c r="V265" s="410">
        <f t="shared" ca="1" si="203"/>
        <v>29553.249091368329</v>
      </c>
      <c r="W265" s="410">
        <f t="shared" ca="1" si="203"/>
        <v>31218.55671710087</v>
      </c>
      <c r="X265" s="410">
        <f t="shared" ca="1" si="203"/>
        <v>32930.475842630447</v>
      </c>
      <c r="Y265" s="410">
        <f t="shared" ca="1" si="203"/>
        <v>34863.847465573337</v>
      </c>
      <c r="Z265" s="410">
        <f t="shared" ca="1" si="203"/>
        <v>36074.784985703947</v>
      </c>
      <c r="AA265" s="410"/>
      <c r="AB265" s="411"/>
      <c r="AC265" s="411"/>
      <c r="AD265" s="411"/>
      <c r="AE265" s="411"/>
      <c r="AF265" s="411"/>
      <c r="AG265" s="411"/>
      <c r="AH265" s="411"/>
      <c r="AI265" s="411"/>
      <c r="AJ265" s="411"/>
      <c r="AK265" s="411"/>
      <c r="AL265" s="411"/>
      <c r="AM265" s="411"/>
      <c r="AN265" s="411"/>
      <c r="AO265" s="411"/>
      <c r="AP265" s="411"/>
      <c r="AQ265" s="411"/>
      <c r="AR265" s="411"/>
      <c r="AS265" s="411"/>
      <c r="AT265" s="411"/>
      <c r="AU265" s="411"/>
      <c r="AV265" s="411"/>
      <c r="AW265" s="411"/>
      <c r="AX265" s="411"/>
      <c r="AY265" s="411"/>
      <c r="AZ265" s="411"/>
      <c r="BA265" s="411"/>
      <c r="BB265" s="407"/>
      <c r="BC265" s="412"/>
    </row>
    <row r="266" spans="1:57" s="384" customFormat="1" ht="13.8" thickTop="1">
      <c r="A266" s="383"/>
      <c r="B266" s="384" t="s">
        <v>383</v>
      </c>
      <c r="D266" s="385"/>
      <c r="E266" s="386"/>
      <c r="F266" s="386"/>
      <c r="G266" s="386"/>
      <c r="H266" s="386"/>
      <c r="I266" s="387"/>
      <c r="J266" s="387"/>
      <c r="K266" s="387">
        <f>IF(ISTEXT('BS Raw'!F11),K265-'BS Raw'!F80/Input!$B$1,"chưa có BCTC")</f>
        <v>0</v>
      </c>
      <c r="L266" s="387">
        <f>IF(ISTEXT('BS Raw'!G11),L265-'BS Raw'!G80/Input!$B$1,"chưa có BCTC")</f>
        <v>0</v>
      </c>
      <c r="M266" s="387">
        <f>IF(ISTEXT('BS Raw'!H11),M265-'BS Raw'!H80/Input!$B$1,"chưa có BCTC")</f>
        <v>0</v>
      </c>
      <c r="N266" s="387">
        <f>IF(ISTEXT('BS Raw'!I11),N265-'BS Raw'!I80/Input!$B$1,"chưa có BCTC")</f>
        <v>0</v>
      </c>
      <c r="O266" s="387">
        <f>IF(ISTEXT('BS Raw'!J11),O265-'BS Raw'!J80/Input!$B$1,"chưa có BCTC")</f>
        <v>0</v>
      </c>
      <c r="P266" s="387">
        <f>IF(ISTEXT('BS Raw'!K11),P265-'BS Raw'!K80/Input!$B$1,"chưa có BCTC")</f>
        <v>0</v>
      </c>
      <c r="Q266" s="1484" t="str">
        <f>IF(ISTEXT('BS Raw'!L11),Q265-'BS Raw'!L80/Input!$B$1,"chưa có BCTC")</f>
        <v>chưa có BCTC</v>
      </c>
      <c r="R266" s="1484" t="str">
        <f>IF(ISTEXT('BS Raw'!M11),R265-'BS Raw'!M80/Input!$B$1,"chưa có BCTC")</f>
        <v>chưa có BCTC</v>
      </c>
      <c r="S266" s="1484" t="str">
        <f>IF(ISTEXT('BS Raw'!N11),S265-'BS Raw'!N80/Input!$B$1,"chưa có BCTC")</f>
        <v>chưa có BCTC</v>
      </c>
      <c r="T266" s="1484" t="str">
        <f>IF(ISTEXT('BS Raw'!O11),T265-'BS Raw'!O80/Input!$B$1,"chưa có BCTC")</f>
        <v>chưa có BCTC</v>
      </c>
      <c r="U266" s="1484" t="str">
        <f>IF(ISTEXT('BS Raw'!P11),U265-'BS Raw'!P80/Input!$B$1,"chưa có BCTC")</f>
        <v>chưa có BCTC</v>
      </c>
      <c r="V266" s="1484" t="str">
        <f>IF(ISTEXT('BS Raw'!Q11),V265-'BS Raw'!Q80/Input!$B$1,"chưa có BCTC")</f>
        <v>chưa có BCTC</v>
      </c>
      <c r="W266" s="1484" t="str">
        <f>IF(ISTEXT('BS Raw'!R11),W265-'BS Raw'!R80/Input!$B$1,"chưa có BCTC")</f>
        <v>chưa có BCTC</v>
      </c>
      <c r="X266" s="1484" t="str">
        <f>IF(ISTEXT('BS Raw'!S11),X265-'BS Raw'!S80/Input!$B$1,"chưa có BCTC")</f>
        <v>chưa có BCTC</v>
      </c>
      <c r="Y266" s="1484" t="str">
        <f>IF(ISTEXT('BS Raw'!T11),Y265-'BS Raw'!T80/Input!$B$1,"chưa có BCTC")</f>
        <v>chưa có BCTC</v>
      </c>
      <c r="Z266" s="1484" t="str">
        <f>IF(ISTEXT('BS Raw'!U11),Z265-'BS Raw'!U80/Input!$B$1,"chưa có BCTC")</f>
        <v>chưa có BCTC</v>
      </c>
      <c r="AA266" s="1484"/>
      <c r="AB266" s="387"/>
      <c r="AC266" s="387"/>
      <c r="AD266" s="386"/>
      <c r="AE266" s="386"/>
      <c r="AF266" s="386"/>
      <c r="AG266" s="386"/>
      <c r="AH266" s="386"/>
      <c r="AI266" s="386"/>
      <c r="AJ266" s="386"/>
      <c r="AK266" s="386"/>
      <c r="AL266" s="386"/>
      <c r="AM266" s="386"/>
      <c r="AN266" s="386"/>
      <c r="AO266" s="386"/>
      <c r="AP266" s="386"/>
      <c r="AQ266" s="386"/>
      <c r="AR266" s="386"/>
      <c r="AS266" s="386"/>
      <c r="AT266" s="386"/>
      <c r="AU266" s="386"/>
      <c r="AV266" s="386"/>
      <c r="AW266" s="386"/>
      <c r="AX266" s="386"/>
      <c r="AY266" s="386"/>
      <c r="AZ266" s="386"/>
      <c r="BA266" s="386"/>
      <c r="BB266" s="413"/>
      <c r="BC266" s="414"/>
      <c r="BD266" s="385"/>
      <c r="BE266" s="385"/>
    </row>
    <row r="267" spans="1:57" s="417" customFormat="1">
      <c r="A267" s="415"/>
      <c r="B267" s="416" t="s">
        <v>496</v>
      </c>
      <c r="C267" s="416"/>
      <c r="E267" s="418"/>
      <c r="F267" s="418"/>
      <c r="G267" s="418"/>
      <c r="H267" s="418"/>
      <c r="I267" s="419"/>
      <c r="J267" s="419"/>
      <c r="K267" s="419">
        <f>+K265-K388</f>
        <v>0</v>
      </c>
      <c r="L267" s="419">
        <f t="shared" ref="L267:Z267" si="204">+L265-L388</f>
        <v>0</v>
      </c>
      <c r="M267" s="419">
        <f t="shared" si="204"/>
        <v>0</v>
      </c>
      <c r="N267" s="419">
        <f t="shared" si="204"/>
        <v>0</v>
      </c>
      <c r="O267" s="419">
        <f t="shared" si="204"/>
        <v>0</v>
      </c>
      <c r="P267" s="419">
        <f t="shared" si="204"/>
        <v>0</v>
      </c>
      <c r="Q267" s="2593">
        <f t="shared" ca="1" si="204"/>
        <v>0</v>
      </c>
      <c r="R267" s="2593">
        <f t="shared" ca="1" si="204"/>
        <v>0</v>
      </c>
      <c r="S267" s="2593">
        <f t="shared" ca="1" si="204"/>
        <v>0</v>
      </c>
      <c r="T267" s="2593">
        <f t="shared" ca="1" si="204"/>
        <v>0</v>
      </c>
      <c r="U267" s="2593">
        <f t="shared" ca="1" si="204"/>
        <v>0</v>
      </c>
      <c r="V267" s="2593">
        <f t="shared" ca="1" si="204"/>
        <v>0</v>
      </c>
      <c r="W267" s="2593">
        <f t="shared" ca="1" si="204"/>
        <v>0</v>
      </c>
      <c r="X267" s="2593">
        <f t="shared" ca="1" si="204"/>
        <v>0</v>
      </c>
      <c r="Y267" s="2593">
        <f t="shared" ca="1" si="204"/>
        <v>0</v>
      </c>
      <c r="Z267" s="2593">
        <f t="shared" ca="1" si="204"/>
        <v>0</v>
      </c>
      <c r="AA267" s="2593"/>
      <c r="AB267" s="418"/>
      <c r="AC267" s="418"/>
      <c r="AD267" s="418"/>
      <c r="AE267" s="418"/>
      <c r="AF267" s="418"/>
      <c r="AG267" s="418"/>
      <c r="AH267" s="418"/>
      <c r="AI267" s="418"/>
      <c r="AJ267" s="418"/>
      <c r="AK267" s="418"/>
      <c r="AL267" s="418"/>
      <c r="AM267" s="418"/>
      <c r="AN267" s="418"/>
      <c r="AO267" s="418"/>
      <c r="AP267" s="418"/>
      <c r="AQ267" s="418"/>
      <c r="AR267" s="418"/>
      <c r="AS267" s="418"/>
      <c r="AT267" s="418"/>
      <c r="AU267" s="418"/>
      <c r="AV267" s="418"/>
      <c r="AW267" s="418"/>
      <c r="AX267" s="418"/>
      <c r="AY267" s="418"/>
      <c r="AZ267" s="418"/>
      <c r="BA267" s="418"/>
      <c r="BB267" s="420"/>
      <c r="BC267" s="421"/>
    </row>
    <row r="268" spans="1:57">
      <c r="A268" s="39"/>
      <c r="D268" s="84"/>
      <c r="E268" s="84"/>
      <c r="F268" s="84"/>
      <c r="G268" s="84"/>
      <c r="H268" s="84"/>
      <c r="I268" s="84"/>
      <c r="J268" s="84"/>
      <c r="K268" s="84"/>
      <c r="L268" s="84"/>
      <c r="M268" s="84"/>
      <c r="N268" s="85"/>
      <c r="O268" s="85"/>
      <c r="P268" s="264"/>
      <c r="Q268" s="85"/>
      <c r="R268" s="85"/>
      <c r="S268" s="85"/>
      <c r="T268" s="85"/>
      <c r="U268" s="85"/>
      <c r="V268" s="85"/>
      <c r="W268" s="85"/>
      <c r="X268" s="85"/>
      <c r="Y268" s="85"/>
      <c r="Z268" s="85"/>
      <c r="AA268" s="85"/>
      <c r="AB268" s="85"/>
      <c r="AC268" s="85"/>
      <c r="AD268" s="85"/>
      <c r="AE268" s="85"/>
      <c r="AF268" s="85"/>
      <c r="AG268" s="85"/>
      <c r="AH268" s="85"/>
      <c r="AI268" s="85"/>
      <c r="AJ268" s="85"/>
      <c r="AK268" s="85"/>
      <c r="AL268" s="85"/>
      <c r="AM268" s="85"/>
      <c r="AN268" s="85"/>
      <c r="AO268" s="85"/>
      <c r="AP268" s="85"/>
      <c r="AQ268" s="85"/>
      <c r="AR268" s="85"/>
      <c r="AS268" s="85"/>
      <c r="AT268" s="85"/>
      <c r="AU268" s="85"/>
      <c r="AV268" s="85"/>
      <c r="AW268" s="85"/>
      <c r="AX268" s="85"/>
      <c r="AY268" s="85"/>
      <c r="AZ268" s="85"/>
      <c r="BA268" s="85"/>
      <c r="BB268" s="85"/>
      <c r="BD268" s="84"/>
      <c r="BE268" s="84"/>
    </row>
    <row r="269" spans="1:57">
      <c r="A269" s="39"/>
      <c r="B269" s="321" t="s">
        <v>497</v>
      </c>
      <c r="C269" s="321"/>
      <c r="D269" s="84"/>
      <c r="E269" s="116"/>
      <c r="F269" s="116"/>
      <c r="G269" s="116"/>
      <c r="H269" s="116"/>
      <c r="I269" s="116"/>
      <c r="J269" s="116"/>
      <c r="K269" s="116"/>
      <c r="L269" s="116"/>
      <c r="M269" s="116"/>
      <c r="N269" s="85"/>
      <c r="O269" s="85"/>
      <c r="P269" s="264"/>
      <c r="Q269" s="124"/>
      <c r="R269" s="124"/>
      <c r="S269" s="85"/>
      <c r="T269" s="85"/>
      <c r="U269" s="85"/>
      <c r="V269" s="85"/>
      <c r="W269" s="85"/>
      <c r="X269" s="85"/>
      <c r="Y269" s="85"/>
      <c r="Z269" s="85"/>
      <c r="AA269" s="85"/>
      <c r="AB269" s="85"/>
      <c r="AC269" s="85"/>
      <c r="AD269" s="85"/>
      <c r="AE269" s="85"/>
      <c r="AF269" s="85"/>
      <c r="AG269" s="85"/>
      <c r="AH269" s="85"/>
      <c r="AI269" s="85"/>
      <c r="AJ269" s="85"/>
      <c r="AK269" s="85"/>
      <c r="AL269" s="85"/>
      <c r="AM269" s="85"/>
      <c r="AN269" s="85"/>
      <c r="AO269" s="85"/>
      <c r="AP269" s="85"/>
      <c r="AQ269" s="85"/>
      <c r="AR269" s="85"/>
      <c r="AS269" s="85"/>
      <c r="AT269" s="85"/>
      <c r="AU269" s="85"/>
      <c r="AV269" s="85"/>
      <c r="AW269" s="85"/>
      <c r="AX269" s="85"/>
      <c r="AY269" s="85"/>
      <c r="AZ269" s="85"/>
      <c r="BA269" s="85"/>
      <c r="BB269" s="85"/>
      <c r="BD269" s="84"/>
      <c r="BE269" s="84"/>
    </row>
    <row r="270" spans="1:57" s="174" customFormat="1">
      <c r="A270" s="86">
        <v>15</v>
      </c>
      <c r="B270" s="87" t="s">
        <v>498</v>
      </c>
      <c r="C270" s="87"/>
      <c r="E270" s="128"/>
      <c r="F270" s="128"/>
      <c r="G270" s="128"/>
      <c r="H270" s="128"/>
      <c r="I270" s="422"/>
      <c r="J270" s="128"/>
      <c r="K270" s="423"/>
      <c r="L270" s="423"/>
      <c r="M270" s="423"/>
      <c r="N270" s="128"/>
      <c r="O270" s="128"/>
      <c r="P270" s="265"/>
      <c r="Q270" s="91">
        <f ca="1">-MIN(Q411,0)</f>
        <v>0</v>
      </c>
      <c r="R270" s="91">
        <f t="shared" ref="R270:Z270" ca="1" si="205">-MIN(R411,0)</f>
        <v>0</v>
      </c>
      <c r="S270" s="91">
        <f t="shared" ca="1" si="205"/>
        <v>0</v>
      </c>
      <c r="T270" s="91">
        <f t="shared" ca="1" si="205"/>
        <v>0</v>
      </c>
      <c r="U270" s="91">
        <f t="shared" ca="1" si="205"/>
        <v>0</v>
      </c>
      <c r="V270" s="91">
        <f t="shared" ca="1" si="205"/>
        <v>0</v>
      </c>
      <c r="W270" s="91">
        <f t="shared" ca="1" si="205"/>
        <v>0</v>
      </c>
      <c r="X270" s="91">
        <f t="shared" ca="1" si="205"/>
        <v>0</v>
      </c>
      <c r="Y270" s="91">
        <f t="shared" ca="1" si="205"/>
        <v>0</v>
      </c>
      <c r="Z270" s="91">
        <f t="shared" ca="1" si="205"/>
        <v>0</v>
      </c>
      <c r="AA270" s="91"/>
      <c r="AB270" s="92"/>
      <c r="AC270" s="92"/>
      <c r="AD270" s="92"/>
      <c r="AE270" s="92"/>
      <c r="AF270" s="92"/>
      <c r="AG270" s="92"/>
      <c r="AH270" s="92"/>
      <c r="AI270" s="92"/>
      <c r="AJ270" s="92"/>
      <c r="AK270" s="92"/>
      <c r="AL270" s="92"/>
      <c r="AM270" s="92"/>
      <c r="AN270" s="92"/>
      <c r="AO270" s="92"/>
      <c r="AP270" s="92"/>
      <c r="AQ270" s="92"/>
      <c r="AR270" s="92"/>
      <c r="AS270" s="92"/>
      <c r="AT270" s="92"/>
      <c r="AU270" s="92"/>
      <c r="AV270" s="92"/>
      <c r="AW270" s="92"/>
      <c r="AX270" s="92"/>
      <c r="AY270" s="92"/>
      <c r="AZ270" s="92"/>
      <c r="BA270" s="92"/>
      <c r="BB270" s="424"/>
      <c r="BC270" s="94"/>
    </row>
    <row r="271" spans="1:57" s="150" customFormat="1">
      <c r="A271" s="159"/>
      <c r="B271" s="145" t="s">
        <v>421</v>
      </c>
      <c r="C271" s="145"/>
      <c r="E271" s="168"/>
      <c r="F271" s="168"/>
      <c r="G271" s="168"/>
      <c r="H271" s="168"/>
      <c r="I271" s="168"/>
      <c r="J271" s="168"/>
      <c r="K271" s="168"/>
      <c r="L271" s="168"/>
      <c r="M271" s="168"/>
      <c r="N271" s="168"/>
      <c r="O271" s="168"/>
      <c r="P271" s="343"/>
      <c r="Q271" s="120">
        <f>Q276</f>
        <v>3.9444017861950675E-2</v>
      </c>
      <c r="R271" s="120">
        <f t="shared" ref="R271:Z271" si="206">R276</f>
        <v>3.7425660992668988E-2</v>
      </c>
      <c r="S271" s="120">
        <f t="shared" si="206"/>
        <v>3.6748577175932787E-2</v>
      </c>
      <c r="T271" s="120">
        <f t="shared" si="206"/>
        <v>3.6182525249443175E-2</v>
      </c>
      <c r="U271" s="120">
        <f t="shared" si="206"/>
        <v>3.482375430545584E-2</v>
      </c>
      <c r="V271" s="120">
        <f t="shared" si="206"/>
        <v>3.5996873173783209E-2</v>
      </c>
      <c r="W271" s="120">
        <f t="shared" si="206"/>
        <v>3.6573663618240791E-2</v>
      </c>
      <c r="X271" s="120">
        <f t="shared" si="206"/>
        <v>3.7080270329845712E-2</v>
      </c>
      <c r="Y271" s="120">
        <f t="shared" si="206"/>
        <v>3.7713191293268125E-2</v>
      </c>
      <c r="Z271" s="120">
        <f t="shared" si="206"/>
        <v>3.8120887950201889E-2</v>
      </c>
      <c r="AA271" s="231"/>
      <c r="AB271" s="231"/>
      <c r="AC271" s="231"/>
      <c r="AD271" s="231"/>
      <c r="AE271" s="231"/>
      <c r="AF271" s="231"/>
      <c r="AG271" s="231"/>
      <c r="AH271" s="231"/>
      <c r="AI271" s="231"/>
      <c r="AJ271" s="231"/>
      <c r="AK271" s="231"/>
      <c r="AL271" s="231"/>
      <c r="AM271" s="231"/>
      <c r="AN271" s="231"/>
      <c r="AO271" s="231"/>
      <c r="AP271" s="231"/>
      <c r="AQ271" s="231"/>
      <c r="AR271" s="231"/>
      <c r="AS271" s="231"/>
      <c r="AT271" s="231"/>
      <c r="AU271" s="231"/>
      <c r="AV271" s="231"/>
      <c r="AW271" s="231"/>
      <c r="AX271" s="231"/>
      <c r="AY271" s="231"/>
      <c r="AZ271" s="231"/>
      <c r="BA271" s="231"/>
      <c r="BB271" s="168"/>
      <c r="BC271" s="117"/>
    </row>
    <row r="272" spans="1:57">
      <c r="A272" s="39"/>
      <c r="B272" s="118" t="s">
        <v>359</v>
      </c>
      <c r="C272" s="118"/>
      <c r="D272" s="84"/>
      <c r="E272" s="128"/>
      <c r="F272" s="128"/>
      <c r="G272" s="128"/>
      <c r="H272" s="128"/>
      <c r="I272" s="128"/>
      <c r="J272" s="128"/>
      <c r="K272" s="128"/>
      <c r="L272" s="128"/>
      <c r="M272" s="128"/>
      <c r="N272" s="140"/>
      <c r="O272" s="140"/>
      <c r="P272" s="141"/>
      <c r="Q272" s="198">
        <f ca="1">AVERAGE(P273,Q273)*Q271</f>
        <v>0</v>
      </c>
      <c r="R272" s="198">
        <f t="shared" ref="R272:Z272" ca="1" si="207">AVERAGE(Q273,R273)*R271</f>
        <v>0</v>
      </c>
      <c r="S272" s="198">
        <f t="shared" ca="1" si="207"/>
        <v>0</v>
      </c>
      <c r="T272" s="198">
        <f t="shared" ca="1" si="207"/>
        <v>0</v>
      </c>
      <c r="U272" s="198">
        <f t="shared" ca="1" si="207"/>
        <v>0</v>
      </c>
      <c r="V272" s="198">
        <f t="shared" ca="1" si="207"/>
        <v>0</v>
      </c>
      <c r="W272" s="198">
        <f t="shared" ca="1" si="207"/>
        <v>0</v>
      </c>
      <c r="X272" s="198">
        <f t="shared" ca="1" si="207"/>
        <v>0</v>
      </c>
      <c r="Y272" s="198">
        <f t="shared" ca="1" si="207"/>
        <v>0</v>
      </c>
      <c r="Z272" s="198">
        <f t="shared" ca="1" si="207"/>
        <v>0</v>
      </c>
      <c r="AA272" s="198"/>
      <c r="AB272" s="198"/>
      <c r="AC272" s="198"/>
      <c r="AD272" s="198"/>
      <c r="AE272" s="198"/>
      <c r="AF272" s="198"/>
      <c r="AG272" s="198"/>
      <c r="AH272" s="198"/>
      <c r="AI272" s="198"/>
      <c r="AJ272" s="198"/>
      <c r="AK272" s="198"/>
      <c r="AL272" s="198"/>
      <c r="AM272" s="198"/>
      <c r="AN272" s="198"/>
      <c r="AO272" s="198"/>
      <c r="AP272" s="198"/>
      <c r="AQ272" s="198"/>
      <c r="AR272" s="198"/>
      <c r="AS272" s="198"/>
      <c r="AT272" s="198"/>
      <c r="AU272" s="198"/>
      <c r="AV272" s="198"/>
      <c r="AW272" s="198"/>
      <c r="AX272" s="198"/>
      <c r="AY272" s="198"/>
      <c r="AZ272" s="198"/>
      <c r="BA272" s="198"/>
      <c r="BB272" s="85"/>
      <c r="BD272" s="84"/>
      <c r="BE272" s="84"/>
    </row>
    <row r="273" spans="1:57" s="18" customFormat="1">
      <c r="A273" s="17"/>
      <c r="B273" s="182" t="s">
        <v>360</v>
      </c>
      <c r="C273" s="182"/>
      <c r="D273" s="183"/>
      <c r="E273" s="106"/>
      <c r="F273" s="106"/>
      <c r="G273" s="106"/>
      <c r="H273" s="106"/>
      <c r="I273" s="106"/>
      <c r="J273" s="106"/>
      <c r="K273" s="106"/>
      <c r="L273" s="106"/>
      <c r="M273" s="106"/>
      <c r="N273" s="269"/>
      <c r="O273" s="269"/>
      <c r="P273" s="270"/>
      <c r="Q273" s="301">
        <f ca="1">Q270</f>
        <v>0</v>
      </c>
      <c r="R273" s="301">
        <f t="shared" ref="R273:Z273" ca="1" si="208">R270</f>
        <v>0</v>
      </c>
      <c r="S273" s="301">
        <f t="shared" ca="1" si="208"/>
        <v>0</v>
      </c>
      <c r="T273" s="301">
        <f t="shared" ca="1" si="208"/>
        <v>0</v>
      </c>
      <c r="U273" s="301">
        <f t="shared" ca="1" si="208"/>
        <v>0</v>
      </c>
      <c r="V273" s="301">
        <f t="shared" ca="1" si="208"/>
        <v>0</v>
      </c>
      <c r="W273" s="301">
        <f t="shared" ca="1" si="208"/>
        <v>0</v>
      </c>
      <c r="X273" s="301">
        <f t="shared" ca="1" si="208"/>
        <v>0</v>
      </c>
      <c r="Y273" s="301">
        <f t="shared" ca="1" si="208"/>
        <v>0</v>
      </c>
      <c r="Z273" s="301">
        <f t="shared" ca="1" si="208"/>
        <v>0</v>
      </c>
      <c r="AA273" s="301"/>
      <c r="AB273" s="271"/>
      <c r="AC273" s="271"/>
      <c r="AD273" s="271"/>
      <c r="AE273" s="271"/>
      <c r="AF273" s="271"/>
      <c r="AG273" s="271"/>
      <c r="AH273" s="271"/>
      <c r="AI273" s="271"/>
      <c r="AJ273" s="271"/>
      <c r="AK273" s="271"/>
      <c r="AL273" s="271"/>
      <c r="AM273" s="271"/>
      <c r="AN273" s="271"/>
      <c r="AO273" s="271"/>
      <c r="AP273" s="271"/>
      <c r="AQ273" s="271"/>
      <c r="AR273" s="271"/>
      <c r="AS273" s="271"/>
      <c r="AT273" s="271"/>
      <c r="AU273" s="271"/>
      <c r="AV273" s="271"/>
      <c r="AW273" s="271"/>
      <c r="AX273" s="271"/>
      <c r="AY273" s="271"/>
      <c r="AZ273" s="271"/>
      <c r="BA273" s="271"/>
      <c r="BB273" s="2731"/>
      <c r="BC273" s="2731"/>
      <c r="BD273" s="151"/>
      <c r="BE273" s="151"/>
    </row>
    <row r="274" spans="1:57">
      <c r="A274" s="39"/>
      <c r="D274" s="84"/>
      <c r="E274" s="114"/>
      <c r="F274" s="114"/>
      <c r="G274" s="114"/>
      <c r="H274" s="114"/>
      <c r="I274" s="114"/>
      <c r="J274" s="114"/>
      <c r="K274" s="114"/>
      <c r="L274" s="114"/>
      <c r="M274" s="114"/>
      <c r="N274" s="140"/>
      <c r="O274" s="140"/>
      <c r="P274" s="141"/>
      <c r="Q274" s="140"/>
      <c r="R274" s="140"/>
      <c r="S274" s="140"/>
      <c r="T274" s="140"/>
      <c r="U274" s="140"/>
      <c r="V274" s="140"/>
      <c r="W274" s="140"/>
      <c r="X274" s="140"/>
      <c r="Y274" s="140"/>
      <c r="Z274" s="140"/>
      <c r="AA274" s="140"/>
      <c r="AB274" s="140"/>
      <c r="AC274" s="140"/>
      <c r="AD274" s="140"/>
      <c r="AE274" s="140"/>
      <c r="AF274" s="140"/>
      <c r="AG274" s="140"/>
      <c r="AH274" s="140"/>
      <c r="AI274" s="140"/>
      <c r="AJ274" s="140"/>
      <c r="AK274" s="140"/>
      <c r="AL274" s="140"/>
      <c r="AM274" s="140"/>
      <c r="AN274" s="140"/>
      <c r="AO274" s="140"/>
      <c r="AP274" s="140"/>
      <c r="AQ274" s="140"/>
      <c r="AR274" s="140"/>
      <c r="AS274" s="140"/>
      <c r="AT274" s="140"/>
      <c r="AU274" s="140"/>
      <c r="AV274" s="140"/>
      <c r="AW274" s="140"/>
      <c r="AX274" s="140"/>
      <c r="AY274" s="140"/>
      <c r="AZ274" s="140"/>
      <c r="BA274" s="140"/>
      <c r="BB274" s="2731"/>
      <c r="BC274" s="2731"/>
      <c r="BD274" s="84"/>
      <c r="BE274" s="84"/>
    </row>
    <row r="275" spans="1:57">
      <c r="A275" s="39">
        <v>16</v>
      </c>
      <c r="B275" s="5" t="s">
        <v>499</v>
      </c>
      <c r="D275" s="187"/>
      <c r="E275" s="89"/>
      <c r="F275" s="89"/>
      <c r="G275" s="89"/>
      <c r="H275" s="89"/>
      <c r="I275" s="90"/>
      <c r="J275" s="90"/>
      <c r="K275" s="90">
        <f>'BS Raw'!F92</f>
        <v>1156.3716984289999</v>
      </c>
      <c r="L275" s="90">
        <f>'BS Raw'!G92</f>
        <v>685.40656374699995</v>
      </c>
      <c r="M275" s="90">
        <f>'BS Raw'!H92</f>
        <v>689.16295133599999</v>
      </c>
      <c r="N275" s="90">
        <f>'BS Raw'!I92</f>
        <v>2.559405532</v>
      </c>
      <c r="O275" s="90">
        <f>'BS Raw'!J92</f>
        <v>845.80580895499997</v>
      </c>
      <c r="P275" s="90">
        <f>'BS Raw'!K92</f>
        <v>1229.228015118</v>
      </c>
      <c r="Q275" s="91">
        <f>(Q166+Q195+Q207+Q211)*Q278</f>
        <v>1627.7236010635652</v>
      </c>
      <c r="R275" s="91">
        <f t="shared" ref="R275:Z275" si="209">(R166+R195+R207+R211)*R278</f>
        <v>1685.447996658171</v>
      </c>
      <c r="S275" s="91">
        <f t="shared" si="209"/>
        <v>1550.5482856920157</v>
      </c>
      <c r="T275" s="91">
        <f t="shared" si="209"/>
        <v>2136.859179495259</v>
      </c>
      <c r="U275" s="91">
        <f t="shared" si="209"/>
        <v>2154.1676466459458</v>
      </c>
      <c r="V275" s="91">
        <f t="shared" si="209"/>
        <v>2045.1654161051099</v>
      </c>
      <c r="W275" s="91">
        <f t="shared" si="209"/>
        <v>2106.1436444013684</v>
      </c>
      <c r="X275" s="91">
        <f t="shared" si="209"/>
        <v>2248.6223982010874</v>
      </c>
      <c r="Y275" s="91">
        <f t="shared" si="209"/>
        <v>2367.7130746290904</v>
      </c>
      <c r="Z275" s="91">
        <f t="shared" si="209"/>
        <v>2492.9776285941348</v>
      </c>
      <c r="AA275" s="91"/>
      <c r="AB275" s="92"/>
      <c r="AC275" s="92"/>
      <c r="AD275" s="92"/>
      <c r="AE275" s="92"/>
      <c r="AF275" s="92"/>
      <c r="AG275" s="92"/>
      <c r="AH275" s="92"/>
      <c r="AI275" s="92"/>
      <c r="AJ275" s="92"/>
      <c r="AK275" s="92"/>
      <c r="AL275" s="92"/>
      <c r="AM275" s="92"/>
      <c r="AN275" s="92"/>
      <c r="AO275" s="92"/>
      <c r="AP275" s="92"/>
      <c r="AQ275" s="92"/>
      <c r="AR275" s="92"/>
      <c r="AS275" s="92"/>
      <c r="AT275" s="92"/>
      <c r="AU275" s="92"/>
      <c r="AV275" s="92"/>
      <c r="AW275" s="92"/>
      <c r="AX275" s="92"/>
      <c r="AY275" s="92"/>
      <c r="AZ275" s="92"/>
      <c r="BA275" s="92"/>
      <c r="BB275" s="2731"/>
      <c r="BC275" s="2731"/>
      <c r="BD275" s="84"/>
      <c r="BE275" s="84"/>
    </row>
    <row r="276" spans="1:57" s="150" customFormat="1">
      <c r="A276" s="159"/>
      <c r="B276" s="145" t="s">
        <v>421</v>
      </c>
      <c r="C276" s="145"/>
      <c r="E276" s="168"/>
      <c r="F276" s="168"/>
      <c r="G276" s="168"/>
      <c r="H276" s="168"/>
      <c r="I276" s="168"/>
      <c r="J276" s="168"/>
      <c r="K276" s="168"/>
      <c r="L276" s="168"/>
      <c r="M276" s="119"/>
      <c r="N276" s="119"/>
      <c r="O276" s="119"/>
      <c r="P276" s="455"/>
      <c r="Q276" s="2669">
        <f>Debt!R47</f>
        <v>3.9444017861950675E-2</v>
      </c>
      <c r="R276" s="2669">
        <f>Debt!S47</f>
        <v>3.7425660992668988E-2</v>
      </c>
      <c r="S276" s="2669">
        <f>Debt!T47</f>
        <v>3.6748577175932787E-2</v>
      </c>
      <c r="T276" s="2669">
        <f>Debt!U47</f>
        <v>3.6182525249443175E-2</v>
      </c>
      <c r="U276" s="2669">
        <f>Debt!V47</f>
        <v>3.482375430545584E-2</v>
      </c>
      <c r="V276" s="2669">
        <f>Debt!W47</f>
        <v>3.5996873173783209E-2</v>
      </c>
      <c r="W276" s="2669">
        <f>Debt!X47</f>
        <v>3.6573663618240791E-2</v>
      </c>
      <c r="X276" s="2669">
        <f>Debt!Y47</f>
        <v>3.7080270329845712E-2</v>
      </c>
      <c r="Y276" s="2669">
        <f>Debt!Z47</f>
        <v>3.7713191293268125E-2</v>
      </c>
      <c r="Z276" s="2669">
        <f>Debt!AA47</f>
        <v>3.8120887950201889E-2</v>
      </c>
      <c r="AA276" s="425"/>
      <c r="AB276" s="121"/>
      <c r="AC276" s="121"/>
      <c r="AD276" s="121"/>
      <c r="AE276" s="121"/>
      <c r="AF276" s="121"/>
      <c r="AG276" s="121"/>
      <c r="AH276" s="121"/>
      <c r="AI276" s="121"/>
      <c r="AJ276" s="121"/>
      <c r="AK276" s="121"/>
      <c r="AL276" s="121"/>
      <c r="AM276" s="121"/>
      <c r="AN276" s="121"/>
      <c r="AO276" s="121"/>
      <c r="AP276" s="121"/>
      <c r="AQ276" s="121"/>
      <c r="AR276" s="121"/>
      <c r="AS276" s="121"/>
      <c r="AT276" s="121"/>
      <c r="AU276" s="121"/>
      <c r="AV276" s="121"/>
      <c r="AW276" s="121"/>
      <c r="AX276" s="121"/>
      <c r="AY276" s="121"/>
      <c r="AZ276" s="121"/>
      <c r="BA276" s="121"/>
      <c r="BB276" s="2731"/>
      <c r="BC276" s="2731"/>
    </row>
    <row r="277" spans="1:57">
      <c r="A277" s="39"/>
      <c r="B277" s="118" t="s">
        <v>359</v>
      </c>
      <c r="C277" s="118"/>
      <c r="D277" s="84"/>
      <c r="E277" s="140"/>
      <c r="F277" s="140"/>
      <c r="G277" s="140"/>
      <c r="H277" s="140"/>
      <c r="I277" s="140"/>
      <c r="J277" s="140"/>
      <c r="K277" s="140"/>
      <c r="L277" s="140"/>
      <c r="M277" s="140"/>
      <c r="N277" s="140"/>
      <c r="O277" s="140"/>
      <c r="P277" s="141"/>
      <c r="Q277" s="91">
        <f>Q276*AVERAGE(P279:Q279)</f>
        <v>56.344825289697262</v>
      </c>
      <c r="R277" s="91">
        <f t="shared" ref="R277:Z277" si="210">R276*AVERAGE(Q279:R279)</f>
        <v>61.998818513436589</v>
      </c>
      <c r="S277" s="91">
        <f t="shared" si="210"/>
        <v>59.459129561488709</v>
      </c>
      <c r="T277" s="91">
        <f t="shared" si="210"/>
        <v>66.709856857061908</v>
      </c>
      <c r="U277" s="91">
        <f t="shared" si="210"/>
        <v>74.714831955830647</v>
      </c>
      <c r="V277" s="91">
        <f t="shared" si="210"/>
        <v>75.581429837162176</v>
      </c>
      <c r="W277" s="91">
        <f t="shared" si="210"/>
        <v>75.914290577159562</v>
      </c>
      <c r="X277" s="91">
        <f t="shared" si="210"/>
        <v>80.737951041465735</v>
      </c>
      <c r="Y277" s="91">
        <f t="shared" si="210"/>
        <v>87.048371380371933</v>
      </c>
      <c r="Z277" s="91">
        <f t="shared" si="210"/>
        <v>92.646922829080282</v>
      </c>
      <c r="AA277" s="91"/>
      <c r="AB277" s="91"/>
      <c r="AC277" s="91"/>
      <c r="AD277" s="194"/>
      <c r="AE277" s="194"/>
      <c r="AF277" s="194"/>
      <c r="AG277" s="194"/>
      <c r="AH277" s="194"/>
      <c r="AI277" s="194"/>
      <c r="AJ277" s="194"/>
      <c r="AK277" s="194"/>
      <c r="AL277" s="194"/>
      <c r="AM277" s="194"/>
      <c r="AN277" s="194"/>
      <c r="AO277" s="194"/>
      <c r="AP277" s="194"/>
      <c r="AQ277" s="194"/>
      <c r="AR277" s="194"/>
      <c r="AS277" s="194"/>
      <c r="AT277" s="194"/>
      <c r="AU277" s="194"/>
      <c r="AV277" s="194"/>
      <c r="AW277" s="194"/>
      <c r="AX277" s="194"/>
      <c r="AY277" s="194"/>
      <c r="AZ277" s="194"/>
      <c r="BA277" s="194"/>
      <c r="BB277" s="2731"/>
      <c r="BC277" s="2731"/>
      <c r="BD277" s="84"/>
      <c r="BE277" s="84"/>
    </row>
    <row r="278" spans="1:57">
      <c r="A278" s="39"/>
      <c r="B278" s="118" t="s">
        <v>500</v>
      </c>
      <c r="C278" s="118"/>
      <c r="D278" s="84"/>
      <c r="E278" s="168"/>
      <c r="F278" s="168"/>
      <c r="G278" s="168"/>
      <c r="H278" s="168"/>
      <c r="I278" s="169"/>
      <c r="J278" s="169"/>
      <c r="K278" s="169">
        <f>K279/(K166+K195+K207+K211)</f>
        <v>0.51439176472735715</v>
      </c>
      <c r="L278" s="169">
        <f t="shared" ref="L278:P278" si="211">L279/(L166+L195+L207+L211)</f>
        <v>0.40890692226234471</v>
      </c>
      <c r="M278" s="169">
        <f t="shared" si="211"/>
        <v>0.23647700169989108</v>
      </c>
      <c r="N278" s="169">
        <f t="shared" si="211"/>
        <v>5.3185916293903832E-4</v>
      </c>
      <c r="O278" s="169">
        <f t="shared" si="211"/>
        <v>0.16072333382430973</v>
      </c>
      <c r="P278" s="169">
        <f t="shared" si="211"/>
        <v>0.20898799702567011</v>
      </c>
      <c r="Q278" s="230">
        <f>AVERAGE(M278,O278,P278)</f>
        <v>0.20206277751662363</v>
      </c>
      <c r="R278" s="230">
        <f>AVERAGE(O278,P278,Q278)</f>
        <v>0.19059136945553448</v>
      </c>
      <c r="S278" s="230">
        <f>AVERAGE(O278,Q278,R278)-1%</f>
        <v>0.17445916026548927</v>
      </c>
      <c r="T278" s="230">
        <f t="shared" ref="T278:Z278" si="212">AVERAGE(P278,R278,S278)</f>
        <v>0.1913461755822313</v>
      </c>
      <c r="U278" s="230">
        <f t="shared" si="212"/>
        <v>0.18928937112144806</v>
      </c>
      <c r="V278" s="230">
        <f t="shared" si="212"/>
        <v>0.19040897205307128</v>
      </c>
      <c r="W278" s="230">
        <f t="shared" si="212"/>
        <v>0.18471916781333619</v>
      </c>
      <c r="X278" s="230">
        <f t="shared" si="212"/>
        <v>0.18882477181621293</v>
      </c>
      <c r="Y278" s="230">
        <f t="shared" si="212"/>
        <v>0.18761110358366573</v>
      </c>
      <c r="Z278" s="230">
        <f t="shared" si="212"/>
        <v>0.18894828248431664</v>
      </c>
      <c r="AA278" s="230"/>
      <c r="AB278" s="230">
        <f t="shared" ref="AB278:BA278" si="213">AVERAGE(V278:AA278)</f>
        <v>0.18810245955012056</v>
      </c>
      <c r="AC278" s="230">
        <f t="shared" si="213"/>
        <v>0.18764115704953038</v>
      </c>
      <c r="AD278" s="230">
        <f t="shared" si="213"/>
        <v>0.18822555489676923</v>
      </c>
      <c r="AE278" s="230">
        <f t="shared" si="213"/>
        <v>0.18810571151288052</v>
      </c>
      <c r="AF278" s="230">
        <f t="shared" si="213"/>
        <v>0.18820463309872348</v>
      </c>
      <c r="AG278" s="230">
        <f t="shared" si="213"/>
        <v>0.18805590322160484</v>
      </c>
      <c r="AH278" s="230">
        <f t="shared" si="213"/>
        <v>0.18805590322160484</v>
      </c>
      <c r="AI278" s="230">
        <f t="shared" si="213"/>
        <v>0.18804814383351887</v>
      </c>
      <c r="AJ278" s="230">
        <f t="shared" si="213"/>
        <v>0.18811597496418364</v>
      </c>
      <c r="AK278" s="230">
        <f t="shared" si="213"/>
        <v>0.18809771164208602</v>
      </c>
      <c r="AL278" s="230">
        <f t="shared" si="213"/>
        <v>0.18809637833028695</v>
      </c>
      <c r="AM278" s="230">
        <f t="shared" si="213"/>
        <v>0.18807833586888087</v>
      </c>
      <c r="AN278" s="230">
        <f t="shared" si="213"/>
        <v>0.18808207464342686</v>
      </c>
      <c r="AO278" s="230">
        <f t="shared" si="213"/>
        <v>0.18808643654706389</v>
      </c>
      <c r="AP278" s="230">
        <f t="shared" si="213"/>
        <v>0.18809281866598804</v>
      </c>
      <c r="AQ278" s="230">
        <f t="shared" si="213"/>
        <v>0.18808895928295544</v>
      </c>
      <c r="AR278" s="230">
        <f t="shared" si="213"/>
        <v>0.18808750055643367</v>
      </c>
      <c r="AS278" s="230">
        <f t="shared" si="213"/>
        <v>0.18808602092745816</v>
      </c>
      <c r="AT278" s="230">
        <f t="shared" si="213"/>
        <v>0.18808730177055433</v>
      </c>
      <c r="AU278" s="230">
        <f t="shared" si="213"/>
        <v>0.18808817295840893</v>
      </c>
      <c r="AV278" s="230">
        <f t="shared" si="213"/>
        <v>0.18808846236029975</v>
      </c>
      <c r="AW278" s="230">
        <f t="shared" si="213"/>
        <v>0.18808773630935172</v>
      </c>
      <c r="AX278" s="230">
        <f t="shared" si="213"/>
        <v>0.18808753248041776</v>
      </c>
      <c r="AY278" s="230">
        <f t="shared" si="213"/>
        <v>0.18808753780108178</v>
      </c>
      <c r="AZ278" s="230">
        <f t="shared" si="213"/>
        <v>0.18808779061335237</v>
      </c>
      <c r="BA278" s="230">
        <f t="shared" si="213"/>
        <v>0.18808787208715205</v>
      </c>
      <c r="BB278" s="2732"/>
      <c r="BC278" s="2732"/>
      <c r="BD278" s="84"/>
      <c r="BE278" s="84"/>
    </row>
    <row r="279" spans="1:57" s="88" customFormat="1">
      <c r="A279" s="103"/>
      <c r="B279" s="104" t="s">
        <v>501</v>
      </c>
      <c r="C279" s="104"/>
      <c r="D279" s="105"/>
      <c r="E279" s="136"/>
      <c r="F279" s="136"/>
      <c r="G279" s="136"/>
      <c r="H279" s="136"/>
      <c r="I279" s="137"/>
      <c r="J279" s="137"/>
      <c r="K279" s="137">
        <f>IF(ISTEXT('BS Raw'!F11),'BS Raw'!F92/Input!$B$1,Input!K275)</f>
        <v>1156.3716984289999</v>
      </c>
      <c r="L279" s="137">
        <f>IF(ISTEXT('BS Raw'!G11),'BS Raw'!G92/Input!$B$1,Input!L275)</f>
        <v>685.40656374699995</v>
      </c>
      <c r="M279" s="137">
        <f>IF(ISTEXT('BS Raw'!H11),'BS Raw'!H92/Input!$B$1,Input!M275)</f>
        <v>689.16295133599999</v>
      </c>
      <c r="N279" s="137">
        <f>IF(ISTEXT('BS Raw'!I11),'BS Raw'!I92/Input!$B$1,Input!N275)</f>
        <v>2.559405532</v>
      </c>
      <c r="O279" s="137">
        <f>IF(ISTEXT('BS Raw'!J11),'BS Raw'!J92/Input!$B$1,Input!O275)</f>
        <v>845.80580895499997</v>
      </c>
      <c r="P279" s="137">
        <f>IF(ISTEXT('BS Raw'!K11),'BS Raw'!K92/Input!$B$1,Input!P275)</f>
        <v>1229.228015118</v>
      </c>
      <c r="Q279" s="138">
        <f>IF(ISTEXT('BS Raw'!L11),'BS Raw'!L92/Input!$B$1,Input!Q275)</f>
        <v>1627.7236010635652</v>
      </c>
      <c r="R279" s="138">
        <f>IF(ISTEXT('BS Raw'!M11),'BS Raw'!M92/Input!$B$1,Input!R275)</f>
        <v>1685.447996658171</v>
      </c>
      <c r="S279" s="138">
        <f>IF(ISTEXT('BS Raw'!N11),'BS Raw'!N92/Input!$B$1,Input!S275)</f>
        <v>1550.5482856920157</v>
      </c>
      <c r="T279" s="138">
        <f>IF(ISTEXT('BS Raw'!O11),'BS Raw'!O92/Input!$B$1,Input!T275)</f>
        <v>2136.859179495259</v>
      </c>
      <c r="U279" s="138">
        <f>IF(ISTEXT('BS Raw'!P11),'BS Raw'!P92/Input!$B$1,Input!U275)</f>
        <v>2154.1676466459458</v>
      </c>
      <c r="V279" s="138">
        <f>IF(ISTEXT('BS Raw'!Q11),'BS Raw'!Q92/Input!$B$1,Input!V275)</f>
        <v>2045.1654161051099</v>
      </c>
      <c r="W279" s="138">
        <f>IF(ISTEXT('BS Raw'!R11),'BS Raw'!R92/Input!$B$1,Input!W275)</f>
        <v>2106.1436444013684</v>
      </c>
      <c r="X279" s="138">
        <f>IF(ISTEXT('BS Raw'!S11),'BS Raw'!S92/Input!$B$1,Input!X275)</f>
        <v>2248.6223982010874</v>
      </c>
      <c r="Y279" s="138">
        <f>IF(ISTEXT('BS Raw'!T11),'BS Raw'!T92/Input!$B$1,Input!Y275)</f>
        <v>2367.7130746290904</v>
      </c>
      <c r="Z279" s="138">
        <f>IF(ISTEXT('BS Raw'!U11),'BS Raw'!U92/Input!$B$1,Input!Z275)</f>
        <v>2492.9776285941348</v>
      </c>
      <c r="AA279" s="138"/>
      <c r="AB279" s="139"/>
      <c r="AC279" s="139"/>
      <c r="AD279" s="139"/>
      <c r="AE279" s="139"/>
      <c r="AF279" s="139"/>
      <c r="AG279" s="139"/>
      <c r="AH279" s="139"/>
      <c r="AI279" s="139"/>
      <c r="AJ279" s="139"/>
      <c r="AK279" s="139"/>
      <c r="AL279" s="139"/>
      <c r="AM279" s="139"/>
      <c r="AN279" s="139"/>
      <c r="AO279" s="139"/>
      <c r="AP279" s="139"/>
      <c r="AQ279" s="139"/>
      <c r="AR279" s="139"/>
      <c r="AS279" s="139"/>
      <c r="AT279" s="139"/>
      <c r="AU279" s="139"/>
      <c r="AV279" s="139"/>
      <c r="AW279" s="139"/>
      <c r="AX279" s="139"/>
      <c r="AY279" s="139"/>
      <c r="AZ279" s="139"/>
      <c r="BA279" s="139"/>
      <c r="BB279" s="110"/>
      <c r="BC279" s="111"/>
    </row>
    <row r="280" spans="1:57">
      <c r="E280" s="140"/>
      <c r="F280" s="140"/>
      <c r="G280" s="140"/>
      <c r="H280" s="140"/>
      <c r="I280" s="140"/>
      <c r="J280" s="140"/>
      <c r="K280" s="140"/>
      <c r="L280" s="140"/>
      <c r="M280" s="140"/>
      <c r="N280" s="140"/>
      <c r="O280" s="140"/>
      <c r="P280" s="141"/>
      <c r="Q280" s="124"/>
      <c r="R280" s="124"/>
      <c r="S280" s="140"/>
      <c r="T280" s="140"/>
      <c r="U280" s="140"/>
      <c r="V280" s="140"/>
      <c r="W280" s="140"/>
      <c r="X280" s="140"/>
      <c r="Y280" s="140"/>
      <c r="Z280" s="140"/>
      <c r="AA280" s="140"/>
      <c r="AB280" s="140"/>
      <c r="AC280" s="140"/>
      <c r="AD280" s="140"/>
      <c r="AE280" s="140"/>
      <c r="AF280" s="140"/>
      <c r="AG280" s="140"/>
      <c r="AH280" s="140"/>
      <c r="AI280" s="140"/>
      <c r="AJ280" s="140"/>
      <c r="AK280" s="140"/>
      <c r="AL280" s="140"/>
      <c r="AM280" s="140"/>
      <c r="AN280" s="140"/>
      <c r="AO280" s="140"/>
      <c r="AP280" s="140"/>
      <c r="AQ280" s="140"/>
      <c r="AR280" s="140"/>
      <c r="AS280" s="140"/>
      <c r="AT280" s="140"/>
      <c r="AU280" s="140"/>
      <c r="AV280" s="140"/>
      <c r="AW280" s="140"/>
      <c r="AX280" s="140"/>
      <c r="AY280" s="140"/>
      <c r="AZ280" s="140"/>
      <c r="BA280" s="140"/>
    </row>
    <row r="281" spans="1:57">
      <c r="A281" s="39">
        <v>17</v>
      </c>
      <c r="B281" s="5" t="s">
        <v>502</v>
      </c>
      <c r="D281" s="187"/>
      <c r="E281" s="89"/>
      <c r="F281" s="89"/>
      <c r="G281" s="89"/>
      <c r="H281" s="89"/>
      <c r="I281" s="90"/>
      <c r="J281" s="90"/>
      <c r="K281" s="90">
        <f>'BS Raw'!F84</f>
        <v>45.098300795999997</v>
      </c>
      <c r="L281" s="90">
        <f>'BS Raw'!G84</f>
        <v>118.183078862</v>
      </c>
      <c r="M281" s="90">
        <f>'BS Raw'!H84</f>
        <v>285.54735748299998</v>
      </c>
      <c r="N281" s="90">
        <f>'BS Raw'!I84</f>
        <v>106.451076947</v>
      </c>
      <c r="O281" s="90">
        <f>'BS Raw'!J84</f>
        <v>23.307675261</v>
      </c>
      <c r="P281" s="90">
        <f>'BS Raw'!K84</f>
        <v>233.21169483899999</v>
      </c>
      <c r="Q281" s="91">
        <f>Q5*Q282</f>
        <v>227.13875345107962</v>
      </c>
      <c r="R281" s="91">
        <f t="shared" ref="R281:Z281" si="214">R5*R282</f>
        <v>257.89699489184238</v>
      </c>
      <c r="S281" s="91">
        <f t="shared" si="214"/>
        <v>259.59619479825773</v>
      </c>
      <c r="T281" s="91">
        <f t="shared" si="214"/>
        <v>248.30332965281943</v>
      </c>
      <c r="U281" s="91">
        <f t="shared" si="214"/>
        <v>256.41433891887675</v>
      </c>
      <c r="V281" s="91">
        <f t="shared" si="214"/>
        <v>273.62727712596279</v>
      </c>
      <c r="W281" s="91">
        <f t="shared" si="214"/>
        <v>266.92268972793966</v>
      </c>
      <c r="X281" s="91">
        <f t="shared" si="214"/>
        <v>272.51688912314381</v>
      </c>
      <c r="Y281" s="91">
        <f t="shared" si="214"/>
        <v>282.33632375944961</v>
      </c>
      <c r="Z281" s="91">
        <f t="shared" si="214"/>
        <v>282.15279795908566</v>
      </c>
      <c r="AA281" s="91"/>
      <c r="AB281" s="92"/>
      <c r="AC281" s="92"/>
      <c r="AD281" s="92"/>
      <c r="AE281" s="92"/>
      <c r="AF281" s="92"/>
      <c r="AG281" s="92"/>
      <c r="AH281" s="92"/>
      <c r="AI281" s="92"/>
      <c r="AJ281" s="92"/>
      <c r="AK281" s="92"/>
      <c r="AL281" s="92"/>
      <c r="AM281" s="92"/>
      <c r="AN281" s="92"/>
      <c r="AO281" s="92"/>
      <c r="AP281" s="92"/>
      <c r="AQ281" s="92"/>
      <c r="AR281" s="92"/>
      <c r="AS281" s="92"/>
      <c r="AT281" s="92"/>
      <c r="AU281" s="92"/>
      <c r="AV281" s="92"/>
      <c r="AW281" s="92"/>
      <c r="AX281" s="92"/>
      <c r="AY281" s="92"/>
      <c r="AZ281" s="92"/>
      <c r="BA281" s="92"/>
      <c r="BB281" s="85"/>
      <c r="BD281" s="84"/>
      <c r="BE281" s="84"/>
    </row>
    <row r="282" spans="1:57" s="150" customFormat="1">
      <c r="A282" s="159"/>
      <c r="B282" s="145" t="s">
        <v>319</v>
      </c>
      <c r="C282" s="145"/>
      <c r="E282" s="166"/>
      <c r="F282" s="166"/>
      <c r="G282" s="166"/>
      <c r="H282" s="166"/>
      <c r="I282" s="229"/>
      <c r="J282" s="229"/>
      <c r="K282" s="229">
        <f>K281/K7</f>
        <v>6.403310031621973E-3</v>
      </c>
      <c r="L282" s="229">
        <f t="shared" ref="L282:P282" si="215">L281/L7</f>
        <v>1.5630046161852602E-2</v>
      </c>
      <c r="M282" s="229">
        <f t="shared" si="215"/>
        <v>2.8931531612460971E-2</v>
      </c>
      <c r="N282" s="229">
        <f t="shared" si="215"/>
        <v>6.6847246255168583E-3</v>
      </c>
      <c r="O282" s="229">
        <f t="shared" si="215"/>
        <v>1.8541503695262607E-3</v>
      </c>
      <c r="P282" s="229">
        <f t="shared" si="215"/>
        <v>1.733196232236987E-2</v>
      </c>
      <c r="Q282" s="230">
        <f>AVERAGE(K282:P282)</f>
        <v>1.2805954187224756E-2</v>
      </c>
      <c r="R282" s="230">
        <f t="shared" ref="R282:Z282" si="216">AVERAGE(L282:Q282)</f>
        <v>1.3873061546491887E-2</v>
      </c>
      <c r="S282" s="230">
        <f t="shared" si="216"/>
        <v>1.35802307772651E-2</v>
      </c>
      <c r="T282" s="230">
        <f t="shared" si="216"/>
        <v>1.1021680638065788E-2</v>
      </c>
      <c r="U282" s="230">
        <f t="shared" si="216"/>
        <v>1.1744506640157276E-2</v>
      </c>
      <c r="V282" s="230">
        <f t="shared" si="216"/>
        <v>1.3392899351929112E-2</v>
      </c>
      <c r="W282" s="230">
        <f t="shared" si="216"/>
        <v>1.2736388856855652E-2</v>
      </c>
      <c r="X282" s="230">
        <f t="shared" si="216"/>
        <v>1.2724794635127471E-2</v>
      </c>
      <c r="Y282" s="230">
        <f t="shared" si="216"/>
        <v>1.2533416816566731E-2</v>
      </c>
      <c r="Z282" s="230">
        <f t="shared" si="216"/>
        <v>1.2358947823117005E-2</v>
      </c>
      <c r="AA282" s="230"/>
      <c r="AB282" s="299"/>
      <c r="AC282" s="299"/>
      <c r="AD282" s="299"/>
      <c r="AE282" s="299"/>
      <c r="AF282" s="299"/>
      <c r="AG282" s="299"/>
      <c r="AH282" s="299"/>
      <c r="AI282" s="299"/>
      <c r="AJ282" s="299"/>
      <c r="AK282" s="299"/>
      <c r="AL282" s="299"/>
      <c r="AM282" s="299"/>
      <c r="AN282" s="299"/>
      <c r="AO282" s="299"/>
      <c r="AP282" s="299"/>
      <c r="AQ282" s="299"/>
      <c r="AR282" s="299"/>
      <c r="AS282" s="299"/>
      <c r="AT282" s="299"/>
      <c r="AU282" s="299"/>
      <c r="AV282" s="299"/>
      <c r="AW282" s="299"/>
      <c r="AX282" s="299"/>
      <c r="AY282" s="299"/>
      <c r="AZ282" s="299"/>
      <c r="BA282" s="299"/>
      <c r="BB282" s="168"/>
      <c r="BC282" s="75"/>
    </row>
    <row r="283" spans="1:57">
      <c r="A283" s="39"/>
      <c r="B283" s="426"/>
      <c r="C283" s="426"/>
      <c r="D283" s="187"/>
      <c r="E283" s="89"/>
      <c r="F283" s="89"/>
      <c r="G283" s="89"/>
      <c r="H283" s="89"/>
      <c r="I283" s="89"/>
      <c r="J283" s="89"/>
      <c r="K283" s="89"/>
      <c r="L283" s="89"/>
      <c r="M283" s="89"/>
      <c r="N283" s="89"/>
      <c r="O283" s="89"/>
      <c r="P283" s="188"/>
      <c r="Q283" s="143"/>
      <c r="R283" s="143"/>
      <c r="S283" s="143"/>
      <c r="T283" s="143"/>
      <c r="U283" s="143"/>
      <c r="V283" s="143"/>
      <c r="W283" s="143"/>
      <c r="X283" s="143"/>
      <c r="Y283" s="143"/>
      <c r="Z283" s="143"/>
      <c r="AA283" s="143"/>
      <c r="AB283" s="143"/>
      <c r="AC283" s="143"/>
      <c r="AD283" s="143"/>
      <c r="AE283" s="143"/>
      <c r="AF283" s="143"/>
      <c r="AG283" s="143"/>
      <c r="AH283" s="143"/>
      <c r="AI283" s="143"/>
      <c r="AJ283" s="143"/>
      <c r="AK283" s="143"/>
      <c r="AL283" s="143"/>
      <c r="AM283" s="143"/>
      <c r="AN283" s="143"/>
      <c r="AO283" s="143"/>
      <c r="AP283" s="143"/>
      <c r="AQ283" s="143"/>
      <c r="AR283" s="143"/>
      <c r="AS283" s="143"/>
      <c r="AT283" s="143"/>
      <c r="AU283" s="143"/>
      <c r="AV283" s="143"/>
      <c r="AW283" s="143"/>
      <c r="AX283" s="143"/>
      <c r="AY283" s="143"/>
      <c r="AZ283" s="143"/>
      <c r="BA283" s="143"/>
      <c r="BB283" s="187"/>
      <c r="BD283" s="84"/>
      <c r="BE283" s="84"/>
    </row>
    <row r="284" spans="1:57" s="88" customFormat="1">
      <c r="A284" s="103"/>
      <c r="B284" s="104" t="s">
        <v>503</v>
      </c>
      <c r="C284" s="104"/>
      <c r="D284" s="105"/>
      <c r="E284" s="136"/>
      <c r="F284" s="136"/>
      <c r="G284" s="136"/>
      <c r="H284" s="136"/>
      <c r="I284" s="137"/>
      <c r="J284" s="137"/>
      <c r="K284" s="137">
        <f>IF(ISTEXT('BS Raw'!F11),'BS Raw'!F84/Input!$B$1,Input!K281)</f>
        <v>45.098300795999997</v>
      </c>
      <c r="L284" s="137">
        <f>IF(ISTEXT('BS Raw'!G11),'BS Raw'!G84/Input!$B$1,Input!L281)</f>
        <v>118.183078862</v>
      </c>
      <c r="M284" s="137">
        <f>IF(ISTEXT('BS Raw'!H11),'BS Raw'!H84/Input!$B$1,Input!M281)</f>
        <v>285.54735748299998</v>
      </c>
      <c r="N284" s="137">
        <f>IF(ISTEXT('BS Raw'!I11),'BS Raw'!I84/Input!$B$1,Input!N281)</f>
        <v>106.451076947</v>
      </c>
      <c r="O284" s="137">
        <f>IF(ISTEXT('BS Raw'!J11),'BS Raw'!J84/Input!$B$1,Input!O281)</f>
        <v>23.307675261</v>
      </c>
      <c r="P284" s="137">
        <f>IF(ISTEXT('BS Raw'!K11),'BS Raw'!K84/Input!$B$1,Input!P281)</f>
        <v>233.21169483899999</v>
      </c>
      <c r="Q284" s="138">
        <f>IF(ISTEXT('BS Raw'!L11),'BS Raw'!L84/Input!$B$1,Input!Q281)</f>
        <v>227.13875345107962</v>
      </c>
      <c r="R284" s="138">
        <f>IF(ISTEXT('BS Raw'!M11),'BS Raw'!M84/Input!$B$1,Input!R281)</f>
        <v>257.89699489184238</v>
      </c>
      <c r="S284" s="138">
        <f>IF(ISTEXT('BS Raw'!N11),'BS Raw'!N84/Input!$B$1,Input!S281)</f>
        <v>259.59619479825773</v>
      </c>
      <c r="T284" s="138">
        <f>IF(ISTEXT('BS Raw'!O11),'BS Raw'!O84/Input!$B$1,Input!T281)</f>
        <v>248.30332965281943</v>
      </c>
      <c r="U284" s="138">
        <f>IF(ISTEXT('BS Raw'!P11),'BS Raw'!P84/Input!$B$1,Input!U281)</f>
        <v>256.41433891887675</v>
      </c>
      <c r="V284" s="138">
        <f>IF(ISTEXT('BS Raw'!Q11),'BS Raw'!Q84/Input!$B$1,Input!V281)</f>
        <v>273.62727712596279</v>
      </c>
      <c r="W284" s="138">
        <f>IF(ISTEXT('BS Raw'!R11),'BS Raw'!R84/Input!$B$1,Input!W281)</f>
        <v>266.92268972793966</v>
      </c>
      <c r="X284" s="138">
        <f>IF(ISTEXT('BS Raw'!S11),'BS Raw'!S84/Input!$B$1,Input!X281)</f>
        <v>272.51688912314381</v>
      </c>
      <c r="Y284" s="138">
        <f>IF(ISTEXT('BS Raw'!T11),'BS Raw'!T84/Input!$B$1,Input!Y281)</f>
        <v>282.33632375944961</v>
      </c>
      <c r="Z284" s="138">
        <f>IF(ISTEXT('BS Raw'!U11),'BS Raw'!U84/Input!$B$1,Input!Z281)</f>
        <v>282.15279795908566</v>
      </c>
      <c r="AA284" s="138"/>
      <c r="AB284" s="139"/>
      <c r="AC284" s="139"/>
      <c r="AD284" s="139"/>
      <c r="AE284" s="139"/>
      <c r="AF284" s="139"/>
      <c r="AG284" s="139"/>
      <c r="AH284" s="139"/>
      <c r="AI284" s="139"/>
      <c r="AJ284" s="139"/>
      <c r="AK284" s="139"/>
      <c r="AL284" s="139"/>
      <c r="AM284" s="139"/>
      <c r="AN284" s="139"/>
      <c r="AO284" s="139"/>
      <c r="AP284" s="139"/>
      <c r="AQ284" s="139"/>
      <c r="AR284" s="139"/>
      <c r="AS284" s="139"/>
      <c r="AT284" s="139"/>
      <c r="AU284" s="139"/>
      <c r="AV284" s="139"/>
      <c r="AW284" s="139"/>
      <c r="AX284" s="139"/>
      <c r="AY284" s="139"/>
      <c r="AZ284" s="139"/>
      <c r="BA284" s="139"/>
      <c r="BB284" s="110"/>
      <c r="BC284" s="111"/>
    </row>
    <row r="285" spans="1:57">
      <c r="E285" s="140"/>
      <c r="F285" s="140"/>
      <c r="G285" s="140"/>
      <c r="H285" s="140"/>
      <c r="I285" s="140"/>
      <c r="J285" s="140"/>
      <c r="K285" s="140"/>
      <c r="L285" s="140"/>
      <c r="M285" s="140"/>
      <c r="N285" s="140"/>
      <c r="O285" s="140"/>
      <c r="P285" s="141"/>
      <c r="Q285" s="140"/>
      <c r="R285" s="140"/>
      <c r="S285" s="140"/>
      <c r="T285" s="140"/>
      <c r="U285" s="140"/>
      <c r="V285" s="140"/>
      <c r="W285" s="140"/>
      <c r="X285" s="140"/>
      <c r="Y285" s="140"/>
      <c r="Z285" s="140"/>
      <c r="AA285" s="140"/>
      <c r="AB285" s="140"/>
      <c r="AC285" s="140"/>
      <c r="AD285" s="140"/>
      <c r="AE285" s="140"/>
      <c r="AF285" s="140"/>
      <c r="AG285" s="140"/>
      <c r="AH285" s="140"/>
      <c r="AI285" s="140"/>
      <c r="AJ285" s="140"/>
      <c r="AK285" s="140"/>
      <c r="AL285" s="140"/>
      <c r="AM285" s="140"/>
      <c r="AN285" s="140"/>
      <c r="AO285" s="140"/>
      <c r="AP285" s="140"/>
      <c r="AQ285" s="140"/>
      <c r="AR285" s="140"/>
      <c r="AS285" s="140"/>
      <c r="AT285" s="140"/>
      <c r="AU285" s="140"/>
      <c r="AV285" s="140"/>
      <c r="AW285" s="140"/>
      <c r="AX285" s="140"/>
      <c r="AY285" s="140"/>
      <c r="AZ285" s="140"/>
      <c r="BA285" s="140"/>
    </row>
    <row r="286" spans="1:57" s="95" customFormat="1">
      <c r="A286" s="86">
        <v>18</v>
      </c>
      <c r="B286" s="87" t="s">
        <v>504</v>
      </c>
      <c r="C286" s="87"/>
      <c r="E286" s="89"/>
      <c r="F286" s="89"/>
      <c r="G286" s="89"/>
      <c r="H286" s="89"/>
      <c r="I286" s="90"/>
      <c r="J286" s="90"/>
      <c r="K286" s="90">
        <f>'BS Raw'!F83</f>
        <v>879.30163535199995</v>
      </c>
      <c r="L286" s="90">
        <f>'BS Raw'!G83</f>
        <v>709.12680017599996</v>
      </c>
      <c r="M286" s="90">
        <f>'BS Raw'!H83</f>
        <v>794.79728936100003</v>
      </c>
      <c r="N286" s="90">
        <f>'BS Raw'!I83</f>
        <v>1028.4757360789999</v>
      </c>
      <c r="O286" s="90">
        <f>'BS Raw'!J83</f>
        <v>1989.2834125500001</v>
      </c>
      <c r="P286" s="90">
        <f>'BS Raw'!K83</f>
        <v>1611.5109306879999</v>
      </c>
      <c r="Q286" s="91">
        <f>Q5*Q287</f>
        <v>1517.7163751115675</v>
      </c>
      <c r="R286" s="91">
        <f t="shared" ref="R286:Z286" si="217">R5*R287</f>
        <v>1493.3277643629785</v>
      </c>
      <c r="S286" s="91">
        <f t="shared" si="217"/>
        <v>1501.2900843690613</v>
      </c>
      <c r="T286" s="91">
        <f t="shared" si="217"/>
        <v>1763.3446465429292</v>
      </c>
      <c r="U286" s="91">
        <f t="shared" si="217"/>
        <v>1858.0116437338759</v>
      </c>
      <c r="V286" s="91">
        <f t="shared" si="217"/>
        <v>1437.1663915590482</v>
      </c>
      <c r="W286" s="91">
        <f t="shared" si="217"/>
        <v>1336.1157237134776</v>
      </c>
      <c r="X286" s="91">
        <f t="shared" si="217"/>
        <v>1303.0703246563905</v>
      </c>
      <c r="Y286" s="91">
        <f t="shared" si="217"/>
        <v>1312.1110278924041</v>
      </c>
      <c r="Z286" s="91">
        <f t="shared" si="217"/>
        <v>1268.0069594032705</v>
      </c>
      <c r="AA286" s="91"/>
      <c r="AB286" s="92"/>
      <c r="AC286" s="92"/>
      <c r="AD286" s="92"/>
      <c r="AE286" s="92"/>
      <c r="AF286" s="92"/>
      <c r="AG286" s="92"/>
      <c r="AH286" s="92"/>
      <c r="AI286" s="92"/>
      <c r="AJ286" s="92"/>
      <c r="AK286" s="92"/>
      <c r="AL286" s="92"/>
      <c r="AM286" s="92"/>
      <c r="AN286" s="92"/>
      <c r="AO286" s="92"/>
      <c r="AP286" s="92"/>
      <c r="AQ286" s="92"/>
      <c r="AR286" s="92"/>
      <c r="AS286" s="92"/>
      <c r="AT286" s="92"/>
      <c r="AU286" s="92"/>
      <c r="AV286" s="92"/>
      <c r="AW286" s="92"/>
      <c r="AX286" s="92"/>
      <c r="AY286" s="92"/>
      <c r="AZ286" s="92"/>
      <c r="BA286" s="92"/>
      <c r="BB286" s="93"/>
      <c r="BC286" s="94"/>
    </row>
    <row r="287" spans="1:57" s="150" customFormat="1">
      <c r="A287" s="159"/>
      <c r="B287" s="145" t="s">
        <v>505</v>
      </c>
      <c r="C287" s="145"/>
      <c r="E287" s="166"/>
      <c r="F287" s="166"/>
      <c r="G287" s="166"/>
      <c r="H287" s="166"/>
      <c r="I287" s="229"/>
      <c r="J287" s="229"/>
      <c r="K287" s="229">
        <f>K286/K7</f>
        <v>0.12484818458992718</v>
      </c>
      <c r="L287" s="229">
        <f t="shared" ref="L287:P287" si="218">L286/L7</f>
        <v>9.3784023297445993E-2</v>
      </c>
      <c r="M287" s="229">
        <f t="shared" si="218"/>
        <v>8.0528508844684543E-2</v>
      </c>
      <c r="N287" s="229">
        <f t="shared" si="218"/>
        <v>6.458438258108784E-2</v>
      </c>
      <c r="O287" s="229">
        <f t="shared" si="218"/>
        <v>0.15824961233451618</v>
      </c>
      <c r="P287" s="229">
        <f t="shared" si="218"/>
        <v>0.11976520625200128</v>
      </c>
      <c r="Q287" s="230">
        <f>AVERAGE(K287:P287)*0.8</f>
        <v>8.5567989053288412E-2</v>
      </c>
      <c r="R287" s="230">
        <f t="shared" ref="R287:Z287" si="219">AVERAGE(L287:Q287)*0.8</f>
        <v>8.0330629648403248E-2</v>
      </c>
      <c r="S287" s="230">
        <f t="shared" si="219"/>
        <v>7.8536843828530864E-2</v>
      </c>
      <c r="T287" s="230">
        <f t="shared" si="219"/>
        <v>7.8271288493043711E-2</v>
      </c>
      <c r="U287" s="230">
        <f>AVERAGE(O287:T287)*0.85</f>
        <v>8.510222236138601E-2</v>
      </c>
      <c r="V287" s="230">
        <f t="shared" si="219"/>
        <v>7.0343223951553804E-2</v>
      </c>
      <c r="W287" s="230">
        <f t="shared" si="219"/>
        <v>6.3753626311494144E-2</v>
      </c>
      <c r="X287" s="230">
        <f t="shared" si="219"/>
        <v>6.0845044612588245E-2</v>
      </c>
      <c r="Y287" s="230">
        <f t="shared" si="219"/>
        <v>5.8246966607812915E-2</v>
      </c>
      <c r="Z287" s="230">
        <f t="shared" si="219"/>
        <v>5.5541649645050518E-2</v>
      </c>
      <c r="AA287" s="230"/>
      <c r="AB287" s="230"/>
      <c r="AC287" s="230"/>
      <c r="AD287" s="230"/>
      <c r="AE287" s="230"/>
      <c r="AF287" s="230"/>
      <c r="AG287" s="230"/>
      <c r="AH287" s="230"/>
      <c r="AI287" s="230"/>
      <c r="AJ287" s="230"/>
      <c r="AK287" s="230"/>
      <c r="AL287" s="230"/>
      <c r="AM287" s="230"/>
      <c r="AN287" s="230"/>
      <c r="AO287" s="230"/>
      <c r="AP287" s="230"/>
      <c r="AQ287" s="230"/>
      <c r="AR287" s="230"/>
      <c r="AS287" s="230"/>
      <c r="AT287" s="230"/>
      <c r="AU287" s="230"/>
      <c r="AV287" s="230"/>
      <c r="AW287" s="230"/>
      <c r="AX287" s="230"/>
      <c r="AY287" s="230"/>
      <c r="AZ287" s="230"/>
      <c r="BA287" s="230"/>
      <c r="BB287" s="168"/>
      <c r="BC287" s="75"/>
    </row>
    <row r="288" spans="1:57">
      <c r="A288" s="39"/>
      <c r="B288" s="118" t="s">
        <v>506</v>
      </c>
      <c r="C288" s="118"/>
      <c r="D288" s="187"/>
      <c r="E288" s="427"/>
      <c r="F288" s="427"/>
      <c r="G288" s="427"/>
      <c r="H288" s="427"/>
      <c r="I288" s="427"/>
      <c r="J288" s="427"/>
      <c r="K288" s="427">
        <f>365/((K11+K207-J207)/K286)</f>
        <v>50.129996548306984</v>
      </c>
      <c r="L288" s="427">
        <f t="shared" ref="L288:Z288" si="220">365/((L11+L207-K207)/L286)</f>
        <v>44.800347854998584</v>
      </c>
      <c r="M288" s="427">
        <f t="shared" si="220"/>
        <v>34.295890738549687</v>
      </c>
      <c r="N288" s="427">
        <f t="shared" si="220"/>
        <v>36.447586297644129</v>
      </c>
      <c r="O288" s="427">
        <f t="shared" si="220"/>
        <v>69.703579382503349</v>
      </c>
      <c r="P288" s="427">
        <f t="shared" si="220"/>
        <v>50.137303688654292</v>
      </c>
      <c r="Q288" s="428">
        <f t="shared" si="220"/>
        <v>37.176961930654407</v>
      </c>
      <c r="R288" s="428">
        <f t="shared" si="220"/>
        <v>37.461054130597333</v>
      </c>
      <c r="S288" s="428">
        <f t="shared" si="220"/>
        <v>38.194435053486728</v>
      </c>
      <c r="T288" s="428">
        <f t="shared" si="220"/>
        <v>38.709012017776359</v>
      </c>
      <c r="U288" s="428">
        <f t="shared" si="220"/>
        <v>43.499481242035174</v>
      </c>
      <c r="V288" s="428">
        <f t="shared" si="220"/>
        <v>34.53437719823156</v>
      </c>
      <c r="W288" s="428">
        <f t="shared" si="220"/>
        <v>30.135102349451252</v>
      </c>
      <c r="X288" s="428">
        <f t="shared" si="220"/>
        <v>29.613889766053529</v>
      </c>
      <c r="Y288" s="428">
        <f t="shared" si="220"/>
        <v>28.887000042703381</v>
      </c>
      <c r="Z288" s="428">
        <f t="shared" si="220"/>
        <v>27.248996961439694</v>
      </c>
      <c r="AA288" s="428"/>
      <c r="AB288" s="143"/>
      <c r="AC288" s="143"/>
      <c r="AD288" s="143"/>
      <c r="AE288" s="143"/>
      <c r="AF288" s="143"/>
      <c r="AG288" s="143"/>
      <c r="AH288" s="143"/>
      <c r="AI288" s="143"/>
      <c r="AJ288" s="143"/>
      <c r="AK288" s="143"/>
      <c r="AL288" s="143"/>
      <c r="AM288" s="143"/>
      <c r="AN288" s="143"/>
      <c r="AO288" s="143"/>
      <c r="AP288" s="143"/>
      <c r="AQ288" s="143"/>
      <c r="AR288" s="143"/>
      <c r="AS288" s="143"/>
      <c r="AT288" s="143"/>
      <c r="AU288" s="143"/>
      <c r="AV288" s="143"/>
      <c r="AW288" s="143"/>
      <c r="AX288" s="143"/>
      <c r="AY288" s="143"/>
      <c r="AZ288" s="143"/>
      <c r="BA288" s="143"/>
      <c r="BB288" s="187"/>
      <c r="BD288" s="84"/>
      <c r="BE288" s="84"/>
    </row>
    <row r="289" spans="1:57" s="88" customFormat="1">
      <c r="A289" s="103"/>
      <c r="B289" s="104" t="s">
        <v>507</v>
      </c>
      <c r="C289" s="104"/>
      <c r="D289" s="105"/>
      <c r="E289" s="123"/>
      <c r="F289" s="123"/>
      <c r="G289" s="123"/>
      <c r="H289" s="123"/>
      <c r="I289" s="339"/>
      <c r="J289" s="339"/>
      <c r="K289" s="339">
        <f>IF(ISTEXT('BS Raw'!F11),'BS Raw'!F83/Input!$B$1,Input!K286)</f>
        <v>879.30163535199995</v>
      </c>
      <c r="L289" s="339">
        <f>IF(ISTEXT('BS Raw'!G11),'BS Raw'!G83/Input!$B$1,Input!L286)</f>
        <v>709.12680017599996</v>
      </c>
      <c r="M289" s="339">
        <f>IF(ISTEXT('BS Raw'!H11),'BS Raw'!H83/Input!$B$1,Input!M286)</f>
        <v>794.79728936100003</v>
      </c>
      <c r="N289" s="339">
        <f>IF(ISTEXT('BS Raw'!I11),'BS Raw'!I83/Input!$B$1,Input!N286)</f>
        <v>1028.4757360789999</v>
      </c>
      <c r="O289" s="339">
        <f>IF(ISTEXT('BS Raw'!J11),'BS Raw'!J83/Input!$B$1,Input!O286)</f>
        <v>1989.2834125500001</v>
      </c>
      <c r="P289" s="339">
        <f>IF(ISTEXT('BS Raw'!K11),'BS Raw'!K83/Input!$B$1,Input!P286)</f>
        <v>1611.5109306879999</v>
      </c>
      <c r="Q289" s="339">
        <f>IF(ISTEXT('BS Raw'!L11),'BS Raw'!L83/Input!$B$1,Input!Q286)</f>
        <v>1517.7163751115675</v>
      </c>
      <c r="R289" s="339">
        <f>IF(ISTEXT('BS Raw'!M11),'BS Raw'!M83/Input!$B$1,Input!R286)</f>
        <v>1493.3277643629785</v>
      </c>
      <c r="S289" s="339">
        <f>IF(ISTEXT('BS Raw'!N11),'BS Raw'!N83/Input!$B$1,Input!S286)</f>
        <v>1501.2900843690613</v>
      </c>
      <c r="T289" s="339">
        <f>IF(ISTEXT('BS Raw'!O11),'BS Raw'!O83/Input!$B$1,Input!T286)</f>
        <v>1763.3446465429292</v>
      </c>
      <c r="U289" s="339">
        <f>IF(ISTEXT('BS Raw'!P11),'BS Raw'!P83/Input!$B$1,Input!U286)</f>
        <v>1858.0116437338759</v>
      </c>
      <c r="V289" s="339">
        <f>IF(ISTEXT('BS Raw'!Q11),'BS Raw'!Q83/Input!$B$1,Input!V286)</f>
        <v>1437.1663915590482</v>
      </c>
      <c r="W289" s="339">
        <f>IF(ISTEXT('BS Raw'!R11),'BS Raw'!R83/Input!$B$1,Input!W286)</f>
        <v>1336.1157237134776</v>
      </c>
      <c r="X289" s="339">
        <f>IF(ISTEXT('BS Raw'!S11),'BS Raw'!S83/Input!$B$1,Input!X286)</f>
        <v>1303.0703246563905</v>
      </c>
      <c r="Y289" s="339">
        <f>IF(ISTEXT('BS Raw'!T11),'BS Raw'!T83/Input!$B$1,Input!Y286)</f>
        <v>1312.1110278924041</v>
      </c>
      <c r="Z289" s="339">
        <f>IF(ISTEXT('BS Raw'!U11),'BS Raw'!U83/Input!$B$1,Input!Z286)</f>
        <v>1268.0069594032705</v>
      </c>
      <c r="AA289" s="138"/>
      <c r="AB289" s="138"/>
      <c r="AC289" s="139"/>
      <c r="AD289" s="139"/>
      <c r="AE289" s="139"/>
      <c r="AF289" s="139"/>
      <c r="AG289" s="139"/>
      <c r="AH289" s="139"/>
      <c r="AI289" s="139"/>
      <c r="AJ289" s="139"/>
      <c r="AK289" s="139"/>
      <c r="AL289" s="139"/>
      <c r="AM289" s="139"/>
      <c r="AN289" s="139"/>
      <c r="AO289" s="139"/>
      <c r="AP289" s="139"/>
      <c r="AQ289" s="139"/>
      <c r="AR289" s="139"/>
      <c r="AS289" s="139"/>
      <c r="AT289" s="139"/>
      <c r="AU289" s="139"/>
      <c r="AV289" s="139"/>
      <c r="AW289" s="139"/>
      <c r="AX289" s="139"/>
      <c r="AY289" s="139"/>
      <c r="AZ289" s="139"/>
      <c r="BA289" s="139"/>
      <c r="BB289" s="110"/>
      <c r="BC289" s="111"/>
    </row>
    <row r="290" spans="1:57" ht="14.25" customHeight="1">
      <c r="A290" s="39"/>
      <c r="D290" s="84"/>
      <c r="E290" s="140"/>
      <c r="F290" s="140"/>
      <c r="G290" s="140"/>
      <c r="H290" s="140"/>
      <c r="I290" s="140"/>
      <c r="J290" s="140"/>
      <c r="K290" s="140"/>
      <c r="L290" s="140"/>
      <c r="M290" s="140"/>
      <c r="N290" s="140"/>
      <c r="O290" s="140"/>
      <c r="P290" s="141"/>
      <c r="Q290" s="140"/>
      <c r="R290" s="140"/>
      <c r="S290" s="140"/>
      <c r="T290" s="140"/>
      <c r="U290" s="140"/>
      <c r="V290" s="140"/>
      <c r="W290" s="140"/>
      <c r="X290" s="140"/>
      <c r="Y290" s="140"/>
      <c r="Z290" s="140"/>
      <c r="AA290" s="140"/>
      <c r="AB290" s="140"/>
      <c r="AC290" s="140"/>
      <c r="AD290" s="140"/>
      <c r="AE290" s="140"/>
      <c r="AF290" s="140"/>
      <c r="AG290" s="140"/>
      <c r="AH290" s="140"/>
      <c r="AI290" s="140"/>
      <c r="AJ290" s="140"/>
      <c r="AK290" s="140"/>
      <c r="AL290" s="140"/>
      <c r="AM290" s="140"/>
      <c r="AN290" s="140"/>
      <c r="AO290" s="140"/>
      <c r="AP290" s="140"/>
      <c r="AQ290" s="140"/>
      <c r="AR290" s="140"/>
      <c r="AS290" s="140"/>
      <c r="AT290" s="140"/>
      <c r="AU290" s="140"/>
      <c r="AV290" s="140"/>
      <c r="AW290" s="140"/>
      <c r="AX290" s="140"/>
      <c r="AY290" s="140"/>
      <c r="AZ290" s="140"/>
      <c r="BA290" s="140"/>
      <c r="BB290" s="85"/>
      <c r="BD290" s="84"/>
      <c r="BE290" s="84"/>
    </row>
    <row r="291" spans="1:57" s="95" customFormat="1">
      <c r="A291" s="86">
        <v>19</v>
      </c>
      <c r="B291" s="87" t="s">
        <v>508</v>
      </c>
      <c r="C291" s="87"/>
      <c r="E291" s="89"/>
      <c r="F291" s="89"/>
      <c r="G291" s="89"/>
      <c r="H291" s="89"/>
      <c r="I291" s="90"/>
      <c r="J291" s="90"/>
      <c r="K291" s="90">
        <f>'BS Raw'!F82-'BS Raw'!F83-'BS Raw'!F84-'BS Raw'!F92</f>
        <v>1219.2262188029999</v>
      </c>
      <c r="L291" s="90">
        <f>'BS Raw'!G82-'BS Raw'!G83-'BS Raw'!G84-'BS Raw'!G92</f>
        <v>537.43534196999997</v>
      </c>
      <c r="M291" s="90">
        <f>'BS Raw'!H82-'BS Raw'!H83-'BS Raw'!H84-'BS Raw'!H92</f>
        <v>1417.1029445130002</v>
      </c>
      <c r="N291" s="90">
        <f>'BS Raw'!I82-'BS Raw'!I83-'BS Raw'!I84-'BS Raw'!I92</f>
        <v>1736.9497672849998</v>
      </c>
      <c r="O291" s="90">
        <f>'BS Raw'!J82-'BS Raw'!J83-'BS Raw'!J84-'BS Raw'!J92</f>
        <v>1658.86089249</v>
      </c>
      <c r="P291" s="90">
        <f>'BS Raw'!K82-'BS Raw'!K83-'BS Raw'!K84-'BS Raw'!K92</f>
        <v>1606.7794728669999</v>
      </c>
      <c r="Q291" s="91">
        <f>Q5*Q292</f>
        <v>2211.8637873866269</v>
      </c>
      <c r="R291" s="91">
        <f t="shared" ref="R291:Z291" si="221">R5*R292</f>
        <v>2168.2262635370789</v>
      </c>
      <c r="S291" s="91">
        <f t="shared" si="221"/>
        <v>2374.7197805922151</v>
      </c>
      <c r="T291" s="91">
        <f t="shared" si="221"/>
        <v>2726.0358238117583</v>
      </c>
      <c r="U291" s="91">
        <f t="shared" si="221"/>
        <v>2685.2352012216302</v>
      </c>
      <c r="V291" s="91">
        <f t="shared" si="221"/>
        <v>2482.2563060714697</v>
      </c>
      <c r="W291" s="91">
        <f t="shared" si="221"/>
        <v>2553.5234873611544</v>
      </c>
      <c r="X291" s="91">
        <f t="shared" si="221"/>
        <v>2599.2054247267183</v>
      </c>
      <c r="Y291" s="91">
        <f t="shared" si="221"/>
        <v>2751.7409007433384</v>
      </c>
      <c r="Z291" s="91">
        <f t="shared" si="221"/>
        <v>2780.8821533183295</v>
      </c>
      <c r="AA291" s="91"/>
      <c r="AB291" s="92"/>
      <c r="AC291" s="92"/>
      <c r="AD291" s="92"/>
      <c r="AE291" s="92"/>
      <c r="AF291" s="92"/>
      <c r="AG291" s="92"/>
      <c r="AH291" s="92"/>
      <c r="AI291" s="92"/>
      <c r="AJ291" s="92"/>
      <c r="AK291" s="92"/>
      <c r="AL291" s="92"/>
      <c r="AM291" s="92"/>
      <c r="AN291" s="92"/>
      <c r="AO291" s="92"/>
      <c r="AP291" s="92"/>
      <c r="AQ291" s="92"/>
      <c r="AR291" s="92"/>
      <c r="AS291" s="92"/>
      <c r="AT291" s="92"/>
      <c r="AU291" s="92"/>
      <c r="AV291" s="92"/>
      <c r="AW291" s="92"/>
      <c r="AX291" s="92"/>
      <c r="AY291" s="92"/>
      <c r="AZ291" s="92"/>
      <c r="BA291" s="92"/>
      <c r="BB291" s="93"/>
      <c r="BC291" s="94"/>
    </row>
    <row r="292" spans="1:57" s="150" customFormat="1">
      <c r="A292" s="159"/>
      <c r="B292" s="145" t="s">
        <v>319</v>
      </c>
      <c r="C292" s="145"/>
      <c r="E292" s="429"/>
      <c r="F292" s="429"/>
      <c r="G292" s="429"/>
      <c r="H292" s="429"/>
      <c r="I292" s="430"/>
      <c r="J292" s="430"/>
      <c r="K292" s="430">
        <f>K293/K7</f>
        <v>0.17311258605934499</v>
      </c>
      <c r="L292" s="430">
        <f t="shared" ref="L292:P292" si="222">L293/L7</f>
        <v>7.1077342754040207E-2</v>
      </c>
      <c r="M292" s="430">
        <f t="shared" si="222"/>
        <v>0.14358024181586151</v>
      </c>
      <c r="N292" s="430">
        <f t="shared" si="222"/>
        <v>0.10907386957143449</v>
      </c>
      <c r="O292" s="430">
        <f t="shared" si="222"/>
        <v>0.13196414924956493</v>
      </c>
      <c r="P292" s="430">
        <f t="shared" si="222"/>
        <v>0.11941357101887085</v>
      </c>
      <c r="Q292" s="230">
        <f>AVERAGE(K292:P292)</f>
        <v>0.12470362674485282</v>
      </c>
      <c r="R292" s="230">
        <f t="shared" ref="R292:Z292" si="223">AVERAGE(L292:Q292)</f>
        <v>0.11663546685910413</v>
      </c>
      <c r="S292" s="230">
        <f t="shared" si="223"/>
        <v>0.12422848754328143</v>
      </c>
      <c r="T292" s="230">
        <f t="shared" si="223"/>
        <v>0.12100319516451809</v>
      </c>
      <c r="U292" s="230">
        <f t="shared" si="223"/>
        <v>0.12299141609669871</v>
      </c>
      <c r="V292" s="230">
        <f t="shared" si="223"/>
        <v>0.12149596057122102</v>
      </c>
      <c r="W292" s="230">
        <f t="shared" si="223"/>
        <v>0.12184302549661269</v>
      </c>
      <c r="X292" s="230">
        <f t="shared" si="223"/>
        <v>0.12136625862190602</v>
      </c>
      <c r="Y292" s="230">
        <f t="shared" si="223"/>
        <v>0.12215472391570632</v>
      </c>
      <c r="Z292" s="230">
        <f t="shared" si="223"/>
        <v>0.12180909664444382</v>
      </c>
      <c r="AA292" s="230"/>
      <c r="AB292" s="299"/>
      <c r="AC292" s="299"/>
      <c r="AD292" s="299"/>
      <c r="AE292" s="299"/>
      <c r="AF292" s="299"/>
      <c r="AG292" s="299"/>
      <c r="AH292" s="299"/>
      <c r="AI292" s="299"/>
      <c r="AJ292" s="299"/>
      <c r="AK292" s="299"/>
      <c r="AL292" s="299"/>
      <c r="AM292" s="299"/>
      <c r="AN292" s="299"/>
      <c r="AO292" s="299"/>
      <c r="AP292" s="299"/>
      <c r="AQ292" s="299"/>
      <c r="AR292" s="299"/>
      <c r="AS292" s="299"/>
      <c r="AT292" s="299"/>
      <c r="AU292" s="299"/>
      <c r="AV292" s="299"/>
      <c r="AW292" s="299"/>
      <c r="AX292" s="299"/>
      <c r="AY292" s="299"/>
      <c r="AZ292" s="299"/>
      <c r="BA292" s="299"/>
      <c r="BB292" s="168"/>
      <c r="BC292" s="288"/>
    </row>
    <row r="293" spans="1:57" s="88" customFormat="1">
      <c r="A293" s="103"/>
      <c r="B293" s="104" t="s">
        <v>509</v>
      </c>
      <c r="C293" s="104"/>
      <c r="D293" s="105"/>
      <c r="E293" s="123"/>
      <c r="F293" s="123"/>
      <c r="G293" s="123"/>
      <c r="H293" s="123"/>
      <c r="I293" s="339"/>
      <c r="J293" s="339"/>
      <c r="K293" s="339">
        <f>IF(ISTEXT('BS Raw'!F11),('BS Raw'!F82-'BS Raw'!F83-'BS Raw'!F84-'BS Raw'!F92)/Input!$B$1,K291)</f>
        <v>1219.2262188029999</v>
      </c>
      <c r="L293" s="339">
        <f>IF(ISTEXT('BS Raw'!G11),('BS Raw'!G82-'BS Raw'!G83-'BS Raw'!G84-'BS Raw'!G92)/Input!$B$1,L291)</f>
        <v>537.43534196999997</v>
      </c>
      <c r="M293" s="339">
        <f>IF(ISTEXT('BS Raw'!H11),('BS Raw'!H82-'BS Raw'!H83-'BS Raw'!H84-'BS Raw'!H92)/Input!$B$1,M291)</f>
        <v>1417.1029445130002</v>
      </c>
      <c r="N293" s="339">
        <f>IF(ISTEXT('BS Raw'!I11),('BS Raw'!I82-'BS Raw'!I83-'BS Raw'!I84-'BS Raw'!I92)/Input!$B$1,N291)</f>
        <v>1736.9497672849998</v>
      </c>
      <c r="O293" s="339">
        <f>IF(ISTEXT('BS Raw'!J11),('BS Raw'!J82-'BS Raw'!J83-'BS Raw'!J84-'BS Raw'!J92)/Input!$B$1,O291)</f>
        <v>1658.86089249</v>
      </c>
      <c r="P293" s="339">
        <f>IF(ISTEXT('BS Raw'!K11),('BS Raw'!K82-'BS Raw'!K83-'BS Raw'!K84-'BS Raw'!K92)/Input!$B$1,P291)</f>
        <v>1606.7794728669999</v>
      </c>
      <c r="Q293" s="340">
        <f>IF(ISTEXT('BS Raw'!L11),('BS Raw'!L82-'BS Raw'!L83-'BS Raw'!L84-'BS Raw'!L92)/Input!$B$1,Q291)</f>
        <v>2211.8637873866269</v>
      </c>
      <c r="R293" s="340">
        <f>IF(ISTEXT('BS Raw'!M11),('BS Raw'!M82-'BS Raw'!M83-'BS Raw'!M84-'BS Raw'!M92)/Input!$B$1,R291)</f>
        <v>2168.2262635370789</v>
      </c>
      <c r="S293" s="340">
        <f>IF(ISTEXT('BS Raw'!N11),('BS Raw'!N82-'BS Raw'!N83-'BS Raw'!N84-'BS Raw'!N92)/Input!$B$1,S291)</f>
        <v>2374.7197805922151</v>
      </c>
      <c r="T293" s="340">
        <f>IF(ISTEXT('BS Raw'!O11),('BS Raw'!O82-'BS Raw'!O83-'BS Raw'!O84-'BS Raw'!O92)/Input!$B$1,T291)</f>
        <v>2726.0358238117583</v>
      </c>
      <c r="U293" s="340">
        <f>IF(ISTEXT('BS Raw'!P11),('BS Raw'!P82-'BS Raw'!P83-'BS Raw'!P84-'BS Raw'!P92)/Input!$B$1,U291)</f>
        <v>2685.2352012216302</v>
      </c>
      <c r="V293" s="340">
        <f>IF(ISTEXT('BS Raw'!Q11),('BS Raw'!Q82-'BS Raw'!Q83-'BS Raw'!Q84-'BS Raw'!Q92)/Input!$B$1,V291)</f>
        <v>2482.2563060714697</v>
      </c>
      <c r="W293" s="340">
        <f>IF(ISTEXT('BS Raw'!R11),('BS Raw'!R82-'BS Raw'!R83-'BS Raw'!R84-'BS Raw'!R92)/Input!$B$1,W291)</f>
        <v>2553.5234873611544</v>
      </c>
      <c r="X293" s="340">
        <f>IF(ISTEXT('BS Raw'!S11),('BS Raw'!S82-'BS Raw'!S83-'BS Raw'!S84-'BS Raw'!S92)/Input!$B$1,X291)</f>
        <v>2599.2054247267183</v>
      </c>
      <c r="Y293" s="340">
        <f>IF(ISTEXT('BS Raw'!T11),('BS Raw'!T82-'BS Raw'!T83-'BS Raw'!T84-'BS Raw'!T92)/Input!$B$1,Y291)</f>
        <v>2751.7409007433384</v>
      </c>
      <c r="Z293" s="340">
        <f>IF(ISTEXT('BS Raw'!U11),('BS Raw'!U82-'BS Raw'!U83-'BS Raw'!U84-'BS Raw'!U92)/Input!$B$1,Z291)</f>
        <v>2780.8821533183295</v>
      </c>
      <c r="AA293" s="340"/>
      <c r="AB293" s="139"/>
      <c r="AC293" s="139"/>
      <c r="AD293" s="139"/>
      <c r="AE293" s="139"/>
      <c r="AF293" s="139"/>
      <c r="AG293" s="139"/>
      <c r="AH293" s="139"/>
      <c r="AI293" s="139"/>
      <c r="AJ293" s="139"/>
      <c r="AK293" s="139"/>
      <c r="AL293" s="139"/>
      <c r="AM293" s="139"/>
      <c r="AN293" s="139"/>
      <c r="AO293" s="139"/>
      <c r="AP293" s="139"/>
      <c r="AQ293" s="139"/>
      <c r="AR293" s="139"/>
      <c r="AS293" s="139"/>
      <c r="AT293" s="139"/>
      <c r="AU293" s="139"/>
      <c r="AV293" s="139"/>
      <c r="AW293" s="139"/>
      <c r="AX293" s="139"/>
      <c r="AY293" s="139"/>
      <c r="AZ293" s="139"/>
      <c r="BA293" s="139"/>
      <c r="BB293" s="110"/>
      <c r="BC293" s="111"/>
    </row>
    <row r="294" spans="1:57" s="18" customFormat="1">
      <c r="A294" s="17"/>
      <c r="D294" s="151"/>
      <c r="E294" s="152"/>
      <c r="F294" s="152"/>
      <c r="G294" s="152"/>
      <c r="H294" s="152"/>
      <c r="I294" s="152"/>
      <c r="J294" s="152"/>
      <c r="K294" s="152"/>
      <c r="L294" s="152"/>
      <c r="M294" s="152"/>
      <c r="N294" s="124"/>
      <c r="O294" s="124"/>
      <c r="P294" s="125"/>
      <c r="Q294" s="124"/>
      <c r="R294" s="124"/>
      <c r="S294" s="124"/>
      <c r="T294" s="124"/>
      <c r="U294" s="124"/>
      <c r="V294" s="124"/>
      <c r="W294" s="124"/>
      <c r="X294" s="124"/>
      <c r="Y294" s="124"/>
      <c r="Z294" s="124"/>
      <c r="AA294" s="124"/>
      <c r="AB294" s="124"/>
      <c r="AC294" s="124"/>
      <c r="AD294" s="124"/>
      <c r="AE294" s="124"/>
      <c r="AF294" s="124"/>
      <c r="AG294" s="124"/>
      <c r="AH294" s="124"/>
      <c r="AI294" s="124"/>
      <c r="AJ294" s="124"/>
      <c r="AK294" s="124"/>
      <c r="AL294" s="124"/>
      <c r="AM294" s="124"/>
      <c r="AN294" s="124"/>
      <c r="AO294" s="124"/>
      <c r="AP294" s="124"/>
      <c r="AQ294" s="124"/>
      <c r="AR294" s="124"/>
      <c r="AS294" s="124"/>
      <c r="AT294" s="124"/>
      <c r="AU294" s="124"/>
      <c r="AV294" s="124"/>
      <c r="AW294" s="124"/>
      <c r="AX294" s="124"/>
      <c r="AY294" s="124"/>
      <c r="AZ294" s="124"/>
      <c r="BA294" s="124"/>
      <c r="BB294" s="227"/>
      <c r="BC294" s="94"/>
      <c r="BD294" s="151"/>
      <c r="BE294" s="151"/>
    </row>
    <row r="295" spans="1:57" s="95" customFormat="1">
      <c r="A295" s="86"/>
      <c r="B295" s="87" t="s">
        <v>510</v>
      </c>
      <c r="C295" s="87"/>
      <c r="E295" s="128"/>
      <c r="F295" s="128"/>
      <c r="G295" s="128"/>
      <c r="H295" s="128"/>
      <c r="I295" s="129"/>
      <c r="J295" s="129"/>
      <c r="K295" s="129">
        <f>K270+K275+K281+K286+K291</f>
        <v>3299.9978533799999</v>
      </c>
      <c r="L295" s="129">
        <f t="shared" ref="L295:Z295" si="224">L270+L275+L281+L286+L291</f>
        <v>2050.1517847549999</v>
      </c>
      <c r="M295" s="129">
        <f t="shared" si="224"/>
        <v>3186.6105426930003</v>
      </c>
      <c r="N295" s="129">
        <f t="shared" si="224"/>
        <v>2874.4359858429998</v>
      </c>
      <c r="O295" s="129">
        <f t="shared" si="224"/>
        <v>4517.2577892560003</v>
      </c>
      <c r="P295" s="129">
        <f t="shared" si="224"/>
        <v>4680.7301135119997</v>
      </c>
      <c r="Q295" s="91">
        <f t="shared" ca="1" si="224"/>
        <v>5584.4425170128397</v>
      </c>
      <c r="R295" s="91">
        <f t="shared" ca="1" si="224"/>
        <v>5604.8990194500711</v>
      </c>
      <c r="S295" s="91">
        <f t="shared" ca="1" si="224"/>
        <v>5686.1543454515504</v>
      </c>
      <c r="T295" s="91">
        <f t="shared" ca="1" si="224"/>
        <v>6874.5429795027667</v>
      </c>
      <c r="U295" s="91">
        <f t="shared" ca="1" si="224"/>
        <v>6953.8288305203278</v>
      </c>
      <c r="V295" s="91">
        <f t="shared" ca="1" si="224"/>
        <v>6238.215390861591</v>
      </c>
      <c r="W295" s="91">
        <f t="shared" ca="1" si="224"/>
        <v>6262.7055452039403</v>
      </c>
      <c r="X295" s="91">
        <f t="shared" ca="1" si="224"/>
        <v>6423.4150367073398</v>
      </c>
      <c r="Y295" s="91">
        <f t="shared" ca="1" si="224"/>
        <v>6713.9013270242831</v>
      </c>
      <c r="Z295" s="91">
        <f t="shared" ca="1" si="224"/>
        <v>6824.019539274821</v>
      </c>
      <c r="AA295" s="91"/>
      <c r="AB295" s="92"/>
      <c r="AC295" s="92"/>
      <c r="AD295" s="92"/>
      <c r="AE295" s="92"/>
      <c r="AF295" s="92"/>
      <c r="AG295" s="92"/>
      <c r="AH295" s="92"/>
      <c r="AI295" s="92"/>
      <c r="AJ295" s="92"/>
      <c r="AK295" s="92"/>
      <c r="AL295" s="92"/>
      <c r="AM295" s="92"/>
      <c r="AN295" s="92"/>
      <c r="AO295" s="92"/>
      <c r="AP295" s="92"/>
      <c r="AQ295" s="92"/>
      <c r="AR295" s="92"/>
      <c r="AS295" s="92"/>
      <c r="AT295" s="92"/>
      <c r="AU295" s="92"/>
      <c r="AV295" s="92"/>
      <c r="AW295" s="92"/>
      <c r="AX295" s="92"/>
      <c r="AY295" s="92"/>
      <c r="AZ295" s="92"/>
      <c r="BA295" s="92"/>
      <c r="BB295" s="93"/>
      <c r="BC295" s="94"/>
    </row>
    <row r="296" spans="1:57" s="88" customFormat="1">
      <c r="A296" s="103"/>
      <c r="B296" s="104" t="s">
        <v>511</v>
      </c>
      <c r="C296" s="104"/>
      <c r="D296" s="105"/>
      <c r="E296" s="136"/>
      <c r="F296" s="136"/>
      <c r="G296" s="136"/>
      <c r="H296" s="136"/>
      <c r="I296" s="137"/>
      <c r="J296" s="137"/>
      <c r="K296" s="137">
        <f>K273+K279+K289+K284+K293</f>
        <v>3299.9978533799999</v>
      </c>
      <c r="L296" s="137">
        <f t="shared" ref="L296:Z296" si="225">L273+L279+L289+L284+L293</f>
        <v>2050.1517847549999</v>
      </c>
      <c r="M296" s="137">
        <f t="shared" si="225"/>
        <v>3186.6105426930003</v>
      </c>
      <c r="N296" s="137">
        <f t="shared" si="225"/>
        <v>2874.4359858429998</v>
      </c>
      <c r="O296" s="137">
        <f t="shared" si="225"/>
        <v>4517.2577892560003</v>
      </c>
      <c r="P296" s="137">
        <f t="shared" si="225"/>
        <v>4680.7301135119997</v>
      </c>
      <c r="Q296" s="138">
        <f t="shared" ca="1" si="225"/>
        <v>5584.4425170128397</v>
      </c>
      <c r="R296" s="138">
        <f t="shared" ca="1" si="225"/>
        <v>5604.8990194500711</v>
      </c>
      <c r="S296" s="138">
        <f t="shared" ca="1" si="225"/>
        <v>5686.1543454515504</v>
      </c>
      <c r="T296" s="138">
        <f t="shared" ca="1" si="225"/>
        <v>6874.5429795027667</v>
      </c>
      <c r="U296" s="138">
        <f t="shared" ca="1" si="225"/>
        <v>6953.8288305203278</v>
      </c>
      <c r="V296" s="138">
        <f t="shared" ca="1" si="225"/>
        <v>6238.215390861591</v>
      </c>
      <c r="W296" s="138">
        <f t="shared" ca="1" si="225"/>
        <v>6262.7055452039403</v>
      </c>
      <c r="X296" s="138">
        <f t="shared" ca="1" si="225"/>
        <v>6423.4150367073398</v>
      </c>
      <c r="Y296" s="138">
        <f t="shared" ca="1" si="225"/>
        <v>6713.9013270242831</v>
      </c>
      <c r="Z296" s="138">
        <f t="shared" ca="1" si="225"/>
        <v>6824.019539274821</v>
      </c>
      <c r="AA296" s="138"/>
      <c r="AB296" s="139"/>
      <c r="AC296" s="139"/>
      <c r="AD296" s="139"/>
      <c r="AE296" s="139"/>
      <c r="AF296" s="139"/>
      <c r="AG296" s="139"/>
      <c r="AH296" s="139"/>
      <c r="AI296" s="139"/>
      <c r="AJ296" s="139"/>
      <c r="AK296" s="139"/>
      <c r="AL296" s="139"/>
      <c r="AM296" s="139"/>
      <c r="AN296" s="139"/>
      <c r="AO296" s="139"/>
      <c r="AP296" s="139"/>
      <c r="AQ296" s="139"/>
      <c r="AR296" s="139"/>
      <c r="AS296" s="139"/>
      <c r="AT296" s="139"/>
      <c r="AU296" s="139"/>
      <c r="AV296" s="139"/>
      <c r="AW296" s="139"/>
      <c r="AX296" s="139"/>
      <c r="AY296" s="139"/>
      <c r="AZ296" s="139"/>
      <c r="BA296" s="139"/>
      <c r="BC296" s="94"/>
    </row>
    <row r="297" spans="1:57" s="384" customFormat="1">
      <c r="A297" s="383"/>
      <c r="B297" s="384" t="s">
        <v>383</v>
      </c>
      <c r="D297" s="385"/>
      <c r="E297" s="431"/>
      <c r="F297" s="431"/>
      <c r="G297" s="431"/>
      <c r="H297" s="431"/>
      <c r="I297" s="432"/>
      <c r="J297" s="432"/>
      <c r="K297" s="432">
        <f>IF(ISTEXT('BS Raw'!F11),K296-'BS Raw'!F82/Input!$B$1,"chưa có BCTC")</f>
        <v>0</v>
      </c>
      <c r="L297" s="432">
        <f>IF(ISTEXT('BS Raw'!G11),L296-'BS Raw'!G82/Input!$B$1,"chưa có BCTC")</f>
        <v>0</v>
      </c>
      <c r="M297" s="432">
        <f>IF(ISTEXT('BS Raw'!H11),M296-'BS Raw'!H82/Input!$B$1,"chưa có BCTC")</f>
        <v>4.5474735088646412E-13</v>
      </c>
      <c r="N297" s="432">
        <f>IF(ISTEXT('BS Raw'!I11),N296-'BS Raw'!I82/Input!$B$1,"chưa có BCTC")</f>
        <v>0</v>
      </c>
      <c r="O297" s="432">
        <f>IF(ISTEXT('BS Raw'!J11),O296-'BS Raw'!J82/Input!$B$1,"chưa có BCTC")</f>
        <v>0</v>
      </c>
      <c r="P297" s="432">
        <f>IF(ISTEXT('BS Raw'!K11),P296-'BS Raw'!K82/Input!$B$1,"chưa có BCTC")</f>
        <v>0</v>
      </c>
      <c r="Q297" s="2591" t="str">
        <f>IF(ISTEXT('BS Raw'!L11),Q296-'BS Raw'!L82/Input!$B$1,"chưa có BCTC")</f>
        <v>chưa có BCTC</v>
      </c>
      <c r="R297" s="2591" t="str">
        <f>IF(ISTEXT('BS Raw'!M11),R296-'BS Raw'!M82/Input!$B$1,"chưa có BCTC")</f>
        <v>chưa có BCTC</v>
      </c>
      <c r="S297" s="2591" t="str">
        <f>IF(ISTEXT('BS Raw'!N11),S296-'BS Raw'!N82/Input!$B$1,"chưa có BCTC")</f>
        <v>chưa có BCTC</v>
      </c>
      <c r="T297" s="2591" t="str">
        <f>IF(ISTEXT('BS Raw'!O11),T296-'BS Raw'!O82/Input!$B$1,"chưa có BCTC")</f>
        <v>chưa có BCTC</v>
      </c>
      <c r="U297" s="2591" t="str">
        <f>IF(ISTEXT('BS Raw'!P11),U296-'BS Raw'!P82/Input!$B$1,"chưa có BCTC")</f>
        <v>chưa có BCTC</v>
      </c>
      <c r="V297" s="2591" t="str">
        <f>IF(ISTEXT('BS Raw'!Q11),V296-'BS Raw'!Q82/Input!$B$1,"chưa có BCTC")</f>
        <v>chưa có BCTC</v>
      </c>
      <c r="W297" s="2591" t="str">
        <f>IF(ISTEXT('BS Raw'!R11),W296-'BS Raw'!R82/Input!$B$1,"chưa có BCTC")</f>
        <v>chưa có BCTC</v>
      </c>
      <c r="X297" s="2591" t="str">
        <f>IF(ISTEXT('BS Raw'!S11),X296-'BS Raw'!S82/Input!$B$1,"chưa có BCTC")</f>
        <v>chưa có BCTC</v>
      </c>
      <c r="Y297" s="2591" t="str">
        <f>IF(ISTEXT('BS Raw'!T11),Y296-'BS Raw'!T82/Input!$B$1,"chưa có BCTC")</f>
        <v>chưa có BCTC</v>
      </c>
      <c r="Z297" s="2591" t="str">
        <f>IF(ISTEXT('BS Raw'!U11),Z296-'BS Raw'!U82/Input!$B$1,"chưa có BCTC")</f>
        <v>chưa có BCTC</v>
      </c>
      <c r="AA297" s="2591"/>
      <c r="AB297" s="431"/>
      <c r="AC297" s="431"/>
      <c r="AD297" s="431"/>
      <c r="AE297" s="431"/>
      <c r="AF297" s="431"/>
      <c r="AG297" s="431"/>
      <c r="AH297" s="431"/>
      <c r="AI297" s="431"/>
      <c r="AJ297" s="431"/>
      <c r="AK297" s="431"/>
      <c r="AL297" s="431"/>
      <c r="AM297" s="431"/>
      <c r="AN297" s="431"/>
      <c r="AO297" s="431"/>
      <c r="AP297" s="431"/>
      <c r="AQ297" s="431"/>
      <c r="AR297" s="431"/>
      <c r="AS297" s="431"/>
      <c r="AT297" s="431"/>
      <c r="AU297" s="431"/>
      <c r="AV297" s="431"/>
      <c r="AW297" s="431"/>
      <c r="AX297" s="431"/>
      <c r="AY297" s="431"/>
      <c r="AZ297" s="431"/>
      <c r="BA297" s="431"/>
      <c r="BB297" s="433"/>
      <c r="BC297" s="261"/>
      <c r="BD297" s="385"/>
      <c r="BE297" s="385"/>
    </row>
    <row r="298" spans="1:57" s="435" customFormat="1">
      <c r="A298" s="434"/>
      <c r="D298" s="436"/>
      <c r="E298" s="437"/>
      <c r="F298" s="437"/>
      <c r="G298" s="437"/>
      <c r="H298" s="437"/>
      <c r="I298" s="437"/>
      <c r="J298" s="437"/>
      <c r="K298" s="437"/>
      <c r="L298" s="437"/>
      <c r="M298" s="437"/>
      <c r="N298" s="437"/>
      <c r="O298" s="437"/>
      <c r="P298" s="438"/>
      <c r="Q298" s="437"/>
      <c r="R298" s="437"/>
      <c r="S298" s="437"/>
      <c r="T298" s="437"/>
      <c r="U298" s="437"/>
      <c r="V298" s="437"/>
      <c r="W298" s="437"/>
      <c r="X298" s="437"/>
      <c r="Y298" s="437"/>
      <c r="Z298" s="437"/>
      <c r="AA298" s="437"/>
      <c r="AB298" s="437"/>
      <c r="AC298" s="437"/>
      <c r="AD298" s="437"/>
      <c r="AE298" s="437"/>
      <c r="AF298" s="437"/>
      <c r="AG298" s="437"/>
      <c r="AH298" s="437"/>
      <c r="AI298" s="437"/>
      <c r="AJ298" s="437"/>
      <c r="AK298" s="437"/>
      <c r="AL298" s="437"/>
      <c r="AM298" s="437"/>
      <c r="AN298" s="437"/>
      <c r="AO298" s="437"/>
      <c r="AP298" s="437"/>
      <c r="AQ298" s="437"/>
      <c r="AR298" s="437"/>
      <c r="AS298" s="437"/>
      <c r="AT298" s="437"/>
      <c r="AU298" s="437"/>
      <c r="AV298" s="437"/>
      <c r="AW298" s="437"/>
      <c r="AX298" s="437"/>
      <c r="AY298" s="437"/>
      <c r="AZ298" s="437"/>
      <c r="BA298" s="437"/>
      <c r="BB298" s="439"/>
      <c r="BC298" s="440"/>
      <c r="BD298" s="436"/>
      <c r="BE298" s="436"/>
    </row>
    <row r="299" spans="1:57" ht="19.5" customHeight="1">
      <c r="A299" s="39"/>
      <c r="B299" s="441" t="s">
        <v>512</v>
      </c>
      <c r="C299" s="118"/>
      <c r="D299" s="84"/>
      <c r="E299" s="442"/>
      <c r="F299" s="442"/>
      <c r="G299" s="442"/>
      <c r="H299" s="442"/>
      <c r="I299" s="443"/>
      <c r="J299" s="443"/>
      <c r="K299" s="443">
        <f>J305</f>
        <v>1508.269730041</v>
      </c>
      <c r="L299" s="443">
        <f t="shared" ref="L299:P299" si="226">K305</f>
        <v>628.47249524100005</v>
      </c>
      <c r="M299" s="443">
        <f t="shared" si="226"/>
        <v>137.062222093</v>
      </c>
      <c r="N299" s="443">
        <f t="shared" si="226"/>
        <v>2.6763435320000002</v>
      </c>
      <c r="O299" s="443">
        <f t="shared" si="226"/>
        <v>1.0484815000000001</v>
      </c>
      <c r="P299" s="443">
        <f t="shared" si="226"/>
        <v>2.9644798749999999</v>
      </c>
      <c r="Q299" s="198">
        <f>P305</f>
        <v>119.527496051</v>
      </c>
      <c r="R299" s="198">
        <f t="shared" ref="R299:Z299" si="227">Q305</f>
        <v>351.10113874462809</v>
      </c>
      <c r="S299" s="198">
        <f t="shared" si="227"/>
        <v>497.008080119243</v>
      </c>
      <c r="T299" s="198">
        <f t="shared" si="227"/>
        <v>583.71521092329453</v>
      </c>
      <c r="U299" s="198">
        <f t="shared" si="227"/>
        <v>814.31730987355388</v>
      </c>
      <c r="V299" s="198">
        <f t="shared" si="227"/>
        <v>711.52401678971239</v>
      </c>
      <c r="W299" s="198">
        <f t="shared" si="227"/>
        <v>575.66000497191988</v>
      </c>
      <c r="X299" s="198">
        <f t="shared" si="227"/>
        <v>445.3340713572826</v>
      </c>
      <c r="Y299" s="198">
        <f t="shared" si="227"/>
        <v>358.65792112628571</v>
      </c>
      <c r="Z299" s="198">
        <f t="shared" si="227"/>
        <v>337.86153077179063</v>
      </c>
      <c r="AA299" s="444"/>
      <c r="AB299" s="445"/>
      <c r="AC299" s="445"/>
      <c r="AD299" s="445"/>
      <c r="AE299" s="445"/>
      <c r="AF299" s="445"/>
      <c r="AG299" s="445"/>
      <c r="AH299" s="445"/>
      <c r="AI299" s="445"/>
      <c r="AJ299" s="445"/>
      <c r="AK299" s="445"/>
      <c r="AL299" s="445"/>
      <c r="AM299" s="445"/>
      <c r="AN299" s="445"/>
      <c r="AO299" s="445"/>
      <c r="AP299" s="445"/>
      <c r="AQ299" s="445"/>
      <c r="AR299" s="445"/>
      <c r="AS299" s="445"/>
      <c r="AT299" s="445"/>
      <c r="AU299" s="445"/>
      <c r="AV299" s="445"/>
      <c r="AW299" s="445"/>
      <c r="AX299" s="445"/>
      <c r="AY299" s="445"/>
      <c r="AZ299" s="445"/>
      <c r="BA299" s="445"/>
      <c r="BB299" s="200"/>
      <c r="BD299" s="84"/>
      <c r="BE299" s="84"/>
    </row>
    <row r="300" spans="1:57" ht="15" customHeight="1">
      <c r="A300" s="39"/>
      <c r="B300" s="446" t="s">
        <v>513</v>
      </c>
      <c r="C300" s="446"/>
      <c r="D300" s="84"/>
      <c r="E300" s="128"/>
      <c r="F300" s="128"/>
      <c r="G300" s="128"/>
      <c r="H300" s="128"/>
      <c r="I300" s="128"/>
      <c r="J300" s="128"/>
      <c r="K300" s="128"/>
      <c r="L300" s="128"/>
      <c r="M300" s="128"/>
      <c r="N300" s="140"/>
      <c r="O300" s="140"/>
      <c r="P300" s="141"/>
      <c r="Q300" s="198">
        <f>Debt!S26</f>
        <v>301.5734904192164</v>
      </c>
      <c r="R300" s="198">
        <f>Debt!T26</f>
        <v>273.40459793569431</v>
      </c>
      <c r="S300" s="198">
        <f>Debt!U26</f>
        <v>268.38360795411148</v>
      </c>
      <c r="T300" s="198">
        <f>Debt!V26</f>
        <v>443.63826468007079</v>
      </c>
      <c r="U300" s="198">
        <f>Debt!W26</f>
        <v>171.78522123775241</v>
      </c>
      <c r="V300" s="198">
        <f>Debt!X26</f>
        <v>139.70630620628322</v>
      </c>
      <c r="W300" s="198">
        <f>Debt!Y26</f>
        <v>113.019117993973</v>
      </c>
      <c r="X300" s="198">
        <f>Debt!Z26</f>
        <v>126.43554732003344</v>
      </c>
      <c r="Y300" s="198">
        <f>Debt!AA26</f>
        <v>148.61852740568943</v>
      </c>
      <c r="Z300" s="198">
        <f>Debt!AB26</f>
        <v>144.05464842571143</v>
      </c>
      <c r="AA300" s="198"/>
      <c r="AB300" s="194"/>
      <c r="AC300" s="194"/>
      <c r="AD300" s="194"/>
      <c r="AE300" s="194"/>
      <c r="AF300" s="194"/>
      <c r="AG300" s="194"/>
      <c r="AH300" s="194"/>
      <c r="AI300" s="194"/>
      <c r="AJ300" s="194"/>
      <c r="AK300" s="194"/>
      <c r="AL300" s="194"/>
      <c r="AM300" s="194"/>
      <c r="AN300" s="194"/>
      <c r="AO300" s="194"/>
      <c r="AP300" s="194"/>
      <c r="AQ300" s="194"/>
      <c r="AR300" s="194"/>
      <c r="AS300" s="194"/>
      <c r="AT300" s="194"/>
      <c r="AU300" s="194"/>
      <c r="AV300" s="194"/>
      <c r="AW300" s="194"/>
      <c r="AX300" s="194"/>
      <c r="AY300" s="194"/>
      <c r="AZ300" s="194"/>
      <c r="BA300" s="194"/>
      <c r="BB300" s="85"/>
      <c r="BC300" s="2727"/>
      <c r="BD300" s="84"/>
      <c r="BE300" s="84"/>
    </row>
    <row r="301" spans="1:57">
      <c r="A301" s="39"/>
      <c r="B301" s="446" t="s">
        <v>514</v>
      </c>
      <c r="C301" s="446"/>
      <c r="D301" s="84"/>
      <c r="E301" s="140"/>
      <c r="F301" s="140"/>
      <c r="G301" s="140"/>
      <c r="H301" s="140"/>
      <c r="I301" s="140"/>
      <c r="J301" s="140"/>
      <c r="K301" s="140"/>
      <c r="L301" s="140"/>
      <c r="M301" s="140"/>
      <c r="N301" s="140"/>
      <c r="O301" s="140"/>
      <c r="P301" s="141"/>
      <c r="Q301" s="198">
        <f>Debt!S25</f>
        <v>100.15719676750996</v>
      </c>
      <c r="R301" s="198">
        <f>Debt!T25</f>
        <v>154.83811635464883</v>
      </c>
      <c r="S301" s="198">
        <f>Debt!U25</f>
        <v>208.51483794547107</v>
      </c>
      <c r="T301" s="198">
        <f>Debt!V25</f>
        <v>257.39999219781862</v>
      </c>
      <c r="U301" s="198">
        <f>Debt!W25</f>
        <v>291.75703644536912</v>
      </c>
      <c r="V301" s="198">
        <f>Debt!X25</f>
        <v>289.54094864470409</v>
      </c>
      <c r="W301" s="198">
        <f>Debt!Y25</f>
        <v>254.64696340800759</v>
      </c>
      <c r="X301" s="198">
        <f>Debt!Z25</f>
        <v>225.75525228303371</v>
      </c>
      <c r="Y301" s="198">
        <f>Debt!AA25</f>
        <v>184.27677050075343</v>
      </c>
      <c r="Z301" s="198">
        <f>Debt!AB25</f>
        <v>151.54535159411336</v>
      </c>
      <c r="AA301" s="198"/>
      <c r="AB301" s="194"/>
      <c r="AC301" s="194"/>
      <c r="AD301" s="194"/>
      <c r="AE301" s="194"/>
      <c r="AF301" s="194"/>
      <c r="AG301" s="194"/>
      <c r="AH301" s="194"/>
      <c r="AI301" s="194"/>
      <c r="AJ301" s="194"/>
      <c r="AK301" s="194"/>
      <c r="AL301" s="194"/>
      <c r="AM301" s="194"/>
      <c r="AN301" s="194"/>
      <c r="AO301" s="194"/>
      <c r="AP301" s="194"/>
      <c r="AQ301" s="194"/>
      <c r="AR301" s="194"/>
      <c r="AS301" s="194"/>
      <c r="AT301" s="194"/>
      <c r="AU301" s="194"/>
      <c r="AV301" s="194"/>
      <c r="AW301" s="194"/>
      <c r="AX301" s="194"/>
      <c r="AY301" s="194"/>
      <c r="AZ301" s="194"/>
      <c r="BA301" s="194"/>
      <c r="BB301" s="85"/>
      <c r="BC301" s="2727"/>
      <c r="BD301" s="84"/>
      <c r="BE301" s="84"/>
    </row>
    <row r="302" spans="1:57">
      <c r="A302" s="39"/>
      <c r="B302" s="447" t="s">
        <v>515</v>
      </c>
      <c r="C302" s="447"/>
      <c r="D302" s="448"/>
      <c r="E302" s="449"/>
      <c r="F302" s="449"/>
      <c r="G302" s="449"/>
      <c r="H302" s="449"/>
      <c r="I302" s="450"/>
      <c r="J302" s="450"/>
      <c r="K302" s="450">
        <f>+K299+K300-K301</f>
        <v>1508.269730041</v>
      </c>
      <c r="L302" s="450">
        <f t="shared" ref="L302:P302" si="228">+L299+L300-L301</f>
        <v>628.47249524100005</v>
      </c>
      <c r="M302" s="450">
        <f t="shared" si="228"/>
        <v>137.062222093</v>
      </c>
      <c r="N302" s="450">
        <f t="shared" si="228"/>
        <v>2.6763435320000002</v>
      </c>
      <c r="O302" s="450">
        <f t="shared" si="228"/>
        <v>1.0484815000000001</v>
      </c>
      <c r="P302" s="450">
        <f t="shared" si="228"/>
        <v>2.9644798749999999</v>
      </c>
      <c r="Q302" s="451">
        <f>Debt!S27</f>
        <v>351.10113874462809</v>
      </c>
      <c r="R302" s="451">
        <f>Debt!T27</f>
        <v>497.008080119243</v>
      </c>
      <c r="S302" s="451">
        <f>Debt!U27</f>
        <v>583.71521092329453</v>
      </c>
      <c r="T302" s="451">
        <f>Debt!V27</f>
        <v>814.31730987355388</v>
      </c>
      <c r="U302" s="451">
        <f>Debt!W27</f>
        <v>711.52401678971239</v>
      </c>
      <c r="V302" s="451">
        <f>Debt!X27</f>
        <v>575.66000497191988</v>
      </c>
      <c r="W302" s="451">
        <f>Debt!Y27</f>
        <v>445.3340713572826</v>
      </c>
      <c r="X302" s="451">
        <f>Debt!Z27</f>
        <v>358.65792112628571</v>
      </c>
      <c r="Y302" s="451">
        <f>Debt!AA27</f>
        <v>337.86153077179063</v>
      </c>
      <c r="Z302" s="451">
        <f>Debt!AB27</f>
        <v>344.77629244595983</v>
      </c>
      <c r="AA302" s="451"/>
      <c r="AB302" s="452"/>
      <c r="AC302" s="452"/>
      <c r="AD302" s="452"/>
      <c r="AE302" s="452"/>
      <c r="AF302" s="452"/>
      <c r="AG302" s="452"/>
      <c r="AH302" s="452"/>
      <c r="AI302" s="452"/>
      <c r="AJ302" s="452"/>
      <c r="AK302" s="452"/>
      <c r="AL302" s="452"/>
      <c r="AM302" s="452"/>
      <c r="AN302" s="452"/>
      <c r="AO302" s="452"/>
      <c r="AP302" s="452"/>
      <c r="AQ302" s="452"/>
      <c r="AR302" s="452"/>
      <c r="AS302" s="452"/>
      <c r="AT302" s="452"/>
      <c r="AU302" s="452"/>
      <c r="AV302" s="452"/>
      <c r="AW302" s="452"/>
      <c r="AX302" s="452"/>
      <c r="AY302" s="452"/>
      <c r="AZ302" s="452"/>
      <c r="BA302" s="452"/>
      <c r="BB302" s="200"/>
      <c r="BC302" s="2727"/>
      <c r="BD302" s="84"/>
      <c r="BE302" s="84"/>
    </row>
    <row r="303" spans="1:57">
      <c r="A303" s="39"/>
      <c r="B303" s="446" t="s">
        <v>516</v>
      </c>
      <c r="C303" s="446"/>
      <c r="D303" s="84"/>
      <c r="E303" s="140"/>
      <c r="F303" s="140"/>
      <c r="G303" s="140"/>
      <c r="H303" s="140"/>
      <c r="I303" s="140"/>
      <c r="J303" s="140"/>
      <c r="K303" s="140"/>
      <c r="L303" s="140"/>
      <c r="M303" s="140"/>
      <c r="N303" s="140"/>
      <c r="O303" s="124"/>
      <c r="P303" s="125"/>
      <c r="Q303" s="198">
        <f>Q405</f>
        <v>0</v>
      </c>
      <c r="R303" s="198">
        <f t="shared" ref="R303:Z303" si="229">R405</f>
        <v>0</v>
      </c>
      <c r="S303" s="198">
        <f t="shared" si="229"/>
        <v>0</v>
      </c>
      <c r="T303" s="198">
        <f t="shared" si="229"/>
        <v>0</v>
      </c>
      <c r="U303" s="198">
        <f t="shared" si="229"/>
        <v>0</v>
      </c>
      <c r="V303" s="198">
        <f t="shared" si="229"/>
        <v>0</v>
      </c>
      <c r="W303" s="198">
        <f t="shared" si="229"/>
        <v>0</v>
      </c>
      <c r="X303" s="198">
        <f t="shared" si="229"/>
        <v>0</v>
      </c>
      <c r="Y303" s="198">
        <f t="shared" si="229"/>
        <v>0</v>
      </c>
      <c r="Z303" s="198">
        <f t="shared" si="229"/>
        <v>0</v>
      </c>
      <c r="AA303" s="198"/>
      <c r="AB303" s="194"/>
      <c r="AC303" s="194"/>
      <c r="AD303" s="194"/>
      <c r="AE303" s="194"/>
      <c r="AF303" s="194"/>
      <c r="AG303" s="194"/>
      <c r="AH303" s="194"/>
      <c r="AI303" s="194"/>
      <c r="AJ303" s="194"/>
      <c r="AK303" s="194"/>
      <c r="AL303" s="194"/>
      <c r="AM303" s="194"/>
      <c r="AN303" s="194"/>
      <c r="AO303" s="194"/>
      <c r="AP303" s="194"/>
      <c r="AQ303" s="194"/>
      <c r="AR303" s="194"/>
      <c r="AS303" s="194"/>
      <c r="AT303" s="194"/>
      <c r="AU303" s="194"/>
      <c r="AV303" s="194"/>
      <c r="AW303" s="194"/>
      <c r="AX303" s="194"/>
      <c r="AY303" s="194"/>
      <c r="AZ303" s="194"/>
      <c r="BA303" s="194"/>
      <c r="BB303" s="85"/>
      <c r="BC303" s="2727"/>
      <c r="BD303" s="84"/>
      <c r="BE303" s="84"/>
    </row>
    <row r="304" spans="1:57">
      <c r="A304" s="39"/>
      <c r="B304" s="118" t="s">
        <v>517</v>
      </c>
      <c r="C304" s="118"/>
      <c r="D304" s="84"/>
      <c r="E304" s="128"/>
      <c r="F304" s="128"/>
      <c r="G304" s="128"/>
      <c r="H304" s="128"/>
      <c r="I304" s="129"/>
      <c r="J304" s="129">
        <f>'BS Raw'!E105</f>
        <v>1508.269730041</v>
      </c>
      <c r="K304" s="129">
        <f>'BS Raw'!F105</f>
        <v>628.47249524100005</v>
      </c>
      <c r="L304" s="129">
        <f>'BS Raw'!G105</f>
        <v>137.062222093</v>
      </c>
      <c r="M304" s="129">
        <f>'BS Raw'!H105</f>
        <v>2.6763435320000002</v>
      </c>
      <c r="N304" s="129">
        <f>'BS Raw'!I105</f>
        <v>1.0484815000000001</v>
      </c>
      <c r="O304" s="129">
        <f>'BS Raw'!J105</f>
        <v>2.9644798749999999</v>
      </c>
      <c r="P304" s="129">
        <f>'BS Raw'!K105</f>
        <v>119.527496051</v>
      </c>
      <c r="Q304" s="91">
        <f>Q302+Q303</f>
        <v>351.10113874462809</v>
      </c>
      <c r="R304" s="91">
        <f t="shared" ref="R304:Z304" si="230">R302+R303</f>
        <v>497.008080119243</v>
      </c>
      <c r="S304" s="91">
        <f t="shared" si="230"/>
        <v>583.71521092329453</v>
      </c>
      <c r="T304" s="91">
        <f t="shared" si="230"/>
        <v>814.31730987355388</v>
      </c>
      <c r="U304" s="91">
        <f t="shared" si="230"/>
        <v>711.52401678971239</v>
      </c>
      <c r="V304" s="91">
        <f t="shared" si="230"/>
        <v>575.66000497191988</v>
      </c>
      <c r="W304" s="91">
        <f t="shared" si="230"/>
        <v>445.3340713572826</v>
      </c>
      <c r="X304" s="91">
        <f t="shared" si="230"/>
        <v>358.65792112628571</v>
      </c>
      <c r="Y304" s="91">
        <f t="shared" si="230"/>
        <v>337.86153077179063</v>
      </c>
      <c r="Z304" s="91">
        <f t="shared" si="230"/>
        <v>344.77629244595983</v>
      </c>
      <c r="AA304" s="91"/>
      <c r="AB304" s="92"/>
      <c r="AC304" s="92"/>
      <c r="AD304" s="92"/>
      <c r="AE304" s="92"/>
      <c r="AF304" s="92"/>
      <c r="AG304" s="92"/>
      <c r="AH304" s="92"/>
      <c r="AI304" s="92"/>
      <c r="AJ304" s="92"/>
      <c r="AK304" s="92"/>
      <c r="AL304" s="92"/>
      <c r="AM304" s="92"/>
      <c r="AN304" s="92"/>
      <c r="AO304" s="92"/>
      <c r="AP304" s="92"/>
      <c r="AQ304" s="92"/>
      <c r="AR304" s="92"/>
      <c r="AS304" s="92"/>
      <c r="AT304" s="92"/>
      <c r="AU304" s="92"/>
      <c r="AV304" s="92"/>
      <c r="AW304" s="92"/>
      <c r="AX304" s="92"/>
      <c r="AY304" s="92"/>
      <c r="AZ304" s="92"/>
      <c r="BA304" s="92"/>
      <c r="BB304" s="200"/>
      <c r="BC304" s="2728"/>
      <c r="BD304" s="84"/>
      <c r="BE304" s="84"/>
    </row>
    <row r="305" spans="1:57" s="18" customFormat="1">
      <c r="A305" s="17"/>
      <c r="B305" s="453" t="s">
        <v>518</v>
      </c>
      <c r="C305" s="453"/>
      <c r="D305" s="183"/>
      <c r="E305" s="106"/>
      <c r="F305" s="106"/>
      <c r="G305" s="106"/>
      <c r="H305" s="106"/>
      <c r="I305" s="107"/>
      <c r="J305" s="107">
        <f>IF(ISTEXT('BS Raw'!E11),'BS Raw'!E105/Input!$B$1,J304)</f>
        <v>1508.269730041</v>
      </c>
      <c r="K305" s="107">
        <f>IF(ISTEXT('BS Raw'!F11),'BS Raw'!F105/Input!$B$1,K304)</f>
        <v>628.47249524100005</v>
      </c>
      <c r="L305" s="107">
        <f>IF(ISTEXT('BS Raw'!G11),'BS Raw'!G105/Input!$B$1,L304)</f>
        <v>137.062222093</v>
      </c>
      <c r="M305" s="107">
        <f>IF(ISTEXT('BS Raw'!H11),'BS Raw'!H105/Input!$B$1,M304)</f>
        <v>2.6763435320000002</v>
      </c>
      <c r="N305" s="107">
        <f>IF(ISTEXT('BS Raw'!I11),'BS Raw'!I105/Input!$B$1,N304)</f>
        <v>1.0484815000000001</v>
      </c>
      <c r="O305" s="107">
        <f>IF(ISTEXT('BS Raw'!J11),'BS Raw'!J105/Input!$B$1,O304)</f>
        <v>2.9644798749999999</v>
      </c>
      <c r="P305" s="107">
        <f>IF(ISTEXT('BS Raw'!K11),'BS Raw'!K105/Input!$B$1,P304)</f>
        <v>119.527496051</v>
      </c>
      <c r="Q305" s="108">
        <f>IF(ISTEXT('BS Raw'!L11),'BS Raw'!L105/Input!$B$1,Q304)</f>
        <v>351.10113874462809</v>
      </c>
      <c r="R305" s="108">
        <f>IF(ISTEXT('BS Raw'!M11),'BS Raw'!M105/Input!$B$1,R304)</f>
        <v>497.008080119243</v>
      </c>
      <c r="S305" s="108">
        <f>IF(ISTEXT('BS Raw'!N11),'BS Raw'!N105/Input!$B$1,S304)</f>
        <v>583.71521092329453</v>
      </c>
      <c r="T305" s="108">
        <f>IF(ISTEXT('BS Raw'!O11),'BS Raw'!O105/Input!$B$1,T304)</f>
        <v>814.31730987355388</v>
      </c>
      <c r="U305" s="108">
        <f>IF(ISTEXT('BS Raw'!P11),'BS Raw'!P105/Input!$B$1,U304)</f>
        <v>711.52401678971239</v>
      </c>
      <c r="V305" s="108">
        <f>IF(ISTEXT('BS Raw'!Q11),'BS Raw'!Q105/Input!$B$1,V304)</f>
        <v>575.66000497191988</v>
      </c>
      <c r="W305" s="108">
        <f>IF(ISTEXT('BS Raw'!R11),'BS Raw'!R105/Input!$B$1,W304)</f>
        <v>445.3340713572826</v>
      </c>
      <c r="X305" s="108">
        <f>IF(ISTEXT('BS Raw'!S11),'BS Raw'!S105/Input!$B$1,X304)</f>
        <v>358.65792112628571</v>
      </c>
      <c r="Y305" s="108">
        <f>IF(ISTEXT('BS Raw'!T11),'BS Raw'!T105/Input!$B$1,Y304)</f>
        <v>337.86153077179063</v>
      </c>
      <c r="Z305" s="108">
        <f>IF(ISTEXT('BS Raw'!U11),'BS Raw'!U105/Input!$B$1,Z304)</f>
        <v>344.77629244595983</v>
      </c>
      <c r="AA305" s="108"/>
      <c r="AB305" s="109"/>
      <c r="AC305" s="109"/>
      <c r="AD305" s="109"/>
      <c r="AE305" s="109"/>
      <c r="AF305" s="109"/>
      <c r="AG305" s="109"/>
      <c r="AH305" s="109"/>
      <c r="AI305" s="109"/>
      <c r="AJ305" s="109"/>
      <c r="AK305" s="109"/>
      <c r="AL305" s="109"/>
      <c r="AM305" s="109"/>
      <c r="AN305" s="109"/>
      <c r="AO305" s="109"/>
      <c r="AP305" s="109"/>
      <c r="AQ305" s="109"/>
      <c r="AR305" s="109"/>
      <c r="AS305" s="109"/>
      <c r="AT305" s="109"/>
      <c r="AU305" s="109"/>
      <c r="AV305" s="109"/>
      <c r="AW305" s="109"/>
      <c r="AX305" s="109"/>
      <c r="AY305" s="109"/>
      <c r="AZ305" s="109"/>
      <c r="BA305" s="109"/>
      <c r="BB305" s="186"/>
      <c r="BC305" s="111"/>
      <c r="BD305" s="151"/>
      <c r="BE305" s="151"/>
    </row>
    <row r="306" spans="1:57" s="150" customFormat="1">
      <c r="A306" s="159"/>
      <c r="B306" s="454" t="s">
        <v>421</v>
      </c>
      <c r="C306" s="454"/>
      <c r="E306" s="168"/>
      <c r="F306" s="168"/>
      <c r="G306" s="168"/>
      <c r="H306" s="168"/>
      <c r="I306" s="168"/>
      <c r="J306" s="168"/>
      <c r="K306" s="168"/>
      <c r="L306" s="168"/>
      <c r="M306" s="168"/>
      <c r="N306" s="119"/>
      <c r="O306" s="119"/>
      <c r="P306" s="455"/>
      <c r="Q306" s="120">
        <f>Debt!R58</f>
        <v>7.8E-2</v>
      </c>
      <c r="R306" s="120">
        <f>Debt!S58</f>
        <v>7.8E-2</v>
      </c>
      <c r="S306" s="120">
        <f>Debt!T58</f>
        <v>7.8E-2</v>
      </c>
      <c r="T306" s="120">
        <f>Debt!U58</f>
        <v>7.8E-2</v>
      </c>
      <c r="U306" s="120">
        <f>Debt!V58</f>
        <v>7.8E-2</v>
      </c>
      <c r="V306" s="120">
        <f>Debt!W58</f>
        <v>7.8E-2</v>
      </c>
      <c r="W306" s="120">
        <f>Debt!X58</f>
        <v>7.8E-2</v>
      </c>
      <c r="X306" s="120">
        <f>Debt!Y58</f>
        <v>7.8E-2</v>
      </c>
      <c r="Y306" s="120">
        <f>Debt!Z58</f>
        <v>7.8E-2</v>
      </c>
      <c r="Z306" s="120">
        <f>Debt!AA58</f>
        <v>7.8E-2</v>
      </c>
      <c r="AA306" s="120"/>
      <c r="AB306" s="121"/>
      <c r="AC306" s="121"/>
      <c r="AD306" s="121"/>
      <c r="AE306" s="121"/>
      <c r="AF306" s="121"/>
      <c r="AG306" s="121"/>
      <c r="AH306" s="121"/>
      <c r="AI306" s="121"/>
      <c r="AJ306" s="121"/>
      <c r="AK306" s="121"/>
      <c r="AL306" s="121"/>
      <c r="AM306" s="121"/>
      <c r="AN306" s="121"/>
      <c r="AO306" s="121"/>
      <c r="AP306" s="121"/>
      <c r="AQ306" s="121"/>
      <c r="AR306" s="121"/>
      <c r="AS306" s="121"/>
      <c r="AT306" s="121"/>
      <c r="AU306" s="121"/>
      <c r="AV306" s="121"/>
      <c r="AW306" s="121"/>
      <c r="AX306" s="121"/>
      <c r="AY306" s="121"/>
      <c r="AZ306" s="121"/>
      <c r="BA306" s="121"/>
      <c r="BB306" s="119"/>
      <c r="BC306" s="117"/>
    </row>
    <row r="307" spans="1:57">
      <c r="A307" s="39"/>
      <c r="B307" s="446" t="s">
        <v>519</v>
      </c>
      <c r="C307" s="446"/>
      <c r="D307" s="84"/>
      <c r="E307" s="140"/>
      <c r="F307" s="140"/>
      <c r="G307" s="140"/>
      <c r="H307" s="140"/>
      <c r="I307" s="189"/>
      <c r="J307" s="189"/>
      <c r="K307" s="189"/>
      <c r="L307" s="189"/>
      <c r="M307" s="189"/>
      <c r="N307" s="189"/>
      <c r="O307" s="189"/>
      <c r="P307" s="1403"/>
      <c r="Q307" s="198">
        <f>Debt!S28</f>
        <v>18.354516757029494</v>
      </c>
      <c r="R307" s="198">
        <f>Debt!T28</f>
        <v>33.076259535690973</v>
      </c>
      <c r="S307" s="198">
        <f>Debt!U28</f>
        <v>42.148208350658962</v>
      </c>
      <c r="T307" s="198">
        <f>Debt!V28</f>
        <v>54.523268311077089</v>
      </c>
      <c r="U307" s="198">
        <f>Debt!W28</f>
        <v>59.507811739867385</v>
      </c>
      <c r="V307" s="198">
        <f>Debt!X28</f>
        <v>50.200176848703663</v>
      </c>
      <c r="W307" s="198">
        <f>Debt!Y28</f>
        <v>39.818768976838896</v>
      </c>
      <c r="X307" s="198">
        <f>Debt!Z28</f>
        <v>31.355687706859165</v>
      </c>
      <c r="Y307" s="198">
        <f>Debt!AA28</f>
        <v>27.164258624024978</v>
      </c>
      <c r="Z307" s="198">
        <f>Debt!AB28</f>
        <v>26.62287510549227</v>
      </c>
      <c r="AA307" s="198"/>
      <c r="AB307" s="456"/>
      <c r="AC307" s="456"/>
      <c r="AD307" s="456"/>
      <c r="AE307" s="456"/>
      <c r="AF307" s="456"/>
      <c r="AG307" s="456"/>
      <c r="AH307" s="456"/>
      <c r="AI307" s="456"/>
      <c r="AJ307" s="456"/>
      <c r="AK307" s="456"/>
      <c r="AL307" s="456"/>
      <c r="AM307" s="456"/>
      <c r="AN307" s="456"/>
      <c r="AO307" s="456"/>
      <c r="AP307" s="456"/>
      <c r="AQ307" s="456"/>
      <c r="AR307" s="456"/>
      <c r="AS307" s="456"/>
      <c r="AT307" s="456"/>
      <c r="AU307" s="456"/>
      <c r="AV307" s="456"/>
      <c r="AW307" s="456"/>
      <c r="AX307" s="456"/>
      <c r="AY307" s="456"/>
      <c r="AZ307" s="456"/>
      <c r="BA307" s="456"/>
      <c r="BB307" s="85"/>
      <c r="BD307" s="84"/>
      <c r="BE307" s="84"/>
    </row>
    <row r="308" spans="1:57" s="435" customFormat="1">
      <c r="A308" s="434"/>
      <c r="B308" s="457"/>
      <c r="C308" s="457"/>
      <c r="D308" s="436"/>
      <c r="E308" s="437"/>
      <c r="F308" s="437"/>
      <c r="G308" s="437"/>
      <c r="H308" s="437"/>
      <c r="I308" s="437"/>
      <c r="J308" s="437"/>
      <c r="K308" s="437"/>
      <c r="L308" s="437"/>
      <c r="M308" s="437"/>
      <c r="N308" s="437"/>
      <c r="O308" s="437"/>
      <c r="P308" s="438"/>
      <c r="Q308" s="437"/>
      <c r="R308" s="437"/>
      <c r="S308" s="437"/>
      <c r="T308" s="437"/>
      <c r="U308" s="437"/>
      <c r="V308" s="437"/>
      <c r="W308" s="437"/>
      <c r="X308" s="437"/>
      <c r="Y308" s="437"/>
      <c r="Z308" s="437"/>
      <c r="AA308" s="437"/>
      <c r="AB308" s="437"/>
      <c r="AC308" s="437"/>
      <c r="AD308" s="437"/>
      <c r="AE308" s="437"/>
      <c r="AF308" s="437"/>
      <c r="AG308" s="437"/>
      <c r="AH308" s="437"/>
      <c r="AI308" s="437"/>
      <c r="AJ308" s="437"/>
      <c r="AK308" s="437"/>
      <c r="AL308" s="437"/>
      <c r="AM308" s="437"/>
      <c r="AN308" s="437"/>
      <c r="AO308" s="437"/>
      <c r="AP308" s="437"/>
      <c r="AQ308" s="437"/>
      <c r="AR308" s="437"/>
      <c r="AS308" s="437"/>
      <c r="AT308" s="437"/>
      <c r="AU308" s="437"/>
      <c r="AV308" s="437"/>
      <c r="AW308" s="437"/>
      <c r="AX308" s="437"/>
      <c r="AY308" s="437"/>
      <c r="AZ308" s="437"/>
      <c r="BA308" s="437"/>
      <c r="BB308" s="439"/>
      <c r="BC308" s="440"/>
      <c r="BD308" s="436"/>
      <c r="BE308" s="436"/>
    </row>
    <row r="309" spans="1:57" ht="24" customHeight="1">
      <c r="A309" s="39"/>
      <c r="B309" s="441" t="s">
        <v>520</v>
      </c>
      <c r="C309" s="118"/>
      <c r="D309" s="84"/>
      <c r="E309" s="128"/>
      <c r="F309" s="128"/>
      <c r="G309" s="128"/>
      <c r="H309" s="128"/>
      <c r="I309" s="128"/>
      <c r="J309" s="128"/>
      <c r="K309" s="128"/>
      <c r="L309" s="128"/>
      <c r="M309" s="128"/>
      <c r="N309" s="140"/>
      <c r="O309" s="140"/>
      <c r="P309" s="141"/>
      <c r="Q309" s="194"/>
      <c r="R309" s="194"/>
      <c r="S309" s="194"/>
      <c r="T309" s="194"/>
      <c r="U309" s="194"/>
      <c r="V309" s="194"/>
      <c r="W309" s="194"/>
      <c r="X309" s="194"/>
      <c r="Y309" s="194"/>
      <c r="Z309" s="194"/>
      <c r="AA309" s="194"/>
      <c r="AB309" s="194"/>
      <c r="AC309" s="194"/>
      <c r="AD309" s="194"/>
      <c r="AE309" s="194"/>
      <c r="AF309" s="194"/>
      <c r="AG309" s="194"/>
      <c r="AH309" s="194"/>
      <c r="AI309" s="194"/>
      <c r="AJ309" s="194"/>
      <c r="AK309" s="194"/>
      <c r="AL309" s="194"/>
      <c r="AM309" s="194"/>
      <c r="AN309" s="194"/>
      <c r="AO309" s="194"/>
      <c r="AP309" s="194"/>
      <c r="AQ309" s="194"/>
      <c r="AR309" s="194"/>
      <c r="AS309" s="194"/>
      <c r="AT309" s="194"/>
      <c r="AU309" s="194"/>
      <c r="AV309" s="194"/>
      <c r="AW309" s="194"/>
      <c r="AX309" s="194"/>
      <c r="AY309" s="194"/>
      <c r="AZ309" s="194"/>
      <c r="BA309" s="194"/>
      <c r="BB309" s="85"/>
      <c r="BC309" s="2727"/>
      <c r="BD309" s="84"/>
      <c r="BE309" s="84"/>
    </row>
    <row r="310" spans="1:57">
      <c r="A310" s="39"/>
      <c r="B310" s="446" t="s">
        <v>513</v>
      </c>
      <c r="C310" s="446"/>
      <c r="D310" s="84"/>
      <c r="E310" s="128"/>
      <c r="F310" s="128"/>
      <c r="G310" s="128"/>
      <c r="H310" s="128"/>
      <c r="I310" s="128"/>
      <c r="J310" s="128"/>
      <c r="K310" s="128"/>
      <c r="L310" s="128"/>
      <c r="M310" s="128"/>
      <c r="N310" s="140"/>
      <c r="O310" s="140"/>
      <c r="P310" s="141"/>
      <c r="Q310" s="194"/>
      <c r="R310" s="194"/>
      <c r="S310" s="194"/>
      <c r="T310" s="194"/>
      <c r="U310" s="194"/>
      <c r="V310" s="194"/>
      <c r="W310" s="194"/>
      <c r="X310" s="194"/>
      <c r="Y310" s="194"/>
      <c r="Z310" s="194"/>
      <c r="AA310" s="194"/>
      <c r="AB310" s="194"/>
      <c r="AC310" s="194"/>
      <c r="AD310" s="194"/>
      <c r="AE310" s="194"/>
      <c r="AF310" s="194"/>
      <c r="AG310" s="194"/>
      <c r="AH310" s="194"/>
      <c r="AI310" s="194"/>
      <c r="AJ310" s="194"/>
      <c r="AK310" s="194"/>
      <c r="AL310" s="194"/>
      <c r="AM310" s="194"/>
      <c r="AN310" s="194"/>
      <c r="AO310" s="194"/>
      <c r="AP310" s="194"/>
      <c r="AQ310" s="194"/>
      <c r="AR310" s="194"/>
      <c r="AS310" s="194"/>
      <c r="AT310" s="194"/>
      <c r="AU310" s="194"/>
      <c r="AV310" s="194"/>
      <c r="AW310" s="194"/>
      <c r="AX310" s="194"/>
      <c r="AY310" s="194"/>
      <c r="AZ310" s="194"/>
      <c r="BA310" s="194"/>
      <c r="BB310" s="85"/>
      <c r="BC310" s="2727"/>
      <c r="BD310" s="84"/>
      <c r="BE310" s="84"/>
    </row>
    <row r="311" spans="1:57">
      <c r="A311" s="39"/>
      <c r="B311" s="446" t="s">
        <v>514</v>
      </c>
      <c r="C311" s="446"/>
      <c r="D311" s="84"/>
      <c r="E311" s="140"/>
      <c r="F311" s="140"/>
      <c r="G311" s="140"/>
      <c r="H311" s="140"/>
      <c r="I311" s="140"/>
      <c r="J311" s="140"/>
      <c r="K311" s="140"/>
      <c r="L311" s="140"/>
      <c r="M311" s="140"/>
      <c r="N311" s="140"/>
      <c r="O311" s="140"/>
      <c r="P311" s="141"/>
      <c r="Q311" s="194"/>
      <c r="R311" s="194"/>
      <c r="S311" s="194"/>
      <c r="T311" s="194"/>
      <c r="U311" s="194"/>
      <c r="V311" s="194"/>
      <c r="W311" s="194"/>
      <c r="X311" s="194"/>
      <c r="Y311" s="194"/>
      <c r="Z311" s="194"/>
      <c r="AA311" s="194"/>
      <c r="AB311" s="194"/>
      <c r="AC311" s="194"/>
      <c r="AD311" s="194"/>
      <c r="AE311" s="194"/>
      <c r="AF311" s="194"/>
      <c r="AG311" s="194"/>
      <c r="AH311" s="194"/>
      <c r="AI311" s="194"/>
      <c r="AJ311" s="194"/>
      <c r="AK311" s="194"/>
      <c r="AL311" s="194"/>
      <c r="AM311" s="194"/>
      <c r="AN311" s="194"/>
      <c r="AO311" s="194"/>
      <c r="AP311" s="194"/>
      <c r="AQ311" s="194"/>
      <c r="AR311" s="194"/>
      <c r="AS311" s="194"/>
      <c r="AT311" s="194"/>
      <c r="AU311" s="194"/>
      <c r="AV311" s="194"/>
      <c r="AW311" s="194"/>
      <c r="AX311" s="194"/>
      <c r="AY311" s="194"/>
      <c r="AZ311" s="194"/>
      <c r="BA311" s="194"/>
      <c r="BB311" s="85"/>
      <c r="BC311" s="2727"/>
      <c r="BD311" s="84"/>
      <c r="BE311" s="84"/>
    </row>
    <row r="312" spans="1:57">
      <c r="A312" s="39"/>
      <c r="B312" s="447" t="s">
        <v>521</v>
      </c>
      <c r="C312" s="447"/>
      <c r="D312" s="448"/>
      <c r="E312" s="449"/>
      <c r="F312" s="449"/>
      <c r="G312" s="449"/>
      <c r="H312" s="449"/>
      <c r="I312" s="449"/>
      <c r="J312" s="449"/>
      <c r="K312" s="449"/>
      <c r="L312" s="449"/>
      <c r="M312" s="449"/>
      <c r="N312" s="458"/>
      <c r="O312" s="458"/>
      <c r="P312" s="459"/>
      <c r="Q312" s="460"/>
      <c r="R312" s="460"/>
      <c r="S312" s="460"/>
      <c r="T312" s="460"/>
      <c r="U312" s="460"/>
      <c r="V312" s="460"/>
      <c r="W312" s="460"/>
      <c r="X312" s="460"/>
      <c r="Y312" s="460"/>
      <c r="Z312" s="460"/>
      <c r="AA312" s="460"/>
      <c r="AB312" s="460"/>
      <c r="AC312" s="460"/>
      <c r="AD312" s="460"/>
      <c r="AE312" s="460"/>
      <c r="AF312" s="460"/>
      <c r="AG312" s="460"/>
      <c r="AH312" s="460"/>
      <c r="AI312" s="460"/>
      <c r="AJ312" s="460"/>
      <c r="AK312" s="460"/>
      <c r="AL312" s="460"/>
      <c r="AM312" s="460"/>
      <c r="AN312" s="460"/>
      <c r="AO312" s="460"/>
      <c r="AP312" s="460"/>
      <c r="AQ312" s="460"/>
      <c r="AR312" s="460"/>
      <c r="AS312" s="460"/>
      <c r="AT312" s="460"/>
      <c r="AU312" s="460"/>
      <c r="AV312" s="460"/>
      <c r="AW312" s="460"/>
      <c r="AX312" s="460"/>
      <c r="AY312" s="460"/>
      <c r="AZ312" s="460"/>
      <c r="BA312" s="460"/>
      <c r="BB312" s="200"/>
      <c r="BC312" s="2727"/>
      <c r="BD312" s="84"/>
      <c r="BE312" s="84"/>
    </row>
    <row r="313" spans="1:57">
      <c r="A313" s="39"/>
      <c r="B313" s="446" t="s">
        <v>516</v>
      </c>
      <c r="C313" s="446"/>
      <c r="D313" s="84"/>
      <c r="E313" s="140"/>
      <c r="F313" s="140"/>
      <c r="G313" s="140"/>
      <c r="H313" s="140"/>
      <c r="I313" s="140"/>
      <c r="J313" s="140"/>
      <c r="K313" s="140"/>
      <c r="L313" s="140"/>
      <c r="M313" s="140"/>
      <c r="N313" s="140"/>
      <c r="O313" s="140"/>
      <c r="P313" s="141"/>
      <c r="Q313" s="194"/>
      <c r="R313" s="194"/>
      <c r="S313" s="194"/>
      <c r="T313" s="194"/>
      <c r="U313" s="194"/>
      <c r="V313" s="194"/>
      <c r="W313" s="194"/>
      <c r="X313" s="194"/>
      <c r="Y313" s="194"/>
      <c r="Z313" s="194"/>
      <c r="AA313" s="194"/>
      <c r="AB313" s="194"/>
      <c r="AC313" s="194"/>
      <c r="AD313" s="194"/>
      <c r="AE313" s="194"/>
      <c r="AF313" s="194"/>
      <c r="AG313" s="194"/>
      <c r="AH313" s="194"/>
      <c r="AI313" s="194"/>
      <c r="AJ313" s="194"/>
      <c r="AK313" s="194"/>
      <c r="AL313" s="194"/>
      <c r="AM313" s="194"/>
      <c r="AN313" s="194"/>
      <c r="AO313" s="194"/>
      <c r="AP313" s="194"/>
      <c r="AQ313" s="194"/>
      <c r="AR313" s="194"/>
      <c r="AS313" s="194"/>
      <c r="AT313" s="194"/>
      <c r="AU313" s="194"/>
      <c r="AV313" s="194"/>
      <c r="AW313" s="194"/>
      <c r="AX313" s="194"/>
      <c r="AY313" s="194"/>
      <c r="AZ313" s="194"/>
      <c r="BA313" s="194"/>
      <c r="BB313" s="85"/>
      <c r="BC313" s="2727"/>
      <c r="BD313" s="84"/>
      <c r="BE313" s="84"/>
    </row>
    <row r="314" spans="1:57">
      <c r="A314" s="39"/>
      <c r="B314" s="118" t="s">
        <v>522</v>
      </c>
      <c r="C314" s="118"/>
      <c r="D314" s="84"/>
      <c r="E314" s="128"/>
      <c r="F314" s="128"/>
      <c r="G314" s="128"/>
      <c r="H314" s="128"/>
      <c r="I314" s="128"/>
      <c r="J314" s="128"/>
      <c r="K314" s="128"/>
      <c r="L314" s="128"/>
      <c r="M314" s="461"/>
      <c r="N314" s="128"/>
      <c r="O314" s="128"/>
      <c r="P314" s="265"/>
      <c r="Q314" s="92"/>
      <c r="R314" s="92"/>
      <c r="S314" s="92"/>
      <c r="T314" s="92"/>
      <c r="U314" s="92"/>
      <c r="V314" s="92"/>
      <c r="W314" s="92"/>
      <c r="X314" s="92"/>
      <c r="Y314" s="92"/>
      <c r="Z314" s="92"/>
      <c r="AA314" s="92"/>
      <c r="AB314" s="92"/>
      <c r="AC314" s="92"/>
      <c r="AD314" s="92"/>
      <c r="AE314" s="92"/>
      <c r="AF314" s="92"/>
      <c r="AG314" s="92"/>
      <c r="AH314" s="92"/>
      <c r="AI314" s="92"/>
      <c r="AJ314" s="92"/>
      <c r="AK314" s="92"/>
      <c r="AL314" s="92"/>
      <c r="AM314" s="92"/>
      <c r="AN314" s="92"/>
      <c r="AO314" s="92"/>
      <c r="AP314" s="92"/>
      <c r="AQ314" s="92"/>
      <c r="AR314" s="92"/>
      <c r="AS314" s="92"/>
      <c r="AT314" s="92"/>
      <c r="AU314" s="92"/>
      <c r="AV314" s="92"/>
      <c r="AW314" s="92"/>
      <c r="AX314" s="92"/>
      <c r="AY314" s="92"/>
      <c r="AZ314" s="92"/>
      <c r="BA314" s="92"/>
      <c r="BB314" s="200"/>
      <c r="BC314" s="2728"/>
      <c r="BD314" s="84"/>
      <c r="BE314" s="84"/>
    </row>
    <row r="315" spans="1:57" s="18" customFormat="1">
      <c r="A315" s="17"/>
      <c r="B315" s="453" t="s">
        <v>523</v>
      </c>
      <c r="C315" s="453"/>
      <c r="D315" s="183"/>
      <c r="E315" s="106"/>
      <c r="F315" s="106"/>
      <c r="G315" s="106"/>
      <c r="H315" s="106"/>
      <c r="I315" s="106"/>
      <c r="J315" s="106"/>
      <c r="K315" s="106"/>
      <c r="L315" s="106"/>
      <c r="M315" s="106"/>
      <c r="N315" s="106"/>
      <c r="O315" s="106"/>
      <c r="P315" s="305"/>
      <c r="Q315" s="109"/>
      <c r="R315" s="109"/>
      <c r="S315" s="109"/>
      <c r="T315" s="109"/>
      <c r="U315" s="109"/>
      <c r="V315" s="109"/>
      <c r="W315" s="109"/>
      <c r="X315" s="109"/>
      <c r="Y315" s="109"/>
      <c r="Z315" s="109"/>
      <c r="AA315" s="109"/>
      <c r="AB315" s="109"/>
      <c r="AC315" s="109"/>
      <c r="AD315" s="109"/>
      <c r="AE315" s="109"/>
      <c r="AF315" s="109"/>
      <c r="AG315" s="109"/>
      <c r="AH315" s="109"/>
      <c r="AI315" s="109"/>
      <c r="AJ315" s="109"/>
      <c r="AK315" s="109"/>
      <c r="AL315" s="109"/>
      <c r="AM315" s="109"/>
      <c r="AN315" s="109"/>
      <c r="AO315" s="109"/>
      <c r="AP315" s="109"/>
      <c r="AQ315" s="109"/>
      <c r="AR315" s="109"/>
      <c r="AS315" s="109"/>
      <c r="AT315" s="109"/>
      <c r="AU315" s="109"/>
      <c r="AV315" s="109"/>
      <c r="AW315" s="109"/>
      <c r="AX315" s="109"/>
      <c r="AY315" s="109"/>
      <c r="AZ315" s="109"/>
      <c r="BA315" s="109"/>
      <c r="BB315" s="186"/>
      <c r="BC315" s="111"/>
      <c r="BD315" s="151"/>
      <c r="BE315" s="151"/>
    </row>
    <row r="316" spans="1:57" s="150" customFormat="1">
      <c r="A316" s="159"/>
      <c r="B316" s="454" t="s">
        <v>421</v>
      </c>
      <c r="C316" s="454"/>
      <c r="E316" s="168"/>
      <c r="F316" s="168"/>
      <c r="G316" s="168"/>
      <c r="H316" s="168"/>
      <c r="I316" s="168"/>
      <c r="J316" s="168"/>
      <c r="K316" s="168"/>
      <c r="L316" s="168"/>
      <c r="M316" s="168"/>
      <c r="N316" s="119"/>
      <c r="O316" s="119"/>
      <c r="P316" s="455"/>
      <c r="Q316" s="121"/>
      <c r="R316" s="121"/>
      <c r="S316" s="121"/>
      <c r="T316" s="121"/>
      <c r="U316" s="121"/>
      <c r="V316" s="121"/>
      <c r="W316" s="121"/>
      <c r="X316" s="121"/>
      <c r="Y316" s="121"/>
      <c r="Z316" s="121"/>
      <c r="AA316" s="121"/>
      <c r="AB316" s="121"/>
      <c r="AC316" s="121"/>
      <c r="AD316" s="121"/>
      <c r="AE316" s="121"/>
      <c r="AF316" s="121"/>
      <c r="AG316" s="121"/>
      <c r="AH316" s="121"/>
      <c r="AI316" s="121"/>
      <c r="AJ316" s="121"/>
      <c r="AK316" s="121"/>
      <c r="AL316" s="121"/>
      <c r="AM316" s="121"/>
      <c r="AN316" s="121"/>
      <c r="AO316" s="121"/>
      <c r="AP316" s="121"/>
      <c r="AQ316" s="121"/>
      <c r="AR316" s="121"/>
      <c r="AS316" s="121"/>
      <c r="AT316" s="121"/>
      <c r="AU316" s="121"/>
      <c r="AV316" s="121"/>
      <c r="AW316" s="121"/>
      <c r="AX316" s="121"/>
      <c r="AY316" s="121"/>
      <c r="AZ316" s="121"/>
      <c r="BA316" s="121"/>
      <c r="BB316" s="168"/>
      <c r="BC316" s="117"/>
    </row>
    <row r="317" spans="1:57">
      <c r="A317" s="39"/>
      <c r="B317" s="446" t="s">
        <v>519</v>
      </c>
      <c r="C317" s="446"/>
      <c r="D317" s="84"/>
      <c r="E317" s="140"/>
      <c r="F317" s="140"/>
      <c r="G317" s="140"/>
      <c r="H317" s="140"/>
      <c r="I317" s="140"/>
      <c r="J317" s="140"/>
      <c r="K317" s="140"/>
      <c r="L317" s="140"/>
      <c r="M317" s="140"/>
      <c r="N317" s="116"/>
      <c r="O317" s="116"/>
      <c r="P317" s="462"/>
      <c r="Q317" s="463"/>
      <c r="R317" s="463"/>
      <c r="S317" s="463"/>
      <c r="T317" s="463"/>
      <c r="U317" s="463"/>
      <c r="V317" s="463"/>
      <c r="W317" s="463"/>
      <c r="X317" s="463"/>
      <c r="Y317" s="463"/>
      <c r="Z317" s="463"/>
      <c r="AA317" s="463"/>
      <c r="AB317" s="463"/>
      <c r="AC317" s="463"/>
      <c r="AD317" s="463"/>
      <c r="AE317" s="463"/>
      <c r="AF317" s="463"/>
      <c r="AG317" s="463"/>
      <c r="AH317" s="463"/>
      <c r="AI317" s="463"/>
      <c r="AJ317" s="463"/>
      <c r="AK317" s="463"/>
      <c r="AL317" s="463"/>
      <c r="AM317" s="463"/>
      <c r="AN317" s="463"/>
      <c r="AO317" s="463"/>
      <c r="AP317" s="463"/>
      <c r="AQ317" s="463"/>
      <c r="AR317" s="463"/>
      <c r="AS317" s="463"/>
      <c r="AT317" s="463"/>
      <c r="AU317" s="463"/>
      <c r="AV317" s="463"/>
      <c r="AW317" s="463"/>
      <c r="AX317" s="463"/>
      <c r="AY317" s="463"/>
      <c r="AZ317" s="463"/>
      <c r="BA317" s="463"/>
      <c r="BB317" s="85"/>
      <c r="BD317" s="84"/>
      <c r="BE317" s="84"/>
    </row>
    <row r="318" spans="1:57" s="435" customFormat="1">
      <c r="A318" s="434"/>
      <c r="B318" s="457"/>
      <c r="C318" s="457"/>
      <c r="D318" s="436"/>
      <c r="E318" s="437"/>
      <c r="F318" s="437"/>
      <c r="G318" s="437"/>
      <c r="H318" s="437"/>
      <c r="I318" s="437"/>
      <c r="J318" s="437"/>
      <c r="K318" s="437"/>
      <c r="L318" s="437"/>
      <c r="M318" s="437"/>
      <c r="N318" s="437"/>
      <c r="O318" s="437"/>
      <c r="P318" s="438"/>
      <c r="Q318" s="437"/>
      <c r="R318" s="437"/>
      <c r="S318" s="437"/>
      <c r="T318" s="437"/>
      <c r="U318" s="437"/>
      <c r="V318" s="437"/>
      <c r="W318" s="437"/>
      <c r="X318" s="437"/>
      <c r="Y318" s="437"/>
      <c r="Z318" s="437"/>
      <c r="AA318" s="437"/>
      <c r="AB318" s="437"/>
      <c r="AC318" s="437"/>
      <c r="AD318" s="437"/>
      <c r="AE318" s="437"/>
      <c r="AF318" s="437"/>
      <c r="AG318" s="437"/>
      <c r="AH318" s="437"/>
      <c r="AI318" s="437"/>
      <c r="AJ318" s="437"/>
      <c r="AK318" s="437"/>
      <c r="AL318" s="437"/>
      <c r="AM318" s="437"/>
      <c r="AN318" s="437"/>
      <c r="AO318" s="437"/>
      <c r="AP318" s="437"/>
      <c r="AQ318" s="437"/>
      <c r="AR318" s="437"/>
      <c r="AS318" s="437"/>
      <c r="AT318" s="437"/>
      <c r="AU318" s="437"/>
      <c r="AV318" s="437"/>
      <c r="AW318" s="437"/>
      <c r="AX318" s="437"/>
      <c r="AY318" s="437"/>
      <c r="AZ318" s="437"/>
      <c r="BA318" s="437"/>
      <c r="BB318" s="439"/>
      <c r="BC318" s="440"/>
      <c r="BD318" s="436"/>
      <c r="BE318" s="436"/>
    </row>
    <row r="319" spans="1:57" ht="25.5" customHeight="1">
      <c r="A319" s="39"/>
      <c r="B319" s="441" t="s">
        <v>524</v>
      </c>
      <c r="C319" s="118"/>
      <c r="D319" s="84"/>
      <c r="E319" s="128"/>
      <c r="F319" s="128"/>
      <c r="G319" s="128"/>
      <c r="H319" s="128"/>
      <c r="I319" s="128"/>
      <c r="J319" s="128"/>
      <c r="K319" s="128"/>
      <c r="L319" s="128"/>
      <c r="M319" s="128"/>
      <c r="N319" s="140"/>
      <c r="O319" s="140"/>
      <c r="P319" s="141"/>
      <c r="Q319" s="194"/>
      <c r="R319" s="194"/>
      <c r="S319" s="194"/>
      <c r="T319" s="194"/>
      <c r="U319" s="194"/>
      <c r="V319" s="194"/>
      <c r="W319" s="194"/>
      <c r="X319" s="194"/>
      <c r="Y319" s="194"/>
      <c r="Z319" s="194"/>
      <c r="AA319" s="194"/>
      <c r="AB319" s="194"/>
      <c r="AC319" s="194"/>
      <c r="AD319" s="194"/>
      <c r="AE319" s="194"/>
      <c r="AF319" s="194"/>
      <c r="AG319" s="194"/>
      <c r="AH319" s="194"/>
      <c r="AI319" s="194"/>
      <c r="AJ319" s="194"/>
      <c r="AK319" s="194"/>
      <c r="AL319" s="194"/>
      <c r="AM319" s="194"/>
      <c r="AN319" s="194"/>
      <c r="AO319" s="194"/>
      <c r="AP319" s="194"/>
      <c r="AQ319" s="194"/>
      <c r="AR319" s="194"/>
      <c r="AS319" s="194"/>
      <c r="AT319" s="194"/>
      <c r="AU319" s="194"/>
      <c r="AV319" s="194"/>
      <c r="AW319" s="194"/>
      <c r="AX319" s="194"/>
      <c r="AY319" s="194"/>
      <c r="AZ319" s="194"/>
      <c r="BA319" s="194"/>
      <c r="BB319" s="85"/>
      <c r="BC319" s="2727"/>
      <c r="BD319" s="84"/>
      <c r="BE319" s="84"/>
    </row>
    <row r="320" spans="1:57">
      <c r="A320" s="39"/>
      <c r="B320" s="446" t="s">
        <v>513</v>
      </c>
      <c r="C320" s="446"/>
      <c r="D320" s="84"/>
      <c r="E320" s="128"/>
      <c r="F320" s="128"/>
      <c r="G320" s="128"/>
      <c r="H320" s="128"/>
      <c r="I320" s="128"/>
      <c r="J320" s="128"/>
      <c r="K320" s="128"/>
      <c r="L320" s="128"/>
      <c r="M320" s="128"/>
      <c r="N320" s="140"/>
      <c r="O320" s="140"/>
      <c r="P320" s="141"/>
      <c r="Q320" s="194"/>
      <c r="R320" s="194"/>
      <c r="S320" s="194"/>
      <c r="T320" s="194"/>
      <c r="U320" s="194"/>
      <c r="V320" s="194"/>
      <c r="W320" s="194"/>
      <c r="X320" s="194"/>
      <c r="Y320" s="194"/>
      <c r="Z320" s="194"/>
      <c r="AA320" s="194"/>
      <c r="AB320" s="194"/>
      <c r="AC320" s="194"/>
      <c r="AD320" s="194"/>
      <c r="AE320" s="194"/>
      <c r="AF320" s="194"/>
      <c r="AG320" s="194"/>
      <c r="AH320" s="194"/>
      <c r="AI320" s="194"/>
      <c r="AJ320" s="194"/>
      <c r="AK320" s="194"/>
      <c r="AL320" s="194"/>
      <c r="AM320" s="194"/>
      <c r="AN320" s="194"/>
      <c r="AO320" s="194"/>
      <c r="AP320" s="194"/>
      <c r="AQ320" s="194"/>
      <c r="AR320" s="194"/>
      <c r="AS320" s="194"/>
      <c r="AT320" s="194"/>
      <c r="AU320" s="194"/>
      <c r="AV320" s="194"/>
      <c r="AW320" s="194"/>
      <c r="AX320" s="194"/>
      <c r="AY320" s="194"/>
      <c r="AZ320" s="194"/>
      <c r="BA320" s="194"/>
      <c r="BB320" s="85"/>
      <c r="BC320" s="2727"/>
      <c r="BD320" s="84"/>
      <c r="BE320" s="84"/>
    </row>
    <row r="321" spans="1:57">
      <c r="A321" s="39"/>
      <c r="B321" s="446" t="s">
        <v>514</v>
      </c>
      <c r="C321" s="446"/>
      <c r="D321" s="84"/>
      <c r="E321" s="140"/>
      <c r="F321" s="140"/>
      <c r="G321" s="140"/>
      <c r="H321" s="140"/>
      <c r="I321" s="140"/>
      <c r="J321" s="140"/>
      <c r="K321" s="140"/>
      <c r="L321" s="140"/>
      <c r="M321" s="140"/>
      <c r="N321" s="140"/>
      <c r="O321" s="140"/>
      <c r="P321" s="141"/>
      <c r="Q321" s="194"/>
      <c r="R321" s="194"/>
      <c r="S321" s="194"/>
      <c r="T321" s="194"/>
      <c r="U321" s="194"/>
      <c r="V321" s="194"/>
      <c r="W321" s="194"/>
      <c r="X321" s="194"/>
      <c r="Y321" s="194"/>
      <c r="Z321" s="194"/>
      <c r="AA321" s="194"/>
      <c r="AB321" s="194"/>
      <c r="AC321" s="194"/>
      <c r="AD321" s="194"/>
      <c r="AE321" s="194"/>
      <c r="AF321" s="194"/>
      <c r="AG321" s="194"/>
      <c r="AH321" s="194"/>
      <c r="AI321" s="194"/>
      <c r="AJ321" s="194"/>
      <c r="AK321" s="194"/>
      <c r="AL321" s="194"/>
      <c r="AM321" s="194"/>
      <c r="AN321" s="194"/>
      <c r="AO321" s="194"/>
      <c r="AP321" s="194"/>
      <c r="AQ321" s="194"/>
      <c r="AR321" s="194"/>
      <c r="AS321" s="194"/>
      <c r="AT321" s="194"/>
      <c r="AU321" s="194"/>
      <c r="AV321" s="194"/>
      <c r="AW321" s="194"/>
      <c r="AX321" s="194"/>
      <c r="AY321" s="194"/>
      <c r="AZ321" s="194"/>
      <c r="BA321" s="194"/>
      <c r="BB321" s="85"/>
      <c r="BC321" s="2727"/>
      <c r="BD321" s="84"/>
      <c r="BE321" s="84"/>
    </row>
    <row r="322" spans="1:57">
      <c r="A322" s="39"/>
      <c r="B322" s="447" t="s">
        <v>525</v>
      </c>
      <c r="C322" s="447"/>
      <c r="D322" s="448"/>
      <c r="E322" s="449"/>
      <c r="F322" s="449"/>
      <c r="G322" s="449"/>
      <c r="H322" s="449"/>
      <c r="I322" s="449"/>
      <c r="J322" s="449"/>
      <c r="K322" s="449"/>
      <c r="L322" s="449"/>
      <c r="M322" s="449"/>
      <c r="N322" s="458"/>
      <c r="O322" s="458"/>
      <c r="P322" s="459"/>
      <c r="Q322" s="460"/>
      <c r="R322" s="460"/>
      <c r="S322" s="460"/>
      <c r="T322" s="460"/>
      <c r="U322" s="460"/>
      <c r="V322" s="460"/>
      <c r="W322" s="460"/>
      <c r="X322" s="460"/>
      <c r="Y322" s="460"/>
      <c r="Z322" s="460"/>
      <c r="AA322" s="460"/>
      <c r="AB322" s="460"/>
      <c r="AC322" s="460"/>
      <c r="AD322" s="460"/>
      <c r="AE322" s="460"/>
      <c r="AF322" s="460"/>
      <c r="AG322" s="460"/>
      <c r="AH322" s="460"/>
      <c r="AI322" s="460"/>
      <c r="AJ322" s="460"/>
      <c r="AK322" s="460"/>
      <c r="AL322" s="460"/>
      <c r="AM322" s="460"/>
      <c r="AN322" s="460"/>
      <c r="AO322" s="460"/>
      <c r="AP322" s="460"/>
      <c r="AQ322" s="460"/>
      <c r="AR322" s="460"/>
      <c r="AS322" s="460"/>
      <c r="AT322" s="460"/>
      <c r="AU322" s="460"/>
      <c r="AV322" s="460"/>
      <c r="AW322" s="460"/>
      <c r="AX322" s="460"/>
      <c r="AY322" s="460"/>
      <c r="AZ322" s="460"/>
      <c r="BA322" s="460"/>
      <c r="BB322" s="200"/>
      <c r="BC322" s="2727"/>
      <c r="BD322" s="84"/>
      <c r="BE322" s="84"/>
    </row>
    <row r="323" spans="1:57">
      <c r="A323" s="39"/>
      <c r="B323" s="446" t="s">
        <v>516</v>
      </c>
      <c r="C323" s="446"/>
      <c r="D323" s="84"/>
      <c r="E323" s="140"/>
      <c r="F323" s="140"/>
      <c r="G323" s="140"/>
      <c r="H323" s="140"/>
      <c r="I323" s="140"/>
      <c r="J323" s="140"/>
      <c r="K323" s="140"/>
      <c r="L323" s="140"/>
      <c r="M323" s="140"/>
      <c r="N323" s="140"/>
      <c r="O323" s="140"/>
      <c r="P323" s="141"/>
      <c r="Q323" s="194"/>
      <c r="R323" s="194"/>
      <c r="S323" s="194"/>
      <c r="T323" s="194"/>
      <c r="U323" s="194"/>
      <c r="V323" s="194"/>
      <c r="W323" s="194"/>
      <c r="X323" s="194"/>
      <c r="Y323" s="194"/>
      <c r="Z323" s="194"/>
      <c r="AA323" s="194"/>
      <c r="AB323" s="194"/>
      <c r="AC323" s="194"/>
      <c r="AD323" s="194"/>
      <c r="AE323" s="194"/>
      <c r="AF323" s="194"/>
      <c r="AG323" s="194"/>
      <c r="AH323" s="194"/>
      <c r="AI323" s="194"/>
      <c r="AJ323" s="194"/>
      <c r="AK323" s="194"/>
      <c r="AL323" s="194"/>
      <c r="AM323" s="194"/>
      <c r="AN323" s="194"/>
      <c r="AO323" s="194"/>
      <c r="AP323" s="194"/>
      <c r="AQ323" s="194"/>
      <c r="AR323" s="194"/>
      <c r="AS323" s="194"/>
      <c r="AT323" s="194"/>
      <c r="AU323" s="194"/>
      <c r="AV323" s="194"/>
      <c r="AW323" s="194"/>
      <c r="AX323" s="194"/>
      <c r="AY323" s="194"/>
      <c r="AZ323" s="194"/>
      <c r="BA323" s="194"/>
      <c r="BB323" s="85"/>
      <c r="BC323" s="2727"/>
      <c r="BD323" s="84"/>
      <c r="BE323" s="84"/>
    </row>
    <row r="324" spans="1:57">
      <c r="A324" s="39"/>
      <c r="B324" s="118" t="s">
        <v>526</v>
      </c>
      <c r="C324" s="118"/>
      <c r="D324" s="84"/>
      <c r="E324" s="128"/>
      <c r="F324" s="128"/>
      <c r="G324" s="128"/>
      <c r="H324" s="128"/>
      <c r="I324" s="128"/>
      <c r="J324" s="128"/>
      <c r="K324" s="128"/>
      <c r="L324" s="128"/>
      <c r="M324" s="128"/>
      <c r="N324" s="128"/>
      <c r="O324" s="128"/>
      <c r="P324" s="265"/>
      <c r="Q324" s="92"/>
      <c r="R324" s="92"/>
      <c r="S324" s="92"/>
      <c r="T324" s="92"/>
      <c r="U324" s="92"/>
      <c r="V324" s="92"/>
      <c r="W324" s="92"/>
      <c r="X324" s="92"/>
      <c r="Y324" s="92"/>
      <c r="Z324" s="92"/>
      <c r="AA324" s="92"/>
      <c r="AB324" s="92"/>
      <c r="AC324" s="92"/>
      <c r="AD324" s="92"/>
      <c r="AE324" s="92"/>
      <c r="AF324" s="92"/>
      <c r="AG324" s="92"/>
      <c r="AH324" s="92"/>
      <c r="AI324" s="92"/>
      <c r="AJ324" s="92"/>
      <c r="AK324" s="92"/>
      <c r="AL324" s="92"/>
      <c r="AM324" s="92"/>
      <c r="AN324" s="92"/>
      <c r="AO324" s="92"/>
      <c r="AP324" s="92"/>
      <c r="AQ324" s="92"/>
      <c r="AR324" s="92"/>
      <c r="AS324" s="92"/>
      <c r="AT324" s="92"/>
      <c r="AU324" s="92"/>
      <c r="AV324" s="92"/>
      <c r="AW324" s="92"/>
      <c r="AX324" s="92"/>
      <c r="AY324" s="92"/>
      <c r="AZ324" s="92"/>
      <c r="BA324" s="92"/>
      <c r="BB324" s="200"/>
      <c r="BC324" s="2728"/>
      <c r="BD324" s="84"/>
      <c r="BE324" s="84"/>
    </row>
    <row r="325" spans="1:57" s="18" customFormat="1">
      <c r="A325" s="17"/>
      <c r="B325" s="453" t="s">
        <v>527</v>
      </c>
      <c r="C325" s="453"/>
      <c r="D325" s="183"/>
      <c r="E325" s="106"/>
      <c r="F325" s="106"/>
      <c r="G325" s="106"/>
      <c r="H325" s="106"/>
      <c r="I325" s="106"/>
      <c r="J325" s="106"/>
      <c r="K325" s="106"/>
      <c r="L325" s="106"/>
      <c r="M325" s="106"/>
      <c r="N325" s="106"/>
      <c r="O325" s="106"/>
      <c r="P325" s="305"/>
      <c r="Q325" s="109"/>
      <c r="R325" s="109"/>
      <c r="S325" s="109"/>
      <c r="T325" s="109"/>
      <c r="U325" s="109"/>
      <c r="V325" s="109"/>
      <c r="W325" s="109"/>
      <c r="X325" s="109"/>
      <c r="Y325" s="109"/>
      <c r="Z325" s="109"/>
      <c r="AA325" s="109"/>
      <c r="AB325" s="109"/>
      <c r="AC325" s="109"/>
      <c r="AD325" s="109"/>
      <c r="AE325" s="109"/>
      <c r="AF325" s="109"/>
      <c r="AG325" s="109"/>
      <c r="AH325" s="109"/>
      <c r="AI325" s="109"/>
      <c r="AJ325" s="109"/>
      <c r="AK325" s="109"/>
      <c r="AL325" s="109"/>
      <c r="AM325" s="109"/>
      <c r="AN325" s="109"/>
      <c r="AO325" s="109"/>
      <c r="AP325" s="109"/>
      <c r="AQ325" s="109"/>
      <c r="AR325" s="109"/>
      <c r="AS325" s="109"/>
      <c r="AT325" s="109"/>
      <c r="AU325" s="109"/>
      <c r="AV325" s="109"/>
      <c r="AW325" s="109"/>
      <c r="AX325" s="109"/>
      <c r="AY325" s="109"/>
      <c r="AZ325" s="109"/>
      <c r="BA325" s="109"/>
      <c r="BB325" s="186"/>
      <c r="BC325" s="111"/>
      <c r="BD325" s="151"/>
      <c r="BE325" s="151"/>
    </row>
    <row r="326" spans="1:57" s="150" customFormat="1">
      <c r="A326" s="159"/>
      <c r="B326" s="454" t="s">
        <v>421</v>
      </c>
      <c r="C326" s="454"/>
      <c r="E326" s="168"/>
      <c r="F326" s="168"/>
      <c r="G326" s="168"/>
      <c r="H326" s="168"/>
      <c r="I326" s="168"/>
      <c r="J326" s="168"/>
      <c r="K326" s="168"/>
      <c r="L326" s="168"/>
      <c r="M326" s="168"/>
      <c r="N326" s="119"/>
      <c r="O326" s="119"/>
      <c r="P326" s="455"/>
      <c r="Q326" s="121"/>
      <c r="R326" s="121"/>
      <c r="S326" s="121"/>
      <c r="T326" s="121"/>
      <c r="U326" s="121"/>
      <c r="V326" s="121"/>
      <c r="W326" s="121"/>
      <c r="X326" s="121"/>
      <c r="Y326" s="121"/>
      <c r="Z326" s="121"/>
      <c r="AA326" s="121"/>
      <c r="AB326" s="121"/>
      <c r="AC326" s="121"/>
      <c r="AD326" s="121"/>
      <c r="AE326" s="121"/>
      <c r="AF326" s="121"/>
      <c r="AG326" s="121"/>
      <c r="AH326" s="121"/>
      <c r="AI326" s="121"/>
      <c r="AJ326" s="121"/>
      <c r="AK326" s="121"/>
      <c r="AL326" s="121"/>
      <c r="AM326" s="121"/>
      <c r="AN326" s="121"/>
      <c r="AO326" s="121"/>
      <c r="AP326" s="121"/>
      <c r="AQ326" s="121"/>
      <c r="AR326" s="121"/>
      <c r="AS326" s="121"/>
      <c r="AT326" s="121"/>
      <c r="AU326" s="121"/>
      <c r="AV326" s="121"/>
      <c r="AW326" s="121"/>
      <c r="AX326" s="121"/>
      <c r="AY326" s="121"/>
      <c r="AZ326" s="121"/>
      <c r="BA326" s="121"/>
      <c r="BB326" s="168"/>
      <c r="BC326" s="117"/>
    </row>
    <row r="327" spans="1:57">
      <c r="A327" s="39"/>
      <c r="B327" s="446" t="s">
        <v>519</v>
      </c>
      <c r="C327" s="446"/>
      <c r="D327" s="84"/>
      <c r="E327" s="140"/>
      <c r="F327" s="140"/>
      <c r="G327" s="140"/>
      <c r="H327" s="140"/>
      <c r="I327" s="140"/>
      <c r="J327" s="140"/>
      <c r="K327" s="140"/>
      <c r="L327" s="140"/>
      <c r="M327" s="140"/>
      <c r="N327" s="464"/>
      <c r="O327" s="464"/>
      <c r="P327" s="465"/>
      <c r="Q327" s="456"/>
      <c r="R327" s="456"/>
      <c r="S327" s="456"/>
      <c r="T327" s="456"/>
      <c r="U327" s="456"/>
      <c r="V327" s="456"/>
      <c r="W327" s="456"/>
      <c r="X327" s="456"/>
      <c r="Y327" s="456"/>
      <c r="Z327" s="456"/>
      <c r="AA327" s="456"/>
      <c r="AB327" s="456"/>
      <c r="AC327" s="456"/>
      <c r="AD327" s="456"/>
      <c r="AE327" s="456"/>
      <c r="AF327" s="456"/>
      <c r="AG327" s="456"/>
      <c r="AH327" s="456"/>
      <c r="AI327" s="456"/>
      <c r="AJ327" s="456"/>
      <c r="AK327" s="456"/>
      <c r="AL327" s="456"/>
      <c r="AM327" s="456"/>
      <c r="AN327" s="456"/>
      <c r="AO327" s="456"/>
      <c r="AP327" s="456"/>
      <c r="AQ327" s="456"/>
      <c r="AR327" s="456"/>
      <c r="AS327" s="456"/>
      <c r="AT327" s="456"/>
      <c r="AU327" s="456"/>
      <c r="AV327" s="456"/>
      <c r="AW327" s="456"/>
      <c r="AX327" s="456"/>
      <c r="AY327" s="456"/>
      <c r="AZ327" s="456"/>
      <c r="BA327" s="456"/>
      <c r="BB327" s="85"/>
      <c r="BD327" s="84"/>
      <c r="BE327" s="84"/>
    </row>
    <row r="328" spans="1:57" s="435" customFormat="1">
      <c r="A328" s="434"/>
      <c r="D328" s="436"/>
      <c r="E328" s="437"/>
      <c r="F328" s="437"/>
      <c r="G328" s="437"/>
      <c r="H328" s="437"/>
      <c r="I328" s="437"/>
      <c r="J328" s="437"/>
      <c r="K328" s="437"/>
      <c r="L328" s="437"/>
      <c r="M328" s="437"/>
      <c r="N328" s="437"/>
      <c r="O328" s="437"/>
      <c r="P328" s="438"/>
      <c r="Q328" s="437"/>
      <c r="R328" s="437"/>
      <c r="S328" s="437"/>
      <c r="T328" s="437"/>
      <c r="U328" s="437"/>
      <c r="V328" s="437"/>
      <c r="W328" s="437"/>
      <c r="X328" s="437"/>
      <c r="Y328" s="437"/>
      <c r="Z328" s="437"/>
      <c r="AA328" s="437"/>
      <c r="AB328" s="437"/>
      <c r="AC328" s="437"/>
      <c r="AD328" s="437"/>
      <c r="AE328" s="437"/>
      <c r="AF328" s="437"/>
      <c r="AG328" s="437"/>
      <c r="AH328" s="437"/>
      <c r="AI328" s="437"/>
      <c r="AJ328" s="437"/>
      <c r="AK328" s="437"/>
      <c r="AL328" s="437"/>
      <c r="AM328" s="437"/>
      <c r="AN328" s="437"/>
      <c r="AO328" s="437"/>
      <c r="AP328" s="437"/>
      <c r="AQ328" s="437"/>
      <c r="AR328" s="437"/>
      <c r="AS328" s="437"/>
      <c r="AT328" s="437"/>
      <c r="AU328" s="437"/>
      <c r="AV328" s="437"/>
      <c r="AW328" s="437"/>
      <c r="AX328" s="437"/>
      <c r="AY328" s="437"/>
      <c r="AZ328" s="437"/>
      <c r="BA328" s="437"/>
      <c r="BB328" s="439"/>
      <c r="BC328" s="440"/>
      <c r="BD328" s="436"/>
      <c r="BE328" s="436"/>
    </row>
    <row r="329" spans="1:57">
      <c r="A329" s="39">
        <v>20</v>
      </c>
      <c r="B329" s="5" t="s">
        <v>528</v>
      </c>
      <c r="D329" s="84"/>
      <c r="E329" s="140"/>
      <c r="F329" s="140"/>
      <c r="G329" s="140"/>
      <c r="H329" s="140"/>
      <c r="I329" s="189"/>
      <c r="J329" s="189"/>
      <c r="K329" s="189">
        <f>K304+K314+K324</f>
        <v>628.47249524100005</v>
      </c>
      <c r="L329" s="189">
        <f t="shared" ref="L329:Z329" si="231">L304+L314+L324</f>
        <v>137.062222093</v>
      </c>
      <c r="M329" s="189">
        <f t="shared" si="231"/>
        <v>2.6763435320000002</v>
      </c>
      <c r="N329" s="189">
        <f t="shared" si="231"/>
        <v>1.0484815000000001</v>
      </c>
      <c r="O329" s="189">
        <f t="shared" si="231"/>
        <v>2.9644798749999999</v>
      </c>
      <c r="P329" s="189">
        <f t="shared" si="231"/>
        <v>119.527496051</v>
      </c>
      <c r="Q329" s="198">
        <f t="shared" si="231"/>
        <v>351.10113874462809</v>
      </c>
      <c r="R329" s="198">
        <f t="shared" si="231"/>
        <v>497.008080119243</v>
      </c>
      <c r="S329" s="198">
        <f t="shared" si="231"/>
        <v>583.71521092329453</v>
      </c>
      <c r="T329" s="198">
        <f t="shared" si="231"/>
        <v>814.31730987355388</v>
      </c>
      <c r="U329" s="198">
        <f t="shared" si="231"/>
        <v>711.52401678971239</v>
      </c>
      <c r="V329" s="198">
        <f t="shared" si="231"/>
        <v>575.66000497191988</v>
      </c>
      <c r="W329" s="198">
        <f t="shared" si="231"/>
        <v>445.3340713572826</v>
      </c>
      <c r="X329" s="198">
        <f t="shared" si="231"/>
        <v>358.65792112628571</v>
      </c>
      <c r="Y329" s="198">
        <f t="shared" si="231"/>
        <v>337.86153077179063</v>
      </c>
      <c r="Z329" s="198">
        <f t="shared" si="231"/>
        <v>344.77629244595983</v>
      </c>
      <c r="AA329" s="466"/>
      <c r="AB329" s="467"/>
      <c r="AC329" s="467"/>
      <c r="AD329" s="467"/>
      <c r="AE329" s="467"/>
      <c r="AF329" s="467"/>
      <c r="AG329" s="467"/>
      <c r="AH329" s="467"/>
      <c r="AI329" s="467"/>
      <c r="AJ329" s="467"/>
      <c r="AK329" s="467"/>
      <c r="AL329" s="467"/>
      <c r="AM329" s="467"/>
      <c r="AN329" s="467"/>
      <c r="AO329" s="467"/>
      <c r="AP329" s="467"/>
      <c r="AQ329" s="467"/>
      <c r="AR329" s="467"/>
      <c r="AS329" s="467"/>
      <c r="AT329" s="467"/>
      <c r="AU329" s="467"/>
      <c r="AV329" s="467"/>
      <c r="AW329" s="467"/>
      <c r="AX329" s="467"/>
      <c r="AY329" s="467"/>
      <c r="AZ329" s="467"/>
      <c r="BA329" s="467"/>
      <c r="BB329" s="85"/>
      <c r="BD329" s="84"/>
      <c r="BE329" s="84"/>
    </row>
    <row r="330" spans="1:57" s="88" customFormat="1">
      <c r="A330" s="103"/>
      <c r="B330" s="104" t="s">
        <v>528</v>
      </c>
      <c r="C330" s="104"/>
      <c r="D330" s="105"/>
      <c r="E330" s="106"/>
      <c r="F330" s="106"/>
      <c r="G330" s="106"/>
      <c r="H330" s="106"/>
      <c r="I330" s="107"/>
      <c r="J330" s="107"/>
      <c r="K330" s="107">
        <f>IF(ISTEXT('BS Raw'!F11),'BS Raw'!F105/$B$1,K329)</f>
        <v>628.47249524100005</v>
      </c>
      <c r="L330" s="107">
        <f>IF(ISTEXT('BS Raw'!G11),'BS Raw'!G105/$B$1,L329)</f>
        <v>137.062222093</v>
      </c>
      <c r="M330" s="107">
        <f>IF(ISTEXT('BS Raw'!H11),'BS Raw'!H105/$B$1,M329)</f>
        <v>2.6763435320000002</v>
      </c>
      <c r="N330" s="107">
        <f>IF(ISTEXT('BS Raw'!I11),'BS Raw'!I105/$B$1,N329)</f>
        <v>1.0484815000000001</v>
      </c>
      <c r="O330" s="107">
        <f>IF(ISTEXT('BS Raw'!J11),'BS Raw'!J105/$B$1,O329)</f>
        <v>2.9644798749999999</v>
      </c>
      <c r="P330" s="107">
        <f>IF(ISTEXT('BS Raw'!K11),'BS Raw'!K105/$B$1,P329)</f>
        <v>119.527496051</v>
      </c>
      <c r="Q330" s="108">
        <f>IF(ISTEXT('BS Raw'!L11),'BS Raw'!L105/$B$1,Q329)</f>
        <v>351.10113874462809</v>
      </c>
      <c r="R330" s="108">
        <f>IF(ISTEXT('BS Raw'!M11),'BS Raw'!M105/$B$1,R329)</f>
        <v>497.008080119243</v>
      </c>
      <c r="S330" s="108">
        <f>IF(ISTEXT('BS Raw'!N11),'BS Raw'!N105/$B$1,S329)</f>
        <v>583.71521092329453</v>
      </c>
      <c r="T330" s="108">
        <f>IF(ISTEXT('BS Raw'!O11),'BS Raw'!O105/$B$1,T329)</f>
        <v>814.31730987355388</v>
      </c>
      <c r="U330" s="108">
        <f>IF(ISTEXT('BS Raw'!P11),'BS Raw'!P105/$B$1,U329)</f>
        <v>711.52401678971239</v>
      </c>
      <c r="V330" s="108">
        <f>IF(ISTEXT('BS Raw'!Q11),'BS Raw'!Q105/$B$1,V329)</f>
        <v>575.66000497191988</v>
      </c>
      <c r="W330" s="108">
        <f>IF(ISTEXT('BS Raw'!R11),'BS Raw'!R105/$B$1,W329)</f>
        <v>445.3340713572826</v>
      </c>
      <c r="X330" s="108">
        <f>IF(ISTEXT('BS Raw'!S11),'BS Raw'!S105/$B$1,X329)</f>
        <v>358.65792112628571</v>
      </c>
      <c r="Y330" s="108">
        <f>IF(ISTEXT('BS Raw'!T11),'BS Raw'!T105/$B$1,Y329)</f>
        <v>337.86153077179063</v>
      </c>
      <c r="Z330" s="108">
        <f>IF(ISTEXT('BS Raw'!U11),'BS Raw'!U105/$B$1,Z329)</f>
        <v>344.77629244595983</v>
      </c>
      <c r="AA330" s="108"/>
      <c r="AB330" s="109"/>
      <c r="AC330" s="109"/>
      <c r="AD330" s="109"/>
      <c r="AE330" s="109"/>
      <c r="AF330" s="109"/>
      <c r="AG330" s="109"/>
      <c r="AH330" s="109"/>
      <c r="AI330" s="109"/>
      <c r="AJ330" s="109"/>
      <c r="AK330" s="109"/>
      <c r="AL330" s="109"/>
      <c r="AM330" s="109"/>
      <c r="AN330" s="109"/>
      <c r="AO330" s="109"/>
      <c r="AP330" s="109"/>
      <c r="AQ330" s="109"/>
      <c r="AR330" s="109"/>
      <c r="AS330" s="109"/>
      <c r="AT330" s="109"/>
      <c r="AU330" s="109"/>
      <c r="AV330" s="109"/>
      <c r="AW330" s="109"/>
      <c r="AX330" s="109"/>
      <c r="AY330" s="109"/>
      <c r="AZ330" s="109"/>
      <c r="BA330" s="109"/>
      <c r="BB330" s="126"/>
      <c r="BC330" s="405"/>
    </row>
    <row r="331" spans="1:57">
      <c r="A331" s="39"/>
      <c r="D331" s="84"/>
      <c r="E331" s="140"/>
      <c r="F331" s="140"/>
      <c r="G331" s="140"/>
      <c r="H331" s="140"/>
      <c r="I331" s="140"/>
      <c r="J331" s="140"/>
      <c r="K331" s="140"/>
      <c r="L331" s="140"/>
      <c r="M331" s="140"/>
      <c r="N331" s="140"/>
      <c r="O331" s="140"/>
      <c r="P331" s="141"/>
      <c r="Q331" s="140"/>
      <c r="R331" s="140"/>
      <c r="S331" s="140"/>
      <c r="T331" s="140"/>
      <c r="U331" s="140"/>
      <c r="V331" s="140"/>
      <c r="W331" s="140"/>
      <c r="X331" s="140"/>
      <c r="Y331" s="140"/>
      <c r="Z331" s="140"/>
      <c r="AA331" s="140"/>
      <c r="AB331" s="140"/>
      <c r="AC331" s="140"/>
      <c r="AD331" s="140"/>
      <c r="AE331" s="140"/>
      <c r="AF331" s="140"/>
      <c r="AG331" s="140"/>
      <c r="AH331" s="140"/>
      <c r="AI331" s="140"/>
      <c r="AJ331" s="140"/>
      <c r="AK331" s="140"/>
      <c r="AL331" s="140"/>
      <c r="AM331" s="140"/>
      <c r="AN331" s="140"/>
      <c r="AO331" s="140"/>
      <c r="AP331" s="140"/>
      <c r="AQ331" s="140"/>
      <c r="AR331" s="140"/>
      <c r="AS331" s="140"/>
      <c r="AT331" s="140"/>
      <c r="AU331" s="140"/>
      <c r="AV331" s="140"/>
      <c r="AW331" s="140"/>
      <c r="AX331" s="140"/>
      <c r="AY331" s="140"/>
      <c r="AZ331" s="140"/>
      <c r="BA331" s="140"/>
      <c r="BB331" s="85"/>
      <c r="BD331" s="84"/>
      <c r="BE331" s="84"/>
    </row>
    <row r="332" spans="1:57">
      <c r="A332" s="39">
        <v>21</v>
      </c>
      <c r="B332" s="5" t="s">
        <v>529</v>
      </c>
      <c r="D332" s="84"/>
      <c r="E332" s="128"/>
      <c r="F332" s="128"/>
      <c r="G332" s="128"/>
      <c r="H332" s="128"/>
      <c r="I332" s="129"/>
      <c r="J332" s="129"/>
      <c r="K332" s="129">
        <f>'BS Raw'!F106</f>
        <v>0</v>
      </c>
      <c r="L332" s="129">
        <f>'BS Raw'!G106</f>
        <v>0</v>
      </c>
      <c r="M332" s="129">
        <f>'BS Raw'!H106</f>
        <v>0</v>
      </c>
      <c r="N332" s="129">
        <f>'BS Raw'!I106</f>
        <v>0</v>
      </c>
      <c r="O332" s="129">
        <f>'BS Raw'!J106</f>
        <v>0</v>
      </c>
      <c r="P332" s="129">
        <f>'BS Raw'!K106</f>
        <v>0</v>
      </c>
      <c r="Q332" s="91">
        <f>'BS Raw'!L106</f>
        <v>0</v>
      </c>
      <c r="R332" s="91">
        <f>'BS Raw'!M106</f>
        <v>0</v>
      </c>
      <c r="S332" s="91">
        <f>'BS Raw'!N106</f>
        <v>0</v>
      </c>
      <c r="T332" s="91">
        <f>'BS Raw'!O106</f>
        <v>0</v>
      </c>
      <c r="U332" s="91">
        <f>'BS Raw'!P106</f>
        <v>0</v>
      </c>
      <c r="V332" s="91">
        <f>'BS Raw'!Q106</f>
        <v>0</v>
      </c>
      <c r="W332" s="91">
        <f>'BS Raw'!R106</f>
        <v>0</v>
      </c>
      <c r="X332" s="91">
        <f>'BS Raw'!S106</f>
        <v>0</v>
      </c>
      <c r="Y332" s="91">
        <f>'BS Raw'!T106</f>
        <v>0</v>
      </c>
      <c r="Z332" s="91">
        <f>'BS Raw'!U106</f>
        <v>0</v>
      </c>
      <c r="AA332" s="198"/>
      <c r="AB332" s="194"/>
      <c r="AC332" s="194"/>
      <c r="AD332" s="194"/>
      <c r="AE332" s="194"/>
      <c r="AF332" s="194"/>
      <c r="AG332" s="194"/>
      <c r="AH332" s="194"/>
      <c r="AI332" s="194"/>
      <c r="AJ332" s="194"/>
      <c r="AK332" s="194"/>
      <c r="AL332" s="194"/>
      <c r="AM332" s="194"/>
      <c r="AN332" s="194"/>
      <c r="AO332" s="194"/>
      <c r="AP332" s="194"/>
      <c r="AQ332" s="194"/>
      <c r="AR332" s="194"/>
      <c r="AS332" s="194"/>
      <c r="AT332" s="194"/>
      <c r="AU332" s="194"/>
      <c r="AV332" s="194"/>
      <c r="AW332" s="194"/>
      <c r="AX332" s="194"/>
      <c r="AY332" s="194"/>
      <c r="AZ332" s="194"/>
      <c r="BA332" s="194"/>
      <c r="BB332" s="85"/>
      <c r="BC332" s="288"/>
      <c r="BD332" s="84"/>
      <c r="BE332" s="84"/>
    </row>
    <row r="333" spans="1:57">
      <c r="A333" s="39"/>
      <c r="B333" s="118" t="s">
        <v>530</v>
      </c>
      <c r="C333" s="118"/>
      <c r="D333" s="84"/>
      <c r="E333" s="140"/>
      <c r="F333" s="140"/>
      <c r="G333" s="140"/>
      <c r="H333" s="140"/>
      <c r="I333" s="140"/>
      <c r="J333" s="140"/>
      <c r="K333" s="140"/>
      <c r="L333" s="140"/>
      <c r="M333" s="140"/>
      <c r="N333" s="140"/>
      <c r="O333" s="140"/>
      <c r="P333" s="141"/>
      <c r="Q333" s="192"/>
      <c r="R333" s="192"/>
      <c r="S333" s="192"/>
      <c r="T333" s="192"/>
      <c r="U333" s="192"/>
      <c r="V333" s="192"/>
      <c r="W333" s="192"/>
      <c r="X333" s="192"/>
      <c r="Y333" s="192"/>
      <c r="Z333" s="192"/>
      <c r="AA333" s="192"/>
      <c r="AB333" s="192"/>
      <c r="AC333" s="192"/>
      <c r="AD333" s="192"/>
      <c r="AE333" s="192"/>
      <c r="AF333" s="192"/>
      <c r="AG333" s="192"/>
      <c r="AH333" s="192"/>
      <c r="AI333" s="192"/>
      <c r="AJ333" s="192"/>
      <c r="AK333" s="192"/>
      <c r="AL333" s="192"/>
      <c r="AM333" s="192"/>
      <c r="AN333" s="192"/>
      <c r="AO333" s="192"/>
      <c r="AP333" s="192"/>
      <c r="AQ333" s="192"/>
      <c r="AR333" s="192"/>
      <c r="AS333" s="192"/>
      <c r="AT333" s="192"/>
      <c r="AU333" s="192"/>
      <c r="AV333" s="192"/>
      <c r="AW333" s="192"/>
      <c r="AX333" s="192"/>
      <c r="AY333" s="192"/>
      <c r="AZ333" s="192"/>
      <c r="BA333" s="192"/>
      <c r="BB333" s="85"/>
      <c r="BC333" s="288"/>
      <c r="BD333" s="84"/>
      <c r="BE333" s="84"/>
    </row>
    <row r="334" spans="1:57">
      <c r="A334" s="39"/>
      <c r="B334" s="118" t="s">
        <v>531</v>
      </c>
      <c r="C334" s="118"/>
      <c r="D334" s="84"/>
      <c r="E334" s="140"/>
      <c r="F334" s="140"/>
      <c r="G334" s="140"/>
      <c r="H334" s="140"/>
      <c r="I334" s="140"/>
      <c r="J334" s="140"/>
      <c r="K334" s="140"/>
      <c r="L334" s="140"/>
      <c r="M334" s="140"/>
      <c r="N334" s="128"/>
      <c r="O334" s="128"/>
      <c r="P334" s="265"/>
      <c r="Q334" s="214"/>
      <c r="R334" s="214"/>
      <c r="S334" s="214"/>
      <c r="T334" s="214"/>
      <c r="U334" s="214"/>
      <c r="V334" s="214"/>
      <c r="W334" s="214"/>
      <c r="X334" s="214"/>
      <c r="Y334" s="214"/>
      <c r="Z334" s="214"/>
      <c r="AA334" s="214"/>
      <c r="AB334" s="214"/>
      <c r="AC334" s="214"/>
      <c r="AD334" s="214"/>
      <c r="AE334" s="214"/>
      <c r="AF334" s="214"/>
      <c r="AG334" s="214"/>
      <c r="AH334" s="214"/>
      <c r="AI334" s="214"/>
      <c r="AJ334" s="214"/>
      <c r="AK334" s="214"/>
      <c r="AL334" s="214"/>
      <c r="AM334" s="214"/>
      <c r="AN334" s="214"/>
      <c r="AO334" s="214"/>
      <c r="AP334" s="214"/>
      <c r="AQ334" s="214"/>
      <c r="AR334" s="214"/>
      <c r="AS334" s="214"/>
      <c r="AT334" s="214"/>
      <c r="AU334" s="214"/>
      <c r="AV334" s="214"/>
      <c r="AW334" s="214"/>
      <c r="AX334" s="214"/>
      <c r="AY334" s="214"/>
      <c r="AZ334" s="214"/>
      <c r="BA334" s="214"/>
      <c r="BB334" s="200"/>
      <c r="BC334" s="94"/>
      <c r="BD334" s="84"/>
      <c r="BE334" s="84"/>
    </row>
    <row r="335" spans="1:57">
      <c r="A335" s="39"/>
      <c r="B335" s="468" t="s">
        <v>532</v>
      </c>
      <c r="C335" s="468"/>
      <c r="D335" s="469"/>
      <c r="E335" s="470"/>
      <c r="F335" s="470"/>
      <c r="G335" s="470"/>
      <c r="H335" s="470"/>
      <c r="I335" s="470"/>
      <c r="J335" s="470"/>
      <c r="K335" s="470"/>
      <c r="L335" s="470"/>
      <c r="M335" s="470"/>
      <c r="N335" s="470"/>
      <c r="O335" s="470"/>
      <c r="P335" s="398"/>
      <c r="Q335" s="471"/>
      <c r="R335" s="471"/>
      <c r="S335" s="471"/>
      <c r="T335" s="471"/>
      <c r="U335" s="471"/>
      <c r="V335" s="471"/>
      <c r="W335" s="471"/>
      <c r="X335" s="471"/>
      <c r="Y335" s="471"/>
      <c r="Z335" s="471"/>
      <c r="AA335" s="471"/>
      <c r="AB335" s="471"/>
      <c r="AC335" s="471"/>
      <c r="AD335" s="471"/>
      <c r="AE335" s="471"/>
      <c r="AF335" s="471"/>
      <c r="AG335" s="471"/>
      <c r="AH335" s="471"/>
      <c r="AI335" s="471"/>
      <c r="AJ335" s="471"/>
      <c r="AK335" s="471"/>
      <c r="AL335" s="471"/>
      <c r="AM335" s="471"/>
      <c r="AN335" s="471"/>
      <c r="AO335" s="471"/>
      <c r="AP335" s="471"/>
      <c r="AQ335" s="471"/>
      <c r="AR335" s="471"/>
      <c r="AS335" s="471"/>
      <c r="AT335" s="471"/>
      <c r="AU335" s="471"/>
      <c r="AV335" s="471"/>
      <c r="AW335" s="471"/>
      <c r="AX335" s="471"/>
      <c r="AY335" s="471"/>
      <c r="AZ335" s="471"/>
      <c r="BA335" s="471"/>
      <c r="BB335" s="472"/>
      <c r="BC335" s="225"/>
      <c r="BD335" s="84"/>
      <c r="BE335" s="84"/>
    </row>
    <row r="336" spans="1:57" s="88" customFormat="1">
      <c r="A336" s="103"/>
      <c r="B336" s="122" t="s">
        <v>529</v>
      </c>
      <c r="C336" s="122"/>
      <c r="E336" s="124"/>
      <c r="F336" s="124"/>
      <c r="G336" s="124"/>
      <c r="H336" s="124"/>
      <c r="I336" s="473"/>
      <c r="J336" s="473"/>
      <c r="K336" s="473">
        <f>IF(ISTEXT('BS Raw'!F11),'BS Raw'!F106/Input!$B$1,Input!K332)</f>
        <v>0</v>
      </c>
      <c r="L336" s="473">
        <f>IF(ISTEXT('BS Raw'!G11),'BS Raw'!G106/Input!$B$1,Input!L332)</f>
        <v>0</v>
      </c>
      <c r="M336" s="473">
        <f>IF(ISTEXT('BS Raw'!H11),'BS Raw'!H106/Input!$B$1,Input!M332)</f>
        <v>0</v>
      </c>
      <c r="N336" s="473">
        <f>IF(ISTEXT('BS Raw'!I11),'BS Raw'!I106/Input!$B$1,Input!N332)</f>
        <v>0</v>
      </c>
      <c r="O336" s="473">
        <f>IF(ISTEXT('BS Raw'!J11),'BS Raw'!J106/Input!$B$1,Input!O332)</f>
        <v>0</v>
      </c>
      <c r="P336" s="473">
        <f>IF(ISTEXT('BS Raw'!K11),'BS Raw'!K106/Input!$B$1,Input!P332)</f>
        <v>0</v>
      </c>
      <c r="Q336" s="474">
        <f>IF(ISTEXT('BS Raw'!L11),'BS Raw'!L106/Input!$B$1,Input!Q332)</f>
        <v>0</v>
      </c>
      <c r="R336" s="474">
        <f>IF(ISTEXT('BS Raw'!M11),'BS Raw'!M106/Input!$B$1,Input!R332)</f>
        <v>0</v>
      </c>
      <c r="S336" s="474">
        <f>IF(ISTEXT('BS Raw'!N11),'BS Raw'!N106/Input!$B$1,Input!S332)</f>
        <v>0</v>
      </c>
      <c r="T336" s="474">
        <f>IF(ISTEXT('BS Raw'!O11),'BS Raw'!O106/Input!$B$1,Input!T332)</f>
        <v>0</v>
      </c>
      <c r="U336" s="474">
        <f>IF(ISTEXT('BS Raw'!P11),'BS Raw'!P106/Input!$B$1,Input!U332)</f>
        <v>0</v>
      </c>
      <c r="V336" s="474">
        <f>IF(ISTEXT('BS Raw'!Q11),'BS Raw'!Q106/Input!$B$1,Input!V332)</f>
        <v>0</v>
      </c>
      <c r="W336" s="474">
        <f>IF(ISTEXT('BS Raw'!R11),'BS Raw'!R106/Input!$B$1,Input!W332)</f>
        <v>0</v>
      </c>
      <c r="X336" s="474">
        <f>IF(ISTEXT('BS Raw'!S11),'BS Raw'!S106/Input!$B$1,Input!X332)</f>
        <v>0</v>
      </c>
      <c r="Y336" s="474">
        <f>IF(ISTEXT('BS Raw'!T11),'BS Raw'!T106/Input!$B$1,Input!Y332)</f>
        <v>0</v>
      </c>
      <c r="Z336" s="474">
        <f>IF(ISTEXT('BS Raw'!U11),'BS Raw'!U106/Input!$B$1,Input!Z332)</f>
        <v>0</v>
      </c>
      <c r="AA336" s="474"/>
      <c r="AB336" s="475"/>
      <c r="AC336" s="475"/>
      <c r="AD336" s="475"/>
      <c r="AE336" s="475"/>
      <c r="AF336" s="475"/>
      <c r="AG336" s="475"/>
      <c r="AH336" s="475"/>
      <c r="AI336" s="475"/>
      <c r="AJ336" s="475"/>
      <c r="AK336" s="475"/>
      <c r="AL336" s="475"/>
      <c r="AM336" s="475"/>
      <c r="AN336" s="475"/>
      <c r="AO336" s="475"/>
      <c r="AP336" s="475"/>
      <c r="AQ336" s="475"/>
      <c r="AR336" s="475"/>
      <c r="AS336" s="475"/>
      <c r="AT336" s="475"/>
      <c r="AU336" s="475"/>
      <c r="AV336" s="475"/>
      <c r="AW336" s="475"/>
      <c r="AX336" s="475"/>
      <c r="AY336" s="475"/>
      <c r="AZ336" s="475"/>
      <c r="BA336" s="475"/>
      <c r="BB336" s="126"/>
      <c r="BC336" s="94"/>
    </row>
    <row r="337" spans="1:57" s="150" customFormat="1">
      <c r="A337" s="159"/>
      <c r="B337" s="145" t="s">
        <v>421</v>
      </c>
      <c r="C337" s="145"/>
      <c r="E337" s="168"/>
      <c r="F337" s="168"/>
      <c r="G337" s="168"/>
      <c r="H337" s="168"/>
      <c r="I337" s="168"/>
      <c r="J337" s="168"/>
      <c r="K337" s="168"/>
      <c r="L337" s="168"/>
      <c r="M337" s="168"/>
      <c r="N337" s="168"/>
      <c r="O337" s="168"/>
      <c r="P337" s="343"/>
      <c r="Q337" s="231"/>
      <c r="R337" s="231"/>
      <c r="S337" s="231"/>
      <c r="T337" s="231"/>
      <c r="U337" s="231"/>
      <c r="V337" s="231"/>
      <c r="W337" s="231"/>
      <c r="X337" s="231"/>
      <c r="Y337" s="231"/>
      <c r="Z337" s="231"/>
      <c r="AA337" s="231"/>
      <c r="AB337" s="231"/>
      <c r="AC337" s="231"/>
      <c r="AD337" s="231"/>
      <c r="AE337" s="231"/>
      <c r="AF337" s="231"/>
      <c r="AG337" s="231"/>
      <c r="AH337" s="231"/>
      <c r="AI337" s="231"/>
      <c r="AJ337" s="231"/>
      <c r="AK337" s="231"/>
      <c r="AL337" s="231"/>
      <c r="AM337" s="231"/>
      <c r="AN337" s="231"/>
      <c r="AO337" s="231"/>
      <c r="AP337" s="231"/>
      <c r="AQ337" s="231"/>
      <c r="AR337" s="231"/>
      <c r="AS337" s="231"/>
      <c r="AT337" s="231"/>
      <c r="AU337" s="231"/>
      <c r="AV337" s="231"/>
      <c r="AW337" s="231"/>
      <c r="AX337" s="231"/>
      <c r="AY337" s="231"/>
      <c r="AZ337" s="231"/>
      <c r="BA337" s="231"/>
      <c r="BB337" s="168"/>
      <c r="BC337" s="117"/>
    </row>
    <row r="338" spans="1:57">
      <c r="A338" s="39"/>
      <c r="B338" s="118" t="s">
        <v>519</v>
      </c>
      <c r="C338" s="118"/>
      <c r="D338" s="84"/>
      <c r="E338" s="140"/>
      <c r="F338" s="140"/>
      <c r="G338" s="140"/>
      <c r="H338" s="140"/>
      <c r="I338" s="140"/>
      <c r="J338" s="140"/>
      <c r="K338" s="140"/>
      <c r="L338" s="140"/>
      <c r="M338" s="140"/>
      <c r="N338" s="140"/>
      <c r="O338" s="140"/>
      <c r="P338" s="141"/>
      <c r="Q338" s="194"/>
      <c r="R338" s="194"/>
      <c r="S338" s="194"/>
      <c r="T338" s="194"/>
      <c r="U338" s="194"/>
      <c r="V338" s="194"/>
      <c r="W338" s="194"/>
      <c r="X338" s="194"/>
      <c r="Y338" s="194"/>
      <c r="Z338" s="194"/>
      <c r="AA338" s="194"/>
      <c r="AB338" s="194"/>
      <c r="AC338" s="194"/>
      <c r="AD338" s="194"/>
      <c r="AE338" s="194"/>
      <c r="AF338" s="194"/>
      <c r="AG338" s="194"/>
      <c r="AH338" s="194"/>
      <c r="AI338" s="194"/>
      <c r="AJ338" s="194"/>
      <c r="AK338" s="194"/>
      <c r="AL338" s="194"/>
      <c r="AM338" s="194"/>
      <c r="AN338" s="194"/>
      <c r="AO338" s="194"/>
      <c r="AP338" s="194"/>
      <c r="AQ338" s="194"/>
      <c r="AR338" s="194"/>
      <c r="AS338" s="194"/>
      <c r="AT338" s="194"/>
      <c r="AU338" s="194"/>
      <c r="AV338" s="194"/>
      <c r="AW338" s="194"/>
      <c r="AX338" s="194"/>
      <c r="AY338" s="194"/>
      <c r="AZ338" s="194"/>
      <c r="BA338" s="194"/>
      <c r="BB338" s="85"/>
      <c r="BD338" s="84"/>
      <c r="BE338" s="84"/>
    </row>
    <row r="339" spans="1:57">
      <c r="A339" s="39"/>
      <c r="D339" s="84"/>
      <c r="E339" s="140"/>
      <c r="F339" s="140"/>
      <c r="G339" s="140"/>
      <c r="H339" s="140"/>
      <c r="I339" s="140"/>
      <c r="J339" s="140"/>
      <c r="K339" s="140"/>
      <c r="L339" s="140"/>
      <c r="M339" s="140"/>
      <c r="N339" s="140"/>
      <c r="O339" s="140"/>
      <c r="P339" s="141"/>
      <c r="Q339" s="140"/>
      <c r="R339" s="140"/>
      <c r="S339" s="140"/>
      <c r="T339" s="140"/>
      <c r="U339" s="140"/>
      <c r="V339" s="140"/>
      <c r="W339" s="140"/>
      <c r="X339" s="140"/>
      <c r="Y339" s="140"/>
      <c r="Z339" s="140"/>
      <c r="AA339" s="140"/>
      <c r="AB339" s="140"/>
      <c r="AC339" s="140"/>
      <c r="AD339" s="140"/>
      <c r="AE339" s="140"/>
      <c r="AF339" s="140"/>
      <c r="AG339" s="140"/>
      <c r="AH339" s="140"/>
      <c r="AI339" s="140"/>
      <c r="AJ339" s="140"/>
      <c r="AK339" s="140"/>
      <c r="AL339" s="140"/>
      <c r="AM339" s="140"/>
      <c r="AN339" s="140"/>
      <c r="AO339" s="140"/>
      <c r="AP339" s="140"/>
      <c r="AQ339" s="140"/>
      <c r="AR339" s="140"/>
      <c r="AS339" s="140"/>
      <c r="AT339" s="140"/>
      <c r="AU339" s="140"/>
      <c r="AV339" s="140"/>
      <c r="AW339" s="140"/>
      <c r="AX339" s="140"/>
      <c r="AY339" s="140"/>
      <c r="AZ339" s="140"/>
      <c r="BA339" s="140"/>
      <c r="BB339" s="85"/>
      <c r="BD339" s="84"/>
      <c r="BE339" s="84"/>
    </row>
    <row r="340" spans="1:57">
      <c r="A340" s="39">
        <v>22</v>
      </c>
      <c r="B340" s="5" t="s">
        <v>533</v>
      </c>
      <c r="D340" s="84"/>
      <c r="E340" s="41"/>
      <c r="F340" s="41"/>
      <c r="G340" s="41"/>
      <c r="H340" s="41"/>
      <c r="I340" s="190"/>
      <c r="J340" s="190"/>
      <c r="K340" s="190">
        <f>'BS Raw'!F98</f>
        <v>0</v>
      </c>
      <c r="L340" s="190">
        <f>'BS Raw'!G98</f>
        <v>0</v>
      </c>
      <c r="M340" s="190">
        <f>'BS Raw'!H98</f>
        <v>0</v>
      </c>
      <c r="N340" s="190">
        <f>'BS Raw'!I98</f>
        <v>0</v>
      </c>
      <c r="O340" s="190">
        <f>'BS Raw'!J98</f>
        <v>0</v>
      </c>
      <c r="P340" s="190">
        <f>'BS Raw'!K98</f>
        <v>0</v>
      </c>
      <c r="Q340" s="91">
        <f>Q5*Q341</f>
        <v>0</v>
      </c>
      <c r="R340" s="91">
        <f t="shared" ref="R340:Z340" si="232">R5*R341</f>
        <v>0</v>
      </c>
      <c r="S340" s="91">
        <f t="shared" si="232"/>
        <v>0</v>
      </c>
      <c r="T340" s="91">
        <f t="shared" si="232"/>
        <v>0</v>
      </c>
      <c r="U340" s="91">
        <f t="shared" si="232"/>
        <v>0</v>
      </c>
      <c r="V340" s="91">
        <f t="shared" si="232"/>
        <v>0</v>
      </c>
      <c r="W340" s="91">
        <f t="shared" si="232"/>
        <v>0</v>
      </c>
      <c r="X340" s="91">
        <f t="shared" si="232"/>
        <v>0</v>
      </c>
      <c r="Y340" s="91">
        <f t="shared" si="232"/>
        <v>0</v>
      </c>
      <c r="Z340" s="91">
        <f t="shared" si="232"/>
        <v>0</v>
      </c>
      <c r="AA340" s="91"/>
      <c r="AB340" s="92"/>
      <c r="AC340" s="92"/>
      <c r="AD340" s="92"/>
      <c r="AE340" s="92"/>
      <c r="AF340" s="92"/>
      <c r="AG340" s="92"/>
      <c r="AH340" s="92"/>
      <c r="AI340" s="92"/>
      <c r="AJ340" s="92"/>
      <c r="AK340" s="92"/>
      <c r="AL340" s="92"/>
      <c r="AM340" s="92"/>
      <c r="AN340" s="92"/>
      <c r="AO340" s="92"/>
      <c r="AP340" s="92"/>
      <c r="AQ340" s="92"/>
      <c r="AR340" s="92"/>
      <c r="AS340" s="92"/>
      <c r="AT340" s="92"/>
      <c r="AU340" s="92"/>
      <c r="AV340" s="92"/>
      <c r="AW340" s="92"/>
      <c r="AX340" s="92"/>
      <c r="AY340" s="92"/>
      <c r="AZ340" s="92"/>
      <c r="BA340" s="92"/>
      <c r="BB340" s="200"/>
      <c r="BC340" s="344"/>
      <c r="BD340" s="84"/>
      <c r="BE340" s="84"/>
    </row>
    <row r="341" spans="1:57" s="150" customFormat="1">
      <c r="A341" s="159"/>
      <c r="B341" s="145" t="s">
        <v>319</v>
      </c>
      <c r="C341" s="145"/>
      <c r="E341" s="166"/>
      <c r="F341" s="166"/>
      <c r="G341" s="166"/>
      <c r="H341" s="166"/>
      <c r="I341" s="229"/>
      <c r="J341" s="229"/>
      <c r="K341" s="229">
        <f>K343/K7</f>
        <v>0</v>
      </c>
      <c r="L341" s="229">
        <f t="shared" ref="L341:P341" si="233">L343/L7</f>
        <v>0</v>
      </c>
      <c r="M341" s="229">
        <f t="shared" si="233"/>
        <v>0</v>
      </c>
      <c r="N341" s="229">
        <f t="shared" si="233"/>
        <v>0</v>
      </c>
      <c r="O341" s="229">
        <f t="shared" si="233"/>
        <v>0</v>
      </c>
      <c r="P341" s="229">
        <f t="shared" si="233"/>
        <v>0</v>
      </c>
      <c r="Q341" s="243">
        <f>AVERAGE(K341:P341)</f>
        <v>0</v>
      </c>
      <c r="R341" s="243">
        <f t="shared" ref="R341:Z341" si="234">AVERAGE(L341:Q341)</f>
        <v>0</v>
      </c>
      <c r="S341" s="243">
        <f t="shared" si="234"/>
        <v>0</v>
      </c>
      <c r="T341" s="243">
        <f t="shared" si="234"/>
        <v>0</v>
      </c>
      <c r="U341" s="243">
        <f t="shared" si="234"/>
        <v>0</v>
      </c>
      <c r="V341" s="243">
        <f t="shared" si="234"/>
        <v>0</v>
      </c>
      <c r="W341" s="243">
        <f t="shared" si="234"/>
        <v>0</v>
      </c>
      <c r="X341" s="243">
        <f t="shared" si="234"/>
        <v>0</v>
      </c>
      <c r="Y341" s="243">
        <f t="shared" si="234"/>
        <v>0</v>
      </c>
      <c r="Z341" s="243">
        <f t="shared" si="234"/>
        <v>0</v>
      </c>
      <c r="AA341" s="243"/>
      <c r="AB341" s="244"/>
      <c r="AC341" s="244"/>
      <c r="AD341" s="244"/>
      <c r="AE341" s="244"/>
      <c r="AF341" s="244"/>
      <c r="AG341" s="244"/>
      <c r="AH341" s="244"/>
      <c r="AI341" s="244"/>
      <c r="AJ341" s="244"/>
      <c r="AK341" s="244"/>
      <c r="AL341" s="244"/>
      <c r="AM341" s="244"/>
      <c r="AN341" s="244"/>
      <c r="AO341" s="244"/>
      <c r="AP341" s="244"/>
      <c r="AQ341" s="244"/>
      <c r="AR341" s="244"/>
      <c r="AS341" s="244"/>
      <c r="AT341" s="244"/>
      <c r="AU341" s="244"/>
      <c r="AV341" s="244"/>
      <c r="AW341" s="244"/>
      <c r="AX341" s="244"/>
      <c r="AY341" s="244"/>
      <c r="AZ341" s="244"/>
      <c r="BA341" s="244"/>
      <c r="BC341" s="288"/>
    </row>
    <row r="342" spans="1:57" s="150" customFormat="1">
      <c r="A342" s="159"/>
      <c r="B342" s="145" t="s">
        <v>427</v>
      </c>
      <c r="C342" s="145"/>
      <c r="E342" s="168"/>
      <c r="F342" s="168"/>
      <c r="G342" s="168"/>
      <c r="H342" s="168"/>
      <c r="I342" s="168"/>
      <c r="J342" s="168"/>
      <c r="K342" s="168"/>
      <c r="L342" s="168"/>
      <c r="M342" s="168"/>
      <c r="N342" s="168"/>
      <c r="O342" s="168"/>
      <c r="P342" s="343"/>
      <c r="Q342" s="231"/>
      <c r="R342" s="231"/>
      <c r="S342" s="231"/>
      <c r="T342" s="231"/>
      <c r="U342" s="231"/>
      <c r="V342" s="231"/>
      <c r="W342" s="231"/>
      <c r="X342" s="231"/>
      <c r="Y342" s="231"/>
      <c r="Z342" s="231"/>
      <c r="AA342" s="231"/>
      <c r="AB342" s="231"/>
      <c r="AC342" s="231"/>
      <c r="AD342" s="231"/>
      <c r="AE342" s="231"/>
      <c r="AF342" s="231"/>
      <c r="AG342" s="231"/>
      <c r="AH342" s="231"/>
      <c r="AI342" s="231"/>
      <c r="AJ342" s="231"/>
      <c r="AK342" s="231"/>
      <c r="AL342" s="231"/>
      <c r="AM342" s="231"/>
      <c r="AN342" s="231"/>
      <c r="AO342" s="231"/>
      <c r="AP342" s="231"/>
      <c r="AQ342" s="231"/>
      <c r="AR342" s="231"/>
      <c r="AS342" s="231"/>
      <c r="AT342" s="231"/>
      <c r="AU342" s="231"/>
      <c r="AV342" s="231"/>
      <c r="AW342" s="231"/>
      <c r="AX342" s="231"/>
      <c r="AY342" s="231"/>
      <c r="AZ342" s="231"/>
      <c r="BA342" s="231"/>
      <c r="BB342" s="168"/>
      <c r="BC342" s="245"/>
    </row>
    <row r="343" spans="1:57" s="88" customFormat="1">
      <c r="A343" s="103"/>
      <c r="B343" s="104" t="s">
        <v>534</v>
      </c>
      <c r="C343" s="104"/>
      <c r="D343" s="105"/>
      <c r="E343" s="136"/>
      <c r="F343" s="136"/>
      <c r="G343" s="136"/>
      <c r="H343" s="136"/>
      <c r="I343" s="137"/>
      <c r="J343" s="137"/>
      <c r="K343" s="137">
        <f>IF(ISTEXT('BS Raw'!F11),'BS Raw'!F98/Input!$B$1,Input!K340)</f>
        <v>0</v>
      </c>
      <c r="L343" s="137">
        <f>IF(ISTEXT('BS Raw'!G11),'BS Raw'!G98/Input!$B$1,Input!L340)</f>
        <v>0</v>
      </c>
      <c r="M343" s="137">
        <f>IF(ISTEXT('BS Raw'!H11),'BS Raw'!H98/Input!$B$1,Input!M340)</f>
        <v>0</v>
      </c>
      <c r="N343" s="137">
        <f>IF(ISTEXT('BS Raw'!I11),'BS Raw'!I98/Input!$B$1,Input!N340)</f>
        <v>0</v>
      </c>
      <c r="O343" s="137">
        <f>IF(ISTEXT('BS Raw'!J11),'BS Raw'!J98/Input!$B$1,Input!O340)</f>
        <v>0</v>
      </c>
      <c r="P343" s="137">
        <f>IF(ISTEXT('BS Raw'!K11),'BS Raw'!K98/Input!$B$1,Input!P340)</f>
        <v>0</v>
      </c>
      <c r="Q343" s="138">
        <f>IF(ISTEXT('BS Raw'!L11),'BS Raw'!L98/Input!$B$1,Input!Q340)</f>
        <v>0</v>
      </c>
      <c r="R343" s="138">
        <f>IF(ISTEXT('BS Raw'!M11),'BS Raw'!M98/Input!$B$1,Input!R340)</f>
        <v>0</v>
      </c>
      <c r="S343" s="138">
        <f>IF(ISTEXT('BS Raw'!N11),'BS Raw'!N98/Input!$B$1,Input!S340)</f>
        <v>0</v>
      </c>
      <c r="T343" s="138">
        <f>IF(ISTEXT('BS Raw'!O11),'BS Raw'!O98/Input!$B$1,Input!T340)</f>
        <v>0</v>
      </c>
      <c r="U343" s="138">
        <f>IF(ISTEXT('BS Raw'!P11),'BS Raw'!P98/Input!$B$1,Input!U340)</f>
        <v>0</v>
      </c>
      <c r="V343" s="138">
        <f>IF(ISTEXT('BS Raw'!Q11),'BS Raw'!Q98/Input!$B$1,Input!V340)</f>
        <v>0</v>
      </c>
      <c r="W343" s="138">
        <f>IF(ISTEXT('BS Raw'!R11),'BS Raw'!R98/Input!$B$1,Input!W340)</f>
        <v>0</v>
      </c>
      <c r="X343" s="138">
        <f>IF(ISTEXT('BS Raw'!S11),'BS Raw'!S98/Input!$B$1,Input!X340)</f>
        <v>0</v>
      </c>
      <c r="Y343" s="138">
        <f>IF(ISTEXT('BS Raw'!T11),'BS Raw'!T98/Input!$B$1,Input!Y340)</f>
        <v>0</v>
      </c>
      <c r="Z343" s="138">
        <f>IF(ISTEXT('BS Raw'!U11),'BS Raw'!U98/Input!$B$1,Input!Z340)</f>
        <v>0</v>
      </c>
      <c r="AA343" s="138"/>
      <c r="AB343" s="139"/>
      <c r="AC343" s="139"/>
      <c r="AD343" s="139"/>
      <c r="AE343" s="139"/>
      <c r="AF343" s="139"/>
      <c r="AG343" s="139"/>
      <c r="AH343" s="139"/>
      <c r="AI343" s="139"/>
      <c r="AJ343" s="139"/>
      <c r="AK343" s="139"/>
      <c r="AL343" s="139"/>
      <c r="AM343" s="139"/>
      <c r="AN343" s="139"/>
      <c r="AO343" s="139"/>
      <c r="AP343" s="139"/>
      <c r="AQ343" s="139"/>
      <c r="AR343" s="139"/>
      <c r="AS343" s="139"/>
      <c r="AT343" s="139"/>
      <c r="AU343" s="139"/>
      <c r="AV343" s="139"/>
      <c r="AW343" s="139"/>
      <c r="AX343" s="139"/>
      <c r="AY343" s="139"/>
      <c r="AZ343" s="139"/>
      <c r="BA343" s="139"/>
      <c r="BB343" s="105"/>
      <c r="BC343" s="111"/>
    </row>
    <row r="344" spans="1:57">
      <c r="A344" s="39"/>
      <c r="D344" s="84"/>
      <c r="E344" s="140"/>
      <c r="F344" s="140"/>
      <c r="G344" s="140"/>
      <c r="H344" s="140"/>
      <c r="I344" s="140"/>
      <c r="J344" s="140"/>
      <c r="K344" s="140"/>
      <c r="L344" s="140"/>
      <c r="M344" s="140"/>
      <c r="N344" s="140"/>
      <c r="O344" s="140"/>
      <c r="P344" s="141"/>
      <c r="Q344" s="140"/>
      <c r="R344" s="140"/>
      <c r="S344" s="140"/>
      <c r="T344" s="140"/>
      <c r="U344" s="140"/>
      <c r="V344" s="140"/>
      <c r="W344" s="140"/>
      <c r="X344" s="140"/>
      <c r="Y344" s="140"/>
      <c r="Z344" s="140"/>
      <c r="AA344" s="140"/>
      <c r="AB344" s="140"/>
      <c r="AC344" s="140"/>
      <c r="AD344" s="140"/>
      <c r="AE344" s="140"/>
      <c r="AF344" s="140"/>
      <c r="AG344" s="140"/>
      <c r="AH344" s="140"/>
      <c r="AI344" s="140"/>
      <c r="AJ344" s="140"/>
      <c r="AK344" s="140"/>
      <c r="AL344" s="140"/>
      <c r="AM344" s="140"/>
      <c r="AN344" s="140"/>
      <c r="AO344" s="140"/>
      <c r="AP344" s="140"/>
      <c r="AQ344" s="140"/>
      <c r="AR344" s="140"/>
      <c r="AS344" s="140"/>
      <c r="AT344" s="140"/>
      <c r="AU344" s="140"/>
      <c r="AV344" s="140"/>
      <c r="AW344" s="140"/>
      <c r="AX344" s="140"/>
      <c r="AY344" s="140"/>
      <c r="AZ344" s="140"/>
      <c r="BA344" s="140"/>
      <c r="BB344" s="85"/>
      <c r="BD344" s="84"/>
      <c r="BE344" s="84"/>
    </row>
    <row r="345" spans="1:57">
      <c r="A345" s="39">
        <v>23</v>
      </c>
      <c r="B345" s="5" t="s">
        <v>535</v>
      </c>
      <c r="D345" s="187"/>
      <c r="E345" s="89"/>
      <c r="F345" s="89"/>
      <c r="G345" s="89"/>
      <c r="H345" s="89"/>
      <c r="I345" s="90"/>
      <c r="J345" s="90"/>
      <c r="K345" s="90">
        <f>'BS Raw'!F97-'BS Raw'!F98-'BS Raw'!F105-'BS Raw'!F106</f>
        <v>137.79715404599995</v>
      </c>
      <c r="L345" s="90">
        <f>'BS Raw'!G97-'BS Raw'!G98-'BS Raw'!G105-'BS Raw'!G106</f>
        <v>203.819014815</v>
      </c>
      <c r="M345" s="90">
        <f>'BS Raw'!H97-'BS Raw'!H98-'BS Raw'!H105-'BS Raw'!H106</f>
        <v>404.73717331400002</v>
      </c>
      <c r="N345" s="90">
        <f>'BS Raw'!I97-'BS Raw'!I98-'BS Raw'!I105-'BS Raw'!I106</f>
        <v>685.92743615300003</v>
      </c>
      <c r="O345" s="90">
        <f>'BS Raw'!J97-'BS Raw'!J98-'BS Raw'!J105-'BS Raw'!J106</f>
        <v>754.36092400999996</v>
      </c>
      <c r="P345" s="90">
        <f>'BS Raw'!K97-'BS Raw'!K98-'BS Raw'!K105-'BS Raw'!K106</f>
        <v>751.41312760000005</v>
      </c>
      <c r="Q345" s="91">
        <f>Q5*Q346</f>
        <v>728.56491970698278</v>
      </c>
      <c r="R345" s="91">
        <f t="shared" ref="R345:Z345" si="235">R5*R346</f>
        <v>830.24173762573196</v>
      </c>
      <c r="S345" s="91">
        <f t="shared" si="235"/>
        <v>910.14162344567421</v>
      </c>
      <c r="T345" s="91">
        <f t="shared" si="235"/>
        <v>1097.4342471955927</v>
      </c>
      <c r="U345" s="91">
        <f t="shared" si="235"/>
        <v>1084.0537994948738</v>
      </c>
      <c r="V345" s="91">
        <f t="shared" si="235"/>
        <v>979.17552859989325</v>
      </c>
      <c r="W345" s="91">
        <f t="shared" si="235"/>
        <v>976.76408958418608</v>
      </c>
      <c r="X345" s="91">
        <f t="shared" si="235"/>
        <v>1017.8855211633892</v>
      </c>
      <c r="Y345" s="91">
        <f t="shared" si="235"/>
        <v>1081.4308550618584</v>
      </c>
      <c r="Z345" s="91">
        <f t="shared" si="235"/>
        <v>1097.4854265784545</v>
      </c>
      <c r="AA345" s="91"/>
      <c r="AB345" s="92"/>
      <c r="AC345" s="92"/>
      <c r="AD345" s="92"/>
      <c r="AE345" s="92"/>
      <c r="AF345" s="92"/>
      <c r="AG345" s="92"/>
      <c r="AH345" s="92"/>
      <c r="AI345" s="92"/>
      <c r="AJ345" s="92"/>
      <c r="AK345" s="92"/>
      <c r="AL345" s="92"/>
      <c r="AM345" s="92"/>
      <c r="AN345" s="92"/>
      <c r="AO345" s="92"/>
      <c r="AP345" s="92"/>
      <c r="AQ345" s="92"/>
      <c r="AR345" s="92"/>
      <c r="AS345" s="92"/>
      <c r="AT345" s="92"/>
      <c r="AU345" s="92"/>
      <c r="AV345" s="92"/>
      <c r="AW345" s="92"/>
      <c r="AX345" s="92"/>
      <c r="AY345" s="92"/>
      <c r="AZ345" s="92"/>
      <c r="BA345" s="92"/>
      <c r="BB345" s="200"/>
      <c r="BD345" s="84"/>
      <c r="BE345" s="84"/>
    </row>
    <row r="346" spans="1:57" s="150" customFormat="1">
      <c r="A346" s="159"/>
      <c r="B346" s="145" t="s">
        <v>319</v>
      </c>
      <c r="C346" s="145"/>
      <c r="E346" s="166"/>
      <c r="F346" s="166"/>
      <c r="G346" s="166"/>
      <c r="H346" s="166"/>
      <c r="I346" s="229"/>
      <c r="J346" s="229"/>
      <c r="K346" s="229">
        <f>K345/K7</f>
        <v>1.9565213838610318E-2</v>
      </c>
      <c r="L346" s="229">
        <f t="shared" ref="L346:P346" si="236">L345/L7</f>
        <v>2.6955640696597925E-2</v>
      </c>
      <c r="M346" s="229">
        <f t="shared" si="236"/>
        <v>4.1007790888659225E-2</v>
      </c>
      <c r="N346" s="229">
        <f t="shared" si="236"/>
        <v>4.3073646178821708E-2</v>
      </c>
      <c r="O346" s="229">
        <f t="shared" si="236"/>
        <v>6.0010214246879919E-2</v>
      </c>
      <c r="P346" s="229">
        <f t="shared" si="236"/>
        <v>5.584395767582831E-2</v>
      </c>
      <c r="Q346" s="230">
        <f>AVERAGE(K346:P346)</f>
        <v>4.1076077254232894E-2</v>
      </c>
      <c r="R346" s="230">
        <f t="shared" ref="R346:Z346" si="237">AVERAGE(L346:Q346)</f>
        <v>4.4661221156836663E-2</v>
      </c>
      <c r="S346" s="230">
        <f t="shared" si="237"/>
        <v>4.7612151233543121E-2</v>
      </c>
      <c r="T346" s="230">
        <f t="shared" si="237"/>
        <v>4.8712877957690436E-2</v>
      </c>
      <c r="U346" s="230">
        <f t="shared" si="237"/>
        <v>4.9652749920835217E-2</v>
      </c>
      <c r="V346" s="230">
        <f t="shared" si="237"/>
        <v>4.792650586649444E-2</v>
      </c>
      <c r="W346" s="230">
        <f t="shared" si="237"/>
        <v>4.6606930564938788E-2</v>
      </c>
      <c r="X346" s="230">
        <f t="shared" si="237"/>
        <v>4.7528739450056444E-2</v>
      </c>
      <c r="Y346" s="230">
        <f t="shared" si="237"/>
        <v>4.8006659165593074E-2</v>
      </c>
      <c r="Z346" s="230">
        <f t="shared" si="237"/>
        <v>4.8072410487601393E-2</v>
      </c>
      <c r="AA346" s="230"/>
      <c r="AB346" s="299"/>
      <c r="AC346" s="299"/>
      <c r="AD346" s="299"/>
      <c r="AE346" s="299"/>
      <c r="AF346" s="299"/>
      <c r="AG346" s="299"/>
      <c r="AH346" s="299"/>
      <c r="AI346" s="299"/>
      <c r="AJ346" s="299"/>
      <c r="AK346" s="299"/>
      <c r="AL346" s="299"/>
      <c r="AM346" s="299"/>
      <c r="AN346" s="299"/>
      <c r="AO346" s="299"/>
      <c r="AP346" s="299"/>
      <c r="AQ346" s="299"/>
      <c r="AR346" s="299"/>
      <c r="AS346" s="299"/>
      <c r="AT346" s="299"/>
      <c r="AU346" s="299"/>
      <c r="AV346" s="299"/>
      <c r="AW346" s="299"/>
      <c r="AX346" s="299"/>
      <c r="AY346" s="299"/>
      <c r="AZ346" s="299"/>
      <c r="BA346" s="299"/>
      <c r="BB346" s="168"/>
      <c r="BC346" s="75"/>
    </row>
    <row r="347" spans="1:57" s="248" customFormat="1">
      <c r="A347" s="103"/>
      <c r="B347" s="104" t="s">
        <v>536</v>
      </c>
      <c r="C347" s="104"/>
      <c r="D347" s="403"/>
      <c r="E347" s="136"/>
      <c r="F347" s="136"/>
      <c r="G347" s="136"/>
      <c r="H347" s="136"/>
      <c r="I347" s="137"/>
      <c r="J347" s="137"/>
      <c r="K347" s="137">
        <f>IF(ISTEXT('BS Raw'!F11),('BS Raw'!F97-'BS Raw'!F98-'BS Raw'!F105-'BS Raw'!F106)/Input!$B$1,K345)</f>
        <v>137.79715404599995</v>
      </c>
      <c r="L347" s="137">
        <f>IF(ISTEXT('BS Raw'!G11),('BS Raw'!G97-'BS Raw'!G98-'BS Raw'!G105-'BS Raw'!G106)/Input!$B$1,L345)</f>
        <v>203.819014815</v>
      </c>
      <c r="M347" s="137">
        <f>IF(ISTEXT('BS Raw'!H11),('BS Raw'!H97-'BS Raw'!H98-'BS Raw'!H105-'BS Raw'!H106)/Input!$B$1,M345)</f>
        <v>404.73717331400002</v>
      </c>
      <c r="N347" s="137">
        <f>IF(ISTEXT('BS Raw'!I11),('BS Raw'!I97-'BS Raw'!I98-'BS Raw'!I105-'BS Raw'!I106)/Input!$B$1,N345)</f>
        <v>685.92743615300003</v>
      </c>
      <c r="O347" s="137">
        <f>IF(ISTEXT('BS Raw'!J11),('BS Raw'!J97-'BS Raw'!J98-'BS Raw'!J105-'BS Raw'!J106)/Input!$B$1,O345)</f>
        <v>754.36092400999996</v>
      </c>
      <c r="P347" s="137">
        <f>IF(ISTEXT('BS Raw'!K11),('BS Raw'!K97-'BS Raw'!K98-'BS Raw'!K105-'BS Raw'!K106)/Input!$B$1,P345)</f>
        <v>751.41312760000005</v>
      </c>
      <c r="Q347" s="138">
        <f>IF(ISTEXT('BS Raw'!L11),('BS Raw'!L97-'BS Raw'!L98-'BS Raw'!L105-'BS Raw'!L106)/Input!$B$1,Q345)</f>
        <v>728.56491970698278</v>
      </c>
      <c r="R347" s="138">
        <f>IF(ISTEXT('BS Raw'!M11),('BS Raw'!M97-'BS Raw'!M98-'BS Raw'!M105-'BS Raw'!M106)/Input!$B$1,R345)</f>
        <v>830.24173762573196</v>
      </c>
      <c r="S347" s="138">
        <f>IF(ISTEXT('BS Raw'!N11),('BS Raw'!N97-'BS Raw'!N98-'BS Raw'!N105-'BS Raw'!N106)/Input!$B$1,S345)</f>
        <v>910.14162344567421</v>
      </c>
      <c r="T347" s="138">
        <f>IF(ISTEXT('BS Raw'!O11),('BS Raw'!O97-'BS Raw'!O98-'BS Raw'!O105-'BS Raw'!O106)/Input!$B$1,T345)</f>
        <v>1097.4342471955927</v>
      </c>
      <c r="U347" s="138">
        <f>IF(ISTEXT('BS Raw'!P11),('BS Raw'!P97-'BS Raw'!P98-'BS Raw'!P105-'BS Raw'!P106)/Input!$B$1,U345)</f>
        <v>1084.0537994948738</v>
      </c>
      <c r="V347" s="138">
        <f>IF(ISTEXT('BS Raw'!Q11),('BS Raw'!Q97-'BS Raw'!Q98-'BS Raw'!Q105-'BS Raw'!Q106)/Input!$B$1,V345)</f>
        <v>979.17552859989325</v>
      </c>
      <c r="W347" s="138">
        <f>IF(ISTEXT('BS Raw'!R11),('BS Raw'!R97-'BS Raw'!R98-'BS Raw'!R105-'BS Raw'!R106)/Input!$B$1,W345)</f>
        <v>976.76408958418608</v>
      </c>
      <c r="X347" s="138">
        <f>IF(ISTEXT('BS Raw'!S11),('BS Raw'!S97-'BS Raw'!S98-'BS Raw'!S105-'BS Raw'!S106)/Input!$B$1,X345)</f>
        <v>1017.8855211633892</v>
      </c>
      <c r="Y347" s="138">
        <f>IF(ISTEXT('BS Raw'!T11),('BS Raw'!T97-'BS Raw'!T98-'BS Raw'!T105-'BS Raw'!T106)/Input!$B$1,Y345)</f>
        <v>1081.4308550618584</v>
      </c>
      <c r="Z347" s="138">
        <f>IF(ISTEXT('BS Raw'!U11),('BS Raw'!U97-'BS Raw'!U98-'BS Raw'!U105-'BS Raw'!U106)/Input!$B$1,Z345)</f>
        <v>1097.4854265784545</v>
      </c>
      <c r="AA347" s="138"/>
      <c r="AB347" s="139"/>
      <c r="AC347" s="139"/>
      <c r="AD347" s="139"/>
      <c r="AE347" s="139"/>
      <c r="AF347" s="139"/>
      <c r="AG347" s="139"/>
      <c r="AH347" s="139"/>
      <c r="AI347" s="139"/>
      <c r="AJ347" s="139"/>
      <c r="AK347" s="139"/>
      <c r="AL347" s="139"/>
      <c r="AM347" s="139"/>
      <c r="AN347" s="139"/>
      <c r="AO347" s="139"/>
      <c r="AP347" s="139"/>
      <c r="AQ347" s="139"/>
      <c r="AR347" s="139"/>
      <c r="AS347" s="139"/>
      <c r="AT347" s="139"/>
      <c r="AU347" s="139"/>
      <c r="AV347" s="139"/>
      <c r="AW347" s="139"/>
      <c r="AX347" s="139"/>
      <c r="AY347" s="139"/>
      <c r="AZ347" s="139"/>
      <c r="BA347" s="139"/>
      <c r="BB347" s="404"/>
      <c r="BC347" s="111"/>
    </row>
    <row r="348" spans="1:57">
      <c r="A348" s="39"/>
      <c r="D348" s="84"/>
      <c r="E348" s="140"/>
      <c r="F348" s="140"/>
      <c r="G348" s="140"/>
      <c r="H348" s="140"/>
      <c r="I348" s="140"/>
      <c r="J348" s="140"/>
      <c r="K348" s="140"/>
      <c r="L348" s="140"/>
      <c r="M348" s="140"/>
      <c r="N348" s="140"/>
      <c r="O348" s="140"/>
      <c r="P348" s="141"/>
      <c r="Q348" s="140"/>
      <c r="R348" s="140"/>
      <c r="S348" s="140"/>
      <c r="T348" s="140"/>
      <c r="U348" s="140"/>
      <c r="V348" s="140"/>
      <c r="W348" s="140"/>
      <c r="X348" s="140"/>
      <c r="Y348" s="140"/>
      <c r="Z348" s="140"/>
      <c r="AA348" s="140"/>
      <c r="AB348" s="140"/>
      <c r="AC348" s="140"/>
      <c r="AD348" s="140"/>
      <c r="AE348" s="140"/>
      <c r="AF348" s="140"/>
      <c r="AG348" s="140"/>
      <c r="AH348" s="140"/>
      <c r="AI348" s="140"/>
      <c r="AJ348" s="140"/>
      <c r="AK348" s="140"/>
      <c r="AL348" s="140"/>
      <c r="AM348" s="140"/>
      <c r="AN348" s="140"/>
      <c r="AO348" s="140"/>
      <c r="AP348" s="140"/>
      <c r="AQ348" s="140"/>
      <c r="AR348" s="140"/>
      <c r="AS348" s="140"/>
      <c r="AT348" s="140"/>
      <c r="AU348" s="140"/>
      <c r="AV348" s="140"/>
      <c r="AW348" s="140"/>
      <c r="AX348" s="140"/>
      <c r="AY348" s="140"/>
      <c r="AZ348" s="140"/>
      <c r="BA348" s="140"/>
      <c r="BB348" s="85"/>
      <c r="BD348" s="84"/>
      <c r="BE348" s="84"/>
    </row>
    <row r="349" spans="1:57">
      <c r="A349" s="39"/>
      <c r="B349" s="476" t="s">
        <v>537</v>
      </c>
      <c r="C349" s="476"/>
      <c r="D349" s="84"/>
      <c r="E349" s="140"/>
      <c r="F349" s="140"/>
      <c r="G349" s="140"/>
      <c r="H349" s="140"/>
      <c r="I349" s="90"/>
      <c r="J349" s="90"/>
      <c r="K349" s="90">
        <f>+K329+K332+K340+K345</f>
        <v>766.26964928699999</v>
      </c>
      <c r="L349" s="90">
        <f t="shared" ref="L349:Z349" si="238">+L329+L332+L340+L345</f>
        <v>340.88123690800001</v>
      </c>
      <c r="M349" s="90">
        <f t="shared" si="238"/>
        <v>407.41351684599999</v>
      </c>
      <c r="N349" s="90">
        <f t="shared" si="238"/>
        <v>686.97591765300001</v>
      </c>
      <c r="O349" s="90">
        <f t="shared" si="238"/>
        <v>757.32540388500001</v>
      </c>
      <c r="P349" s="90">
        <f t="shared" si="238"/>
        <v>870.94062365100001</v>
      </c>
      <c r="Q349" s="142">
        <f t="shared" si="238"/>
        <v>1079.6660584516108</v>
      </c>
      <c r="R349" s="142">
        <f t="shared" si="238"/>
        <v>1327.249817744975</v>
      </c>
      <c r="S349" s="142">
        <f t="shared" si="238"/>
        <v>1493.8568343689687</v>
      </c>
      <c r="T349" s="142">
        <f t="shared" si="238"/>
        <v>1911.7515570691467</v>
      </c>
      <c r="U349" s="142">
        <f t="shared" si="238"/>
        <v>1795.5778162845863</v>
      </c>
      <c r="V349" s="142">
        <f t="shared" si="238"/>
        <v>1554.8355335718131</v>
      </c>
      <c r="W349" s="142">
        <f t="shared" si="238"/>
        <v>1422.0981609414687</v>
      </c>
      <c r="X349" s="142">
        <f t="shared" si="238"/>
        <v>1376.5434422896749</v>
      </c>
      <c r="Y349" s="142">
        <f t="shared" si="238"/>
        <v>1419.292385833649</v>
      </c>
      <c r="Z349" s="142">
        <f t="shared" si="238"/>
        <v>1442.2617190244143</v>
      </c>
      <c r="AA349" s="198"/>
      <c r="AB349" s="194"/>
      <c r="AC349" s="194"/>
      <c r="AD349" s="194"/>
      <c r="AE349" s="194"/>
      <c r="AF349" s="194"/>
      <c r="AG349" s="194"/>
      <c r="AH349" s="194"/>
      <c r="AI349" s="194"/>
      <c r="AJ349" s="194"/>
      <c r="AK349" s="194"/>
      <c r="AL349" s="194"/>
      <c r="AM349" s="194"/>
      <c r="AN349" s="194"/>
      <c r="AO349" s="194"/>
      <c r="AP349" s="194"/>
      <c r="AQ349" s="194"/>
      <c r="AR349" s="194"/>
      <c r="AS349" s="194"/>
      <c r="AT349" s="194"/>
      <c r="AU349" s="194"/>
      <c r="AV349" s="194"/>
      <c r="AW349" s="194"/>
      <c r="AX349" s="194"/>
      <c r="AY349" s="194"/>
      <c r="AZ349" s="194"/>
      <c r="BA349" s="194"/>
      <c r="BB349" s="85"/>
      <c r="BD349" s="84"/>
      <c r="BE349" s="84"/>
    </row>
    <row r="350" spans="1:57" s="18" customFormat="1">
      <c r="A350" s="17"/>
      <c r="B350" s="182" t="s">
        <v>538</v>
      </c>
      <c r="C350" s="182"/>
      <c r="D350" s="183"/>
      <c r="E350" s="184"/>
      <c r="F350" s="184"/>
      <c r="G350" s="184"/>
      <c r="H350" s="184"/>
      <c r="I350" s="185"/>
      <c r="J350" s="185"/>
      <c r="K350" s="185">
        <f>K330+K336+K343+K347</f>
        <v>766.26964928699999</v>
      </c>
      <c r="L350" s="185">
        <f t="shared" ref="L350:Z350" si="239">L330+L336+L343+L347</f>
        <v>340.88123690800001</v>
      </c>
      <c r="M350" s="185">
        <f t="shared" si="239"/>
        <v>407.41351684599999</v>
      </c>
      <c r="N350" s="185">
        <f t="shared" si="239"/>
        <v>686.97591765300001</v>
      </c>
      <c r="O350" s="185">
        <f t="shared" si="239"/>
        <v>757.32540388500001</v>
      </c>
      <c r="P350" s="185">
        <f t="shared" si="239"/>
        <v>870.94062365100001</v>
      </c>
      <c r="Q350" s="477">
        <f t="shared" si="239"/>
        <v>1079.6660584516108</v>
      </c>
      <c r="R350" s="477">
        <f t="shared" si="239"/>
        <v>1327.249817744975</v>
      </c>
      <c r="S350" s="477">
        <f t="shared" si="239"/>
        <v>1493.8568343689687</v>
      </c>
      <c r="T350" s="477">
        <f t="shared" si="239"/>
        <v>1911.7515570691467</v>
      </c>
      <c r="U350" s="477">
        <f t="shared" si="239"/>
        <v>1795.5778162845863</v>
      </c>
      <c r="V350" s="477">
        <f t="shared" si="239"/>
        <v>1554.8355335718131</v>
      </c>
      <c r="W350" s="477">
        <f t="shared" si="239"/>
        <v>1422.0981609414687</v>
      </c>
      <c r="X350" s="477">
        <f t="shared" si="239"/>
        <v>1376.5434422896749</v>
      </c>
      <c r="Y350" s="477">
        <f t="shared" si="239"/>
        <v>1419.292385833649</v>
      </c>
      <c r="Z350" s="477">
        <f t="shared" si="239"/>
        <v>1442.2617190244143</v>
      </c>
      <c r="AA350" s="477"/>
      <c r="AB350" s="478"/>
      <c r="AC350" s="478"/>
      <c r="AD350" s="478"/>
      <c r="AE350" s="478"/>
      <c r="AF350" s="478"/>
      <c r="AG350" s="478"/>
      <c r="AH350" s="478"/>
      <c r="AI350" s="478"/>
      <c r="AJ350" s="478"/>
      <c r="AK350" s="478"/>
      <c r="AL350" s="478"/>
      <c r="AM350" s="478"/>
      <c r="AN350" s="478"/>
      <c r="AO350" s="478"/>
      <c r="AP350" s="478"/>
      <c r="AQ350" s="478"/>
      <c r="AR350" s="478"/>
      <c r="AS350" s="478"/>
      <c r="AT350" s="478"/>
      <c r="AU350" s="478"/>
      <c r="AV350" s="478"/>
      <c r="AW350" s="478"/>
      <c r="AX350" s="478"/>
      <c r="AY350" s="478"/>
      <c r="AZ350" s="478"/>
      <c r="BA350" s="478"/>
      <c r="BB350" s="151"/>
      <c r="BC350" s="75"/>
      <c r="BD350" s="151"/>
      <c r="BE350" s="151"/>
    </row>
    <row r="351" spans="1:57" s="18" customFormat="1">
      <c r="A351" s="17"/>
      <c r="D351" s="151"/>
      <c r="E351" s="20"/>
      <c r="F351" s="20"/>
      <c r="G351" s="20"/>
      <c r="H351" s="20"/>
      <c r="I351" s="20"/>
      <c r="J351" s="20"/>
      <c r="K351" s="20"/>
      <c r="L351" s="20"/>
      <c r="M351" s="20"/>
      <c r="N351" s="20"/>
      <c r="O351" s="20"/>
      <c r="P351" s="479"/>
      <c r="Q351" s="124"/>
      <c r="R351" s="124"/>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151"/>
      <c r="BC351" s="75"/>
      <c r="BD351" s="151"/>
      <c r="BE351" s="151"/>
    </row>
    <row r="352" spans="1:57" s="228" customFormat="1">
      <c r="A352" s="86"/>
      <c r="B352" s="87" t="s">
        <v>539</v>
      </c>
      <c r="C352" s="87"/>
      <c r="E352" s="89"/>
      <c r="F352" s="89"/>
      <c r="G352" s="89"/>
      <c r="H352" s="89"/>
      <c r="K352" s="228">
        <f>K349+K295</f>
        <v>4066.2675026669999</v>
      </c>
      <c r="L352" s="228">
        <f t="shared" ref="L352:Z352" si="240">L349+L295</f>
        <v>2391.033021663</v>
      </c>
      <c r="M352" s="228">
        <f t="shared" si="240"/>
        <v>3594.0240595390005</v>
      </c>
      <c r="N352" s="228">
        <f t="shared" si="240"/>
        <v>3561.4119034959999</v>
      </c>
      <c r="O352" s="228">
        <f t="shared" si="240"/>
        <v>5274.5831931410003</v>
      </c>
      <c r="P352" s="228">
        <f t="shared" si="240"/>
        <v>5551.670737163</v>
      </c>
      <c r="Q352" s="854">
        <f t="shared" ca="1" si="240"/>
        <v>6664.10857546445</v>
      </c>
      <c r="R352" s="854">
        <f t="shared" ca="1" si="240"/>
        <v>6932.1488371950463</v>
      </c>
      <c r="S352" s="854">
        <f t="shared" ca="1" si="240"/>
        <v>7180.0111798205189</v>
      </c>
      <c r="T352" s="854">
        <f t="shared" ca="1" si="240"/>
        <v>8786.2945365719133</v>
      </c>
      <c r="U352" s="854">
        <f t="shared" ca="1" si="240"/>
        <v>8749.4066468049132</v>
      </c>
      <c r="V352" s="854">
        <f t="shared" ca="1" si="240"/>
        <v>7793.0509244334044</v>
      </c>
      <c r="W352" s="854">
        <f t="shared" ca="1" si="240"/>
        <v>7684.8037061454088</v>
      </c>
      <c r="X352" s="854">
        <f t="shared" ca="1" si="240"/>
        <v>7799.9584789970149</v>
      </c>
      <c r="Y352" s="854">
        <f t="shared" ca="1" si="240"/>
        <v>8133.193712857932</v>
      </c>
      <c r="Z352" s="854">
        <f t="shared" ca="1" si="240"/>
        <v>8266.2812582992356</v>
      </c>
      <c r="AA352" s="142"/>
      <c r="AB352" s="143"/>
      <c r="AC352" s="143"/>
      <c r="AD352" s="143"/>
      <c r="AE352" s="143"/>
      <c r="AF352" s="143"/>
      <c r="AG352" s="143"/>
      <c r="AH352" s="143"/>
      <c r="AI352" s="143"/>
      <c r="AJ352" s="143"/>
      <c r="AK352" s="143"/>
      <c r="AL352" s="143"/>
      <c r="AM352" s="143"/>
      <c r="AN352" s="143"/>
      <c r="AO352" s="143"/>
      <c r="AP352" s="143"/>
      <c r="AQ352" s="143"/>
      <c r="AR352" s="143"/>
      <c r="AS352" s="143"/>
      <c r="AT352" s="143"/>
      <c r="AU352" s="143"/>
      <c r="AV352" s="143"/>
      <c r="AW352" s="143"/>
      <c r="AX352" s="143"/>
      <c r="AY352" s="143"/>
      <c r="AZ352" s="143"/>
      <c r="BA352" s="143"/>
      <c r="BC352" s="94"/>
    </row>
    <row r="353" spans="1:57" s="248" customFormat="1">
      <c r="A353" s="103"/>
      <c r="B353" s="104" t="s">
        <v>539</v>
      </c>
      <c r="C353" s="104"/>
      <c r="D353" s="403"/>
      <c r="E353" s="136"/>
      <c r="F353" s="136"/>
      <c r="G353" s="136"/>
      <c r="H353" s="136"/>
      <c r="I353" s="137"/>
      <c r="J353" s="137"/>
      <c r="K353" s="137">
        <f>K296+K350</f>
        <v>4066.2675026669999</v>
      </c>
      <c r="L353" s="137">
        <f t="shared" ref="L353:Z353" si="241">L296+L350</f>
        <v>2391.033021663</v>
      </c>
      <c r="M353" s="137">
        <f t="shared" si="241"/>
        <v>3594.0240595390005</v>
      </c>
      <c r="N353" s="137">
        <f t="shared" si="241"/>
        <v>3561.4119034959999</v>
      </c>
      <c r="O353" s="137">
        <f t="shared" si="241"/>
        <v>5274.5831931410003</v>
      </c>
      <c r="P353" s="137">
        <f t="shared" si="241"/>
        <v>5551.670737163</v>
      </c>
      <c r="Q353" s="2592">
        <f t="shared" ca="1" si="241"/>
        <v>6664.10857546445</v>
      </c>
      <c r="R353" s="2592">
        <f t="shared" ca="1" si="241"/>
        <v>6932.1488371950463</v>
      </c>
      <c r="S353" s="2592">
        <f t="shared" ca="1" si="241"/>
        <v>7180.0111798205189</v>
      </c>
      <c r="T353" s="2592">
        <f t="shared" ca="1" si="241"/>
        <v>8786.2945365719133</v>
      </c>
      <c r="U353" s="2592">
        <f t="shared" ca="1" si="241"/>
        <v>8749.4066468049132</v>
      </c>
      <c r="V353" s="2592">
        <f t="shared" ca="1" si="241"/>
        <v>7793.0509244334044</v>
      </c>
      <c r="W353" s="2592">
        <f t="shared" ca="1" si="241"/>
        <v>7684.8037061454088</v>
      </c>
      <c r="X353" s="2592">
        <f t="shared" ca="1" si="241"/>
        <v>7799.9584789970149</v>
      </c>
      <c r="Y353" s="2592">
        <f t="shared" ca="1" si="241"/>
        <v>8133.193712857932</v>
      </c>
      <c r="Z353" s="2592">
        <f t="shared" ca="1" si="241"/>
        <v>8266.2812582992356</v>
      </c>
      <c r="AA353" s="138"/>
      <c r="AB353" s="139"/>
      <c r="AC353" s="139"/>
      <c r="AD353" s="139"/>
      <c r="AE353" s="139"/>
      <c r="AF353" s="139"/>
      <c r="AG353" s="139"/>
      <c r="AH353" s="139"/>
      <c r="AI353" s="139"/>
      <c r="AJ353" s="139"/>
      <c r="AK353" s="139"/>
      <c r="AL353" s="139"/>
      <c r="AM353" s="139"/>
      <c r="AN353" s="139"/>
      <c r="AO353" s="139"/>
      <c r="AP353" s="139"/>
      <c r="AQ353" s="139"/>
      <c r="AR353" s="139"/>
      <c r="AS353" s="139"/>
      <c r="AT353" s="139"/>
      <c r="AU353" s="139"/>
      <c r="AV353" s="139"/>
      <c r="AW353" s="139"/>
      <c r="AX353" s="139"/>
      <c r="AY353" s="139"/>
      <c r="AZ353" s="139"/>
      <c r="BA353" s="139"/>
      <c r="BB353" s="403"/>
      <c r="BC353" s="111"/>
    </row>
    <row r="354" spans="1:57" s="384" customFormat="1">
      <c r="A354" s="383"/>
      <c r="B354" s="384" t="s">
        <v>383</v>
      </c>
      <c r="D354" s="385"/>
      <c r="E354" s="386"/>
      <c r="F354" s="386"/>
      <c r="G354" s="386"/>
      <c r="H354" s="386"/>
      <c r="I354" s="387"/>
      <c r="J354" s="387"/>
      <c r="K354" s="387"/>
      <c r="L354" s="387"/>
      <c r="M354" s="387"/>
      <c r="N354" s="387"/>
      <c r="O354" s="387"/>
      <c r="P354" s="680"/>
      <c r="Q354" s="387"/>
      <c r="R354" s="387"/>
      <c r="S354" s="387"/>
      <c r="T354" s="387"/>
      <c r="U354" s="387"/>
      <c r="V354" s="387"/>
      <c r="W354" s="387"/>
      <c r="X354" s="387"/>
      <c r="Y354" s="387"/>
      <c r="Z354" s="387"/>
      <c r="AA354" s="386"/>
      <c r="AB354" s="386"/>
      <c r="AC354" s="386"/>
      <c r="AD354" s="386"/>
      <c r="AE354" s="386"/>
      <c r="AF354" s="386"/>
      <c r="AG354" s="386"/>
      <c r="AH354" s="386"/>
      <c r="AI354" s="386"/>
      <c r="AJ354" s="386"/>
      <c r="AK354" s="386"/>
      <c r="AL354" s="386"/>
      <c r="AM354" s="386"/>
      <c r="AN354" s="386"/>
      <c r="AO354" s="386"/>
      <c r="AP354" s="386"/>
      <c r="AQ354" s="386"/>
      <c r="AR354" s="386"/>
      <c r="AS354" s="386"/>
      <c r="AT354" s="386"/>
      <c r="AU354" s="386"/>
      <c r="AV354" s="386"/>
      <c r="AW354" s="386"/>
      <c r="AX354" s="386"/>
      <c r="AY354" s="386"/>
      <c r="AZ354" s="386"/>
      <c r="BA354" s="386"/>
      <c r="BB354" s="385"/>
      <c r="BC354" s="388"/>
      <c r="BD354" s="385"/>
      <c r="BE354" s="385"/>
    </row>
    <row r="355" spans="1:57">
      <c r="A355" s="39"/>
      <c r="D355" s="84"/>
      <c r="E355" s="140"/>
      <c r="F355" s="140"/>
      <c r="G355" s="140"/>
      <c r="H355" s="140"/>
      <c r="I355" s="140"/>
      <c r="J355" s="140"/>
      <c r="K355" s="140"/>
      <c r="L355" s="140"/>
      <c r="M355" s="140"/>
      <c r="N355" s="140"/>
      <c r="O355" s="140"/>
      <c r="P355" s="141"/>
      <c r="Q355" s="140"/>
      <c r="R355" s="140"/>
      <c r="S355" s="140"/>
      <c r="T355" s="140"/>
      <c r="U355" s="140"/>
      <c r="V355" s="140"/>
      <c r="W355" s="140"/>
      <c r="X355" s="140"/>
      <c r="Y355" s="140"/>
      <c r="Z355" s="140"/>
      <c r="AA355" s="140"/>
      <c r="AB355" s="140"/>
      <c r="AC355" s="140"/>
      <c r="AD355" s="140"/>
      <c r="AE355" s="140"/>
      <c r="AF355" s="140"/>
      <c r="AG355" s="140"/>
      <c r="AH355" s="140"/>
      <c r="AI355" s="140"/>
      <c r="AJ355" s="140"/>
      <c r="AK355" s="140"/>
      <c r="AL355" s="140"/>
      <c r="AM355" s="140"/>
      <c r="AN355" s="140"/>
      <c r="AO355" s="140"/>
      <c r="AP355" s="140"/>
      <c r="AQ355" s="140"/>
      <c r="AR355" s="140"/>
      <c r="AS355" s="140"/>
      <c r="AT355" s="140"/>
      <c r="AU355" s="140"/>
      <c r="AV355" s="140"/>
      <c r="AW355" s="140"/>
      <c r="AX355" s="140"/>
      <c r="AY355" s="140"/>
      <c r="AZ355" s="140"/>
      <c r="BA355" s="140"/>
      <c r="BB355" s="85"/>
      <c r="BD355" s="84"/>
      <c r="BE355" s="84"/>
    </row>
    <row r="356" spans="1:57">
      <c r="A356" s="39"/>
      <c r="B356" s="321" t="s">
        <v>540</v>
      </c>
      <c r="C356" s="321"/>
      <c r="D356" s="84"/>
      <c r="E356" s="140"/>
      <c r="F356" s="140"/>
      <c r="G356" s="140"/>
      <c r="H356" s="140"/>
      <c r="I356" s="140"/>
      <c r="J356" s="140"/>
      <c r="K356" s="2589">
        <f>K357/K92</f>
        <v>6.3774561691742698E-2</v>
      </c>
      <c r="L356" s="2589">
        <f t="shared" ref="L356:P356" si="242">L357/L92</f>
        <v>3.9772921580122349E-2</v>
      </c>
      <c r="M356" s="2589">
        <f t="shared" si="242"/>
        <v>1.4559898633521562E-2</v>
      </c>
      <c r="N356" s="2589">
        <f t="shared" si="242"/>
        <v>6.7444552063284161E-3</v>
      </c>
      <c r="O356" s="2589">
        <f t="shared" si="242"/>
        <v>2.4853620559025992E-2</v>
      </c>
      <c r="P356" s="2589">
        <f t="shared" si="242"/>
        <v>2.295941601816184E-2</v>
      </c>
      <c r="Q356" s="2558">
        <f>AVERAGE(L356:P356)</f>
        <v>2.1778062399432033E-2</v>
      </c>
      <c r="R356" s="2558">
        <f t="shared" ref="R356:Z356" si="243">AVERAGE(M356:Q356)</f>
        <v>1.8179090563293969E-2</v>
      </c>
      <c r="S356" s="2558">
        <f t="shared" si="243"/>
        <v>1.890292894924845E-2</v>
      </c>
      <c r="T356" s="2558">
        <f t="shared" si="243"/>
        <v>2.1334623697832455E-2</v>
      </c>
      <c r="U356" s="2558">
        <f t="shared" si="243"/>
        <v>2.0630824325593749E-2</v>
      </c>
      <c r="V356" s="2558">
        <f t="shared" si="243"/>
        <v>2.0165105987080132E-2</v>
      </c>
      <c r="W356" s="2558">
        <f t="shared" si="243"/>
        <v>1.9842514704609751E-2</v>
      </c>
      <c r="X356" s="2558">
        <f t="shared" si="243"/>
        <v>2.0175199532872907E-2</v>
      </c>
      <c r="Y356" s="2558">
        <f t="shared" si="243"/>
        <v>2.0429653649597798E-2</v>
      </c>
      <c r="Z356" s="2558">
        <f t="shared" si="243"/>
        <v>2.0248659639950865E-2</v>
      </c>
      <c r="AA356" s="194"/>
      <c r="AB356" s="140"/>
      <c r="AC356" s="140"/>
      <c r="AD356" s="140"/>
      <c r="AE356" s="140"/>
      <c r="AF356" s="140"/>
      <c r="AG356" s="140"/>
      <c r="AH356" s="140"/>
      <c r="AI356" s="140"/>
      <c r="AJ356" s="140"/>
      <c r="AK356" s="140"/>
      <c r="AL356" s="140"/>
      <c r="AM356" s="140"/>
      <c r="AN356" s="140"/>
      <c r="AO356" s="140"/>
      <c r="AP356" s="140"/>
      <c r="AQ356" s="140"/>
      <c r="AR356" s="140"/>
      <c r="AS356" s="140"/>
      <c r="AT356" s="140"/>
      <c r="AU356" s="140"/>
      <c r="AV356" s="140"/>
      <c r="AW356" s="140"/>
      <c r="AX356" s="140"/>
      <c r="AY356" s="140"/>
      <c r="AZ356" s="140"/>
      <c r="BA356" s="140"/>
      <c r="BB356" s="85"/>
      <c r="BD356" s="84"/>
      <c r="BE356" s="84"/>
    </row>
    <row r="357" spans="1:57">
      <c r="A357" s="39">
        <v>24</v>
      </c>
      <c r="B357" s="5" t="s">
        <v>541</v>
      </c>
      <c r="D357" s="84"/>
      <c r="E357" s="128"/>
      <c r="F357" s="128"/>
      <c r="G357" s="128"/>
      <c r="H357" s="128"/>
      <c r="I357" s="129"/>
      <c r="J357" s="129"/>
      <c r="K357" s="129">
        <f>'BS Raw'!F130/Input!$B$1</f>
        <v>27.277893347999999</v>
      </c>
      <c r="L357" s="129">
        <f>'BS Raw'!G130/Input!$B$1</f>
        <v>26.347426104</v>
      </c>
      <c r="M357" s="129">
        <f>'BS Raw'!H130/Input!$B$1</f>
        <v>26.588184510000001</v>
      </c>
      <c r="N357" s="129">
        <f>'BS Raw'!I130/Input!$B$1</f>
        <v>29.143335456999999</v>
      </c>
      <c r="O357" s="129">
        <f>'BS Raw'!J130/Input!$B$1</f>
        <v>27.591065852</v>
      </c>
      <c r="P357" s="129">
        <f>'BS Raw'!K130/Input!$B$1</f>
        <v>32.786197180000002</v>
      </c>
      <c r="Q357" s="91">
        <f ca="1">Q92*Q356</f>
        <v>48.149162311134603</v>
      </c>
      <c r="R357" s="91">
        <f t="shared" ref="R357:Z357" ca="1" si="244">R92*R356</f>
        <v>45.498539888053095</v>
      </c>
      <c r="S357" s="91">
        <f t="shared" ca="1" si="244"/>
        <v>55.382793734507047</v>
      </c>
      <c r="T357" s="91">
        <f t="shared" ca="1" si="244"/>
        <v>97.66230743771861</v>
      </c>
      <c r="U357" s="91">
        <f t="shared" ca="1" si="244"/>
        <v>80.745424434172804</v>
      </c>
      <c r="V357" s="91">
        <f t="shared" ca="1" si="244"/>
        <v>68.905249931371188</v>
      </c>
      <c r="W357" s="91">
        <f t="shared" ca="1" si="244"/>
        <v>67.865637208497702</v>
      </c>
      <c r="X357" s="91">
        <f t="shared" ca="1" si="244"/>
        <v>76.649715897064851</v>
      </c>
      <c r="Y357" s="91">
        <f t="shared" ca="1" si="244"/>
        <v>89.450094767857664</v>
      </c>
      <c r="Z357" s="91">
        <f t="shared" ca="1" si="244"/>
        <v>87.922377717965901</v>
      </c>
      <c r="AA357" s="91"/>
      <c r="AB357" s="92"/>
      <c r="AC357" s="92"/>
      <c r="AD357" s="92"/>
      <c r="AE357" s="92"/>
      <c r="AF357" s="92"/>
      <c r="AG357" s="92"/>
      <c r="AH357" s="92"/>
      <c r="AI357" s="92"/>
      <c r="AJ357" s="92"/>
      <c r="AK357" s="92"/>
      <c r="AL357" s="92"/>
      <c r="AM357" s="92"/>
      <c r="AN357" s="92"/>
      <c r="AO357" s="92"/>
      <c r="AP357" s="92"/>
      <c r="AQ357" s="92"/>
      <c r="AR357" s="92"/>
      <c r="AS357" s="92"/>
      <c r="AT357" s="92"/>
      <c r="AU357" s="92"/>
      <c r="AV357" s="92"/>
      <c r="AW357" s="92"/>
      <c r="AX357" s="92"/>
      <c r="AY357" s="92"/>
      <c r="AZ357" s="92"/>
      <c r="BA357" s="92"/>
      <c r="BB357" s="200"/>
      <c r="BC357" s="94"/>
      <c r="BD357" s="84"/>
      <c r="BE357" s="84"/>
    </row>
    <row r="358" spans="1:57">
      <c r="A358" s="39"/>
      <c r="B358" s="118" t="s">
        <v>542</v>
      </c>
      <c r="C358" s="118"/>
      <c r="D358" s="84"/>
      <c r="E358" s="140"/>
      <c r="F358" s="140"/>
      <c r="G358" s="140"/>
      <c r="H358" s="140"/>
      <c r="I358" s="140"/>
      <c r="J358" s="140"/>
      <c r="K358" s="140"/>
      <c r="L358" s="140"/>
      <c r="M358" s="140"/>
      <c r="N358" s="140"/>
      <c r="O358" s="140"/>
      <c r="P358" s="141"/>
      <c r="Q358" s="198"/>
      <c r="R358" s="198"/>
      <c r="S358" s="198"/>
      <c r="T358" s="198"/>
      <c r="U358" s="198"/>
      <c r="V358" s="198"/>
      <c r="W358" s="198"/>
      <c r="X358" s="198"/>
      <c r="Y358" s="198"/>
      <c r="Z358" s="198"/>
      <c r="AA358" s="198"/>
      <c r="AB358" s="194"/>
      <c r="AC358" s="194"/>
      <c r="AD358" s="194"/>
      <c r="AE358" s="194"/>
      <c r="AF358" s="194"/>
      <c r="AG358" s="194"/>
      <c r="AH358" s="194"/>
      <c r="AI358" s="194"/>
      <c r="AJ358" s="194"/>
      <c r="AK358" s="194"/>
      <c r="AL358" s="194"/>
      <c r="AM358" s="194"/>
      <c r="AN358" s="194"/>
      <c r="AO358" s="194"/>
      <c r="AP358" s="194"/>
      <c r="AQ358" s="194"/>
      <c r="AR358" s="194"/>
      <c r="AS358" s="194"/>
      <c r="AT358" s="194"/>
      <c r="AU358" s="194"/>
      <c r="AV358" s="194"/>
      <c r="AW358" s="194"/>
      <c r="AX358" s="194"/>
      <c r="AY358" s="194"/>
      <c r="AZ358" s="194"/>
      <c r="BA358" s="194"/>
      <c r="BB358" s="85"/>
      <c r="BD358" s="84"/>
      <c r="BE358" s="84"/>
    </row>
    <row r="359" spans="1:57" s="88" customFormat="1">
      <c r="A359" s="103"/>
      <c r="B359" s="104" t="s">
        <v>543</v>
      </c>
      <c r="C359" s="104"/>
      <c r="D359" s="105"/>
      <c r="E359" s="106"/>
      <c r="F359" s="106"/>
      <c r="G359" s="106"/>
      <c r="H359" s="106"/>
      <c r="I359" s="107"/>
      <c r="J359" s="107"/>
      <c r="K359" s="107">
        <f>IF(ISTEXT('BS Raw'!F11),'BS Raw'!F130/Input!$B$1,Input!K357)</f>
        <v>27.277893347999999</v>
      </c>
      <c r="L359" s="107">
        <f>IF(ISTEXT('BS Raw'!G11),'BS Raw'!G130/Input!$B$1,Input!L357)</f>
        <v>26.347426104</v>
      </c>
      <c r="M359" s="107">
        <f>IF(ISTEXT('BS Raw'!H11),'BS Raw'!H130/Input!$B$1,Input!M357)</f>
        <v>26.588184510000001</v>
      </c>
      <c r="N359" s="107">
        <f>IF(ISTEXT('BS Raw'!I11),'BS Raw'!I130/Input!$B$1,Input!N357)</f>
        <v>29.143335456999999</v>
      </c>
      <c r="O359" s="107">
        <f>IF(ISTEXT('BS Raw'!J11),'BS Raw'!J130/Input!$B$1,Input!O357)</f>
        <v>27.591065852</v>
      </c>
      <c r="P359" s="107">
        <f>IF(ISTEXT('BS Raw'!K11),'BS Raw'!K130/Input!$B$1,Input!P357)</f>
        <v>32.786197180000002</v>
      </c>
      <c r="Q359" s="107">
        <f ca="1">IF(ISTEXT('BS Raw'!L11),'BS Raw'!L130/Input!$B$1,Input!Q357)</f>
        <v>48.149162311134603</v>
      </c>
      <c r="R359" s="107">
        <f ca="1">IF(ISTEXT('BS Raw'!M11),'BS Raw'!M130/Input!$B$1,Input!R357)</f>
        <v>45.498539888053095</v>
      </c>
      <c r="S359" s="107">
        <f ca="1">IF(ISTEXT('BS Raw'!N11),'BS Raw'!N130/Input!$B$1,Input!S357)</f>
        <v>55.382793734507047</v>
      </c>
      <c r="T359" s="107">
        <f ca="1">IF(ISTEXT('BS Raw'!O11),'BS Raw'!O130/Input!$B$1,Input!T357)</f>
        <v>97.66230743771861</v>
      </c>
      <c r="U359" s="107">
        <f ca="1">IF(ISTEXT('BS Raw'!P11),'BS Raw'!P130/Input!$B$1,Input!U357)</f>
        <v>80.745424434172804</v>
      </c>
      <c r="V359" s="107">
        <f ca="1">IF(ISTEXT('BS Raw'!Q11),'BS Raw'!Q130/Input!$B$1,Input!V357)</f>
        <v>68.905249931371188</v>
      </c>
      <c r="W359" s="107">
        <f ca="1">IF(ISTEXT('BS Raw'!R11),'BS Raw'!R130/Input!$B$1,Input!W357)</f>
        <v>67.865637208497702</v>
      </c>
      <c r="X359" s="107">
        <f ca="1">IF(ISTEXT('BS Raw'!S11),'BS Raw'!S130/Input!$B$1,Input!X357)</f>
        <v>76.649715897064851</v>
      </c>
      <c r="Y359" s="107">
        <f ca="1">IF(ISTEXT('BS Raw'!T11),'BS Raw'!T130/Input!$B$1,Input!Y357)</f>
        <v>89.450094767857664</v>
      </c>
      <c r="Z359" s="107">
        <f ca="1">IF(ISTEXT('BS Raw'!U11),'BS Raw'!U130/Input!$B$1,Input!Z357)</f>
        <v>87.922377717965901</v>
      </c>
      <c r="AA359" s="108"/>
      <c r="AB359" s="109"/>
      <c r="AC359" s="109"/>
      <c r="AD359" s="109"/>
      <c r="AE359" s="109"/>
      <c r="AF359" s="109"/>
      <c r="AG359" s="109"/>
      <c r="AH359" s="109"/>
      <c r="AI359" s="109"/>
      <c r="AJ359" s="109"/>
      <c r="AK359" s="109"/>
      <c r="AL359" s="109"/>
      <c r="AM359" s="109"/>
      <c r="AN359" s="109"/>
      <c r="AO359" s="109"/>
      <c r="AP359" s="109"/>
      <c r="AQ359" s="109"/>
      <c r="AR359" s="109"/>
      <c r="AS359" s="109"/>
      <c r="AT359" s="109"/>
      <c r="AU359" s="109"/>
      <c r="AV359" s="109"/>
      <c r="AW359" s="109"/>
      <c r="AX359" s="109"/>
      <c r="AY359" s="109"/>
      <c r="AZ359" s="109"/>
      <c r="BA359" s="109"/>
      <c r="BB359" s="110"/>
      <c r="BC359" s="111"/>
    </row>
    <row r="360" spans="1:57">
      <c r="A360" s="39"/>
      <c r="D360" s="84"/>
      <c r="E360" s="140"/>
      <c r="F360" s="140"/>
      <c r="G360" s="140"/>
      <c r="H360" s="140"/>
      <c r="I360" s="140"/>
      <c r="J360" s="140"/>
      <c r="K360" s="140"/>
      <c r="L360" s="140"/>
      <c r="M360" s="140"/>
      <c r="N360" s="140"/>
      <c r="O360" s="140"/>
      <c r="P360" s="141"/>
      <c r="Q360" s="140"/>
      <c r="R360" s="140"/>
      <c r="S360" s="140"/>
      <c r="T360" s="140"/>
      <c r="U360" s="140"/>
      <c r="V360" s="140"/>
      <c r="W360" s="140"/>
      <c r="X360" s="140"/>
      <c r="Y360" s="140"/>
      <c r="Z360" s="140"/>
      <c r="AA360" s="140"/>
      <c r="AB360" s="140"/>
      <c r="AC360" s="140"/>
      <c r="AD360" s="140"/>
      <c r="AE360" s="140"/>
      <c r="AF360" s="140"/>
      <c r="AG360" s="140"/>
      <c r="AH360" s="140"/>
      <c r="AI360" s="140"/>
      <c r="AJ360" s="140"/>
      <c r="AK360" s="140"/>
      <c r="AL360" s="140"/>
      <c r="AM360" s="140"/>
      <c r="AN360" s="140"/>
      <c r="AO360" s="140"/>
      <c r="AP360" s="140"/>
      <c r="AQ360" s="140"/>
      <c r="AR360" s="140"/>
      <c r="AS360" s="140"/>
      <c r="AT360" s="140"/>
      <c r="AU360" s="140"/>
      <c r="AV360" s="140"/>
      <c r="AW360" s="140"/>
      <c r="AX360" s="140"/>
      <c r="AY360" s="140"/>
      <c r="AZ360" s="140"/>
      <c r="BA360" s="140"/>
      <c r="BB360" s="85"/>
      <c r="BD360" s="84"/>
      <c r="BE360" s="84"/>
    </row>
    <row r="361" spans="1:57">
      <c r="A361" s="39"/>
      <c r="B361" s="321" t="s">
        <v>544</v>
      </c>
      <c r="C361" s="321"/>
      <c r="D361" s="84"/>
      <c r="E361" s="140"/>
      <c r="F361" s="140"/>
      <c r="G361" s="140"/>
      <c r="H361" s="140"/>
      <c r="I361" s="140"/>
      <c r="J361" s="140"/>
      <c r="K361" s="140"/>
      <c r="L361" s="140"/>
      <c r="M361" s="140"/>
      <c r="N361" s="140"/>
      <c r="O361" s="140"/>
      <c r="P361" s="141"/>
      <c r="Q361" s="140"/>
      <c r="R361" s="140"/>
      <c r="S361" s="140"/>
      <c r="T361" s="140"/>
      <c r="U361" s="140"/>
      <c r="V361" s="140"/>
      <c r="W361" s="140"/>
      <c r="X361" s="140"/>
      <c r="Y361" s="140"/>
      <c r="Z361" s="140"/>
      <c r="AA361" s="140"/>
      <c r="AB361" s="140"/>
      <c r="AC361" s="140"/>
      <c r="AD361" s="140"/>
      <c r="AE361" s="140"/>
      <c r="AF361" s="140"/>
      <c r="AG361" s="140"/>
      <c r="AH361" s="140"/>
      <c r="AI361" s="140"/>
      <c r="AJ361" s="140"/>
      <c r="AK361" s="140"/>
      <c r="AL361" s="140"/>
      <c r="AM361" s="140"/>
      <c r="AN361" s="140"/>
      <c r="AO361" s="140"/>
      <c r="AP361" s="140"/>
      <c r="AQ361" s="140"/>
      <c r="AR361" s="140"/>
      <c r="AS361" s="140"/>
      <c r="AT361" s="140"/>
      <c r="AU361" s="140"/>
      <c r="AV361" s="140"/>
      <c r="AW361" s="140"/>
      <c r="AX361" s="140"/>
      <c r="AY361" s="140"/>
      <c r="AZ361" s="140"/>
      <c r="BA361" s="140"/>
      <c r="BB361" s="85"/>
      <c r="BD361" s="84"/>
      <c r="BE361" s="84"/>
    </row>
    <row r="362" spans="1:57">
      <c r="A362" s="39">
        <v>25</v>
      </c>
      <c r="B362" s="5" t="s">
        <v>545</v>
      </c>
      <c r="D362" s="84"/>
      <c r="E362" s="128"/>
      <c r="F362" s="128"/>
      <c r="G362" s="128"/>
      <c r="H362" s="128"/>
      <c r="I362" s="129"/>
      <c r="J362" s="129"/>
      <c r="K362" s="129">
        <f>'BS Raw'!F107/Input!$B$1</f>
        <v>0</v>
      </c>
      <c r="L362" s="129">
        <f>'BS Raw'!G107/Input!$B$1</f>
        <v>0</v>
      </c>
      <c r="M362" s="129">
        <f>'BS Raw'!H107/Input!$B$1</f>
        <v>0</v>
      </c>
      <c r="N362" s="129">
        <f>'BS Raw'!I107/Input!$B$1</f>
        <v>0</v>
      </c>
      <c r="O362" s="129">
        <f>'BS Raw'!J107/Input!$B$1</f>
        <v>0</v>
      </c>
      <c r="P362" s="129">
        <f>'BS Raw'!K107/Input!$B$1</f>
        <v>0</v>
      </c>
      <c r="Q362" s="91">
        <f>+P362+Q365</f>
        <v>0</v>
      </c>
      <c r="R362" s="91">
        <f t="shared" ref="R362:Z362" si="245">+Q362+R365</f>
        <v>0</v>
      </c>
      <c r="S362" s="91">
        <f t="shared" si="245"/>
        <v>0</v>
      </c>
      <c r="T362" s="91">
        <f t="shared" si="245"/>
        <v>0</v>
      </c>
      <c r="U362" s="91">
        <f t="shared" si="245"/>
        <v>0</v>
      </c>
      <c r="V362" s="91">
        <f t="shared" si="245"/>
        <v>0</v>
      </c>
      <c r="W362" s="91">
        <f t="shared" si="245"/>
        <v>0</v>
      </c>
      <c r="X362" s="91">
        <f t="shared" si="245"/>
        <v>0</v>
      </c>
      <c r="Y362" s="91">
        <f t="shared" si="245"/>
        <v>0</v>
      </c>
      <c r="Z362" s="91">
        <f t="shared" si="245"/>
        <v>0</v>
      </c>
      <c r="AA362" s="91"/>
      <c r="AB362" s="92"/>
      <c r="AC362" s="92"/>
      <c r="AD362" s="92"/>
      <c r="AE362" s="92"/>
      <c r="AF362" s="92"/>
      <c r="AG362" s="92"/>
      <c r="AH362" s="92"/>
      <c r="AI362" s="92"/>
      <c r="AJ362" s="92"/>
      <c r="AK362" s="92"/>
      <c r="AL362" s="92"/>
      <c r="AM362" s="92"/>
      <c r="AN362" s="92"/>
      <c r="AO362" s="92"/>
      <c r="AP362" s="92"/>
      <c r="AQ362" s="92"/>
      <c r="AR362" s="92"/>
      <c r="AS362" s="92"/>
      <c r="AT362" s="92"/>
      <c r="AU362" s="92"/>
      <c r="AV362" s="92"/>
      <c r="AW362" s="92"/>
      <c r="AX362" s="92"/>
      <c r="AY362" s="92"/>
      <c r="AZ362" s="92"/>
      <c r="BA362" s="92"/>
      <c r="BB362" s="200"/>
      <c r="BC362" s="94"/>
      <c r="BD362" s="84"/>
      <c r="BE362" s="84"/>
    </row>
    <row r="363" spans="1:57" s="150" customFormat="1">
      <c r="A363" s="159"/>
      <c r="B363" s="145" t="s">
        <v>546</v>
      </c>
      <c r="C363" s="145"/>
      <c r="E363" s="168"/>
      <c r="F363" s="168"/>
      <c r="G363" s="168"/>
      <c r="H363" s="168"/>
      <c r="I363" s="168"/>
      <c r="J363" s="168"/>
      <c r="K363" s="168"/>
      <c r="L363" s="168"/>
      <c r="M363" s="168"/>
      <c r="N363" s="168"/>
      <c r="O363" s="168"/>
      <c r="P363" s="343"/>
      <c r="Q363" s="231"/>
      <c r="R363" s="231"/>
      <c r="S363" s="231"/>
      <c r="T363" s="231"/>
      <c r="U363" s="231"/>
      <c r="V363" s="231"/>
      <c r="W363" s="231"/>
      <c r="X363" s="231"/>
      <c r="Y363" s="231"/>
      <c r="Z363" s="231"/>
      <c r="AA363" s="231"/>
      <c r="AB363" s="231"/>
      <c r="AC363" s="231"/>
      <c r="AD363" s="231"/>
      <c r="AE363" s="231"/>
      <c r="AF363" s="231"/>
      <c r="AG363" s="231"/>
      <c r="AH363" s="231"/>
      <c r="AI363" s="231"/>
      <c r="AJ363" s="231"/>
      <c r="AK363" s="231"/>
      <c r="AL363" s="231"/>
      <c r="AM363" s="231"/>
      <c r="AN363" s="231"/>
      <c r="AO363" s="231"/>
      <c r="AP363" s="231"/>
      <c r="AQ363" s="231"/>
      <c r="AR363" s="231"/>
      <c r="AS363" s="231"/>
      <c r="AT363" s="231"/>
      <c r="AU363" s="231"/>
      <c r="AV363" s="231"/>
      <c r="AW363" s="231"/>
      <c r="AX363" s="231"/>
      <c r="AY363" s="231"/>
      <c r="AZ363" s="231"/>
      <c r="BA363" s="231"/>
      <c r="BB363" s="168"/>
      <c r="BC363" s="117"/>
    </row>
    <row r="364" spans="1:57">
      <c r="A364" s="39"/>
      <c r="B364" s="118" t="s">
        <v>404</v>
      </c>
      <c r="C364" s="118"/>
      <c r="D364" s="84"/>
      <c r="E364" s="140"/>
      <c r="F364" s="140"/>
      <c r="G364" s="140"/>
      <c r="H364" s="140"/>
      <c r="I364" s="140"/>
      <c r="J364" s="140"/>
      <c r="K364" s="140"/>
      <c r="L364" s="140"/>
      <c r="M364" s="140"/>
      <c r="N364" s="140"/>
      <c r="O364" s="140"/>
      <c r="P364" s="141"/>
      <c r="Q364" s="194"/>
      <c r="R364" s="194"/>
      <c r="S364" s="194"/>
      <c r="T364" s="194"/>
      <c r="U364" s="194"/>
      <c r="V364" s="194"/>
      <c r="W364" s="194"/>
      <c r="X364" s="194"/>
      <c r="Y364" s="194"/>
      <c r="Z364" s="194"/>
      <c r="AA364" s="194"/>
      <c r="AB364" s="194"/>
      <c r="AC364" s="194"/>
      <c r="AD364" s="194"/>
      <c r="AE364" s="194"/>
      <c r="AF364" s="194"/>
      <c r="AG364" s="194"/>
      <c r="AH364" s="194"/>
      <c r="AI364" s="194"/>
      <c r="AJ364" s="194"/>
      <c r="AK364" s="194"/>
      <c r="AL364" s="194"/>
      <c r="AM364" s="194"/>
      <c r="AN364" s="194"/>
      <c r="AO364" s="194"/>
      <c r="AP364" s="194"/>
      <c r="AQ364" s="194"/>
      <c r="AR364" s="194"/>
      <c r="AS364" s="194"/>
      <c r="AT364" s="194"/>
      <c r="AU364" s="194"/>
      <c r="AV364" s="194"/>
      <c r="AW364" s="194"/>
      <c r="AX364" s="194"/>
      <c r="AY364" s="194"/>
      <c r="AZ364" s="194"/>
      <c r="BA364" s="194"/>
      <c r="BB364" s="85"/>
      <c r="BC364" s="94"/>
      <c r="BD364" s="84"/>
      <c r="BE364" s="84"/>
    </row>
    <row r="365" spans="1:57">
      <c r="A365" s="39"/>
      <c r="B365" s="118" t="s">
        <v>547</v>
      </c>
      <c r="C365" s="118"/>
      <c r="D365" s="84"/>
      <c r="E365" s="140"/>
      <c r="F365" s="140"/>
      <c r="G365" s="140"/>
      <c r="H365" s="140"/>
      <c r="I365" s="140"/>
      <c r="J365" s="140"/>
      <c r="K365" s="140"/>
      <c r="L365" s="140"/>
      <c r="M365" s="470"/>
      <c r="N365" s="140"/>
      <c r="O365" s="140"/>
      <c r="P365" s="141"/>
      <c r="Q365" s="192">
        <v>0</v>
      </c>
      <c r="R365" s="192">
        <v>0</v>
      </c>
      <c r="S365" s="192">
        <v>0</v>
      </c>
      <c r="T365" s="192">
        <v>0</v>
      </c>
      <c r="U365" s="192">
        <v>0</v>
      </c>
      <c r="V365" s="192">
        <v>0</v>
      </c>
      <c r="W365" s="192">
        <v>0</v>
      </c>
      <c r="X365" s="192">
        <v>0</v>
      </c>
      <c r="Y365" s="192">
        <v>0</v>
      </c>
      <c r="Z365" s="192">
        <v>0</v>
      </c>
      <c r="AA365" s="192"/>
      <c r="AB365" s="192"/>
      <c r="AC365" s="192"/>
      <c r="AD365" s="192"/>
      <c r="AE365" s="192"/>
      <c r="AF365" s="192"/>
      <c r="AG365" s="192"/>
      <c r="AH365" s="192"/>
      <c r="AI365" s="192"/>
      <c r="AJ365" s="192"/>
      <c r="AK365" s="192"/>
      <c r="AL365" s="192"/>
      <c r="AM365" s="192"/>
      <c r="AN365" s="192"/>
      <c r="AO365" s="192"/>
      <c r="AP365" s="192"/>
      <c r="AQ365" s="192"/>
      <c r="AR365" s="192"/>
      <c r="AS365" s="192"/>
      <c r="AT365" s="192"/>
      <c r="AU365" s="192"/>
      <c r="AV365" s="192"/>
      <c r="AW365" s="192"/>
      <c r="AX365" s="192"/>
      <c r="AY365" s="192"/>
      <c r="AZ365" s="192"/>
      <c r="BA365" s="192"/>
      <c r="BB365" s="85"/>
      <c r="BC365" s="94"/>
      <c r="BD365" s="84"/>
      <c r="BE365" s="84"/>
    </row>
    <row r="366" spans="1:57" s="88" customFormat="1">
      <c r="A366" s="103"/>
      <c r="B366" s="104" t="s">
        <v>548</v>
      </c>
      <c r="C366" s="104"/>
      <c r="D366" s="105"/>
      <c r="E366" s="106"/>
      <c r="F366" s="106"/>
      <c r="G366" s="106"/>
      <c r="H366" s="106"/>
      <c r="I366" s="107"/>
      <c r="J366" s="107"/>
      <c r="K366" s="107">
        <f>IF(ISTEXT('BS Raw'!F11),'BS Raw'!F107/Input!$B$1,Input!K362)</f>
        <v>0</v>
      </c>
      <c r="L366" s="107">
        <f>IF(ISTEXT('BS Raw'!G11),'BS Raw'!G107/Input!$B$1,Input!L362)</f>
        <v>0</v>
      </c>
      <c r="M366" s="107">
        <f>IF(ISTEXT('BS Raw'!H11),'BS Raw'!H107/Input!$B$1,Input!M362)</f>
        <v>0</v>
      </c>
      <c r="N366" s="107">
        <f>IF(ISTEXT('BS Raw'!I11),'BS Raw'!I107/Input!$B$1,Input!N362)</f>
        <v>0</v>
      </c>
      <c r="O366" s="107">
        <f>IF(ISTEXT('BS Raw'!J11),'BS Raw'!J107/Input!$B$1,Input!O362)</f>
        <v>0</v>
      </c>
      <c r="P366" s="107">
        <f>IF(ISTEXT('BS Raw'!K11),'BS Raw'!K107/Input!$B$1,Input!P362)</f>
        <v>0</v>
      </c>
      <c r="Q366" s="108">
        <f>IF(ISTEXT('BS Raw'!L11),'BS Raw'!L107/Input!$B$1,Input!Q362)</f>
        <v>0</v>
      </c>
      <c r="R366" s="108">
        <f>IF(ISTEXT('BS Raw'!M11),'BS Raw'!M107/Input!$B$1,Input!R362)</f>
        <v>0</v>
      </c>
      <c r="S366" s="108">
        <f>IF(ISTEXT('BS Raw'!N11),'BS Raw'!N107/Input!$B$1,Input!S362)</f>
        <v>0</v>
      </c>
      <c r="T366" s="108">
        <f>IF(ISTEXT('BS Raw'!O11),'BS Raw'!O107/Input!$B$1,Input!T362)</f>
        <v>0</v>
      </c>
      <c r="U366" s="108">
        <f>IF(ISTEXT('BS Raw'!P11),'BS Raw'!P107/Input!$B$1,Input!U362)</f>
        <v>0</v>
      </c>
      <c r="V366" s="108">
        <f>IF(ISTEXT('BS Raw'!Q11),'BS Raw'!Q107/Input!$B$1,Input!V362)</f>
        <v>0</v>
      </c>
      <c r="W366" s="108">
        <f>IF(ISTEXT('BS Raw'!R11),'BS Raw'!R107/Input!$B$1,Input!W362)</f>
        <v>0</v>
      </c>
      <c r="X366" s="108">
        <f>IF(ISTEXT('BS Raw'!S11),'BS Raw'!S107/Input!$B$1,Input!X362)</f>
        <v>0</v>
      </c>
      <c r="Y366" s="108">
        <f>IF(ISTEXT('BS Raw'!T11),'BS Raw'!T107/Input!$B$1,Input!Y362)</f>
        <v>0</v>
      </c>
      <c r="Z366" s="108">
        <f>IF(ISTEXT('BS Raw'!U11),'BS Raw'!U107/Input!$B$1,Input!Z362)</f>
        <v>0</v>
      </c>
      <c r="AA366" s="108"/>
      <c r="AB366" s="109"/>
      <c r="AC366" s="109"/>
      <c r="AD366" s="109"/>
      <c r="AE366" s="109"/>
      <c r="AF366" s="109"/>
      <c r="AG366" s="109"/>
      <c r="AH366" s="109"/>
      <c r="AI366" s="109"/>
      <c r="AJ366" s="109"/>
      <c r="AK366" s="109"/>
      <c r="AL366" s="109"/>
      <c r="AM366" s="109"/>
      <c r="AN366" s="109"/>
      <c r="AO366" s="109"/>
      <c r="AP366" s="109"/>
      <c r="AQ366" s="109"/>
      <c r="AR366" s="109"/>
      <c r="AS366" s="109"/>
      <c r="AT366" s="109"/>
      <c r="AU366" s="109"/>
      <c r="AV366" s="109"/>
      <c r="AW366" s="109"/>
      <c r="AX366" s="109"/>
      <c r="AY366" s="109"/>
      <c r="AZ366" s="109"/>
      <c r="BA366" s="109"/>
      <c r="BB366" s="110"/>
      <c r="BC366" s="111"/>
    </row>
    <row r="367" spans="1:57">
      <c r="E367" s="140"/>
      <c r="F367" s="140"/>
      <c r="G367" s="140"/>
      <c r="H367" s="140"/>
      <c r="I367" s="140"/>
      <c r="J367" s="140"/>
      <c r="K367" s="140"/>
      <c r="L367" s="140"/>
      <c r="M367" s="140"/>
      <c r="N367" s="140"/>
      <c r="O367" s="140"/>
      <c r="P367" s="141"/>
      <c r="Q367" s="140"/>
      <c r="R367" s="140"/>
      <c r="S367" s="140"/>
      <c r="T367" s="140"/>
      <c r="U367" s="140"/>
      <c r="V367" s="140"/>
      <c r="W367" s="140"/>
      <c r="X367" s="140"/>
      <c r="Y367" s="140"/>
      <c r="Z367" s="140"/>
      <c r="AA367" s="140"/>
      <c r="AB367" s="140"/>
      <c r="AC367" s="140"/>
      <c r="AD367" s="140"/>
      <c r="AE367" s="140"/>
      <c r="AF367" s="140"/>
      <c r="AG367" s="140"/>
      <c r="AH367" s="140"/>
      <c r="AI367" s="140"/>
      <c r="AJ367" s="140"/>
      <c r="AK367" s="140"/>
      <c r="AL367" s="140"/>
      <c r="AM367" s="140"/>
      <c r="AN367" s="140"/>
      <c r="AO367" s="140"/>
      <c r="AP367" s="140"/>
      <c r="AQ367" s="140"/>
      <c r="AR367" s="140"/>
      <c r="AS367" s="140"/>
      <c r="AT367" s="140"/>
      <c r="AU367" s="140"/>
      <c r="AV367" s="140"/>
      <c r="AW367" s="140"/>
      <c r="AX367" s="140"/>
      <c r="AY367" s="140"/>
      <c r="AZ367" s="140"/>
      <c r="BA367" s="140"/>
    </row>
    <row r="368" spans="1:57" s="228" customFormat="1">
      <c r="A368" s="86">
        <v>26</v>
      </c>
      <c r="B368" s="87" t="s">
        <v>549</v>
      </c>
      <c r="C368" s="87"/>
      <c r="E368" s="89"/>
      <c r="F368" s="89"/>
      <c r="G368" s="89"/>
      <c r="H368" s="89"/>
      <c r="I368" s="90"/>
      <c r="J368" s="90"/>
      <c r="K368" s="90">
        <f>'BS Raw'!F114/Input!$B$1</f>
        <v>5294</v>
      </c>
      <c r="L368" s="90">
        <f>'BS Raw'!G114/Input!$B$1</f>
        <v>5294</v>
      </c>
      <c r="M368" s="90">
        <f>'BS Raw'!H114/Input!$B$1</f>
        <v>5294</v>
      </c>
      <c r="N368" s="90">
        <f>'BS Raw'!I114/Input!$B$1</f>
        <v>5294</v>
      </c>
      <c r="O368" s="90">
        <f>'BS Raw'!J114/Input!$B$1</f>
        <v>5294</v>
      </c>
      <c r="P368" s="90">
        <f>'BS Raw'!K114/Input!$B$1</f>
        <v>5294</v>
      </c>
      <c r="Q368" s="91">
        <f>+P368+Q369</f>
        <v>5294</v>
      </c>
      <c r="R368" s="91">
        <f t="shared" ref="R368:Z368" si="246">+Q368+R369</f>
        <v>5294</v>
      </c>
      <c r="S368" s="91">
        <f t="shared" si="246"/>
        <v>5294</v>
      </c>
      <c r="T368" s="91">
        <f t="shared" si="246"/>
        <v>5294</v>
      </c>
      <c r="U368" s="91">
        <f t="shared" si="246"/>
        <v>5294</v>
      </c>
      <c r="V368" s="91">
        <f t="shared" si="246"/>
        <v>5294</v>
      </c>
      <c r="W368" s="91">
        <f t="shared" si="246"/>
        <v>5294</v>
      </c>
      <c r="X368" s="91">
        <f t="shared" si="246"/>
        <v>5294</v>
      </c>
      <c r="Y368" s="91">
        <f t="shared" si="246"/>
        <v>5294</v>
      </c>
      <c r="Z368" s="91">
        <f t="shared" si="246"/>
        <v>5294</v>
      </c>
      <c r="AA368" s="91"/>
      <c r="AB368" s="92"/>
      <c r="AC368" s="92"/>
      <c r="AD368" s="92"/>
      <c r="AE368" s="92"/>
      <c r="AF368" s="92"/>
      <c r="AG368" s="92"/>
      <c r="AH368" s="92"/>
      <c r="AI368" s="92"/>
      <c r="AJ368" s="92"/>
      <c r="AK368" s="92"/>
      <c r="AL368" s="92"/>
      <c r="AM368" s="92"/>
      <c r="AN368" s="92"/>
      <c r="AO368" s="92"/>
      <c r="AP368" s="92"/>
      <c r="AQ368" s="92"/>
      <c r="AR368" s="92"/>
      <c r="AS368" s="92"/>
      <c r="AT368" s="92"/>
      <c r="AU368" s="92"/>
      <c r="AV368" s="92"/>
      <c r="AW368" s="92"/>
      <c r="AX368" s="92"/>
      <c r="AY368" s="92"/>
      <c r="AZ368" s="92"/>
      <c r="BA368" s="92"/>
      <c r="BB368" s="480"/>
      <c r="BC368" s="94"/>
    </row>
    <row r="369" spans="1:57" s="228" customFormat="1">
      <c r="A369" s="86"/>
      <c r="B369" s="155" t="s">
        <v>550</v>
      </c>
      <c r="C369" s="155"/>
      <c r="E369" s="89"/>
      <c r="F369" s="89"/>
      <c r="G369" s="89"/>
      <c r="H369" s="89"/>
      <c r="I369" s="89"/>
      <c r="J369" s="89"/>
      <c r="K369" s="89"/>
      <c r="L369" s="89"/>
      <c r="M369" s="89"/>
      <c r="N369" s="128"/>
      <c r="O369" s="128"/>
      <c r="P369" s="265"/>
      <c r="Q369" s="214">
        <v>0</v>
      </c>
      <c r="R369" s="214">
        <v>0</v>
      </c>
      <c r="S369" s="214">
        <v>0</v>
      </c>
      <c r="T369" s="214">
        <v>0</v>
      </c>
      <c r="U369" s="214">
        <v>0</v>
      </c>
      <c r="V369" s="214">
        <v>0</v>
      </c>
      <c r="W369" s="214">
        <v>0</v>
      </c>
      <c r="X369" s="214">
        <v>0</v>
      </c>
      <c r="Y369" s="214">
        <v>0</v>
      </c>
      <c r="Z369" s="214">
        <v>0</v>
      </c>
      <c r="AA369" s="214"/>
      <c r="AB369" s="214"/>
      <c r="AC369" s="214"/>
      <c r="AD369" s="214"/>
      <c r="AE369" s="214"/>
      <c r="AF369" s="214"/>
      <c r="AG369" s="214"/>
      <c r="AH369" s="214"/>
      <c r="AI369" s="214"/>
      <c r="AJ369" s="214"/>
      <c r="AK369" s="214"/>
      <c r="AL369" s="214"/>
      <c r="AM369" s="214"/>
      <c r="AN369" s="214"/>
      <c r="AO369" s="214"/>
      <c r="AP369" s="214"/>
      <c r="AQ369" s="214"/>
      <c r="AR369" s="214"/>
      <c r="AS369" s="214"/>
      <c r="AT369" s="214"/>
      <c r="AU369" s="214"/>
      <c r="AV369" s="214"/>
      <c r="AW369" s="214"/>
      <c r="AX369" s="214"/>
      <c r="AY369" s="214"/>
      <c r="AZ369" s="214"/>
      <c r="BA369" s="214"/>
      <c r="BB369" s="480"/>
      <c r="BC369" s="94"/>
    </row>
    <row r="370" spans="1:57" s="248" customFormat="1">
      <c r="A370" s="103"/>
      <c r="B370" s="104" t="s">
        <v>551</v>
      </c>
      <c r="C370" s="104"/>
      <c r="D370" s="403"/>
      <c r="E370" s="136"/>
      <c r="F370" s="136"/>
      <c r="G370" s="136"/>
      <c r="H370" s="136"/>
      <c r="I370" s="137"/>
      <c r="J370" s="137"/>
      <c r="K370" s="137">
        <f>IF(ISTEXT('BS Raw'!F11),'BS Raw'!F114/Input!$B$1,Input!K368)</f>
        <v>5294</v>
      </c>
      <c r="L370" s="137">
        <f>IF(ISTEXT('BS Raw'!G11),'BS Raw'!G114/Input!$B$1,Input!L368)</f>
        <v>5294</v>
      </c>
      <c r="M370" s="137">
        <f>IF(ISTEXT('BS Raw'!H11),'BS Raw'!H114/Input!$B$1,Input!M368)</f>
        <v>5294</v>
      </c>
      <c r="N370" s="137">
        <f>IF(ISTEXT('BS Raw'!I11),'BS Raw'!I114/Input!$B$1,Input!N368)</f>
        <v>5294</v>
      </c>
      <c r="O370" s="137">
        <f>IF(ISTEXT('BS Raw'!J11),'BS Raw'!J114/Input!$B$1,Input!O368)</f>
        <v>5294</v>
      </c>
      <c r="P370" s="137">
        <f>IF(ISTEXT('BS Raw'!K11),'BS Raw'!K114/Input!$B$1,Input!P368)</f>
        <v>5294</v>
      </c>
      <c r="Q370" s="138">
        <f>IF(ISTEXT('BS Raw'!L11),'BS Raw'!L114/Input!$B$1,Input!Q368)</f>
        <v>5294</v>
      </c>
      <c r="R370" s="138">
        <f>IF(ISTEXT('BS Raw'!M11),'BS Raw'!M114/Input!$B$1,Input!R368)</f>
        <v>5294</v>
      </c>
      <c r="S370" s="138">
        <f>IF(ISTEXT('BS Raw'!N11),'BS Raw'!N114/Input!$B$1,Input!S368)</f>
        <v>5294</v>
      </c>
      <c r="T370" s="138">
        <f>IF(ISTEXT('BS Raw'!O11),'BS Raw'!O114/Input!$B$1,Input!T368)</f>
        <v>5294</v>
      </c>
      <c r="U370" s="138">
        <f>IF(ISTEXT('BS Raw'!P11),'BS Raw'!P114/Input!$B$1,Input!U368)</f>
        <v>5294</v>
      </c>
      <c r="V370" s="138">
        <f>IF(ISTEXT('BS Raw'!Q11),'BS Raw'!Q114/Input!$B$1,Input!V368)</f>
        <v>5294</v>
      </c>
      <c r="W370" s="138">
        <f>IF(ISTEXT('BS Raw'!R11),'BS Raw'!R114/Input!$B$1,Input!W368)</f>
        <v>5294</v>
      </c>
      <c r="X370" s="138">
        <f>IF(ISTEXT('BS Raw'!S11),'BS Raw'!S114/Input!$B$1,Input!X368)</f>
        <v>5294</v>
      </c>
      <c r="Y370" s="138">
        <f>IF(ISTEXT('BS Raw'!T11),'BS Raw'!T114/Input!$B$1,Input!Y368)</f>
        <v>5294</v>
      </c>
      <c r="Z370" s="138">
        <f>IF(ISTEXT('BS Raw'!U11),'BS Raw'!U114/Input!$B$1,Input!Z368)</f>
        <v>5294</v>
      </c>
      <c r="AA370" s="138"/>
      <c r="AB370" s="139"/>
      <c r="AC370" s="139"/>
      <c r="AD370" s="139"/>
      <c r="AE370" s="139"/>
      <c r="AF370" s="139"/>
      <c r="AG370" s="139"/>
      <c r="AH370" s="139"/>
      <c r="AI370" s="139"/>
      <c r="AJ370" s="139"/>
      <c r="AK370" s="139"/>
      <c r="AL370" s="139"/>
      <c r="AM370" s="139"/>
      <c r="AN370" s="139"/>
      <c r="AO370" s="139"/>
      <c r="AP370" s="139"/>
      <c r="AQ370" s="139"/>
      <c r="AR370" s="139"/>
      <c r="AS370" s="139"/>
      <c r="AT370" s="139"/>
      <c r="AU370" s="139"/>
      <c r="AV370" s="139"/>
      <c r="AW370" s="139"/>
      <c r="AX370" s="139"/>
      <c r="AY370" s="139"/>
      <c r="AZ370" s="139"/>
      <c r="BA370" s="139"/>
      <c r="BB370" s="404"/>
      <c r="BC370" s="111"/>
    </row>
    <row r="371" spans="1:57" s="18" customFormat="1">
      <c r="A371" s="17"/>
      <c r="D371" s="151"/>
      <c r="E371" s="20"/>
      <c r="F371" s="20"/>
      <c r="G371" s="20"/>
      <c r="H371" s="20"/>
      <c r="I371" s="20"/>
      <c r="J371" s="20"/>
      <c r="K371" s="20"/>
      <c r="L371" s="20"/>
      <c r="M371" s="20"/>
      <c r="N371" s="124"/>
      <c r="O371" s="124"/>
      <c r="P371" s="125"/>
      <c r="Q371" s="124"/>
      <c r="R371" s="124"/>
      <c r="S371" s="124"/>
      <c r="T371" s="124"/>
      <c r="U371" s="124"/>
      <c r="V371" s="124"/>
      <c r="W371" s="124"/>
      <c r="X371" s="124"/>
      <c r="Y371" s="124"/>
      <c r="Z371" s="124"/>
      <c r="AA371" s="124"/>
      <c r="AB371" s="124"/>
      <c r="AC371" s="124"/>
      <c r="AD371" s="124"/>
      <c r="AE371" s="124"/>
      <c r="AF371" s="124"/>
      <c r="AG371" s="124"/>
      <c r="AH371" s="124"/>
      <c r="AI371" s="124"/>
      <c r="AJ371" s="124"/>
      <c r="AK371" s="124"/>
      <c r="AL371" s="124"/>
      <c r="AM371" s="124"/>
      <c r="AN371" s="124"/>
      <c r="AO371" s="124"/>
      <c r="AP371" s="124"/>
      <c r="AQ371" s="124"/>
      <c r="AR371" s="124"/>
      <c r="AS371" s="124"/>
      <c r="AT371" s="124"/>
      <c r="AU371" s="124"/>
      <c r="AV371" s="124"/>
      <c r="AW371" s="124"/>
      <c r="AX371" s="124"/>
      <c r="AY371" s="124"/>
      <c r="AZ371" s="124"/>
      <c r="BA371" s="124"/>
      <c r="BB371" s="227"/>
      <c r="BC371" s="94"/>
      <c r="BD371" s="151"/>
      <c r="BE371" s="151"/>
    </row>
    <row r="372" spans="1:57">
      <c r="A372" s="39">
        <v>27</v>
      </c>
      <c r="B372" s="5" t="s">
        <v>552</v>
      </c>
      <c r="D372" s="84"/>
      <c r="E372" s="41"/>
      <c r="F372" s="41"/>
      <c r="G372" s="41"/>
      <c r="H372" s="41"/>
      <c r="I372" s="190"/>
      <c r="J372" s="190"/>
      <c r="K372" s="190">
        <f>'BS Raw'!K117/Input!$B$1</f>
        <v>0</v>
      </c>
      <c r="L372" s="190">
        <f>'BS Raw'!L117/Input!$B$1</f>
        <v>0</v>
      </c>
      <c r="M372" s="190">
        <f>'BS Raw'!M117/Input!$B$1</f>
        <v>0</v>
      </c>
      <c r="N372" s="190">
        <f>'BS Raw'!N117/Input!$B$1</f>
        <v>0</v>
      </c>
      <c r="O372" s="190">
        <f>'BS Raw'!O117/Input!$B$1</f>
        <v>0</v>
      </c>
      <c r="P372" s="190">
        <f>'BS Raw'!P117/Input!$B$1</f>
        <v>0</v>
      </c>
      <c r="Q372" s="91">
        <f>+P372+Q373</f>
        <v>0</v>
      </c>
      <c r="R372" s="91">
        <f t="shared" ref="R372:Z372" si="247">+Q372+R373</f>
        <v>0</v>
      </c>
      <c r="S372" s="91">
        <f t="shared" si="247"/>
        <v>0</v>
      </c>
      <c r="T372" s="91">
        <f t="shared" si="247"/>
        <v>0</v>
      </c>
      <c r="U372" s="91">
        <f t="shared" si="247"/>
        <v>0</v>
      </c>
      <c r="V372" s="91">
        <f t="shared" si="247"/>
        <v>0</v>
      </c>
      <c r="W372" s="91">
        <f t="shared" si="247"/>
        <v>0</v>
      </c>
      <c r="X372" s="91">
        <f t="shared" si="247"/>
        <v>0</v>
      </c>
      <c r="Y372" s="91">
        <f t="shared" si="247"/>
        <v>0</v>
      </c>
      <c r="Z372" s="91">
        <f t="shared" si="247"/>
        <v>0</v>
      </c>
      <c r="AA372" s="91"/>
      <c r="AB372" s="92"/>
      <c r="AC372" s="92"/>
      <c r="AD372" s="92"/>
      <c r="AE372" s="92"/>
      <c r="AF372" s="92"/>
      <c r="AG372" s="92"/>
      <c r="AH372" s="92"/>
      <c r="AI372" s="92"/>
      <c r="AJ372" s="92"/>
      <c r="AK372" s="92"/>
      <c r="AL372" s="92"/>
      <c r="AM372" s="92"/>
      <c r="AN372" s="92"/>
      <c r="AO372" s="92"/>
      <c r="AP372" s="92"/>
      <c r="AQ372" s="92"/>
      <c r="AR372" s="92"/>
      <c r="AS372" s="92"/>
      <c r="AT372" s="92"/>
      <c r="AU372" s="92"/>
      <c r="AV372" s="92"/>
      <c r="AW372" s="92"/>
      <c r="AX372" s="92"/>
      <c r="AY372" s="92"/>
      <c r="AZ372" s="92"/>
      <c r="BA372" s="92"/>
      <c r="BB372" s="200"/>
      <c r="BC372" s="94"/>
      <c r="BD372" s="84"/>
      <c r="BE372" s="84"/>
    </row>
    <row r="373" spans="1:57">
      <c r="A373" s="39"/>
      <c r="B373" s="118" t="s">
        <v>553</v>
      </c>
      <c r="C373" s="118"/>
      <c r="D373" s="84"/>
      <c r="E373" s="41"/>
      <c r="F373" s="41"/>
      <c r="G373" s="41"/>
      <c r="H373" s="41"/>
      <c r="I373" s="41"/>
      <c r="J373" s="41"/>
      <c r="K373" s="41"/>
      <c r="L373" s="41"/>
      <c r="M373" s="41"/>
      <c r="N373" s="128"/>
      <c r="O373" s="128"/>
      <c r="P373" s="265"/>
      <c r="Q373" s="214">
        <v>0</v>
      </c>
      <c r="R373" s="214">
        <v>0</v>
      </c>
      <c r="S373" s="214">
        <v>0</v>
      </c>
      <c r="T373" s="214">
        <v>0</v>
      </c>
      <c r="U373" s="214">
        <v>0</v>
      </c>
      <c r="V373" s="214">
        <v>0</v>
      </c>
      <c r="W373" s="214">
        <v>0</v>
      </c>
      <c r="X373" s="214">
        <v>0</v>
      </c>
      <c r="Y373" s="214">
        <v>0</v>
      </c>
      <c r="Z373" s="214">
        <v>0</v>
      </c>
      <c r="AA373" s="214"/>
      <c r="AB373" s="214"/>
      <c r="AC373" s="214"/>
      <c r="AD373" s="214"/>
      <c r="AE373" s="214"/>
      <c r="AF373" s="214"/>
      <c r="AG373" s="214"/>
      <c r="AH373" s="214"/>
      <c r="AI373" s="214"/>
      <c r="AJ373" s="214"/>
      <c r="AK373" s="214"/>
      <c r="AL373" s="214"/>
      <c r="AM373" s="214"/>
      <c r="AN373" s="214"/>
      <c r="AO373" s="214"/>
      <c r="AP373" s="214"/>
      <c r="AQ373" s="214"/>
      <c r="AR373" s="214"/>
      <c r="AS373" s="214"/>
      <c r="AT373" s="214"/>
      <c r="AU373" s="214"/>
      <c r="AV373" s="214"/>
      <c r="AW373" s="214"/>
      <c r="AX373" s="214"/>
      <c r="AY373" s="214"/>
      <c r="AZ373" s="214"/>
      <c r="BA373" s="214"/>
      <c r="BB373" s="200"/>
      <c r="BC373" s="94"/>
      <c r="BD373" s="84"/>
      <c r="BE373" s="84"/>
    </row>
    <row r="374" spans="1:57" s="18" customFormat="1">
      <c r="A374" s="17"/>
      <c r="B374" s="182" t="s">
        <v>554</v>
      </c>
      <c r="C374" s="182"/>
      <c r="D374" s="183"/>
      <c r="E374" s="184"/>
      <c r="F374" s="184"/>
      <c r="G374" s="184"/>
      <c r="H374" s="184"/>
      <c r="I374" s="185"/>
      <c r="J374" s="185"/>
      <c r="K374" s="185">
        <f>IF(ISTEXT('BS Raw'!F11),'BS Raw'!F117/Input!$B$1,Input!K372)</f>
        <v>0</v>
      </c>
      <c r="L374" s="185">
        <f>IF(ISTEXT('BS Raw'!G11),'BS Raw'!G117/Input!$B$1,Input!L372)</f>
        <v>0</v>
      </c>
      <c r="M374" s="185">
        <f>IF(ISTEXT('BS Raw'!H11),'BS Raw'!H117/Input!$B$1,Input!M372)</f>
        <v>0</v>
      </c>
      <c r="N374" s="185">
        <f>IF(ISTEXT('BS Raw'!I11),'BS Raw'!I117/Input!$B$1,Input!N372)</f>
        <v>0</v>
      </c>
      <c r="O374" s="185">
        <f>IF(ISTEXT('BS Raw'!J11),'BS Raw'!J117/Input!$B$1,Input!O372)</f>
        <v>0</v>
      </c>
      <c r="P374" s="185">
        <f>IF(ISTEXT('BS Raw'!K11),'BS Raw'!K117/Input!$B$1,Input!P372)</f>
        <v>0</v>
      </c>
      <c r="Q374" s="477">
        <f>IF(ISTEXT('BS Raw'!L11),'BS Raw'!L117/Input!$B$1,Input!Q372)</f>
        <v>0</v>
      </c>
      <c r="R374" s="477">
        <f>IF(ISTEXT('BS Raw'!M11),'BS Raw'!M117/Input!$B$1,Input!R372)</f>
        <v>0</v>
      </c>
      <c r="S374" s="477">
        <f>IF(ISTEXT('BS Raw'!N11),'BS Raw'!N117/Input!$B$1,Input!S372)</f>
        <v>0</v>
      </c>
      <c r="T374" s="477">
        <f>IF(ISTEXT('BS Raw'!O11),'BS Raw'!O117/Input!$B$1,Input!T372)</f>
        <v>0</v>
      </c>
      <c r="U374" s="477">
        <f>IF(ISTEXT('BS Raw'!P11),'BS Raw'!P117/Input!$B$1,Input!U372)</f>
        <v>0</v>
      </c>
      <c r="V374" s="477">
        <f>IF(ISTEXT('BS Raw'!Q11),'BS Raw'!Q117/Input!$B$1,Input!V372)</f>
        <v>0</v>
      </c>
      <c r="W374" s="477">
        <f>IF(ISTEXT('BS Raw'!R11),'BS Raw'!R117/Input!$B$1,Input!W372)</f>
        <v>0</v>
      </c>
      <c r="X374" s="477">
        <f>IF(ISTEXT('BS Raw'!S11),'BS Raw'!S117/Input!$B$1,Input!X372)</f>
        <v>0</v>
      </c>
      <c r="Y374" s="477">
        <f>IF(ISTEXT('BS Raw'!T11),'BS Raw'!T117/Input!$B$1,Input!Y372)</f>
        <v>0</v>
      </c>
      <c r="Z374" s="477">
        <f>IF(ISTEXT('BS Raw'!U11),'BS Raw'!U117/Input!$B$1,Input!Z372)</f>
        <v>0</v>
      </c>
      <c r="AA374" s="477"/>
      <c r="AB374" s="478"/>
      <c r="AC374" s="478"/>
      <c r="AD374" s="478"/>
      <c r="AE374" s="478"/>
      <c r="AF374" s="478"/>
      <c r="AG374" s="478"/>
      <c r="AH374" s="478"/>
      <c r="AI374" s="478"/>
      <c r="AJ374" s="478"/>
      <c r="AK374" s="478"/>
      <c r="AL374" s="478"/>
      <c r="AM374" s="478"/>
      <c r="AN374" s="478"/>
      <c r="AO374" s="478"/>
      <c r="AP374" s="478"/>
      <c r="AQ374" s="478"/>
      <c r="AR374" s="478"/>
      <c r="AS374" s="478"/>
      <c r="AT374" s="478"/>
      <c r="AU374" s="478"/>
      <c r="AV374" s="478"/>
      <c r="AW374" s="478"/>
      <c r="AX374" s="478"/>
      <c r="AY374" s="478"/>
      <c r="AZ374" s="478"/>
      <c r="BA374" s="478"/>
      <c r="BB374" s="186"/>
      <c r="BC374" s="111"/>
      <c r="BD374" s="151"/>
      <c r="BE374" s="151"/>
    </row>
    <row r="375" spans="1:57">
      <c r="A375" s="39"/>
      <c r="D375" s="84"/>
      <c r="E375" s="140"/>
      <c r="F375" s="140"/>
      <c r="G375" s="140"/>
      <c r="H375" s="140"/>
      <c r="I375" s="140"/>
      <c r="J375" s="140"/>
      <c r="K375" s="140"/>
      <c r="L375" s="140"/>
      <c r="M375" s="140"/>
      <c r="N375" s="140"/>
      <c r="O375" s="140"/>
      <c r="P375" s="141"/>
      <c r="Q375" s="140"/>
      <c r="R375" s="140"/>
      <c r="S375" s="140"/>
      <c r="T375" s="140"/>
      <c r="U375" s="140"/>
      <c r="V375" s="140"/>
      <c r="W375" s="140"/>
      <c r="X375" s="140"/>
      <c r="Y375" s="140"/>
      <c r="Z375" s="140"/>
      <c r="AA375" s="140"/>
      <c r="AB375" s="140"/>
      <c r="AC375" s="140"/>
      <c r="AD375" s="140"/>
      <c r="AE375" s="140"/>
      <c r="AF375" s="140"/>
      <c r="AG375" s="140"/>
      <c r="AH375" s="140"/>
      <c r="AI375" s="140"/>
      <c r="AJ375" s="140"/>
      <c r="AK375" s="140"/>
      <c r="AL375" s="140"/>
      <c r="AM375" s="140"/>
      <c r="AN375" s="140"/>
      <c r="AO375" s="140"/>
      <c r="AP375" s="140"/>
      <c r="AQ375" s="140"/>
      <c r="AR375" s="140"/>
      <c r="AS375" s="140"/>
      <c r="AT375" s="140"/>
      <c r="AU375" s="140"/>
      <c r="AV375" s="140"/>
      <c r="AW375" s="140"/>
      <c r="AX375" s="140"/>
      <c r="AY375" s="140"/>
      <c r="AZ375" s="140"/>
      <c r="BA375" s="140"/>
      <c r="BB375" s="85"/>
      <c r="BD375" s="84"/>
      <c r="BE375" s="84"/>
    </row>
    <row r="376" spans="1:57" s="228" customFormat="1">
      <c r="A376" s="86">
        <v>28</v>
      </c>
      <c r="B376" s="87" t="s">
        <v>555</v>
      </c>
      <c r="C376" s="87"/>
      <c r="E376" s="89"/>
      <c r="F376" s="89"/>
      <c r="G376" s="89"/>
      <c r="H376" s="89"/>
      <c r="I376" s="90"/>
      <c r="J376" s="90"/>
      <c r="K376" s="90">
        <f>'BS Raw'!F127/Input!$B$1</f>
        <v>428.84563039400001</v>
      </c>
      <c r="L376" s="90">
        <f>'BS Raw'!G127/Input!$B$1</f>
        <v>583.46740524899997</v>
      </c>
      <c r="M376" s="90">
        <f>'BS Raw'!H127/Input!$B$1</f>
        <v>1187.9853976439999</v>
      </c>
      <c r="N376" s="90">
        <f>'BS Raw'!I127/Input!$B$1</f>
        <v>3018.455058084</v>
      </c>
      <c r="O376" s="90">
        <f>'BS Raw'!J127/Input!$B$1</f>
        <v>2044.8513450360001</v>
      </c>
      <c r="P376" s="90">
        <f>'BS Raw'!K127/Input!$B$1</f>
        <v>1882.513091925</v>
      </c>
      <c r="Q376" s="91">
        <f ca="1">+P376+Q377</f>
        <v>2840.0486473963583</v>
      </c>
      <c r="R376" s="91">
        <f t="shared" ref="R376:Z376" ca="1" si="248">+Q376+R377</f>
        <v>3821.1133550175546</v>
      </c>
      <c r="S376" s="91">
        <f t="shared" ca="1" si="248"/>
        <v>4915.1182985023461</v>
      </c>
      <c r="T376" s="91">
        <f t="shared" ca="1" si="248"/>
        <v>7475.7374567953593</v>
      </c>
      <c r="U376" s="91">
        <f t="shared" ca="1" si="248"/>
        <v>9206.6168306235104</v>
      </c>
      <c r="V376" s="91">
        <f t="shared" ca="1" si="248"/>
        <v>10479.973899052307</v>
      </c>
      <c r="W376" s="91">
        <f t="shared" ca="1" si="248"/>
        <v>12017.875595077665</v>
      </c>
      <c r="X376" s="91">
        <f t="shared" ca="1" si="248"/>
        <v>13359.695397920303</v>
      </c>
      <c r="Y376" s="91">
        <f t="shared" ca="1" si="248"/>
        <v>14691.024518138842</v>
      </c>
      <c r="Z376" s="91">
        <f t="shared" ca="1" si="248"/>
        <v>15504.155044285693</v>
      </c>
      <c r="AA376" s="91"/>
      <c r="AB376" s="92"/>
      <c r="AC376" s="92"/>
      <c r="AD376" s="92"/>
      <c r="AE376" s="92"/>
      <c r="AF376" s="92"/>
      <c r="AG376" s="92"/>
      <c r="AH376" s="92"/>
      <c r="AI376" s="92"/>
      <c r="AJ376" s="92"/>
      <c r="AK376" s="92"/>
      <c r="AL376" s="92"/>
      <c r="AM376" s="92"/>
      <c r="AN376" s="92"/>
      <c r="AO376" s="92"/>
      <c r="AP376" s="92"/>
      <c r="AQ376" s="92"/>
      <c r="AR376" s="92"/>
      <c r="AS376" s="92"/>
      <c r="AT376" s="92"/>
      <c r="AU376" s="92"/>
      <c r="AV376" s="92"/>
      <c r="AW376" s="92"/>
      <c r="AX376" s="92"/>
      <c r="AY376" s="92"/>
      <c r="AZ376" s="92"/>
      <c r="BA376" s="92"/>
      <c r="BB376" s="480"/>
      <c r="BC376" s="94"/>
    </row>
    <row r="377" spans="1:57" s="228" customFormat="1">
      <c r="A377" s="86"/>
      <c r="B377" s="155" t="s">
        <v>411</v>
      </c>
      <c r="C377" s="155"/>
      <c r="E377" s="128"/>
      <c r="F377" s="128"/>
      <c r="G377" s="128"/>
      <c r="H377" s="128"/>
      <c r="I377" s="128"/>
      <c r="J377" s="128"/>
      <c r="K377" s="128"/>
      <c r="L377" s="128"/>
      <c r="M377" s="128"/>
      <c r="N377" s="128"/>
      <c r="O377" s="128"/>
      <c r="P377" s="265"/>
      <c r="Q377" s="91">
        <f ca="1">Q135</f>
        <v>957.53555547135829</v>
      </c>
      <c r="R377" s="91">
        <f t="shared" ref="R377:Z377" ca="1" si="249">R135</f>
        <v>981.06470762119625</v>
      </c>
      <c r="S377" s="91">
        <f t="shared" ca="1" si="249"/>
        <v>1094.0049434847915</v>
      </c>
      <c r="T377" s="91">
        <f t="shared" ca="1" si="249"/>
        <v>2560.6191582930132</v>
      </c>
      <c r="U377" s="91">
        <f t="shared" ca="1" si="249"/>
        <v>1730.8793738281518</v>
      </c>
      <c r="V377" s="91">
        <f t="shared" ca="1" si="249"/>
        <v>1273.3570684287963</v>
      </c>
      <c r="W377" s="91">
        <f t="shared" ca="1" si="249"/>
        <v>1537.9016960253584</v>
      </c>
      <c r="X377" s="91">
        <f t="shared" ca="1" si="249"/>
        <v>1341.8198028426382</v>
      </c>
      <c r="Y377" s="91">
        <f t="shared" ca="1" si="249"/>
        <v>1331.3291202185401</v>
      </c>
      <c r="Z377" s="91">
        <f t="shared" ca="1" si="249"/>
        <v>813.13052614685148</v>
      </c>
      <c r="AA377" s="91"/>
      <c r="AB377" s="92"/>
      <c r="AC377" s="92"/>
      <c r="AD377" s="92"/>
      <c r="AE377" s="92"/>
      <c r="AF377" s="92"/>
      <c r="AG377" s="92"/>
      <c r="AH377" s="92"/>
      <c r="AI377" s="92"/>
      <c r="AJ377" s="92"/>
      <c r="AK377" s="92"/>
      <c r="AL377" s="92"/>
      <c r="AM377" s="92"/>
      <c r="AN377" s="92"/>
      <c r="AO377" s="92"/>
      <c r="AP377" s="92"/>
      <c r="AQ377" s="92"/>
      <c r="AR377" s="92"/>
      <c r="AS377" s="92"/>
      <c r="AT377" s="92"/>
      <c r="AU377" s="92"/>
      <c r="AV377" s="92"/>
      <c r="AW377" s="92"/>
      <c r="AX377" s="92"/>
      <c r="AY377" s="92"/>
      <c r="AZ377" s="92"/>
      <c r="BA377" s="92"/>
      <c r="BB377" s="480"/>
      <c r="BC377" s="94"/>
    </row>
    <row r="378" spans="1:57" s="248" customFormat="1">
      <c r="A378" s="103"/>
      <c r="B378" s="104" t="s">
        <v>556</v>
      </c>
      <c r="C378" s="104"/>
      <c r="D378" s="481"/>
      <c r="E378" s="482"/>
      <c r="F378" s="482"/>
      <c r="G378" s="136"/>
      <c r="H378" s="136"/>
      <c r="I378" s="137"/>
      <c r="J378" s="137"/>
      <c r="K378" s="137">
        <f>IF(ISTEXT('BS Raw'!F11),'BS Raw'!F127/Input!$B$1,Input!K376)</f>
        <v>428.84563039400001</v>
      </c>
      <c r="L378" s="137">
        <f>IF(ISTEXT('BS Raw'!G11),'BS Raw'!G127/Input!$B$1,Input!L376)</f>
        <v>583.46740524899997</v>
      </c>
      <c r="M378" s="137">
        <f>IF(ISTEXT('BS Raw'!H11),'BS Raw'!H127/Input!$B$1,Input!M376)</f>
        <v>1187.9853976439999</v>
      </c>
      <c r="N378" s="137">
        <f>IF(ISTEXT('BS Raw'!I11),'BS Raw'!I127/Input!$B$1,Input!N376)</f>
        <v>3018.455058084</v>
      </c>
      <c r="O378" s="137">
        <f>IF(ISTEXT('BS Raw'!J11),'BS Raw'!J127/Input!$B$1,Input!O376)</f>
        <v>2044.8513450360001</v>
      </c>
      <c r="P378" s="137">
        <f>IF(ISTEXT('BS Raw'!K11),'BS Raw'!K127/Input!$B$1,Input!P376)</f>
        <v>1882.513091925</v>
      </c>
      <c r="Q378" s="138">
        <f ca="1">IF(ISTEXT('BS Raw'!L11),'BS Raw'!L127/Input!$B$1,Input!Q376)</f>
        <v>2840.0486473963583</v>
      </c>
      <c r="R378" s="138">
        <f ca="1">IF(ISTEXT('BS Raw'!M11),'BS Raw'!M127/Input!$B$1,Input!R376)</f>
        <v>3821.1133550175546</v>
      </c>
      <c r="S378" s="138">
        <f ca="1">IF(ISTEXT('BS Raw'!N11),'BS Raw'!N127/Input!$B$1,Input!S376)</f>
        <v>4915.1182985023461</v>
      </c>
      <c r="T378" s="138">
        <f ca="1">IF(ISTEXT('BS Raw'!O11),'BS Raw'!O127/Input!$B$1,Input!T376)</f>
        <v>7475.7374567953593</v>
      </c>
      <c r="U378" s="138">
        <f ca="1">IF(ISTEXT('BS Raw'!P11),'BS Raw'!P127/Input!$B$1,Input!U376)</f>
        <v>9206.6168306235104</v>
      </c>
      <c r="V378" s="138">
        <f ca="1">IF(ISTEXT('BS Raw'!Q11),'BS Raw'!Q127/Input!$B$1,Input!V376)</f>
        <v>10479.973899052307</v>
      </c>
      <c r="W378" s="138">
        <f ca="1">IF(ISTEXT('BS Raw'!R11),'BS Raw'!R127/Input!$B$1,Input!W376)</f>
        <v>12017.875595077665</v>
      </c>
      <c r="X378" s="138">
        <f ca="1">IF(ISTEXT('BS Raw'!S11),'BS Raw'!S127/Input!$B$1,Input!X376)</f>
        <v>13359.695397920303</v>
      </c>
      <c r="Y378" s="138">
        <f ca="1">IF(ISTEXT('BS Raw'!T11),'BS Raw'!T127/Input!$B$1,Input!Y376)</f>
        <v>14691.024518138842</v>
      </c>
      <c r="Z378" s="138">
        <f ca="1">IF(ISTEXT('BS Raw'!U11),'BS Raw'!U127/Input!$B$1,Input!Z376)</f>
        <v>15504.155044285693</v>
      </c>
      <c r="AA378" s="138"/>
      <c r="AB378" s="139"/>
      <c r="AC378" s="139"/>
      <c r="AD378" s="139"/>
      <c r="AE378" s="139"/>
      <c r="AF378" s="139"/>
      <c r="AG378" s="139"/>
      <c r="AH378" s="139"/>
      <c r="AI378" s="139"/>
      <c r="AJ378" s="139"/>
      <c r="AK378" s="139"/>
      <c r="AL378" s="139"/>
      <c r="AM378" s="139"/>
      <c r="AN378" s="139"/>
      <c r="AO378" s="139"/>
      <c r="AP378" s="139"/>
      <c r="AQ378" s="139"/>
      <c r="AR378" s="139"/>
      <c r="AS378" s="139"/>
      <c r="AT378" s="139"/>
      <c r="AU378" s="139"/>
      <c r="AV378" s="139"/>
      <c r="AW378" s="139"/>
      <c r="AX378" s="139"/>
      <c r="AY378" s="139"/>
      <c r="AZ378" s="139"/>
      <c r="BA378" s="139"/>
      <c r="BB378" s="404"/>
      <c r="BC378" s="111"/>
    </row>
    <row r="379" spans="1:57">
      <c r="A379" s="39"/>
      <c r="D379" s="329"/>
      <c r="E379" s="483"/>
      <c r="F379" s="483"/>
      <c r="G379" s="140"/>
      <c r="H379" s="140"/>
      <c r="I379" s="140"/>
      <c r="J379" s="140"/>
      <c r="K379" s="140"/>
      <c r="L379" s="99">
        <f>L380/K380-1</f>
        <v>0.18649190714853026</v>
      </c>
      <c r="M379" s="99">
        <f t="shared" ref="M379:P379" si="250">M380/L380-1</f>
        <v>1.2940093733726008</v>
      </c>
      <c r="N379" s="99">
        <f t="shared" si="250"/>
        <v>1.3350129953320056</v>
      </c>
      <c r="O379" s="99">
        <f t="shared" si="250"/>
        <v>0.14713445592959551</v>
      </c>
      <c r="P379" s="99">
        <f t="shared" si="250"/>
        <v>0.14283594192182147</v>
      </c>
      <c r="Q379" s="99">
        <f>7.85%-1%</f>
        <v>6.8500000000000005E-2</v>
      </c>
      <c r="R379" s="99">
        <f>AVERAGE(L379,O379,P379)-1%</f>
        <v>0.14882076833331573</v>
      </c>
      <c r="S379" s="99">
        <f>R379</f>
        <v>0.14882076833331573</v>
      </c>
      <c r="T379" s="99">
        <f>20%-1%</f>
        <v>0.19</v>
      </c>
      <c r="U379" s="99">
        <f>10% - 1%</f>
        <v>9.0000000000000011E-2</v>
      </c>
      <c r="V379" s="99">
        <f>10%-1%</f>
        <v>9.0000000000000011E-2</v>
      </c>
      <c r="W379" s="99">
        <f>5%-1%</f>
        <v>0.04</v>
      </c>
      <c r="X379" s="99">
        <f>5%-1%</f>
        <v>0.04</v>
      </c>
      <c r="Y379" s="99">
        <f>5%-1%</f>
        <v>0.04</v>
      </c>
      <c r="Z379" s="99">
        <f>5%-1%</f>
        <v>0.04</v>
      </c>
      <c r="AA379" s="140"/>
      <c r="AB379" s="140"/>
      <c r="AC379" s="140"/>
      <c r="AD379" s="140"/>
      <c r="AE379" s="140"/>
      <c r="AF379" s="140"/>
      <c r="AG379" s="140"/>
      <c r="AH379" s="140"/>
      <c r="AI379" s="140"/>
      <c r="AJ379" s="140"/>
      <c r="AK379" s="140"/>
      <c r="AL379" s="140"/>
      <c r="AM379" s="140"/>
      <c r="AN379" s="140"/>
      <c r="AO379" s="140"/>
      <c r="AP379" s="140"/>
      <c r="AQ379" s="140"/>
      <c r="AR379" s="140"/>
      <c r="AS379" s="140"/>
      <c r="AT379" s="140"/>
      <c r="AU379" s="140"/>
      <c r="AV379" s="140"/>
      <c r="AW379" s="140"/>
      <c r="AX379" s="140"/>
      <c r="AY379" s="140"/>
      <c r="AZ379" s="140"/>
      <c r="BA379" s="140"/>
      <c r="BB379" s="85"/>
      <c r="BD379" s="84"/>
      <c r="BE379" s="84"/>
    </row>
    <row r="380" spans="1:57" ht="13.8">
      <c r="A380" s="39">
        <v>29</v>
      </c>
      <c r="B380" s="5" t="s">
        <v>557</v>
      </c>
      <c r="D380" s="329"/>
      <c r="E380" s="484"/>
      <c r="F380" s="1"/>
      <c r="G380" s="41"/>
      <c r="H380" s="41"/>
      <c r="I380" s="190"/>
      <c r="J380" s="190"/>
      <c r="K380" s="190">
        <f>('BS Raw'!F112-'BS Raw'!F114-'BS Raw'!F117-'BS Raw'!F127-'BS Raw'!F130)/Input!$B$1</f>
        <v>356.20372633699986</v>
      </c>
      <c r="L380" s="190">
        <f>('BS Raw'!G112-'BS Raw'!G114-'BS Raw'!G117-'BS Raw'!G127-'BS Raw'!G130)/Input!$B$1</f>
        <v>422.63283859500012</v>
      </c>
      <c r="M380" s="190">
        <f>('BS Raw'!H112-'BS Raw'!H114-'BS Raw'!H117-'BS Raw'!H127-'BS Raw'!H130)/Input!$B$1</f>
        <v>969.52369323199969</v>
      </c>
      <c r="N380" s="190">
        <f>('BS Raw'!I112-'BS Raw'!I114-'BS Raw'!I117-'BS Raw'!I127-'BS Raw'!I130)/Input!$B$1</f>
        <v>2263.8504229790001</v>
      </c>
      <c r="O380" s="190">
        <f>('BS Raw'!J112-'BS Raw'!J114-'BS Raw'!J117-'BS Raw'!J127-'BS Raw'!J130)/Input!$B$1</f>
        <v>2596.9408232699998</v>
      </c>
      <c r="P380" s="190">
        <f>('BS Raw'!K112-'BS Raw'!K114-'BS Raw'!K117-'BS Raw'!K127-'BS Raw'!K130)/Input!$B$1</f>
        <v>2967.8773118770005</v>
      </c>
      <c r="Q380" s="198">
        <f>P380*(1+Q379)</f>
        <v>3171.1769077405752</v>
      </c>
      <c r="R380" s="198">
        <f t="shared" ref="R380:Z380" si="251">Q380*(1+R379)</f>
        <v>3643.1138916713962</v>
      </c>
      <c r="S380" s="198">
        <f t="shared" si="251"/>
        <v>4185.2849001557097</v>
      </c>
      <c r="T380" s="198">
        <f t="shared" si="251"/>
        <v>4980.4890311852942</v>
      </c>
      <c r="U380" s="198">
        <f t="shared" si="251"/>
        <v>5428.7330439919706</v>
      </c>
      <c r="V380" s="198">
        <f t="shared" si="251"/>
        <v>5917.3190179512485</v>
      </c>
      <c r="W380" s="198">
        <f t="shared" si="251"/>
        <v>6154.011778669299</v>
      </c>
      <c r="X380" s="198">
        <f t="shared" si="251"/>
        <v>6400.1722498160716</v>
      </c>
      <c r="Y380" s="198">
        <f t="shared" si="251"/>
        <v>6656.1791398087144</v>
      </c>
      <c r="Z380" s="198">
        <f t="shared" si="251"/>
        <v>6922.4263054010635</v>
      </c>
      <c r="AA380" s="198"/>
      <c r="AB380" s="194"/>
      <c r="AC380" s="194"/>
      <c r="AD380" s="194"/>
      <c r="AE380" s="194"/>
      <c r="AF380" s="194"/>
      <c r="AG380" s="194"/>
      <c r="AH380" s="194"/>
      <c r="AI380" s="194"/>
      <c r="AJ380" s="194"/>
      <c r="AK380" s="194"/>
      <c r="AL380" s="194"/>
      <c r="AM380" s="194"/>
      <c r="AN380" s="194"/>
      <c r="AO380" s="194"/>
      <c r="AP380" s="194"/>
      <c r="AQ380" s="194"/>
      <c r="AR380" s="194"/>
      <c r="AS380" s="194"/>
      <c r="AT380" s="194"/>
      <c r="AU380" s="194"/>
      <c r="AV380" s="194"/>
      <c r="AW380" s="194"/>
      <c r="AX380" s="194"/>
      <c r="AY380" s="194"/>
      <c r="AZ380" s="194"/>
      <c r="BA380" s="194"/>
      <c r="BB380" s="85"/>
      <c r="BD380" s="84"/>
      <c r="BE380" s="84"/>
    </row>
    <row r="381" spans="1:57" s="150" customFormat="1">
      <c r="A381" s="159"/>
      <c r="B381" s="145" t="s">
        <v>558</v>
      </c>
      <c r="C381" s="145"/>
      <c r="E381" s="119"/>
      <c r="F381" s="119"/>
      <c r="G381" s="119"/>
      <c r="H381" s="119"/>
      <c r="I381" s="169"/>
      <c r="J381" s="169"/>
      <c r="K381" s="169">
        <f>IFERROR(K382/K106," ")</f>
        <v>0.83581518064024296</v>
      </c>
      <c r="L381" s="169">
        <f t="shared" ref="L381:P381" si="252">IFERROR(L382/L106," ")</f>
        <v>0.63933945770964062</v>
      </c>
      <c r="M381" s="169">
        <f t="shared" si="252"/>
        <v>0.53169479683679999</v>
      </c>
      <c r="N381" s="169">
        <f t="shared" si="252"/>
        <v>0.52453079796759861</v>
      </c>
      <c r="O381" s="169">
        <f t="shared" si="252"/>
        <v>2.3419222890886342</v>
      </c>
      <c r="P381" s="169">
        <f t="shared" si="252"/>
        <v>2.0905580367974506</v>
      </c>
      <c r="Q381" s="230">
        <f t="shared" ref="Q381" ca="1" si="253">IFERROR(Q382/Q106," ")</f>
        <v>1.4380157553971022</v>
      </c>
      <c r="R381" s="230">
        <f t="shared" ref="R381" ca="1" si="254">IFERROR(R382/R106," ")</f>
        <v>1.4590933681907439</v>
      </c>
      <c r="S381" s="230">
        <f t="shared" ref="S381" ca="1" si="255">IFERROR(S382/S106," ")</f>
        <v>1.4319714484226358</v>
      </c>
      <c r="T381" s="230">
        <f t="shared" ref="T381" ca="1" si="256">IFERROR(T382/T106," ")</f>
        <v>1.0908254265478132</v>
      </c>
      <c r="U381" s="230">
        <f t="shared" ref="U381" ca="1" si="257">IFERROR(U382/U106," ")</f>
        <v>1.3909902605510402</v>
      </c>
      <c r="V381" s="230">
        <f t="shared" ref="V381" ca="1" si="258">IFERROR(V382/V106," ")</f>
        <v>1.7370935070132705</v>
      </c>
      <c r="W381" s="230">
        <f t="shared" ref="W381" ca="1" si="259">IFERROR(W382/W106," ")</f>
        <v>1.8040809740357002</v>
      </c>
      <c r="X381" s="230">
        <f t="shared" ref="X381" ca="1" si="260">IFERROR(X382/X106," ")</f>
        <v>1.6891034570701329</v>
      </c>
      <c r="Y381" s="230">
        <f t="shared" ref="Y381" ca="1" si="261">IFERROR(Y382/Y106," ")</f>
        <v>1.5243432763552702</v>
      </c>
      <c r="Z381" s="230">
        <f t="shared" ref="Z381" ca="1" si="262">IFERROR(Z382/Z106," ")</f>
        <v>1.59864927130829</v>
      </c>
      <c r="AA381" s="289"/>
      <c r="AB381" s="289"/>
      <c r="AC381" s="289"/>
      <c r="AD381" s="289"/>
      <c r="AE381" s="289"/>
      <c r="AF381" s="289"/>
      <c r="AG381" s="289"/>
      <c r="AH381" s="289"/>
      <c r="AI381" s="289"/>
      <c r="AJ381" s="289"/>
      <c r="AK381" s="289"/>
      <c r="AL381" s="289"/>
      <c r="AM381" s="289"/>
      <c r="AN381" s="289"/>
      <c r="AO381" s="289"/>
      <c r="AP381" s="289"/>
      <c r="AQ381" s="289"/>
      <c r="AR381" s="289"/>
      <c r="AS381" s="289"/>
      <c r="AT381" s="289"/>
      <c r="AU381" s="289"/>
      <c r="AV381" s="289"/>
      <c r="AW381" s="289"/>
      <c r="AX381" s="289"/>
      <c r="AY381" s="289"/>
      <c r="AZ381" s="289"/>
      <c r="BA381" s="289"/>
      <c r="BB381" s="168"/>
      <c r="BC381" s="117"/>
    </row>
    <row r="382" spans="1:57" s="18" customFormat="1">
      <c r="A382" s="17"/>
      <c r="B382" s="182" t="s">
        <v>559</v>
      </c>
      <c r="C382" s="182"/>
      <c r="D382" s="183"/>
      <c r="E382" s="184"/>
      <c r="F382" s="184"/>
      <c r="G382" s="184"/>
      <c r="H382" s="184"/>
      <c r="I382" s="185"/>
      <c r="J382" s="185"/>
      <c r="K382" s="185">
        <f>K380</f>
        <v>356.20372633699986</v>
      </c>
      <c r="L382" s="185">
        <f t="shared" ref="L382:Z382" si="263">L380</f>
        <v>422.63283859500012</v>
      </c>
      <c r="M382" s="185">
        <f t="shared" si="263"/>
        <v>969.52369323199969</v>
      </c>
      <c r="N382" s="185">
        <f t="shared" si="263"/>
        <v>2263.8504229790001</v>
      </c>
      <c r="O382" s="185">
        <f t="shared" si="263"/>
        <v>2596.9408232699998</v>
      </c>
      <c r="P382" s="185">
        <f t="shared" si="263"/>
        <v>2967.8773118770005</v>
      </c>
      <c r="Q382" s="477">
        <f t="shared" si="263"/>
        <v>3171.1769077405752</v>
      </c>
      <c r="R382" s="477">
        <f t="shared" si="263"/>
        <v>3643.1138916713962</v>
      </c>
      <c r="S382" s="477">
        <f t="shared" si="263"/>
        <v>4185.2849001557097</v>
      </c>
      <c r="T382" s="477">
        <f t="shared" si="263"/>
        <v>4980.4890311852942</v>
      </c>
      <c r="U382" s="477">
        <f t="shared" si="263"/>
        <v>5428.7330439919706</v>
      </c>
      <c r="V382" s="477">
        <f t="shared" si="263"/>
        <v>5917.3190179512485</v>
      </c>
      <c r="W382" s="477">
        <f t="shared" si="263"/>
        <v>6154.011778669299</v>
      </c>
      <c r="X382" s="477">
        <f t="shared" si="263"/>
        <v>6400.1722498160716</v>
      </c>
      <c r="Y382" s="477">
        <f t="shared" si="263"/>
        <v>6656.1791398087144</v>
      </c>
      <c r="Z382" s="477">
        <f t="shared" si="263"/>
        <v>6922.4263054010635</v>
      </c>
      <c r="AA382" s="477"/>
      <c r="AB382" s="478"/>
      <c r="AC382" s="478"/>
      <c r="AD382" s="478"/>
      <c r="AE382" s="478"/>
      <c r="AF382" s="478"/>
      <c r="AG382" s="478"/>
      <c r="AH382" s="478"/>
      <c r="AI382" s="478"/>
      <c r="AJ382" s="478"/>
      <c r="AK382" s="478"/>
      <c r="AL382" s="478"/>
      <c r="AM382" s="478"/>
      <c r="AN382" s="478"/>
      <c r="AO382" s="478"/>
      <c r="AP382" s="478"/>
      <c r="AQ382" s="478"/>
      <c r="AR382" s="478"/>
      <c r="AS382" s="478"/>
      <c r="AT382" s="478"/>
      <c r="AU382" s="478"/>
      <c r="AV382" s="478"/>
      <c r="AW382" s="478"/>
      <c r="AX382" s="478"/>
      <c r="AY382" s="478"/>
      <c r="AZ382" s="478"/>
      <c r="BA382" s="478"/>
      <c r="BB382" s="186"/>
      <c r="BC382" s="111"/>
      <c r="BD382" s="151"/>
      <c r="BE382" s="151"/>
    </row>
    <row r="383" spans="1:57">
      <c r="A383" s="39"/>
      <c r="D383" s="84"/>
      <c r="E383" s="140"/>
      <c r="F383" s="140"/>
      <c r="G383" s="140"/>
      <c r="H383" s="140"/>
      <c r="I383" s="140"/>
      <c r="J383" s="140"/>
      <c r="K383" s="140"/>
      <c r="L383" s="140"/>
      <c r="M383" s="140"/>
      <c r="N383" s="140"/>
      <c r="O383" s="140"/>
      <c r="P383" s="141"/>
      <c r="Q383" s="140">
        <f>Q382-P382</f>
        <v>203.29959586357472</v>
      </c>
      <c r="R383" s="140">
        <f t="shared" ref="R383:Z383" si="264">R382-Q382</f>
        <v>471.93698393082104</v>
      </c>
      <c r="S383" s="140">
        <f t="shared" si="264"/>
        <v>542.17100848431346</v>
      </c>
      <c r="T383" s="140">
        <f t="shared" si="264"/>
        <v>795.20413102958446</v>
      </c>
      <c r="U383" s="140">
        <f t="shared" si="264"/>
        <v>448.24401280667644</v>
      </c>
      <c r="V383" s="140">
        <f t="shared" si="264"/>
        <v>488.58597395927791</v>
      </c>
      <c r="W383" s="140">
        <f t="shared" si="264"/>
        <v>236.69276071805052</v>
      </c>
      <c r="X383" s="140">
        <f t="shared" si="264"/>
        <v>246.16047114677258</v>
      </c>
      <c r="Y383" s="140">
        <f t="shared" si="264"/>
        <v>256.00688999264275</v>
      </c>
      <c r="Z383" s="140">
        <f t="shared" si="264"/>
        <v>266.24716559234912</v>
      </c>
      <c r="AA383" s="140"/>
      <c r="AB383" s="140"/>
      <c r="AC383" s="140"/>
      <c r="AD383" s="140"/>
      <c r="AE383" s="140"/>
      <c r="AF383" s="140"/>
      <c r="AG383" s="140"/>
      <c r="AH383" s="140"/>
      <c r="AI383" s="140"/>
      <c r="AJ383" s="140"/>
      <c r="AK383" s="140"/>
      <c r="AL383" s="140"/>
      <c r="AM383" s="140"/>
      <c r="AN383" s="140"/>
      <c r="AO383" s="140"/>
      <c r="AP383" s="140"/>
      <c r="AQ383" s="140"/>
      <c r="AR383" s="140"/>
      <c r="AS383" s="140"/>
      <c r="AT383" s="140"/>
      <c r="AU383" s="140"/>
      <c r="AV383" s="140"/>
      <c r="AW383" s="140"/>
      <c r="AX383" s="140"/>
      <c r="AY383" s="140"/>
      <c r="AZ383" s="140"/>
      <c r="BA383" s="140"/>
      <c r="BB383" s="85"/>
      <c r="BD383" s="84"/>
      <c r="BE383" s="84"/>
    </row>
    <row r="384" spans="1:57" s="228" customFormat="1">
      <c r="A384" s="86"/>
      <c r="B384" s="87" t="s">
        <v>560</v>
      </c>
      <c r="C384" s="87"/>
      <c r="E384" s="128"/>
      <c r="F384" s="128"/>
      <c r="G384" s="128"/>
      <c r="H384" s="128"/>
      <c r="I384" s="129"/>
      <c r="J384" s="129"/>
      <c r="K384" s="129">
        <f>K362+K368+K372+K376+K380</f>
        <v>6079.0493567310004</v>
      </c>
      <c r="L384" s="129">
        <f t="shared" ref="L384:Z384" si="265">L362+L368+L372+L376+L380</f>
        <v>6300.100243844</v>
      </c>
      <c r="M384" s="129">
        <f t="shared" si="265"/>
        <v>7451.5090908759994</v>
      </c>
      <c r="N384" s="129">
        <f t="shared" si="265"/>
        <v>10576.305481063</v>
      </c>
      <c r="O384" s="129">
        <f t="shared" si="265"/>
        <v>9935.7921683060013</v>
      </c>
      <c r="P384" s="129">
        <f t="shared" si="265"/>
        <v>10144.390403802001</v>
      </c>
      <c r="Q384" s="91">
        <f t="shared" ca="1" si="265"/>
        <v>11305.225555136934</v>
      </c>
      <c r="R384" s="91">
        <f t="shared" ca="1" si="265"/>
        <v>12758.227246688952</v>
      </c>
      <c r="S384" s="91">
        <f t="shared" ca="1" si="265"/>
        <v>14394.403198658056</v>
      </c>
      <c r="T384" s="91">
        <f t="shared" ca="1" si="265"/>
        <v>17750.226487980653</v>
      </c>
      <c r="U384" s="91">
        <f t="shared" ca="1" si="265"/>
        <v>19929.34987461548</v>
      </c>
      <c r="V384" s="91">
        <f t="shared" ca="1" si="265"/>
        <v>21691.292917003557</v>
      </c>
      <c r="W384" s="91">
        <f t="shared" ca="1" si="265"/>
        <v>23465.887373746962</v>
      </c>
      <c r="X384" s="91">
        <f t="shared" ca="1" si="265"/>
        <v>25053.867647736373</v>
      </c>
      <c r="Y384" s="91">
        <f t="shared" ca="1" si="265"/>
        <v>26641.203657947557</v>
      </c>
      <c r="Z384" s="91">
        <f t="shared" ca="1" si="265"/>
        <v>27720.581349686756</v>
      </c>
      <c r="AA384" s="91"/>
      <c r="AB384" s="92"/>
      <c r="AC384" s="92"/>
      <c r="AD384" s="92"/>
      <c r="AE384" s="92"/>
      <c r="AF384" s="92"/>
      <c r="AG384" s="92"/>
      <c r="AH384" s="92"/>
      <c r="AI384" s="92"/>
      <c r="AJ384" s="92"/>
      <c r="AK384" s="92"/>
      <c r="AL384" s="92"/>
      <c r="AM384" s="92"/>
      <c r="AN384" s="92"/>
      <c r="AO384" s="92"/>
      <c r="AP384" s="92"/>
      <c r="AQ384" s="92"/>
      <c r="AR384" s="92"/>
      <c r="AS384" s="92"/>
      <c r="AT384" s="92"/>
      <c r="AU384" s="92"/>
      <c r="AV384" s="92"/>
      <c r="AW384" s="92"/>
      <c r="AX384" s="92"/>
      <c r="AY384" s="92"/>
      <c r="AZ384" s="92"/>
      <c r="BA384" s="92"/>
      <c r="BB384" s="480"/>
      <c r="BC384" s="94"/>
    </row>
    <row r="385" spans="1:57" s="248" customFormat="1">
      <c r="A385" s="103"/>
      <c r="B385" s="104" t="s">
        <v>561</v>
      </c>
      <c r="C385" s="485"/>
      <c r="D385" s="486"/>
      <c r="E385" s="487"/>
      <c r="F385" s="487"/>
      <c r="G385" s="487"/>
      <c r="H385" s="487"/>
      <c r="I385" s="488"/>
      <c r="J385" s="488"/>
      <c r="K385" s="488">
        <f>K366+K370+K374+K378+K382</f>
        <v>6079.0493567310004</v>
      </c>
      <c r="L385" s="488">
        <f t="shared" ref="L385:Z385" si="266">L366+L370+L374+L378+L382</f>
        <v>6300.100243844</v>
      </c>
      <c r="M385" s="488">
        <f t="shared" si="266"/>
        <v>7451.5090908759994</v>
      </c>
      <c r="N385" s="488">
        <f t="shared" si="266"/>
        <v>10576.305481063</v>
      </c>
      <c r="O385" s="488">
        <f t="shared" si="266"/>
        <v>9935.7921683060013</v>
      </c>
      <c r="P385" s="488">
        <f t="shared" si="266"/>
        <v>10144.390403802001</v>
      </c>
      <c r="Q385" s="489">
        <f t="shared" ca="1" si="266"/>
        <v>11305.225555136934</v>
      </c>
      <c r="R385" s="489">
        <f t="shared" ca="1" si="266"/>
        <v>12758.227246688952</v>
      </c>
      <c r="S385" s="489">
        <f t="shared" ca="1" si="266"/>
        <v>14394.403198658056</v>
      </c>
      <c r="T385" s="489">
        <f t="shared" ca="1" si="266"/>
        <v>17750.226487980653</v>
      </c>
      <c r="U385" s="489">
        <f t="shared" ca="1" si="266"/>
        <v>19929.34987461548</v>
      </c>
      <c r="V385" s="489">
        <f t="shared" ca="1" si="266"/>
        <v>21691.292917003557</v>
      </c>
      <c r="W385" s="489">
        <f t="shared" ca="1" si="266"/>
        <v>23465.887373746962</v>
      </c>
      <c r="X385" s="489">
        <f t="shared" ca="1" si="266"/>
        <v>25053.867647736373</v>
      </c>
      <c r="Y385" s="489">
        <f t="shared" ca="1" si="266"/>
        <v>26641.203657947557</v>
      </c>
      <c r="Z385" s="489">
        <f t="shared" ca="1" si="266"/>
        <v>27720.581349686756</v>
      </c>
      <c r="AA385" s="489"/>
      <c r="AB385" s="490"/>
      <c r="AC385" s="490"/>
      <c r="AD385" s="490"/>
      <c r="AE385" s="490"/>
      <c r="AF385" s="490"/>
      <c r="AG385" s="490"/>
      <c r="AH385" s="490"/>
      <c r="AI385" s="490"/>
      <c r="AJ385" s="490"/>
      <c r="AK385" s="490"/>
      <c r="AL385" s="490"/>
      <c r="AM385" s="490"/>
      <c r="AN385" s="490"/>
      <c r="AO385" s="490"/>
      <c r="AP385" s="490"/>
      <c r="AQ385" s="490"/>
      <c r="AR385" s="490"/>
      <c r="AS385" s="490"/>
      <c r="AT385" s="490"/>
      <c r="AU385" s="490"/>
      <c r="AV385" s="490"/>
      <c r="AW385" s="490"/>
      <c r="AX385" s="490"/>
      <c r="AY385" s="490"/>
      <c r="AZ385" s="490"/>
      <c r="BA385" s="490"/>
      <c r="BB385" s="491"/>
      <c r="BC385" s="94"/>
    </row>
    <row r="386" spans="1:57" s="18" customFormat="1">
      <c r="A386" s="17"/>
      <c r="D386" s="151"/>
      <c r="E386" s="20"/>
      <c r="F386" s="20"/>
      <c r="G386" s="20"/>
      <c r="H386" s="20"/>
      <c r="I386" s="20"/>
      <c r="J386" s="20"/>
      <c r="K386" s="20"/>
      <c r="L386" s="20"/>
      <c r="M386" s="20"/>
      <c r="N386" s="20"/>
      <c r="O386" s="20"/>
      <c r="P386" s="479"/>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151"/>
      <c r="BC386" s="75"/>
      <c r="BD386" s="151"/>
      <c r="BE386" s="151"/>
    </row>
    <row r="387" spans="1:57" s="228" customFormat="1" ht="13.8" thickBot="1">
      <c r="A387" s="86"/>
      <c r="B387" s="87" t="s">
        <v>562</v>
      </c>
      <c r="C387" s="87"/>
      <c r="E387" s="89"/>
      <c r="F387" s="89"/>
      <c r="G387" s="89"/>
      <c r="H387" s="89"/>
      <c r="I387" s="90"/>
      <c r="J387" s="90"/>
      <c r="K387" s="90">
        <f>K352+K357+K384</f>
        <v>10172.594752746001</v>
      </c>
      <c r="L387" s="90">
        <f t="shared" ref="L387:Z387" si="267">L352+L357+L384</f>
        <v>8717.4806916109992</v>
      </c>
      <c r="M387" s="90">
        <f t="shared" si="267"/>
        <v>11072.121334924999</v>
      </c>
      <c r="N387" s="90">
        <f t="shared" si="267"/>
        <v>14166.860720016</v>
      </c>
      <c r="O387" s="90">
        <f t="shared" si="267"/>
        <v>15237.966427299001</v>
      </c>
      <c r="P387" s="90">
        <f t="shared" si="267"/>
        <v>15728.847338145002</v>
      </c>
      <c r="Q387" s="142">
        <f t="shared" ca="1" si="267"/>
        <v>18017.483292912519</v>
      </c>
      <c r="R387" s="142">
        <f t="shared" ca="1" si="267"/>
        <v>19735.874623772052</v>
      </c>
      <c r="S387" s="142">
        <f t="shared" ca="1" si="267"/>
        <v>21629.797172213082</v>
      </c>
      <c r="T387" s="142">
        <f t="shared" ca="1" si="267"/>
        <v>26634.183331990287</v>
      </c>
      <c r="U387" s="142">
        <f t="shared" ca="1" si="267"/>
        <v>28759.501945854565</v>
      </c>
      <c r="V387" s="142">
        <f t="shared" ca="1" si="267"/>
        <v>29553.249091368332</v>
      </c>
      <c r="W387" s="142">
        <f t="shared" ca="1" si="267"/>
        <v>31218.55671710087</v>
      </c>
      <c r="X387" s="142">
        <f t="shared" ca="1" si="267"/>
        <v>32930.475842630454</v>
      </c>
      <c r="Y387" s="142">
        <f t="shared" ca="1" si="267"/>
        <v>34863.847465573344</v>
      </c>
      <c r="Z387" s="142">
        <f t="shared" ca="1" si="267"/>
        <v>36074.784985703955</v>
      </c>
      <c r="AA387" s="142"/>
      <c r="AB387" s="143"/>
      <c r="AC387" s="143"/>
      <c r="AD387" s="143"/>
      <c r="AE387" s="143"/>
      <c r="AF387" s="143"/>
      <c r="AG387" s="143"/>
      <c r="AH387" s="143"/>
      <c r="AI387" s="143"/>
      <c r="AJ387" s="143"/>
      <c r="AK387" s="143"/>
      <c r="AL387" s="143"/>
      <c r="AM387" s="143"/>
      <c r="AN387" s="143"/>
      <c r="AO387" s="143"/>
      <c r="AP387" s="143"/>
      <c r="AQ387" s="143"/>
      <c r="AR387" s="143"/>
      <c r="AS387" s="143"/>
      <c r="AT387" s="143"/>
      <c r="AU387" s="143"/>
      <c r="AV387" s="143"/>
      <c r="AW387" s="143"/>
      <c r="AX387" s="143"/>
      <c r="AY387" s="143"/>
      <c r="AZ387" s="143"/>
      <c r="BA387" s="143"/>
      <c r="BC387" s="94"/>
    </row>
    <row r="388" spans="1:57" s="248" customFormat="1" ht="13.8" thickBot="1">
      <c r="A388" s="103"/>
      <c r="B388" s="492" t="s">
        <v>563</v>
      </c>
      <c r="C388" s="492"/>
      <c r="D388" s="493"/>
      <c r="E388" s="494"/>
      <c r="F388" s="494"/>
      <c r="G388" s="494"/>
      <c r="H388" s="494"/>
      <c r="I388" s="495"/>
      <c r="J388" s="495"/>
      <c r="K388" s="495">
        <f>K353+K359+K385</f>
        <v>10172.594752746001</v>
      </c>
      <c r="L388" s="495">
        <f t="shared" ref="L388:Z388" si="268">L353+L359+L385</f>
        <v>8717.4806916109992</v>
      </c>
      <c r="M388" s="495">
        <f t="shared" si="268"/>
        <v>11072.121334924999</v>
      </c>
      <c r="N388" s="495">
        <f t="shared" si="268"/>
        <v>14166.860720016</v>
      </c>
      <c r="O388" s="495">
        <f t="shared" si="268"/>
        <v>15237.966427299001</v>
      </c>
      <c r="P388" s="495">
        <f t="shared" si="268"/>
        <v>15728.847338145002</v>
      </c>
      <c r="Q388" s="496">
        <f t="shared" ca="1" si="268"/>
        <v>18017.483292912519</v>
      </c>
      <c r="R388" s="496">
        <f t="shared" ca="1" si="268"/>
        <v>19735.874623772052</v>
      </c>
      <c r="S388" s="496">
        <f t="shared" ca="1" si="268"/>
        <v>21629.797172213082</v>
      </c>
      <c r="T388" s="496">
        <f t="shared" ca="1" si="268"/>
        <v>26634.183331990287</v>
      </c>
      <c r="U388" s="496">
        <f t="shared" ca="1" si="268"/>
        <v>28759.501945854565</v>
      </c>
      <c r="V388" s="496">
        <f t="shared" ca="1" si="268"/>
        <v>29553.249091368332</v>
      </c>
      <c r="W388" s="496">
        <f t="shared" ca="1" si="268"/>
        <v>31218.55671710087</v>
      </c>
      <c r="X388" s="496">
        <f t="shared" ca="1" si="268"/>
        <v>32930.475842630454</v>
      </c>
      <c r="Y388" s="496">
        <f t="shared" ca="1" si="268"/>
        <v>34863.847465573344</v>
      </c>
      <c r="Z388" s="496">
        <f t="shared" ca="1" si="268"/>
        <v>36074.784985703955</v>
      </c>
      <c r="AA388" s="496"/>
      <c r="AB388" s="497"/>
      <c r="AC388" s="497"/>
      <c r="AD388" s="497"/>
      <c r="AE388" s="497"/>
      <c r="AF388" s="497"/>
      <c r="AG388" s="497"/>
      <c r="AH388" s="497"/>
      <c r="AI388" s="497"/>
      <c r="AJ388" s="497"/>
      <c r="AK388" s="497"/>
      <c r="AL388" s="497"/>
      <c r="AM388" s="497"/>
      <c r="AN388" s="497"/>
      <c r="AO388" s="497"/>
      <c r="AP388" s="497"/>
      <c r="AQ388" s="497"/>
      <c r="AR388" s="497"/>
      <c r="AS388" s="497"/>
      <c r="AT388" s="497"/>
      <c r="AU388" s="497"/>
      <c r="AV388" s="497"/>
      <c r="AW388" s="497"/>
      <c r="AX388" s="497"/>
      <c r="AY388" s="497"/>
      <c r="AZ388" s="497"/>
      <c r="BA388" s="497"/>
      <c r="BB388" s="493"/>
      <c r="BC388" s="498"/>
    </row>
    <row r="389" spans="1:57" s="384" customFormat="1" ht="13.8" thickTop="1">
      <c r="A389" s="383"/>
      <c r="B389" s="384" t="s">
        <v>383</v>
      </c>
      <c r="D389" s="385"/>
      <c r="E389" s="386"/>
      <c r="F389" s="386"/>
      <c r="G389" s="386"/>
      <c r="H389" s="386"/>
      <c r="I389" s="387"/>
      <c r="J389" s="387"/>
      <c r="K389" s="387">
        <f>IF(ISTEXT('BS Raw'!F11),K388-'BS Raw'!F136/Input!$B$1,"chưa có BCTC")</f>
        <v>1.8189894035458565E-12</v>
      </c>
      <c r="L389" s="387">
        <f>IF(ISTEXT('BS Raw'!G11),L388-'BS Raw'!G136/Input!$B$1,"chưa có BCTC")</f>
        <v>0</v>
      </c>
      <c r="M389" s="387">
        <f>IF(ISTEXT('BS Raw'!H11),M388-'BS Raw'!H136/Input!$B$1,"chưa có BCTC")</f>
        <v>0</v>
      </c>
      <c r="N389" s="387">
        <f>IF(ISTEXT('BS Raw'!I11),N388-'BS Raw'!I136/Input!$B$1,"chưa có BCTC")</f>
        <v>0</v>
      </c>
      <c r="O389" s="387">
        <f>IF(ISTEXT('BS Raw'!J11),O388-'BS Raw'!J136/Input!$B$1,"chưa có BCTC")</f>
        <v>1.8189894035458565E-12</v>
      </c>
      <c r="P389" s="387">
        <f>IF(ISTEXT('BS Raw'!K11),P388-'BS Raw'!K136/Input!$B$1,"chưa có BCTC")</f>
        <v>1.8189894035458565E-12</v>
      </c>
      <c r="Q389" s="1484" t="str">
        <f>IF(ISTEXT('BS Raw'!L11),Q388-'BS Raw'!L136/Input!$B$1,"chưa có BCTC")</f>
        <v>chưa có BCTC</v>
      </c>
      <c r="R389" s="1484" t="str">
        <f>IF(ISTEXT('BS Raw'!M11),R388-'BS Raw'!M136/Input!$B$1,"chưa có BCTC")</f>
        <v>chưa có BCTC</v>
      </c>
      <c r="S389" s="1484" t="str">
        <f>IF(ISTEXT('BS Raw'!N11),S388-'BS Raw'!N136/Input!$B$1,"chưa có BCTC")</f>
        <v>chưa có BCTC</v>
      </c>
      <c r="T389" s="1484" t="str">
        <f>IF(ISTEXT('BS Raw'!O11),T388-'BS Raw'!O136/Input!$B$1,"chưa có BCTC")</f>
        <v>chưa có BCTC</v>
      </c>
      <c r="U389" s="1484" t="str">
        <f>IF(ISTEXT('BS Raw'!P11),U388-'BS Raw'!P136/Input!$B$1,"chưa có BCTC")</f>
        <v>chưa có BCTC</v>
      </c>
      <c r="V389" s="1484" t="str">
        <f>IF(ISTEXT('BS Raw'!Q11),V388-'BS Raw'!Q136/Input!$B$1,"chưa có BCTC")</f>
        <v>chưa có BCTC</v>
      </c>
      <c r="W389" s="1484" t="str">
        <f>IF(ISTEXT('BS Raw'!R11),W388-'BS Raw'!R136/Input!$B$1,"chưa có BCTC")</f>
        <v>chưa có BCTC</v>
      </c>
      <c r="X389" s="1484" t="str">
        <f>IF(ISTEXT('BS Raw'!S11),X388-'BS Raw'!S136/Input!$B$1,"chưa có BCTC")</f>
        <v>chưa có BCTC</v>
      </c>
      <c r="Y389" s="1484" t="str">
        <f>IF(ISTEXT('BS Raw'!T11),Y388-'BS Raw'!T136/Input!$B$1,"chưa có BCTC")</f>
        <v>chưa có BCTC</v>
      </c>
      <c r="Z389" s="1484" t="str">
        <f>IF(ISTEXT('BS Raw'!U11),Z388-'BS Raw'!U136/Input!$B$1,"chưa có BCTC")</f>
        <v>chưa có BCTC</v>
      </c>
      <c r="AA389" s="1485"/>
      <c r="AB389" s="386"/>
      <c r="AC389" s="386"/>
      <c r="AD389" s="386"/>
      <c r="AE389" s="386"/>
      <c r="AF389" s="386"/>
      <c r="AG389" s="386"/>
      <c r="AH389" s="386"/>
      <c r="AI389" s="386"/>
      <c r="AJ389" s="386"/>
      <c r="AK389" s="386"/>
      <c r="AL389" s="386"/>
      <c r="AM389" s="386"/>
      <c r="AN389" s="386"/>
      <c r="AO389" s="386"/>
      <c r="AP389" s="386"/>
      <c r="AQ389" s="386"/>
      <c r="AR389" s="386"/>
      <c r="AS389" s="386"/>
      <c r="AT389" s="386"/>
      <c r="AU389" s="386"/>
      <c r="AV389" s="386"/>
      <c r="AW389" s="386"/>
      <c r="AX389" s="386"/>
      <c r="AY389" s="386"/>
      <c r="AZ389" s="386"/>
      <c r="BA389" s="386"/>
      <c r="BB389" s="499"/>
      <c r="BC389" s="388"/>
      <c r="BD389" s="385"/>
      <c r="BE389" s="385"/>
    </row>
    <row r="390" spans="1:57" s="417" customFormat="1">
      <c r="A390" s="415"/>
      <c r="B390" s="416" t="s">
        <v>564</v>
      </c>
      <c r="C390" s="416"/>
      <c r="E390" s="500"/>
      <c r="F390" s="500"/>
      <c r="G390" s="500"/>
      <c r="H390" s="500"/>
      <c r="I390" s="501"/>
      <c r="J390" s="501"/>
      <c r="K390" s="501">
        <f>K388-K265</f>
        <v>0</v>
      </c>
      <c r="L390" s="501">
        <f t="shared" ref="L390:Z390" si="269">L388-L265</f>
        <v>0</v>
      </c>
      <c r="M390" s="501">
        <f t="shared" si="269"/>
        <v>0</v>
      </c>
      <c r="N390" s="501">
        <f t="shared" si="269"/>
        <v>0</v>
      </c>
      <c r="O390" s="501">
        <f t="shared" si="269"/>
        <v>0</v>
      </c>
      <c r="P390" s="501">
        <f t="shared" si="269"/>
        <v>0</v>
      </c>
      <c r="Q390" s="1468">
        <f t="shared" ca="1" si="269"/>
        <v>0</v>
      </c>
      <c r="R390" s="1468">
        <f t="shared" ca="1" si="269"/>
        <v>0</v>
      </c>
      <c r="S390" s="1468">
        <f t="shared" ca="1" si="269"/>
        <v>0</v>
      </c>
      <c r="T390" s="1468">
        <f t="shared" ca="1" si="269"/>
        <v>0</v>
      </c>
      <c r="U390" s="1468">
        <f t="shared" ca="1" si="269"/>
        <v>0</v>
      </c>
      <c r="V390" s="1468">
        <f t="shared" ca="1" si="269"/>
        <v>0</v>
      </c>
      <c r="W390" s="1468">
        <f t="shared" ca="1" si="269"/>
        <v>0</v>
      </c>
      <c r="X390" s="1468">
        <f t="shared" ca="1" si="269"/>
        <v>0</v>
      </c>
      <c r="Y390" s="1468">
        <f t="shared" ca="1" si="269"/>
        <v>0</v>
      </c>
      <c r="Z390" s="1468">
        <f t="shared" ca="1" si="269"/>
        <v>0</v>
      </c>
      <c r="AA390" s="1468"/>
      <c r="AB390" s="501"/>
      <c r="AC390" s="501"/>
      <c r="AD390" s="501"/>
      <c r="AE390" s="500"/>
      <c r="AF390" s="500"/>
      <c r="AG390" s="500"/>
      <c r="AH390" s="500"/>
      <c r="AI390" s="500"/>
      <c r="AJ390" s="500"/>
      <c r="AK390" s="500"/>
      <c r="AL390" s="500"/>
      <c r="AM390" s="500"/>
      <c r="AN390" s="500"/>
      <c r="AO390" s="500"/>
      <c r="AP390" s="500"/>
      <c r="AQ390" s="500"/>
      <c r="AR390" s="500"/>
      <c r="AS390" s="500"/>
      <c r="AT390" s="500"/>
      <c r="AU390" s="500"/>
      <c r="AV390" s="500"/>
      <c r="AW390" s="500"/>
      <c r="AX390" s="500"/>
      <c r="AY390" s="500"/>
      <c r="AZ390" s="500"/>
      <c r="BA390" s="500"/>
      <c r="BC390" s="421"/>
    </row>
    <row r="391" spans="1:57">
      <c r="A391" s="39"/>
      <c r="B391" s="18"/>
      <c r="C391" s="18"/>
      <c r="D391" s="84"/>
      <c r="E391" s="502"/>
      <c r="F391" s="502"/>
      <c r="G391" s="502"/>
      <c r="H391" s="502"/>
      <c r="I391" s="502"/>
      <c r="J391" s="502"/>
      <c r="K391" s="502"/>
      <c r="L391" s="502"/>
      <c r="M391" s="502"/>
      <c r="N391" s="502"/>
      <c r="O391" s="502"/>
      <c r="P391" s="503"/>
      <c r="Q391" s="502"/>
      <c r="R391" s="502"/>
      <c r="S391" s="502"/>
      <c r="T391" s="502"/>
      <c r="U391" s="502"/>
      <c r="V391" s="502"/>
      <c r="W391" s="502"/>
      <c r="X391" s="502"/>
      <c r="Y391" s="502"/>
      <c r="Z391" s="502"/>
      <c r="AA391" s="502"/>
      <c r="AB391" s="502"/>
      <c r="AC391" s="502"/>
      <c r="AD391" s="502"/>
      <c r="AE391" s="502"/>
      <c r="AF391" s="502"/>
      <c r="AG391" s="502"/>
      <c r="AH391" s="502"/>
      <c r="AI391" s="502"/>
      <c r="AJ391" s="502"/>
      <c r="AK391" s="502"/>
      <c r="AL391" s="502"/>
      <c r="AM391" s="502"/>
      <c r="AN391" s="502"/>
      <c r="AO391" s="502"/>
      <c r="AP391" s="502"/>
      <c r="AQ391" s="502"/>
      <c r="AR391" s="502"/>
      <c r="AS391" s="502"/>
      <c r="AT391" s="502"/>
      <c r="AU391" s="502"/>
      <c r="AV391" s="502"/>
      <c r="AW391" s="502"/>
      <c r="AX391" s="502"/>
      <c r="AY391" s="502"/>
      <c r="AZ391" s="502"/>
      <c r="BA391" s="502"/>
      <c r="BB391" s="502"/>
      <c r="BC391" s="504"/>
      <c r="BD391" s="84"/>
      <c r="BE391" s="84"/>
    </row>
    <row r="392" spans="1:57">
      <c r="A392" s="39"/>
      <c r="D392" s="84"/>
      <c r="E392" s="85"/>
      <c r="F392" s="85"/>
      <c r="G392" s="85"/>
      <c r="H392" s="85"/>
      <c r="I392" s="85"/>
      <c r="J392" s="85"/>
      <c r="K392" s="85"/>
      <c r="L392" s="85"/>
      <c r="M392" s="85"/>
      <c r="N392" s="85"/>
      <c r="O392" s="85"/>
      <c r="P392" s="264"/>
      <c r="Q392" s="85"/>
      <c r="R392" s="85"/>
      <c r="S392" s="85"/>
      <c r="T392" s="85"/>
      <c r="U392" s="85"/>
      <c r="V392" s="85"/>
      <c r="W392" s="85"/>
      <c r="X392" s="85"/>
      <c r="Y392" s="85"/>
      <c r="Z392" s="85"/>
      <c r="AA392" s="85"/>
      <c r="AB392" s="85"/>
      <c r="AC392" s="85"/>
      <c r="AD392" s="85"/>
      <c r="AE392" s="85"/>
      <c r="AF392" s="85"/>
      <c r="AG392" s="85"/>
      <c r="AH392" s="85"/>
      <c r="AI392" s="85"/>
      <c r="AJ392" s="85"/>
      <c r="AK392" s="85"/>
      <c r="AL392" s="85"/>
      <c r="AM392" s="85"/>
      <c r="AN392" s="85"/>
      <c r="AO392" s="85"/>
      <c r="AP392" s="85"/>
      <c r="AQ392" s="85"/>
      <c r="AR392" s="85"/>
      <c r="AS392" s="85"/>
      <c r="AT392" s="85"/>
      <c r="AU392" s="85"/>
      <c r="AV392" s="85"/>
      <c r="AW392" s="85"/>
      <c r="AX392" s="85"/>
      <c r="AY392" s="85"/>
      <c r="AZ392" s="85"/>
      <c r="BA392" s="85"/>
      <c r="BB392" s="85"/>
      <c r="BC392" s="504"/>
      <c r="BD392" s="84"/>
      <c r="BE392" s="84"/>
    </row>
    <row r="393" spans="1:57">
      <c r="A393" s="39"/>
      <c r="B393" s="505" t="s">
        <v>565</v>
      </c>
      <c r="C393" s="67"/>
      <c r="D393" s="73"/>
      <c r="E393" s="73"/>
      <c r="F393" s="73"/>
      <c r="G393" s="73"/>
      <c r="H393" s="73"/>
      <c r="I393" s="72"/>
      <c r="J393" s="72"/>
      <c r="K393" s="72">
        <f>K166+K176+K195+K207+K211+K226+K232+K238+K244+K249+K254+K259+K220</f>
        <v>10172.594752745999</v>
      </c>
      <c r="L393" s="72">
        <f t="shared" ref="L393:Z393" si="270">L166+L176+L195+L207+L211+L226+L232+L238+L244+L249+L254+L259+L220</f>
        <v>8717.480691611001</v>
      </c>
      <c r="M393" s="72">
        <f t="shared" si="270"/>
        <v>11072.121334925001</v>
      </c>
      <c r="N393" s="72">
        <f t="shared" si="270"/>
        <v>14166.860720016</v>
      </c>
      <c r="O393" s="72">
        <f t="shared" si="270"/>
        <v>15237.966427298998</v>
      </c>
      <c r="P393" s="72">
        <f t="shared" si="270"/>
        <v>15728.847338145</v>
      </c>
      <c r="Q393" s="72">
        <f t="shared" si="270"/>
        <v>18016.196839145068</v>
      </c>
      <c r="R393" s="72">
        <f t="shared" si="270"/>
        <v>19732.480264812242</v>
      </c>
      <c r="S393" s="72">
        <f t="shared" si="270"/>
        <v>21628.18073186262</v>
      </c>
      <c r="T393" s="72">
        <f t="shared" si="270"/>
        <v>26632.113387074729</v>
      </c>
      <c r="U393" s="72">
        <f t="shared" si="270"/>
        <v>28753.747055053595</v>
      </c>
      <c r="V393" s="72">
        <f t="shared" si="270"/>
        <v>29546.968234981159</v>
      </c>
      <c r="W393" s="72">
        <f t="shared" si="270"/>
        <v>31210.438850772316</v>
      </c>
      <c r="X393" s="72">
        <f t="shared" si="270"/>
        <v>32923.856607582456</v>
      </c>
      <c r="Y393" s="72">
        <f t="shared" si="270"/>
        <v>34860.70443716312</v>
      </c>
      <c r="Z393" s="72">
        <f t="shared" si="270"/>
        <v>36071.300052700317</v>
      </c>
      <c r="AA393" s="72"/>
      <c r="AB393" s="506"/>
      <c r="AC393" s="506"/>
      <c r="AD393" s="506"/>
      <c r="AE393" s="506"/>
      <c r="AF393" s="506"/>
      <c r="AG393" s="506"/>
      <c r="AH393" s="506"/>
      <c r="AI393" s="506"/>
      <c r="AJ393" s="506"/>
      <c r="AK393" s="506"/>
      <c r="AL393" s="506"/>
      <c r="AM393" s="506"/>
      <c r="AN393" s="506"/>
      <c r="AO393" s="506"/>
      <c r="AP393" s="506"/>
      <c r="AQ393" s="506"/>
      <c r="AR393" s="506"/>
      <c r="AS393" s="506"/>
      <c r="AT393" s="506"/>
      <c r="AU393" s="506"/>
      <c r="AV393" s="506"/>
      <c r="AW393" s="506"/>
      <c r="AX393" s="506"/>
      <c r="AY393" s="506"/>
      <c r="AZ393" s="506"/>
      <c r="BA393" s="506"/>
      <c r="BB393" s="84"/>
      <c r="BC393" s="507"/>
      <c r="BD393" s="84"/>
      <c r="BE393" s="84"/>
    </row>
    <row r="394" spans="1:57">
      <c r="A394" s="39"/>
      <c r="B394" s="508" t="s">
        <v>566</v>
      </c>
      <c r="D394" s="41"/>
      <c r="E394" s="41"/>
      <c r="F394" s="41"/>
      <c r="G394" s="41"/>
      <c r="H394" s="41"/>
      <c r="I394" s="190"/>
      <c r="J394" s="190"/>
      <c r="K394" s="190">
        <f>K382+K378+K374+K370+K366+K359+K343+K347+K336+K330+K293+K289+K284+K279</f>
        <v>10172.594752746001</v>
      </c>
      <c r="L394" s="190">
        <f t="shared" ref="L394:Z394" si="271">L382+L378+L374+L370+L366+L359+L343+L347+L336+L330+L293+L289+L284+L279</f>
        <v>8717.4806916109992</v>
      </c>
      <c r="M394" s="190">
        <f t="shared" si="271"/>
        <v>11072.121334924999</v>
      </c>
      <c r="N394" s="190">
        <f t="shared" si="271"/>
        <v>14166.860720016</v>
      </c>
      <c r="O394" s="190">
        <f t="shared" si="271"/>
        <v>15237.966427298998</v>
      </c>
      <c r="P394" s="190">
        <f t="shared" si="271"/>
        <v>15728.847338145</v>
      </c>
      <c r="Q394" s="190">
        <f t="shared" ca="1" si="271"/>
        <v>18017.483292912519</v>
      </c>
      <c r="R394" s="190">
        <f t="shared" ca="1" si="271"/>
        <v>19735.874623772052</v>
      </c>
      <c r="S394" s="190">
        <f t="shared" ca="1" si="271"/>
        <v>21629.797172213082</v>
      </c>
      <c r="T394" s="190">
        <f t="shared" ca="1" si="271"/>
        <v>26634.183331990287</v>
      </c>
      <c r="U394" s="190">
        <f t="shared" ca="1" si="271"/>
        <v>28759.501945854568</v>
      </c>
      <c r="V394" s="190">
        <f t="shared" ca="1" si="271"/>
        <v>29553.249091368332</v>
      </c>
      <c r="W394" s="190">
        <f t="shared" ca="1" si="271"/>
        <v>31218.55671710087</v>
      </c>
      <c r="X394" s="190">
        <f t="shared" ca="1" si="271"/>
        <v>32930.475842630454</v>
      </c>
      <c r="Y394" s="190">
        <f t="shared" ca="1" si="271"/>
        <v>34863.847465573344</v>
      </c>
      <c r="Z394" s="190">
        <f t="shared" ca="1" si="271"/>
        <v>36074.784985703955</v>
      </c>
      <c r="AA394" s="190"/>
      <c r="AB394" s="178"/>
      <c r="AC394" s="178"/>
      <c r="AD394" s="178"/>
      <c r="AE394" s="178"/>
      <c r="AF394" s="178"/>
      <c r="AG394" s="178"/>
      <c r="AH394" s="178"/>
      <c r="AI394" s="178"/>
      <c r="AJ394" s="178"/>
      <c r="AK394" s="178"/>
      <c r="AL394" s="178"/>
      <c r="AM394" s="178"/>
      <c r="AN394" s="178"/>
      <c r="AO394" s="178"/>
      <c r="AP394" s="178"/>
      <c r="AQ394" s="178"/>
      <c r="AR394" s="178"/>
      <c r="AS394" s="178"/>
      <c r="AT394" s="178"/>
      <c r="AU394" s="178"/>
      <c r="AV394" s="178"/>
      <c r="AW394" s="178"/>
      <c r="AX394" s="178"/>
      <c r="AY394" s="178"/>
      <c r="AZ394" s="178"/>
      <c r="BA394" s="178"/>
      <c r="BB394" s="84"/>
      <c r="BC394" s="507"/>
      <c r="BD394" s="84"/>
      <c r="BE394" s="84"/>
    </row>
    <row r="395" spans="1:57">
      <c r="A395" s="39"/>
      <c r="B395" s="508"/>
      <c r="D395" s="41"/>
      <c r="E395" s="140"/>
      <c r="F395" s="140"/>
      <c r="G395" s="140"/>
      <c r="H395" s="140"/>
      <c r="I395" s="140"/>
      <c r="J395" s="140"/>
      <c r="K395" s="140"/>
      <c r="L395" s="140"/>
      <c r="M395" s="140"/>
      <c r="N395" s="140"/>
      <c r="O395" s="140"/>
      <c r="P395" s="141"/>
      <c r="Q395" s="140"/>
      <c r="R395" s="140"/>
      <c r="S395" s="140"/>
      <c r="T395" s="140"/>
      <c r="U395" s="140"/>
      <c r="V395" s="140"/>
      <c r="W395" s="140"/>
      <c r="X395" s="140"/>
      <c r="Y395" s="140"/>
      <c r="Z395" s="140"/>
      <c r="AA395" s="140"/>
      <c r="AB395" s="140"/>
      <c r="AC395" s="140"/>
      <c r="AD395" s="140"/>
      <c r="AE395" s="140"/>
      <c r="AF395" s="140"/>
      <c r="AG395" s="140"/>
      <c r="AH395" s="140"/>
      <c r="AI395" s="140"/>
      <c r="AJ395" s="140"/>
      <c r="AK395" s="140"/>
      <c r="AL395" s="140"/>
      <c r="AM395" s="140"/>
      <c r="AN395" s="140"/>
      <c r="AO395" s="140"/>
      <c r="AP395" s="140"/>
      <c r="AQ395" s="140"/>
      <c r="AR395" s="140"/>
      <c r="AS395" s="140"/>
      <c r="AT395" s="140"/>
      <c r="AU395" s="140"/>
      <c r="AV395" s="140"/>
      <c r="AW395" s="140"/>
      <c r="AX395" s="140"/>
      <c r="AY395" s="140"/>
      <c r="AZ395" s="140"/>
      <c r="BA395" s="140"/>
      <c r="BB395" s="85"/>
      <c r="BC395" s="504"/>
      <c r="BD395" s="84"/>
      <c r="BE395" s="84"/>
    </row>
    <row r="396" spans="1:57" s="18" customFormat="1">
      <c r="A396" s="17"/>
      <c r="B396" s="509" t="s">
        <v>567</v>
      </c>
      <c r="D396" s="20"/>
      <c r="E396" s="20"/>
      <c r="F396" s="20"/>
      <c r="G396" s="20"/>
      <c r="H396" s="20"/>
      <c r="I396" s="20"/>
      <c r="J396" s="20"/>
      <c r="K396" s="20">
        <f>IF(ISERROR(K394-K393),0,K394-K393)</f>
        <v>1.8189894035458565E-12</v>
      </c>
      <c r="L396" s="20">
        <f t="shared" ref="L396:P396" si="272">IF(ISERROR(L394-L393),0,L394-L393)</f>
        <v>-1.8189894035458565E-12</v>
      </c>
      <c r="M396" s="20">
        <f t="shared" si="272"/>
        <v>-1.8189894035458565E-12</v>
      </c>
      <c r="N396" s="20">
        <f t="shared" si="272"/>
        <v>0</v>
      </c>
      <c r="O396" s="20">
        <f t="shared" si="272"/>
        <v>0</v>
      </c>
      <c r="P396" s="20">
        <f t="shared" si="272"/>
        <v>0</v>
      </c>
      <c r="Q396" s="510">
        <f ca="1">IF(ISERROR(Q394-Q393),0,Q394-Q393)</f>
        <v>1.286453767450439</v>
      </c>
      <c r="R396" s="510">
        <f t="shared" ref="R396:Z396" ca="1" si="273">IF(ISERROR(R394-R393),0,R394-R393)</f>
        <v>3.394358959809324</v>
      </c>
      <c r="S396" s="510">
        <f t="shared" ca="1" si="273"/>
        <v>1.6164403504626534</v>
      </c>
      <c r="T396" s="510">
        <f t="shared" ca="1" si="273"/>
        <v>2.0699449155581533</v>
      </c>
      <c r="U396" s="510">
        <f t="shared" ca="1" si="273"/>
        <v>5.7548908009739534</v>
      </c>
      <c r="V396" s="510">
        <f t="shared" ca="1" si="273"/>
        <v>6.2808563871731167</v>
      </c>
      <c r="W396" s="510">
        <f t="shared" ca="1" si="273"/>
        <v>8.1178663285536459</v>
      </c>
      <c r="X396" s="510">
        <f t="shared" ca="1" si="273"/>
        <v>6.6192350479977904</v>
      </c>
      <c r="Y396" s="510">
        <f t="shared" ca="1" si="273"/>
        <v>3.1430284102243604</v>
      </c>
      <c r="Z396" s="510">
        <f t="shared" ca="1" si="273"/>
        <v>3.4849330036377069</v>
      </c>
      <c r="AA396" s="510"/>
      <c r="AB396" s="511"/>
      <c r="AC396" s="511"/>
      <c r="AD396" s="511"/>
      <c r="AE396" s="511"/>
      <c r="AF396" s="511"/>
      <c r="AG396" s="511"/>
      <c r="AH396" s="511"/>
      <c r="AI396" s="511"/>
      <c r="AJ396" s="511"/>
      <c r="AK396" s="511"/>
      <c r="AL396" s="511"/>
      <c r="AM396" s="511"/>
      <c r="AN396" s="511"/>
      <c r="AO396" s="511"/>
      <c r="AP396" s="511"/>
      <c r="AQ396" s="511"/>
      <c r="AR396" s="511"/>
      <c r="AS396" s="511"/>
      <c r="AT396" s="511"/>
      <c r="AU396" s="511"/>
      <c r="AV396" s="511"/>
      <c r="AW396" s="511"/>
      <c r="AX396" s="511"/>
      <c r="AY396" s="511"/>
      <c r="AZ396" s="511"/>
      <c r="BA396" s="511"/>
      <c r="BB396" s="151"/>
      <c r="BC396" s="504"/>
      <c r="BD396" s="151"/>
      <c r="BE396" s="151"/>
    </row>
    <row r="397" spans="1:57">
      <c r="A397" s="39"/>
      <c r="B397" s="508"/>
      <c r="D397" s="41"/>
      <c r="E397" s="140"/>
      <c r="F397" s="140"/>
      <c r="G397" s="140"/>
      <c r="H397" s="140"/>
      <c r="I397" s="20"/>
      <c r="J397" s="140"/>
      <c r="K397" s="140"/>
      <c r="L397" s="140"/>
      <c r="M397" s="140"/>
      <c r="N397" s="140"/>
      <c r="O397" s="140"/>
      <c r="P397" s="141"/>
      <c r="Q397" s="140"/>
      <c r="R397" s="140"/>
      <c r="S397" s="140"/>
      <c r="T397" s="140"/>
      <c r="U397" s="140"/>
      <c r="V397" s="140"/>
      <c r="W397" s="140"/>
      <c r="X397" s="140"/>
      <c r="Y397" s="140"/>
      <c r="Z397" s="140"/>
      <c r="AA397" s="140"/>
      <c r="AB397" s="140"/>
      <c r="AC397" s="140"/>
      <c r="AD397" s="140"/>
      <c r="AE397" s="140"/>
      <c r="AF397" s="140"/>
      <c r="AG397" s="140"/>
      <c r="AH397" s="140"/>
      <c r="AI397" s="140"/>
      <c r="AJ397" s="140"/>
      <c r="AK397" s="140"/>
      <c r="AL397" s="140"/>
      <c r="AM397" s="140"/>
      <c r="AN397" s="140"/>
      <c r="AO397" s="140"/>
      <c r="AP397" s="140"/>
      <c r="AQ397" s="140"/>
      <c r="AR397" s="140"/>
      <c r="AS397" s="140"/>
      <c r="AT397" s="140"/>
      <c r="AU397" s="140"/>
      <c r="AV397" s="140"/>
      <c r="AW397" s="140"/>
      <c r="AX397" s="140"/>
      <c r="AY397" s="140"/>
      <c r="AZ397" s="140"/>
      <c r="BA397" s="140"/>
      <c r="BB397" s="85"/>
      <c r="BC397" s="504"/>
      <c r="BD397" s="84"/>
      <c r="BE397" s="84"/>
    </row>
    <row r="398" spans="1:57" ht="13.8" thickBot="1">
      <c r="A398" s="39"/>
      <c r="B398" s="508" t="s">
        <v>568</v>
      </c>
      <c r="D398" s="41"/>
      <c r="E398" s="140"/>
      <c r="F398" s="140"/>
      <c r="G398" s="140"/>
      <c r="H398" s="140"/>
      <c r="I398" s="20"/>
      <c r="J398" s="140"/>
      <c r="K398" s="512"/>
      <c r="M398" s="128"/>
      <c r="N398" s="128"/>
      <c r="O398" s="513" t="s">
        <v>569</v>
      </c>
      <c r="P398" s="265">
        <f>IF($O$398="Y",MAX(P396,0),0)</f>
        <v>0</v>
      </c>
      <c r="Q398" s="92">
        <f>IF($O$398="Y",MAX(Q396,0),0)</f>
        <v>0</v>
      </c>
      <c r="R398" s="92">
        <f t="shared" ref="R398:Z398" si="274">IF($O$398="Y",MAX(R396,0),0)</f>
        <v>0</v>
      </c>
      <c r="S398" s="92">
        <f t="shared" si="274"/>
        <v>0</v>
      </c>
      <c r="T398" s="92">
        <f t="shared" si="274"/>
        <v>0</v>
      </c>
      <c r="U398" s="92">
        <f t="shared" si="274"/>
        <v>0</v>
      </c>
      <c r="V398" s="92">
        <f t="shared" si="274"/>
        <v>0</v>
      </c>
      <c r="W398" s="92">
        <f t="shared" si="274"/>
        <v>0</v>
      </c>
      <c r="X398" s="92">
        <f t="shared" si="274"/>
        <v>0</v>
      </c>
      <c r="Y398" s="92">
        <f t="shared" si="274"/>
        <v>0</v>
      </c>
      <c r="Z398" s="92">
        <f t="shared" si="274"/>
        <v>0</v>
      </c>
      <c r="AA398" s="92"/>
      <c r="AB398" s="92"/>
      <c r="AC398" s="92"/>
      <c r="AD398" s="92"/>
      <c r="AE398" s="92"/>
      <c r="AF398" s="92"/>
      <c r="AG398" s="92"/>
      <c r="AH398" s="92"/>
      <c r="AI398" s="92"/>
      <c r="AJ398" s="92"/>
      <c r="AK398" s="92"/>
      <c r="AL398" s="92"/>
      <c r="AM398" s="92"/>
      <c r="AN398" s="92"/>
      <c r="AO398" s="92"/>
      <c r="AP398" s="92"/>
      <c r="AQ398" s="92"/>
      <c r="AR398" s="92"/>
      <c r="AS398" s="92"/>
      <c r="AT398" s="92"/>
      <c r="AU398" s="92"/>
      <c r="AV398" s="92"/>
      <c r="AW398" s="92"/>
      <c r="AX398" s="92"/>
      <c r="AY398" s="92"/>
      <c r="AZ398" s="92"/>
      <c r="BA398" s="92"/>
      <c r="BB398" s="200"/>
      <c r="BC398" s="504"/>
      <c r="BD398" s="84"/>
      <c r="BE398" s="84"/>
    </row>
    <row r="399" spans="1:57" ht="13.8" thickTop="1">
      <c r="A399" s="39"/>
      <c r="B399" s="508"/>
      <c r="D399" s="41"/>
      <c r="E399" s="140"/>
      <c r="F399" s="140"/>
      <c r="G399" s="140"/>
      <c r="H399" s="140"/>
      <c r="I399" s="140"/>
      <c r="J399" s="140"/>
      <c r="K399" s="140"/>
      <c r="M399" s="140"/>
      <c r="N399" s="140"/>
      <c r="O399" s="140"/>
      <c r="P399" s="141"/>
      <c r="Q399" s="140"/>
      <c r="R399" s="140"/>
      <c r="S399" s="140"/>
      <c r="T399" s="140"/>
      <c r="U399" s="140"/>
      <c r="V399" s="140"/>
      <c r="W399" s="140"/>
      <c r="X399" s="140"/>
      <c r="Y399" s="140"/>
      <c r="Z399" s="140"/>
      <c r="AA399" s="140"/>
      <c r="AB399" s="140"/>
      <c r="AC399" s="140"/>
      <c r="AD399" s="140"/>
      <c r="AE399" s="140"/>
      <c r="AF399" s="140"/>
      <c r="AG399" s="140"/>
      <c r="AH399" s="140"/>
      <c r="AI399" s="140"/>
      <c r="AJ399" s="140"/>
      <c r="AK399" s="140"/>
      <c r="AL399" s="140"/>
      <c r="AM399" s="140"/>
      <c r="AN399" s="140"/>
      <c r="AO399" s="140"/>
      <c r="AP399" s="140"/>
      <c r="AQ399" s="140"/>
      <c r="AR399" s="140"/>
      <c r="AS399" s="140"/>
      <c r="AT399" s="140"/>
      <c r="AU399" s="140"/>
      <c r="AV399" s="140"/>
      <c r="AW399" s="140"/>
      <c r="AX399" s="140"/>
      <c r="AY399" s="140"/>
      <c r="AZ399" s="140"/>
      <c r="BA399" s="140"/>
      <c r="BB399" s="85"/>
      <c r="BC399" s="504"/>
      <c r="BD399" s="84"/>
      <c r="BE399" s="84"/>
    </row>
    <row r="400" spans="1:57">
      <c r="A400" s="39"/>
      <c r="B400" s="508" t="s">
        <v>570</v>
      </c>
      <c r="D400" s="41"/>
      <c r="E400" s="140"/>
      <c r="F400" s="140"/>
      <c r="G400" s="140"/>
      <c r="H400" s="140"/>
      <c r="I400" s="140"/>
      <c r="J400" s="140"/>
      <c r="K400" s="514"/>
      <c r="M400" s="423"/>
      <c r="N400" s="423"/>
      <c r="O400" s="423"/>
      <c r="P400" s="2590">
        <f>P302</f>
        <v>2.9644798749999999</v>
      </c>
      <c r="Q400" s="516">
        <f>Q302</f>
        <v>351.10113874462809</v>
      </c>
      <c r="R400" s="516">
        <f t="shared" ref="R400:Z400" si="275">R302</f>
        <v>497.008080119243</v>
      </c>
      <c r="S400" s="516">
        <f t="shared" si="275"/>
        <v>583.71521092329453</v>
      </c>
      <c r="T400" s="516">
        <f t="shared" si="275"/>
        <v>814.31730987355388</v>
      </c>
      <c r="U400" s="516">
        <f t="shared" si="275"/>
        <v>711.52401678971239</v>
      </c>
      <c r="V400" s="516">
        <f t="shared" si="275"/>
        <v>575.66000497191988</v>
      </c>
      <c r="W400" s="516">
        <f t="shared" si="275"/>
        <v>445.3340713572826</v>
      </c>
      <c r="X400" s="516">
        <f t="shared" si="275"/>
        <v>358.65792112628571</v>
      </c>
      <c r="Y400" s="516">
        <f t="shared" si="275"/>
        <v>337.86153077179063</v>
      </c>
      <c r="Z400" s="516">
        <f t="shared" si="275"/>
        <v>344.77629244595983</v>
      </c>
      <c r="AA400" s="516"/>
      <c r="AB400" s="517"/>
      <c r="AC400" s="517"/>
      <c r="AD400" s="517"/>
      <c r="AE400" s="517"/>
      <c r="AF400" s="517"/>
      <c r="AG400" s="517"/>
      <c r="AH400" s="517"/>
      <c r="AI400" s="517"/>
      <c r="AJ400" s="517"/>
      <c r="AK400" s="517"/>
      <c r="AL400" s="517"/>
      <c r="AM400" s="517"/>
      <c r="AN400" s="517"/>
      <c r="AO400" s="517"/>
      <c r="AP400" s="517"/>
      <c r="AQ400" s="517"/>
      <c r="AR400" s="517"/>
      <c r="AS400" s="517"/>
      <c r="AT400" s="517"/>
      <c r="AU400" s="517"/>
      <c r="AV400" s="517"/>
      <c r="AW400" s="517"/>
      <c r="AX400" s="517"/>
      <c r="AY400" s="517"/>
      <c r="AZ400" s="517"/>
      <c r="BA400" s="517"/>
      <c r="BB400" s="518"/>
      <c r="BC400" s="504"/>
      <c r="BD400" s="84"/>
      <c r="BE400" s="84"/>
    </row>
    <row r="401" spans="1:57">
      <c r="A401" s="39"/>
      <c r="B401" s="508" t="s">
        <v>571</v>
      </c>
      <c r="D401" s="41"/>
      <c r="E401" s="140"/>
      <c r="F401" s="140"/>
      <c r="G401" s="140"/>
      <c r="H401" s="140"/>
      <c r="I401" s="140"/>
      <c r="J401" s="140"/>
      <c r="K401" s="514"/>
      <c r="L401" s="423"/>
      <c r="M401" s="423"/>
      <c r="N401" s="423"/>
      <c r="O401" s="423"/>
      <c r="P401" s="515">
        <f>P312</f>
        <v>0</v>
      </c>
      <c r="Q401" s="517">
        <f>Q312</f>
        <v>0</v>
      </c>
      <c r="R401" s="517">
        <f t="shared" ref="R401:Z401" si="276">R312</f>
        <v>0</v>
      </c>
      <c r="S401" s="517">
        <f t="shared" si="276"/>
        <v>0</v>
      </c>
      <c r="T401" s="517">
        <f t="shared" si="276"/>
        <v>0</v>
      </c>
      <c r="U401" s="517">
        <f t="shared" si="276"/>
        <v>0</v>
      </c>
      <c r="V401" s="517">
        <f t="shared" si="276"/>
        <v>0</v>
      </c>
      <c r="W401" s="517">
        <f t="shared" si="276"/>
        <v>0</v>
      </c>
      <c r="X401" s="517">
        <f t="shared" si="276"/>
        <v>0</v>
      </c>
      <c r="Y401" s="517">
        <f t="shared" si="276"/>
        <v>0</v>
      </c>
      <c r="Z401" s="517">
        <f t="shared" si="276"/>
        <v>0</v>
      </c>
      <c r="AA401" s="517"/>
      <c r="AB401" s="517"/>
      <c r="AC401" s="517"/>
      <c r="AD401" s="517"/>
      <c r="AE401" s="517"/>
      <c r="AF401" s="517"/>
      <c r="AG401" s="517"/>
      <c r="AH401" s="517"/>
      <c r="AI401" s="517"/>
      <c r="AJ401" s="517"/>
      <c r="AK401" s="517"/>
      <c r="AL401" s="517"/>
      <c r="AM401" s="517"/>
      <c r="AN401" s="517"/>
      <c r="AO401" s="517"/>
      <c r="AP401" s="517"/>
      <c r="AQ401" s="517"/>
      <c r="AR401" s="517"/>
      <c r="AS401" s="517"/>
      <c r="AT401" s="517"/>
      <c r="AU401" s="517"/>
      <c r="AV401" s="517"/>
      <c r="AW401" s="517"/>
      <c r="AX401" s="517"/>
      <c r="AY401" s="517"/>
      <c r="AZ401" s="517"/>
      <c r="BA401" s="517"/>
      <c r="BB401" s="518"/>
      <c r="BC401" s="504"/>
      <c r="BD401" s="84"/>
      <c r="BE401" s="84"/>
    </row>
    <row r="402" spans="1:57">
      <c r="A402" s="39"/>
      <c r="B402" s="508" t="s">
        <v>572</v>
      </c>
      <c r="D402" s="41"/>
      <c r="E402" s="140"/>
      <c r="F402" s="140"/>
      <c r="G402" s="140"/>
      <c r="H402" s="140"/>
      <c r="I402" s="140"/>
      <c r="J402" s="140"/>
      <c r="K402" s="140"/>
      <c r="L402" s="128"/>
      <c r="M402" s="128"/>
      <c r="N402" s="128"/>
      <c r="O402" s="128"/>
      <c r="P402" s="265">
        <f>P322</f>
        <v>0</v>
      </c>
      <c r="Q402" s="92">
        <f>Q322</f>
        <v>0</v>
      </c>
      <c r="R402" s="92">
        <f t="shared" ref="R402:Z402" si="277">R322</f>
        <v>0</v>
      </c>
      <c r="S402" s="92">
        <f t="shared" si="277"/>
        <v>0</v>
      </c>
      <c r="T402" s="92">
        <f t="shared" si="277"/>
        <v>0</v>
      </c>
      <c r="U402" s="92">
        <f t="shared" si="277"/>
        <v>0</v>
      </c>
      <c r="V402" s="92">
        <f t="shared" si="277"/>
        <v>0</v>
      </c>
      <c r="W402" s="92">
        <f t="shared" si="277"/>
        <v>0</v>
      </c>
      <c r="X402" s="92">
        <f t="shared" si="277"/>
        <v>0</v>
      </c>
      <c r="Y402" s="92">
        <f t="shared" si="277"/>
        <v>0</v>
      </c>
      <c r="Z402" s="92">
        <f t="shared" si="277"/>
        <v>0</v>
      </c>
      <c r="AA402" s="92"/>
      <c r="AB402" s="92"/>
      <c r="AC402" s="92"/>
      <c r="AD402" s="92"/>
      <c r="AE402" s="92"/>
      <c r="AF402" s="92"/>
      <c r="AG402" s="92"/>
      <c r="AH402" s="92"/>
      <c r="AI402" s="92"/>
      <c r="AJ402" s="92"/>
      <c r="AK402" s="92"/>
      <c r="AL402" s="92"/>
      <c r="AM402" s="92"/>
      <c r="AN402" s="92"/>
      <c r="AO402" s="92"/>
      <c r="AP402" s="92"/>
      <c r="AQ402" s="92"/>
      <c r="AR402" s="92"/>
      <c r="AS402" s="92"/>
      <c r="AT402" s="92"/>
      <c r="AU402" s="92"/>
      <c r="AV402" s="92"/>
      <c r="AW402" s="92"/>
      <c r="AX402" s="92"/>
      <c r="AY402" s="92"/>
      <c r="AZ402" s="92"/>
      <c r="BA402" s="92"/>
      <c r="BB402" s="200"/>
      <c r="BC402" s="504"/>
      <c r="BD402" s="84"/>
      <c r="BE402" s="84"/>
    </row>
    <row r="403" spans="1:57">
      <c r="A403" s="39"/>
      <c r="B403" s="508" t="s">
        <v>573</v>
      </c>
      <c r="D403" s="41"/>
      <c r="E403" s="140"/>
      <c r="F403" s="140"/>
      <c r="G403" s="140"/>
      <c r="H403" s="140"/>
      <c r="I403" s="140"/>
      <c r="J403" s="140"/>
      <c r="K403" s="140"/>
      <c r="L403" s="128"/>
      <c r="M403" s="128"/>
      <c r="N403" s="128"/>
      <c r="O403" s="128"/>
      <c r="P403" s="265"/>
      <c r="Q403" s="92"/>
      <c r="R403" s="92"/>
      <c r="S403" s="92"/>
      <c r="T403" s="92"/>
      <c r="U403" s="92"/>
      <c r="V403" s="92"/>
      <c r="W403" s="92"/>
      <c r="X403" s="92"/>
      <c r="Y403" s="92"/>
      <c r="Z403" s="92"/>
      <c r="AA403" s="92"/>
      <c r="AB403" s="92"/>
      <c r="AC403" s="92"/>
      <c r="AD403" s="92"/>
      <c r="AE403" s="92"/>
      <c r="AF403" s="92"/>
      <c r="AG403" s="92"/>
      <c r="AH403" s="92"/>
      <c r="AI403" s="92"/>
      <c r="AJ403" s="92"/>
      <c r="AK403" s="92"/>
      <c r="AL403" s="92"/>
      <c r="AM403" s="92"/>
      <c r="AN403" s="92"/>
      <c r="AO403" s="92"/>
      <c r="AP403" s="92"/>
      <c r="AQ403" s="92"/>
      <c r="AR403" s="92"/>
      <c r="AS403" s="92"/>
      <c r="AT403" s="92"/>
      <c r="AU403" s="92"/>
      <c r="AV403" s="92"/>
      <c r="AW403" s="92"/>
      <c r="AX403" s="92"/>
      <c r="AY403" s="92"/>
      <c r="AZ403" s="92"/>
      <c r="BA403" s="92"/>
      <c r="BB403" s="200"/>
      <c r="BC403" s="504"/>
      <c r="BD403" s="84"/>
      <c r="BE403" s="84"/>
    </row>
    <row r="404" spans="1:57">
      <c r="A404" s="39"/>
      <c r="B404" s="508"/>
      <c r="D404" s="41"/>
      <c r="E404" s="140"/>
      <c r="F404" s="140"/>
      <c r="G404" s="140"/>
      <c r="H404" s="140"/>
      <c r="I404" s="140"/>
      <c r="J404" s="140"/>
      <c r="K404" s="152"/>
      <c r="L404" s="152"/>
      <c r="M404" s="152"/>
      <c r="N404" s="140"/>
      <c r="O404" s="140"/>
      <c r="P404" s="141"/>
      <c r="Q404" s="140"/>
      <c r="R404" s="140"/>
      <c r="S404" s="140"/>
      <c r="T404" s="140"/>
      <c r="U404" s="140"/>
      <c r="V404" s="140"/>
      <c r="W404" s="140"/>
      <c r="X404" s="140"/>
      <c r="Y404" s="140"/>
      <c r="Z404" s="140"/>
      <c r="AA404" s="140"/>
      <c r="AB404" s="140"/>
      <c r="AC404" s="140"/>
      <c r="AD404" s="140"/>
      <c r="AE404" s="140"/>
      <c r="AF404" s="140"/>
      <c r="AG404" s="140"/>
      <c r="AH404" s="140"/>
      <c r="AI404" s="140"/>
      <c r="AJ404" s="140"/>
      <c r="AK404" s="140"/>
      <c r="AL404" s="140"/>
      <c r="AM404" s="140"/>
      <c r="AN404" s="140"/>
      <c r="AO404" s="140"/>
      <c r="AP404" s="140"/>
      <c r="AQ404" s="140"/>
      <c r="AR404" s="140"/>
      <c r="AS404" s="140"/>
      <c r="AT404" s="140"/>
      <c r="AU404" s="140"/>
      <c r="AV404" s="140"/>
      <c r="AW404" s="140"/>
      <c r="AX404" s="140"/>
      <c r="AY404" s="140"/>
      <c r="AZ404" s="140"/>
      <c r="BA404" s="140"/>
      <c r="BB404" s="85"/>
      <c r="BC404" s="504"/>
      <c r="BD404" s="84"/>
      <c r="BE404" s="84"/>
    </row>
    <row r="405" spans="1:57">
      <c r="A405" s="39"/>
      <c r="B405" s="508" t="s">
        <v>574</v>
      </c>
      <c r="D405" s="41"/>
      <c r="E405" s="140"/>
      <c r="F405" s="140"/>
      <c r="G405" s="140"/>
      <c r="H405" s="140"/>
      <c r="I405" s="140"/>
      <c r="J405" s="140"/>
      <c r="K405" s="140"/>
      <c r="L405" s="519"/>
      <c r="M405" s="128"/>
      <c r="N405" s="128"/>
      <c r="O405" s="128"/>
      <c r="P405" s="265">
        <f>-MIN(P$398,P400)</f>
        <v>0</v>
      </c>
      <c r="Q405" s="92">
        <f>-MIN(Q$398,Q400)</f>
        <v>0</v>
      </c>
      <c r="R405" s="92">
        <f t="shared" ref="R405:Z405" si="278">-MIN(R$398,R400)</f>
        <v>0</v>
      </c>
      <c r="S405" s="92">
        <f t="shared" si="278"/>
        <v>0</v>
      </c>
      <c r="T405" s="92">
        <f t="shared" si="278"/>
        <v>0</v>
      </c>
      <c r="U405" s="92">
        <f t="shared" si="278"/>
        <v>0</v>
      </c>
      <c r="V405" s="92">
        <f t="shared" si="278"/>
        <v>0</v>
      </c>
      <c r="W405" s="92">
        <f t="shared" si="278"/>
        <v>0</v>
      </c>
      <c r="X405" s="92">
        <f t="shared" si="278"/>
        <v>0</v>
      </c>
      <c r="Y405" s="92">
        <f t="shared" si="278"/>
        <v>0</v>
      </c>
      <c r="Z405" s="92">
        <f t="shared" si="278"/>
        <v>0</v>
      </c>
      <c r="AA405" s="92"/>
      <c r="AB405" s="92"/>
      <c r="AC405" s="92"/>
      <c r="AD405" s="92"/>
      <c r="AE405" s="92"/>
      <c r="AF405" s="92"/>
      <c r="AG405" s="92"/>
      <c r="AH405" s="92"/>
      <c r="AI405" s="92"/>
      <c r="AJ405" s="92"/>
      <c r="AK405" s="92"/>
      <c r="AL405" s="92"/>
      <c r="AM405" s="92"/>
      <c r="AN405" s="92"/>
      <c r="AO405" s="92"/>
      <c r="AP405" s="92"/>
      <c r="AQ405" s="92"/>
      <c r="AR405" s="92"/>
      <c r="AS405" s="92"/>
      <c r="AT405" s="92"/>
      <c r="AU405" s="92"/>
      <c r="AV405" s="92"/>
      <c r="AW405" s="92"/>
      <c r="AX405" s="92"/>
      <c r="AY405" s="92"/>
      <c r="AZ405" s="92"/>
      <c r="BA405" s="92"/>
      <c r="BB405" s="200"/>
      <c r="BC405" s="504"/>
      <c r="BD405" s="84"/>
      <c r="BE405" s="84"/>
    </row>
    <row r="406" spans="1:57">
      <c r="A406" s="39"/>
      <c r="B406" s="508" t="s">
        <v>575</v>
      </c>
      <c r="D406" s="41"/>
      <c r="E406" s="140"/>
      <c r="F406" s="140"/>
      <c r="G406" s="140"/>
      <c r="H406" s="140"/>
      <c r="I406" s="140"/>
      <c r="J406" s="140"/>
      <c r="K406" s="140"/>
      <c r="L406" s="128"/>
      <c r="M406" s="128"/>
      <c r="N406" s="128"/>
      <c r="O406" s="128"/>
      <c r="P406" s="265">
        <f>-MIN(P$398+SUM(P$405:P405),P401)</f>
        <v>0</v>
      </c>
      <c r="Q406" s="92">
        <f>-MIN(Q$398+SUM(Q$405:Q405),Q401)</f>
        <v>0</v>
      </c>
      <c r="R406" s="92">
        <f>-MIN(R$398+SUM(R$405:R405),R401)</f>
        <v>0</v>
      </c>
      <c r="S406" s="92">
        <f>-MIN(S$398+SUM(S$405:S405),S401)</f>
        <v>0</v>
      </c>
      <c r="T406" s="92">
        <f>-MIN(T$398+SUM(T$405:T405),T401)</f>
        <v>0</v>
      </c>
      <c r="U406" s="92">
        <f>-MIN(U$398+SUM(U$405:U405),U401)</f>
        <v>0</v>
      </c>
      <c r="V406" s="92">
        <f>-MIN(V$398+SUM(V$405:V405),V401)</f>
        <v>0</v>
      </c>
      <c r="W406" s="92">
        <f>-MIN(W$398+SUM(W$405:W405),W401)</f>
        <v>0</v>
      </c>
      <c r="X406" s="92">
        <f>-MIN(X$398+SUM(X$405:X405),X401)</f>
        <v>0</v>
      </c>
      <c r="Y406" s="92">
        <f>-MIN(Y$398+SUM(Y$405:Y405),Y401)</f>
        <v>0</v>
      </c>
      <c r="Z406" s="92">
        <f>-MIN(Z$398+SUM(Z$405:Z405),Z401)</f>
        <v>0</v>
      </c>
      <c r="AA406" s="92"/>
      <c r="AB406" s="92"/>
      <c r="AC406" s="92"/>
      <c r="AD406" s="92"/>
      <c r="AE406" s="92"/>
      <c r="AF406" s="92"/>
      <c r="AG406" s="92"/>
      <c r="AH406" s="92"/>
      <c r="AI406" s="92"/>
      <c r="AJ406" s="92"/>
      <c r="AK406" s="92"/>
      <c r="AL406" s="92"/>
      <c r="AM406" s="92"/>
      <c r="AN406" s="92"/>
      <c r="AO406" s="92"/>
      <c r="AP406" s="92"/>
      <c r="AQ406" s="92"/>
      <c r="AR406" s="92"/>
      <c r="AS406" s="92"/>
      <c r="AT406" s="92"/>
      <c r="AU406" s="92"/>
      <c r="AV406" s="92"/>
      <c r="AW406" s="92"/>
      <c r="AX406" s="92"/>
      <c r="AY406" s="92"/>
      <c r="AZ406" s="92"/>
      <c r="BA406" s="92"/>
      <c r="BB406" s="200"/>
      <c r="BC406" s="504"/>
      <c r="BD406" s="84"/>
      <c r="BE406" s="84"/>
    </row>
    <row r="407" spans="1:57">
      <c r="A407" s="39"/>
      <c r="B407" s="508" t="s">
        <v>576</v>
      </c>
      <c r="D407" s="41"/>
      <c r="E407" s="140"/>
      <c r="F407" s="140"/>
      <c r="G407" s="140"/>
      <c r="H407" s="140"/>
      <c r="I407" s="140"/>
      <c r="J407" s="140"/>
      <c r="K407" s="140"/>
      <c r="L407" s="519"/>
      <c r="M407" s="129"/>
      <c r="N407" s="128"/>
      <c r="O407" s="128"/>
      <c r="P407" s="265">
        <f>-MIN(P$398+SUM(P$405:P406),P402)</f>
        <v>0</v>
      </c>
      <c r="Q407" s="92">
        <f>-MIN(Q$398+SUM(Q$405:Q406),Q402)</f>
        <v>0</v>
      </c>
      <c r="R407" s="92">
        <f>-MIN(R$398+SUM(R$405:R406),R402)</f>
        <v>0</v>
      </c>
      <c r="S407" s="92">
        <f>-MIN(S$398+SUM(S$405:S406),S402)</f>
        <v>0</v>
      </c>
      <c r="T407" s="92">
        <f>-MIN(T$398+SUM(T$405:T406),T402)</f>
        <v>0</v>
      </c>
      <c r="U407" s="92">
        <f>-MIN(U$398+SUM(U$405:U406),U402)</f>
        <v>0</v>
      </c>
      <c r="V407" s="92">
        <f>-MIN(V$398+SUM(V$405:V406),V402)</f>
        <v>0</v>
      </c>
      <c r="W407" s="92">
        <f>-MIN(W$398+SUM(W$405:W406),W402)</f>
        <v>0</v>
      </c>
      <c r="X407" s="92">
        <f>-MIN(X$398+SUM(X$405:X406),X402)</f>
        <v>0</v>
      </c>
      <c r="Y407" s="92">
        <f>-MIN(Y$398+SUM(Y$405:Y406),Y402)</f>
        <v>0</v>
      </c>
      <c r="Z407" s="92">
        <f>-MIN(Z$398+SUM(Z$405:Z406),Z402)</f>
        <v>0</v>
      </c>
      <c r="AA407" s="92"/>
      <c r="AB407" s="92"/>
      <c r="AC407" s="92"/>
      <c r="AD407" s="92"/>
      <c r="AE407" s="92"/>
      <c r="AF407" s="92"/>
      <c r="AG407" s="92"/>
      <c r="AH407" s="92"/>
      <c r="AI407" s="92"/>
      <c r="AJ407" s="92"/>
      <c r="AK407" s="92"/>
      <c r="AL407" s="92"/>
      <c r="AM407" s="92"/>
      <c r="AN407" s="92"/>
      <c r="AO407" s="92"/>
      <c r="AP407" s="92"/>
      <c r="AQ407" s="92"/>
      <c r="AR407" s="92"/>
      <c r="AS407" s="92"/>
      <c r="AT407" s="92"/>
      <c r="AU407" s="92"/>
      <c r="AV407" s="92"/>
      <c r="AW407" s="92"/>
      <c r="AX407" s="92"/>
      <c r="AY407" s="92"/>
      <c r="AZ407" s="92"/>
      <c r="BA407" s="92"/>
      <c r="BB407" s="200"/>
      <c r="BC407" s="504"/>
      <c r="BD407" s="84"/>
      <c r="BE407" s="84"/>
    </row>
    <row r="408" spans="1:57">
      <c r="A408" s="39"/>
      <c r="B408" s="508" t="s">
        <v>577</v>
      </c>
      <c r="D408" s="484"/>
      <c r="E408" s="140"/>
      <c r="F408" s="140"/>
      <c r="G408" s="140"/>
      <c r="H408" s="140"/>
      <c r="I408" s="140"/>
      <c r="J408" s="140"/>
      <c r="K408" s="140"/>
      <c r="L408" s="128"/>
      <c r="M408" s="128"/>
      <c r="N408" s="128"/>
      <c r="O408" s="128"/>
      <c r="P408" s="265">
        <f>-MIN(P$398+SUM(P$405:P407),P403)</f>
        <v>0</v>
      </c>
      <c r="Q408" s="92">
        <f>-MIN(Q$398+SUM(Q$405:Q407),Q403)</f>
        <v>0</v>
      </c>
      <c r="R408" s="92">
        <f>-MIN(R$398+SUM(R$405:R407),R403)</f>
        <v>0</v>
      </c>
      <c r="S408" s="92">
        <f>-MIN(S$398+SUM(S$405:S407),S403)</f>
        <v>0</v>
      </c>
      <c r="T408" s="92">
        <f>-MIN(T$398+SUM(T$405:T407),T403)</f>
        <v>0</v>
      </c>
      <c r="U408" s="92">
        <f>-MIN(U$398+SUM(U$405:U407),U403)</f>
        <v>0</v>
      </c>
      <c r="V408" s="92">
        <f>-MIN(V$398+SUM(V$405:V407),V403)</f>
        <v>0</v>
      </c>
      <c r="W408" s="92">
        <f>-MIN(W$398+SUM(W$405:W407),W403)</f>
        <v>0</v>
      </c>
      <c r="X408" s="92">
        <f>-MIN(X$398+SUM(X$405:X407),X403)</f>
        <v>0</v>
      </c>
      <c r="Y408" s="92">
        <f>-MIN(Y$398+SUM(Y$405:Y407),Y403)</f>
        <v>0</v>
      </c>
      <c r="Z408" s="92">
        <f>-MIN(Z$398+SUM(Z$405:Z407),Z403)</f>
        <v>0</v>
      </c>
      <c r="AA408" s="92"/>
      <c r="AB408" s="92"/>
      <c r="AC408" s="92"/>
      <c r="AD408" s="92"/>
      <c r="AE408" s="92"/>
      <c r="AF408" s="92"/>
      <c r="AG408" s="92"/>
      <c r="AH408" s="92"/>
      <c r="AI408" s="92"/>
      <c r="AJ408" s="92"/>
      <c r="AK408" s="92"/>
      <c r="AL408" s="92"/>
      <c r="AM408" s="92"/>
      <c r="AN408" s="92"/>
      <c r="AO408" s="92"/>
      <c r="AP408" s="92"/>
      <c r="AQ408" s="92"/>
      <c r="AR408" s="92"/>
      <c r="AS408" s="92"/>
      <c r="AT408" s="92"/>
      <c r="AU408" s="92"/>
      <c r="AV408" s="92"/>
      <c r="AW408" s="92"/>
      <c r="AX408" s="92"/>
      <c r="AY408" s="92"/>
      <c r="AZ408" s="92"/>
      <c r="BA408" s="92"/>
      <c r="BB408" s="200"/>
      <c r="BC408" s="504"/>
      <c r="BD408" s="84"/>
      <c r="BE408" s="84"/>
    </row>
    <row r="409" spans="1:57" s="18" customFormat="1">
      <c r="A409" s="17"/>
      <c r="B409" s="509" t="s">
        <v>578</v>
      </c>
      <c r="C409" s="520"/>
      <c r="D409" s="521" t="s">
        <v>579</v>
      </c>
      <c r="E409" s="152"/>
      <c r="F409" s="152"/>
      <c r="G409" s="152"/>
      <c r="H409" s="152"/>
      <c r="I409" s="152"/>
      <c r="J409" s="152"/>
      <c r="K409" s="152"/>
      <c r="L409" s="124"/>
      <c r="M409" s="124"/>
      <c r="N409" s="124"/>
      <c r="O409" s="124"/>
      <c r="P409" s="125">
        <f>SUM(P405:P407)</f>
        <v>0</v>
      </c>
      <c r="Q409" s="475">
        <f>SUM(Q405:Q407)</f>
        <v>0</v>
      </c>
      <c r="R409" s="475">
        <f t="shared" ref="R409:Z409" si="279">SUM(R405:R407)</f>
        <v>0</v>
      </c>
      <c r="S409" s="475">
        <f t="shared" si="279"/>
        <v>0</v>
      </c>
      <c r="T409" s="475">
        <f t="shared" si="279"/>
        <v>0</v>
      </c>
      <c r="U409" s="475">
        <f t="shared" si="279"/>
        <v>0</v>
      </c>
      <c r="V409" s="475">
        <f t="shared" si="279"/>
        <v>0</v>
      </c>
      <c r="W409" s="475">
        <f t="shared" si="279"/>
        <v>0</v>
      </c>
      <c r="X409" s="475">
        <f t="shared" si="279"/>
        <v>0</v>
      </c>
      <c r="Y409" s="475">
        <f t="shared" si="279"/>
        <v>0</v>
      </c>
      <c r="Z409" s="475">
        <f t="shared" si="279"/>
        <v>0</v>
      </c>
      <c r="AA409" s="475"/>
      <c r="AB409" s="475"/>
      <c r="AC409" s="475"/>
      <c r="AD409" s="475"/>
      <c r="AE409" s="475"/>
      <c r="AF409" s="475"/>
      <c r="AG409" s="475"/>
      <c r="AH409" s="475"/>
      <c r="AI409" s="475"/>
      <c r="AJ409" s="475"/>
      <c r="AK409" s="475"/>
      <c r="AL409" s="475"/>
      <c r="AM409" s="475"/>
      <c r="AN409" s="475"/>
      <c r="AO409" s="475"/>
      <c r="AP409" s="475"/>
      <c r="AQ409" s="475"/>
      <c r="AR409" s="475"/>
      <c r="AS409" s="475"/>
      <c r="AT409" s="475"/>
      <c r="AU409" s="475"/>
      <c r="AV409" s="475"/>
      <c r="AW409" s="475"/>
      <c r="AX409" s="475"/>
      <c r="AY409" s="475"/>
      <c r="AZ409" s="475"/>
      <c r="BA409" s="475"/>
      <c r="BB409" s="227"/>
      <c r="BC409" s="504"/>
      <c r="BD409" s="151"/>
      <c r="BE409" s="151"/>
    </row>
    <row r="410" spans="1:57">
      <c r="A410" s="39"/>
      <c r="B410" s="508"/>
      <c r="C410" s="476"/>
      <c r="D410" s="522" t="s">
        <v>569</v>
      </c>
      <c r="E410" s="140"/>
      <c r="F410" s="140"/>
      <c r="G410" s="140"/>
      <c r="H410" s="140"/>
      <c r="I410" s="140"/>
      <c r="J410" s="140"/>
      <c r="K410" s="140"/>
      <c r="L410" s="140"/>
      <c r="M410" s="140"/>
      <c r="N410" s="140"/>
      <c r="O410" s="140"/>
      <c r="P410" s="141"/>
      <c r="Q410" s="140"/>
      <c r="R410" s="140"/>
      <c r="S410" s="140"/>
      <c r="T410" s="140"/>
      <c r="U410" s="140"/>
      <c r="V410" s="140"/>
      <c r="W410" s="140"/>
      <c r="X410" s="140"/>
      <c r="Y410" s="140"/>
      <c r="Z410" s="140"/>
      <c r="AA410" s="140"/>
      <c r="AB410" s="140"/>
      <c r="AC410" s="140"/>
      <c r="AD410" s="140"/>
      <c r="AE410" s="140"/>
      <c r="AF410" s="140"/>
      <c r="AG410" s="140"/>
      <c r="AH410" s="140"/>
      <c r="AI410" s="140"/>
      <c r="AJ410" s="140"/>
      <c r="AK410" s="140"/>
      <c r="AL410" s="140"/>
      <c r="AM410" s="140"/>
      <c r="AN410" s="140"/>
      <c r="AO410" s="140"/>
      <c r="AP410" s="140"/>
      <c r="AQ410" s="140"/>
      <c r="AR410" s="140"/>
      <c r="AS410" s="140"/>
      <c r="AT410" s="140"/>
      <c r="AU410" s="140"/>
      <c r="AV410" s="140"/>
      <c r="AW410" s="140"/>
      <c r="AX410" s="140"/>
      <c r="AY410" s="140"/>
      <c r="AZ410" s="140"/>
      <c r="BA410" s="140"/>
      <c r="BB410" s="85"/>
      <c r="BC410" s="504"/>
      <c r="BD410" s="84"/>
      <c r="BE410" s="84"/>
    </row>
    <row r="411" spans="1:57" s="88" customFormat="1">
      <c r="A411" s="103"/>
      <c r="B411" s="523" t="s">
        <v>580</v>
      </c>
      <c r="C411" s="524"/>
      <c r="D411" s="525"/>
      <c r="E411" s="526"/>
      <c r="F411" s="526"/>
      <c r="G411" s="526"/>
      <c r="H411" s="526"/>
      <c r="I411" s="526"/>
      <c r="J411" s="526"/>
      <c r="K411" s="526"/>
      <c r="L411" s="526"/>
      <c r="M411" s="526"/>
      <c r="N411" s="526"/>
      <c r="O411" s="526"/>
      <c r="P411" s="527">
        <f>P396+P409</f>
        <v>0</v>
      </c>
      <c r="Q411" s="528">
        <f ca="1">Q396+Q409</f>
        <v>1.286453767450439</v>
      </c>
      <c r="R411" s="528">
        <f t="shared" ref="R411:Z411" ca="1" si="280">R396+R409</f>
        <v>3.394358959809324</v>
      </c>
      <c r="S411" s="528">
        <f t="shared" ca="1" si="280"/>
        <v>1.6164403504626534</v>
      </c>
      <c r="T411" s="528">
        <f t="shared" ca="1" si="280"/>
        <v>2.0699449155581533</v>
      </c>
      <c r="U411" s="528">
        <f t="shared" ca="1" si="280"/>
        <v>5.7548908009739534</v>
      </c>
      <c r="V411" s="528">
        <f t="shared" ca="1" si="280"/>
        <v>6.2808563871731167</v>
      </c>
      <c r="W411" s="528">
        <f t="shared" ca="1" si="280"/>
        <v>8.1178663285536459</v>
      </c>
      <c r="X411" s="528">
        <f t="shared" ca="1" si="280"/>
        <v>6.6192350479977904</v>
      </c>
      <c r="Y411" s="528">
        <f t="shared" ca="1" si="280"/>
        <v>3.1430284102243604</v>
      </c>
      <c r="Z411" s="528">
        <f t="shared" ca="1" si="280"/>
        <v>3.4849330036377069</v>
      </c>
      <c r="AA411" s="528"/>
      <c r="AB411" s="529"/>
      <c r="AC411" s="529"/>
      <c r="AD411" s="529"/>
      <c r="AE411" s="529"/>
      <c r="AF411" s="529"/>
      <c r="AG411" s="529"/>
      <c r="AH411" s="529"/>
      <c r="AI411" s="529"/>
      <c r="AJ411" s="529"/>
      <c r="AK411" s="529"/>
      <c r="AL411" s="529"/>
      <c r="AM411" s="529"/>
      <c r="AN411" s="529"/>
      <c r="AO411" s="529"/>
      <c r="AP411" s="529"/>
      <c r="AQ411" s="529"/>
      <c r="AR411" s="529"/>
      <c r="AS411" s="529"/>
      <c r="AT411" s="529"/>
      <c r="AU411" s="529"/>
      <c r="AV411" s="529"/>
      <c r="AW411" s="529"/>
      <c r="AX411" s="529"/>
      <c r="AY411" s="529"/>
      <c r="AZ411" s="529"/>
      <c r="BA411" s="529"/>
      <c r="BB411" s="126"/>
      <c r="BC411" s="530"/>
    </row>
    <row r="412" spans="1:57">
      <c r="A412" s="39"/>
      <c r="M412" s="75"/>
      <c r="Q412" s="189"/>
      <c r="R412" s="189"/>
      <c r="S412" s="189"/>
      <c r="T412" s="189"/>
      <c r="U412" s="189"/>
      <c r="V412" s="189"/>
      <c r="W412" s="189"/>
      <c r="X412" s="189"/>
      <c r="Y412" s="189"/>
      <c r="Z412" s="189"/>
      <c r="AA412" s="189"/>
      <c r="BC412" s="504"/>
    </row>
    <row r="413" spans="1:57">
      <c r="A413" s="39"/>
      <c r="M413" s="75"/>
      <c r="Q413" s="169"/>
      <c r="R413" s="169"/>
      <c r="S413" s="169"/>
      <c r="T413" s="169"/>
      <c r="U413" s="169"/>
      <c r="V413" s="169"/>
      <c r="W413" s="169"/>
      <c r="BC413" s="504"/>
    </row>
    <row r="414" spans="1:57">
      <c r="A414" s="39"/>
      <c r="B414" s="18"/>
      <c r="C414" s="18"/>
      <c r="M414" s="75"/>
    </row>
    <row r="415" spans="1:57">
      <c r="M415" s="75"/>
    </row>
    <row r="416" spans="1:57">
      <c r="M416" s="75"/>
    </row>
    <row r="417" spans="13:27">
      <c r="M417" s="75"/>
    </row>
    <row r="418" spans="13:27">
      <c r="M418" s="75"/>
      <c r="N418" s="140"/>
      <c r="Q418" s="189"/>
      <c r="R418" s="189"/>
      <c r="S418" s="189"/>
      <c r="T418" s="189"/>
      <c r="U418" s="189"/>
      <c r="V418" s="189"/>
      <c r="W418" s="189"/>
      <c r="X418" s="189"/>
      <c r="Y418" s="189"/>
      <c r="Z418" s="189"/>
      <c r="AA418" s="189"/>
    </row>
    <row r="419" spans="13:27">
      <c r="M419" s="75"/>
      <c r="Q419" s="531"/>
      <c r="R419" s="531"/>
      <c r="S419" s="531"/>
      <c r="T419" s="531"/>
      <c r="U419" s="531"/>
      <c r="V419" s="531"/>
      <c r="W419" s="531"/>
      <c r="X419" s="531"/>
      <c r="Y419" s="531"/>
      <c r="Z419" s="531"/>
      <c r="AA419" s="531"/>
    </row>
    <row r="420" spans="13:27">
      <c r="M420" s="75"/>
      <c r="N420" s="140"/>
      <c r="Q420" s="189"/>
      <c r="R420" s="189"/>
      <c r="S420" s="189"/>
      <c r="T420" s="189"/>
      <c r="U420" s="189"/>
      <c r="V420" s="189"/>
      <c r="W420" s="189"/>
      <c r="X420" s="189"/>
      <c r="Y420" s="189"/>
      <c r="Z420" s="189"/>
      <c r="AA420" s="189"/>
    </row>
    <row r="421" spans="13:27">
      <c r="M421" s="75"/>
      <c r="Q421" s="189"/>
      <c r="R421" s="189"/>
      <c r="S421" s="189"/>
      <c r="T421" s="189"/>
      <c r="U421" s="189"/>
      <c r="V421" s="189"/>
      <c r="W421" s="189"/>
      <c r="X421" s="189"/>
      <c r="Y421" s="189"/>
      <c r="Z421" s="189"/>
      <c r="AA421" s="189"/>
    </row>
    <row r="422" spans="13:27">
      <c r="M422" s="75"/>
      <c r="Q422" s="189"/>
      <c r="R422" s="189"/>
      <c r="S422" s="189"/>
      <c r="T422" s="189"/>
      <c r="U422" s="189"/>
      <c r="V422" s="189"/>
      <c r="W422" s="189"/>
      <c r="X422" s="189"/>
      <c r="Y422" s="189"/>
      <c r="Z422" s="189"/>
      <c r="AA422" s="189"/>
    </row>
    <row r="423" spans="13:27">
      <c r="M423" s="75"/>
      <c r="Q423" s="189"/>
      <c r="R423" s="189"/>
      <c r="S423" s="189"/>
      <c r="T423" s="189"/>
      <c r="U423" s="189"/>
      <c r="V423" s="189"/>
      <c r="W423" s="189"/>
      <c r="X423" s="189"/>
      <c r="Y423" s="189"/>
      <c r="Z423" s="189"/>
      <c r="AA423" s="189"/>
    </row>
    <row r="424" spans="13:27">
      <c r="M424" s="75"/>
      <c r="Q424" s="189"/>
      <c r="R424" s="189"/>
      <c r="S424" s="189"/>
      <c r="T424" s="189"/>
      <c r="U424" s="189"/>
      <c r="V424" s="189"/>
      <c r="W424" s="189"/>
      <c r="X424" s="189"/>
      <c r="Y424" s="189"/>
      <c r="Z424" s="189"/>
      <c r="AA424" s="189"/>
    </row>
    <row r="425" spans="13:27">
      <c r="M425" s="75"/>
      <c r="Q425" s="189"/>
      <c r="R425" s="189"/>
      <c r="S425" s="189"/>
      <c r="T425" s="189"/>
      <c r="U425" s="189"/>
      <c r="V425" s="189"/>
      <c r="W425" s="189"/>
      <c r="X425" s="189"/>
      <c r="Y425" s="189"/>
      <c r="Z425" s="189"/>
      <c r="AA425" s="189"/>
    </row>
    <row r="426" spans="13:27">
      <c r="M426" s="75"/>
      <c r="Q426" s="189"/>
      <c r="R426" s="189"/>
      <c r="S426" s="189"/>
      <c r="T426" s="189"/>
      <c r="U426" s="189"/>
      <c r="V426" s="189"/>
      <c r="W426" s="189"/>
      <c r="X426" s="189"/>
      <c r="Y426" s="189"/>
      <c r="Z426" s="189"/>
      <c r="AA426" s="189"/>
    </row>
    <row r="427" spans="13:27">
      <c r="M427" s="75"/>
      <c r="Q427" s="189"/>
      <c r="R427" s="189"/>
      <c r="S427" s="189"/>
      <c r="T427" s="189"/>
      <c r="U427" s="189"/>
      <c r="V427" s="189"/>
      <c r="W427" s="189"/>
      <c r="X427" s="189"/>
      <c r="Y427" s="189"/>
      <c r="Z427" s="189"/>
      <c r="AA427" s="189"/>
    </row>
    <row r="428" spans="13:27">
      <c r="M428" s="75"/>
      <c r="Q428" s="189"/>
      <c r="R428" s="189"/>
      <c r="S428" s="189"/>
      <c r="T428" s="189"/>
      <c r="U428" s="189"/>
      <c r="V428" s="189"/>
      <c r="W428" s="189"/>
      <c r="X428" s="189"/>
      <c r="Y428" s="189"/>
      <c r="Z428" s="189"/>
      <c r="AA428" s="189"/>
    </row>
    <row r="429" spans="13:27">
      <c r="M429" s="75"/>
      <c r="Q429" s="189"/>
      <c r="R429" s="189"/>
      <c r="S429" s="189"/>
      <c r="T429" s="189"/>
      <c r="U429" s="189"/>
      <c r="V429" s="189"/>
      <c r="W429" s="189"/>
      <c r="X429" s="189"/>
      <c r="Y429" s="189"/>
      <c r="Z429" s="189"/>
      <c r="AA429" s="189"/>
    </row>
    <row r="430" spans="13:27">
      <c r="M430" s="75"/>
      <c r="Q430" s="189"/>
      <c r="R430" s="189"/>
      <c r="S430" s="189"/>
      <c r="T430" s="189"/>
      <c r="U430" s="189"/>
      <c r="V430" s="189"/>
      <c r="W430" s="189"/>
      <c r="X430" s="189"/>
      <c r="Y430" s="189"/>
      <c r="Z430" s="189"/>
      <c r="AA430" s="189"/>
    </row>
    <row r="431" spans="13:27">
      <c r="M431" s="75"/>
      <c r="Q431" s="189"/>
      <c r="R431" s="189"/>
      <c r="S431" s="189"/>
      <c r="T431" s="189"/>
      <c r="U431" s="189"/>
      <c r="V431" s="189"/>
      <c r="W431" s="189"/>
      <c r="X431" s="189"/>
      <c r="Y431" s="189"/>
      <c r="Z431" s="189"/>
      <c r="AA431" s="189"/>
    </row>
    <row r="432" spans="13:27">
      <c r="M432" s="75"/>
      <c r="Q432" s="189"/>
      <c r="R432" s="189"/>
      <c r="S432" s="189"/>
      <c r="T432" s="189"/>
      <c r="U432" s="189"/>
      <c r="V432" s="189"/>
      <c r="W432" s="189"/>
      <c r="X432" s="189"/>
      <c r="Y432" s="189"/>
      <c r="Z432" s="189"/>
      <c r="AA432" s="189"/>
    </row>
    <row r="433" spans="2:27">
      <c r="M433" s="75"/>
      <c r="Q433" s="189"/>
      <c r="R433" s="189"/>
      <c r="S433" s="189"/>
      <c r="T433" s="189"/>
      <c r="U433" s="189"/>
      <c r="V433" s="189"/>
      <c r="W433" s="189"/>
      <c r="X433" s="189"/>
      <c r="Y433" s="189"/>
      <c r="Z433" s="189"/>
      <c r="AA433" s="189"/>
    </row>
    <row r="434" spans="2:27">
      <c r="M434" s="75"/>
      <c r="Q434" s="189"/>
      <c r="R434" s="189"/>
      <c r="S434" s="189"/>
      <c r="T434" s="189"/>
      <c r="U434" s="189"/>
      <c r="V434" s="189"/>
      <c r="W434" s="189"/>
      <c r="X434" s="189"/>
      <c r="Y434" s="189"/>
      <c r="Z434" s="189"/>
      <c r="AA434" s="189"/>
    </row>
    <row r="435" spans="2:27">
      <c r="M435" s="75"/>
      <c r="R435" s="532"/>
      <c r="S435" s="532"/>
      <c r="T435" s="532"/>
      <c r="U435" s="532"/>
      <c r="V435" s="532"/>
      <c r="W435" s="532"/>
      <c r="X435" s="532"/>
      <c r="Y435" s="532"/>
      <c r="Z435" s="532"/>
      <c r="AA435" s="532"/>
    </row>
    <row r="436" spans="2:27">
      <c r="M436" s="75"/>
      <c r="Q436" s="189"/>
      <c r="R436" s="189"/>
      <c r="S436" s="189"/>
      <c r="T436" s="189"/>
      <c r="U436" s="189"/>
      <c r="V436" s="189"/>
      <c r="W436" s="189"/>
      <c r="X436" s="189"/>
      <c r="Y436" s="189"/>
      <c r="Z436" s="189"/>
      <c r="AA436" s="189"/>
    </row>
    <row r="437" spans="2:27">
      <c r="M437" s="75"/>
      <c r="P437" s="189"/>
      <c r="Q437" s="189"/>
    </row>
    <row r="438" spans="2:27">
      <c r="M438" s="75"/>
      <c r="Q438" s="189"/>
      <c r="Y438" s="169"/>
    </row>
    <row r="439" spans="2:27">
      <c r="B439" s="189"/>
      <c r="M439" s="75"/>
      <c r="Q439" s="189"/>
    </row>
    <row r="440" spans="2:27">
      <c r="M440" s="75"/>
      <c r="Q440" s="189"/>
    </row>
    <row r="441" spans="2:27">
      <c r="B441" s="140"/>
      <c r="M441" s="75"/>
      <c r="Q441" s="189"/>
    </row>
    <row r="442" spans="2:27">
      <c r="M442" s="75"/>
      <c r="Q442" s="189"/>
      <c r="R442" s="189"/>
      <c r="S442" s="189"/>
      <c r="T442" s="189"/>
      <c r="U442" s="189"/>
      <c r="V442" s="189"/>
      <c r="W442" s="189"/>
      <c r="X442" s="189"/>
      <c r="Y442" s="189"/>
      <c r="Z442" s="189"/>
      <c r="AA442" s="189"/>
    </row>
    <row r="443" spans="2:27">
      <c r="B443" s="189"/>
      <c r="M443" s="75"/>
      <c r="Q443" s="189"/>
      <c r="R443" s="189"/>
      <c r="S443" s="189"/>
      <c r="T443" s="189"/>
      <c r="U443" s="189"/>
      <c r="V443" s="189"/>
      <c r="W443" s="189"/>
      <c r="X443" s="189"/>
      <c r="Y443" s="189"/>
      <c r="Z443" s="189"/>
      <c r="AA443" s="189"/>
    </row>
    <row r="444" spans="2:27">
      <c r="M444" s="75"/>
      <c r="Q444" s="189"/>
      <c r="R444" s="189"/>
      <c r="S444" s="189"/>
      <c r="T444" s="189"/>
      <c r="U444" s="189"/>
      <c r="V444" s="189"/>
      <c r="W444" s="189"/>
      <c r="X444" s="189"/>
      <c r="Y444" s="189"/>
      <c r="Z444" s="189"/>
      <c r="AA444" s="189"/>
    </row>
    <row r="445" spans="2:27">
      <c r="B445" s="189"/>
      <c r="M445" s="75"/>
      <c r="Q445" s="189"/>
      <c r="R445" s="189"/>
      <c r="S445" s="189"/>
      <c r="T445" s="189"/>
      <c r="U445" s="189"/>
      <c r="V445" s="189"/>
      <c r="W445" s="189"/>
      <c r="X445" s="189"/>
      <c r="Y445" s="189"/>
      <c r="Z445" s="189"/>
      <c r="AA445" s="189"/>
    </row>
    <row r="446" spans="2:27">
      <c r="M446" s="75"/>
      <c r="Q446" s="532"/>
      <c r="R446" s="532"/>
      <c r="S446" s="532"/>
      <c r="T446" s="532"/>
      <c r="U446" s="532"/>
      <c r="V446" s="532"/>
      <c r="W446" s="532"/>
      <c r="X446" s="532"/>
      <c r="Y446" s="532"/>
      <c r="Z446" s="532"/>
      <c r="AA446" s="532"/>
    </row>
    <row r="447" spans="2:27">
      <c r="B447" s="189"/>
      <c r="M447" s="75"/>
      <c r="Q447" s="189"/>
      <c r="R447" s="189"/>
      <c r="S447" s="189"/>
      <c r="T447" s="189"/>
      <c r="U447" s="189"/>
      <c r="V447" s="189"/>
      <c r="W447" s="189"/>
      <c r="X447" s="189"/>
      <c r="Y447" s="189"/>
      <c r="Z447" s="189"/>
      <c r="AA447" s="189"/>
    </row>
    <row r="448" spans="2:27">
      <c r="M448" s="75"/>
      <c r="Q448" s="189"/>
      <c r="Y448" s="119"/>
      <c r="Z448" s="119"/>
      <c r="AA448" s="119"/>
    </row>
    <row r="449" spans="2:27">
      <c r="B449" s="140"/>
      <c r="M449" s="75"/>
      <c r="Q449" s="189"/>
    </row>
    <row r="450" spans="2:27">
      <c r="M450" s="75"/>
      <c r="Q450" s="189"/>
    </row>
    <row r="451" spans="2:27">
      <c r="M451" s="75"/>
    </row>
    <row r="452" spans="2:27">
      <c r="M452" s="75"/>
      <c r="Q452" s="189"/>
      <c r="R452" s="189"/>
      <c r="S452" s="189"/>
      <c r="T452" s="189"/>
      <c r="U452" s="189"/>
      <c r="V452" s="189"/>
      <c r="W452" s="189"/>
      <c r="X452" s="189"/>
      <c r="Y452" s="189"/>
      <c r="Z452" s="189"/>
      <c r="AA452" s="189"/>
    </row>
    <row r="453" spans="2:27">
      <c r="M453" s="75"/>
      <c r="Q453" s="169"/>
      <c r="R453" s="169"/>
      <c r="S453" s="169"/>
      <c r="T453" s="169"/>
      <c r="U453" s="169"/>
      <c r="V453" s="169"/>
      <c r="W453" s="169"/>
      <c r="X453" s="169"/>
      <c r="Y453" s="169"/>
      <c r="Z453" s="169"/>
      <c r="AA453" s="169"/>
    </row>
    <row r="454" spans="2:27">
      <c r="M454" s="75"/>
      <c r="R454" s="533"/>
      <c r="S454" s="533"/>
      <c r="T454" s="533"/>
      <c r="U454" s="533"/>
      <c r="V454" s="533"/>
      <c r="W454" s="533"/>
      <c r="X454" s="533"/>
      <c r="Y454" s="533"/>
      <c r="Z454" s="533"/>
      <c r="AA454" s="533"/>
    </row>
    <row r="455" spans="2:27">
      <c r="M455" s="75"/>
      <c r="R455" s="168"/>
      <c r="S455" s="168"/>
      <c r="T455" s="168"/>
      <c r="U455" s="168"/>
      <c r="V455" s="168"/>
      <c r="W455" s="168"/>
      <c r="X455" s="168"/>
      <c r="Y455" s="168"/>
      <c r="Z455" s="168"/>
      <c r="AA455" s="168"/>
    </row>
    <row r="456" spans="2:27">
      <c r="M456" s="75"/>
      <c r="R456" s="534"/>
      <c r="S456" s="534"/>
      <c r="T456" s="534"/>
      <c r="U456" s="534"/>
      <c r="V456" s="534"/>
      <c r="W456" s="534"/>
      <c r="X456" s="534"/>
      <c r="Y456" s="534"/>
      <c r="Z456" s="534"/>
      <c r="AA456" s="534"/>
    </row>
    <row r="457" spans="2:27">
      <c r="M457" s="75"/>
    </row>
    <row r="458" spans="2:27">
      <c r="M458" s="75"/>
    </row>
    <row r="459" spans="2:27">
      <c r="M459" s="75"/>
    </row>
    <row r="460" spans="2:27">
      <c r="M460" s="75"/>
    </row>
    <row r="461" spans="2:27">
      <c r="M461" s="75"/>
    </row>
    <row r="462" spans="2:27">
      <c r="M462" s="75"/>
    </row>
    <row r="463" spans="2:27">
      <c r="M463" s="75"/>
    </row>
    <row r="464" spans="2:27">
      <c r="M464" s="75"/>
    </row>
    <row r="465" spans="13:13">
      <c r="M465" s="75"/>
    </row>
    <row r="466" spans="13:13">
      <c r="M466" s="75"/>
    </row>
    <row r="467" spans="13:13">
      <c r="M467" s="75"/>
    </row>
    <row r="468" spans="13:13">
      <c r="M468" s="75"/>
    </row>
    <row r="469" spans="13:13">
      <c r="M469" s="75"/>
    </row>
    <row r="470" spans="13:13">
      <c r="M470" s="75"/>
    </row>
    <row r="471" spans="13:13">
      <c r="M471" s="75"/>
    </row>
    <row r="472" spans="13:13">
      <c r="M472" s="75"/>
    </row>
    <row r="473" spans="13:13">
      <c r="M473" s="75"/>
    </row>
    <row r="474" spans="13:13">
      <c r="M474" s="75"/>
    </row>
    <row r="475" spans="13:13">
      <c r="M475" s="75"/>
    </row>
    <row r="476" spans="13:13">
      <c r="M476" s="75"/>
    </row>
    <row r="477" spans="13:13">
      <c r="M477" s="75"/>
    </row>
    <row r="478" spans="13:13">
      <c r="M478" s="75"/>
    </row>
    <row r="479" spans="13:13">
      <c r="M479" s="75"/>
    </row>
    <row r="480" spans="13:13">
      <c r="M480" s="75"/>
    </row>
    <row r="481" spans="13:13">
      <c r="M481" s="75"/>
    </row>
    <row r="482" spans="13:13">
      <c r="M482" s="75"/>
    </row>
    <row r="483" spans="13:13">
      <c r="M483" s="75"/>
    </row>
    <row r="484" spans="13:13">
      <c r="M484" s="75"/>
    </row>
    <row r="485" spans="13:13">
      <c r="M485" s="75"/>
    </row>
    <row r="486" spans="13:13">
      <c r="M486" s="75"/>
    </row>
    <row r="487" spans="13:13">
      <c r="M487" s="75"/>
    </row>
    <row r="488" spans="13:13">
      <c r="M488" s="75"/>
    </row>
    <row r="489" spans="13:13">
      <c r="M489" s="75"/>
    </row>
    <row r="490" spans="13:13">
      <c r="M490" s="75"/>
    </row>
    <row r="491" spans="13:13">
      <c r="M491" s="75"/>
    </row>
    <row r="492" spans="13:13">
      <c r="M492" s="75"/>
    </row>
    <row r="493" spans="13:13">
      <c r="M493" s="75"/>
    </row>
    <row r="494" spans="13:13">
      <c r="M494" s="75"/>
    </row>
    <row r="495" spans="13:13">
      <c r="M495" s="75"/>
    </row>
    <row r="496" spans="13:13">
      <c r="M496" s="75"/>
    </row>
    <row r="497" spans="13:13">
      <c r="M497" s="75"/>
    </row>
    <row r="498" spans="13:13">
      <c r="M498" s="75"/>
    </row>
    <row r="499" spans="13:13">
      <c r="M499" s="75"/>
    </row>
    <row r="500" spans="13:13">
      <c r="M500" s="75"/>
    </row>
    <row r="501" spans="13:13">
      <c r="M501" s="75"/>
    </row>
    <row r="502" spans="13:13">
      <c r="M502" s="75"/>
    </row>
    <row r="503" spans="13:13">
      <c r="M503" s="75"/>
    </row>
    <row r="504" spans="13:13">
      <c r="M504" s="75"/>
    </row>
    <row r="505" spans="13:13">
      <c r="M505" s="75"/>
    </row>
    <row r="506" spans="13:13">
      <c r="M506" s="75"/>
    </row>
    <row r="507" spans="13:13">
      <c r="M507" s="75"/>
    </row>
    <row r="508" spans="13:13">
      <c r="M508" s="75"/>
    </row>
    <row r="509" spans="13:13">
      <c r="M509" s="75"/>
    </row>
    <row r="510" spans="13:13">
      <c r="M510" s="75"/>
    </row>
    <row r="511" spans="13:13">
      <c r="M511" s="75"/>
    </row>
    <row r="512" spans="13:13">
      <c r="M512" s="75"/>
    </row>
    <row r="513" spans="13:13">
      <c r="M513" s="75"/>
    </row>
    <row r="514" spans="13:13">
      <c r="M514" s="75"/>
    </row>
    <row r="515" spans="13:13">
      <c r="M515" s="75"/>
    </row>
    <row r="516" spans="13:13">
      <c r="M516" s="75"/>
    </row>
    <row r="517" spans="13:13">
      <c r="M517" s="75"/>
    </row>
  </sheetData>
  <mergeCells count="15">
    <mergeCell ref="BB93:BC93"/>
    <mergeCell ref="BB9:BC10"/>
    <mergeCell ref="K177:P177"/>
    <mergeCell ref="BB175:BC175"/>
    <mergeCell ref="BB176:BC176"/>
    <mergeCell ref="BB177:BC177"/>
    <mergeCell ref="BE173:BJ174"/>
    <mergeCell ref="H168:P168"/>
    <mergeCell ref="BC319:BC324"/>
    <mergeCell ref="BC98:BC99"/>
    <mergeCell ref="BC300:BC304"/>
    <mergeCell ref="BC309:BC314"/>
    <mergeCell ref="BB273:BC278"/>
    <mergeCell ref="BB173:BC173"/>
    <mergeCell ref="BB174:BC174"/>
  </mergeCells>
  <dataValidations disablePrompts="1" count="2">
    <dataValidation type="list" allowBlank="1" showInputMessage="1" showErrorMessage="1" sqref="C155" xr:uid="{ADF8D98F-4E5F-4ACF-BD96-CD1AC641F9EA}">
      <formula1>$C$156:$C$157</formula1>
    </dataValidation>
    <dataValidation type="list" allowBlank="1" showInputMessage="1" showErrorMessage="1" sqref="O398" xr:uid="{8E0648A7-9AEB-4FFD-B649-EF1AA8CC4930}">
      <formula1>$D$409:$D$410</formula1>
    </dataValidation>
  </dataValidation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3E388-070B-4063-AF92-857BEB48F660}">
  <dimension ref="A1:BJ285"/>
  <sheetViews>
    <sheetView showGridLines="0" zoomScale="80" zoomScaleNormal="80" workbookViewId="0">
      <pane ySplit="3" topLeftCell="A56" activePane="bottomLeft" state="frozen"/>
      <selection pane="bottomLeft" activeCell="A70" sqref="A70:XFD70"/>
    </sheetView>
  </sheetViews>
  <sheetFormatPr defaultColWidth="9.109375" defaultRowHeight="13.2"/>
  <cols>
    <col min="1" max="1" width="7.5546875" style="232" customWidth="1"/>
    <col min="2" max="2" width="41.6640625" style="476" customWidth="1"/>
    <col min="3" max="3" width="40" style="476" hidden="1" customWidth="1"/>
    <col min="4" max="4" width="11" style="539" customWidth="1"/>
    <col min="5" max="5" width="11.109375" style="539" customWidth="1"/>
    <col min="6" max="6" width="12.5546875" style="539" customWidth="1"/>
    <col min="7" max="7" width="7.6640625" style="539" customWidth="1"/>
    <col min="8" max="8" width="9.77734375" style="539" customWidth="1"/>
    <col min="9" max="9" width="14.44140625" style="539" customWidth="1"/>
    <col min="10" max="10" width="12.109375" style="539" customWidth="1"/>
    <col min="11" max="11" width="10.44140625" style="539" customWidth="1"/>
    <col min="12" max="12" width="10.44140625" style="539" bestFit="1" customWidth="1"/>
    <col min="13" max="13" width="10.44140625" style="634" bestFit="1" customWidth="1"/>
    <col min="14" max="15" width="10.44140625" style="539" bestFit="1" customWidth="1"/>
    <col min="16" max="16" width="9.109375" style="539"/>
    <col min="17" max="17" width="19.21875" style="539" customWidth="1"/>
    <col min="18" max="18" width="12" style="539" customWidth="1"/>
    <col min="19" max="19" width="13.6640625" style="539" customWidth="1"/>
    <col min="20" max="20" width="13.5546875" style="539" customWidth="1"/>
    <col min="21" max="21" width="13.44140625" style="539" customWidth="1"/>
    <col min="22" max="22" width="13.88671875" style="539" customWidth="1"/>
    <col min="23" max="23" width="12.88671875" style="539" customWidth="1"/>
    <col min="24" max="24" width="13.33203125" style="539" customWidth="1"/>
    <col min="25" max="25" width="12.109375" style="539" customWidth="1"/>
    <col min="26" max="26" width="16" style="539" customWidth="1"/>
    <col min="27" max="27" width="0.109375" style="539" hidden="1" customWidth="1"/>
    <col min="28" max="28" width="0.33203125" style="539" hidden="1" customWidth="1"/>
    <col min="29" max="29" width="13.88671875" style="539" hidden="1" customWidth="1"/>
    <col min="30" max="30" width="0.109375" style="539" hidden="1" customWidth="1"/>
    <col min="31" max="32" width="15.21875" style="539" hidden="1" customWidth="1"/>
    <col min="33" max="33" width="16.5546875" style="539" hidden="1" customWidth="1"/>
    <col min="34" max="36" width="0.109375" style="539" hidden="1" customWidth="1"/>
    <col min="37" max="37" width="12.6640625" style="539" hidden="1" customWidth="1"/>
    <col min="38" max="38" width="20.21875" style="539" hidden="1" customWidth="1"/>
    <col min="39" max="39" width="13.77734375" style="539" hidden="1" customWidth="1"/>
    <col min="40" max="40" width="20" style="539" hidden="1" customWidth="1"/>
    <col min="41" max="41" width="0.109375" style="539" hidden="1" customWidth="1"/>
    <col min="42" max="42" width="12.77734375" style="539" hidden="1" customWidth="1"/>
    <col min="43" max="43" width="12.88671875" style="539" hidden="1" customWidth="1"/>
    <col min="44" max="44" width="19.33203125" style="539" hidden="1" customWidth="1"/>
    <col min="45" max="45" width="0.109375" style="539" customWidth="1"/>
    <col min="46" max="46" width="0.109375" style="539" hidden="1" customWidth="1"/>
    <col min="47" max="47" width="0.33203125" style="539" hidden="1" customWidth="1"/>
    <col min="48" max="48" width="0.109375" style="539" hidden="1" customWidth="1"/>
    <col min="49" max="49" width="9.109375" style="539" hidden="1" customWidth="1"/>
    <col min="50" max="50" width="10.88671875" style="539" hidden="1" customWidth="1"/>
    <col min="51" max="51" width="17" style="539" hidden="1" customWidth="1"/>
    <col min="52" max="52" width="23.44140625" style="539" hidden="1" customWidth="1"/>
    <col min="53" max="53" width="32.5546875" style="539" hidden="1" customWidth="1"/>
    <col min="54" max="54" width="9.6640625" style="539" customWidth="1"/>
    <col min="55" max="55" width="6.44140625" style="539" customWidth="1"/>
    <col min="56" max="16384" width="9.109375" style="539"/>
  </cols>
  <sheetData>
    <row r="1" spans="1:55">
      <c r="D1" s="5"/>
      <c r="E1" s="5"/>
      <c r="F1" s="75"/>
      <c r="G1" s="75"/>
      <c r="H1" s="75"/>
      <c r="I1" s="75"/>
      <c r="J1" s="75"/>
      <c r="K1" s="75"/>
      <c r="L1" s="75"/>
      <c r="M1" s="75"/>
      <c r="N1" s="536"/>
      <c r="O1" s="536"/>
      <c r="P1" s="537"/>
      <c r="Q1" s="538">
        <v>1</v>
      </c>
      <c r="R1" s="538">
        <v>2</v>
      </c>
      <c r="S1" s="538">
        <v>3</v>
      </c>
      <c r="T1" s="538">
        <v>4</v>
      </c>
      <c r="U1" s="538">
        <v>5</v>
      </c>
      <c r="V1" s="538">
        <v>6</v>
      </c>
      <c r="W1" s="538">
        <v>7</v>
      </c>
      <c r="X1" s="538">
        <v>8</v>
      </c>
      <c r="Y1" s="538">
        <v>9</v>
      </c>
      <c r="Z1" s="538">
        <v>10</v>
      </c>
      <c r="AA1" s="538">
        <v>11</v>
      </c>
      <c r="AB1" s="538">
        <v>15</v>
      </c>
      <c r="AC1" s="538">
        <v>16</v>
      </c>
      <c r="AD1" s="538">
        <v>17</v>
      </c>
      <c r="AE1" s="538">
        <v>18</v>
      </c>
      <c r="AF1" s="538">
        <v>19</v>
      </c>
      <c r="AG1" s="538">
        <v>20</v>
      </c>
      <c r="AH1" s="538">
        <v>21</v>
      </c>
      <c r="AI1" s="538">
        <v>22</v>
      </c>
      <c r="AJ1" s="538">
        <v>23</v>
      </c>
      <c r="AK1" s="538">
        <v>24</v>
      </c>
      <c r="AL1" s="538">
        <v>25</v>
      </c>
      <c r="AM1" s="538">
        <v>26</v>
      </c>
      <c r="AN1" s="538">
        <v>27</v>
      </c>
      <c r="AO1" s="538">
        <v>28</v>
      </c>
      <c r="AP1" s="538">
        <v>29</v>
      </c>
      <c r="AQ1" s="538">
        <v>30</v>
      </c>
      <c r="AR1" s="538">
        <v>31</v>
      </c>
      <c r="AS1" s="538">
        <v>32</v>
      </c>
      <c r="AT1" s="538">
        <v>33</v>
      </c>
      <c r="AU1" s="538">
        <v>34</v>
      </c>
      <c r="AV1" s="538">
        <v>35</v>
      </c>
      <c r="AW1" s="538">
        <v>36</v>
      </c>
      <c r="AX1" s="538">
        <v>37</v>
      </c>
      <c r="AY1" s="538">
        <v>38</v>
      </c>
      <c r="AZ1" s="538">
        <v>39</v>
      </c>
      <c r="BA1" s="538">
        <v>40</v>
      </c>
      <c r="BB1" s="75"/>
      <c r="BC1" s="75"/>
    </row>
    <row r="2" spans="1:55" ht="15" customHeight="1">
      <c r="B2" s="2739" t="s">
        <v>581</v>
      </c>
      <c r="C2" s="2741" t="s">
        <v>313</v>
      </c>
      <c r="D2" s="18"/>
      <c r="E2" s="18"/>
      <c r="F2" s="540" t="str">
        <f t="shared" ref="F2:I2" ca="1" si="0">IF(TODAY()&lt;F3,"Proj","")</f>
        <v/>
      </c>
      <c r="G2" s="540" t="str">
        <f t="shared" ca="1" si="0"/>
        <v/>
      </c>
      <c r="H2" s="540" t="str">
        <f t="shared" ca="1" si="0"/>
        <v/>
      </c>
      <c r="I2" s="540" t="str">
        <f t="shared" ca="1" si="0"/>
        <v/>
      </c>
      <c r="J2" s="540" t="str">
        <f ca="1">IF(TODAY()&lt;J3,"Proj","")</f>
        <v/>
      </c>
      <c r="K2" s="540" t="str">
        <f t="shared" ref="K2:BA2" ca="1" si="1">IF(TODAY()&lt;K3,"Proj","")</f>
        <v/>
      </c>
      <c r="L2" s="540" t="str">
        <f t="shared" ca="1" si="1"/>
        <v/>
      </c>
      <c r="M2" s="540" t="str">
        <f t="shared" ca="1" si="1"/>
        <v/>
      </c>
      <c r="N2" s="540" t="str">
        <f t="shared" ca="1" si="1"/>
        <v/>
      </c>
      <c r="O2" s="540" t="str">
        <f t="shared" ca="1" si="1"/>
        <v/>
      </c>
      <c r="P2" s="541" t="str">
        <f t="shared" ca="1" si="1"/>
        <v/>
      </c>
      <c r="Q2" s="542" t="str">
        <f t="shared" ca="1" si="1"/>
        <v>Proj</v>
      </c>
      <c r="R2" s="542" t="str">
        <f t="shared" ca="1" si="1"/>
        <v>Proj</v>
      </c>
      <c r="S2" s="542" t="str">
        <f t="shared" ca="1" si="1"/>
        <v>Proj</v>
      </c>
      <c r="T2" s="542" t="str">
        <f t="shared" ca="1" si="1"/>
        <v>Proj</v>
      </c>
      <c r="U2" s="542" t="str">
        <f t="shared" ca="1" si="1"/>
        <v>Proj</v>
      </c>
      <c r="V2" s="542" t="str">
        <f t="shared" ca="1" si="1"/>
        <v>Proj</v>
      </c>
      <c r="W2" s="542" t="str">
        <f t="shared" ca="1" si="1"/>
        <v>Proj</v>
      </c>
      <c r="X2" s="542" t="str">
        <f t="shared" ca="1" si="1"/>
        <v>Proj</v>
      </c>
      <c r="Y2" s="542" t="str">
        <f t="shared" ca="1" si="1"/>
        <v>Proj</v>
      </c>
      <c r="Z2" s="542" t="str">
        <f t="shared" ca="1" si="1"/>
        <v>Proj</v>
      </c>
      <c r="AA2" s="542" t="str">
        <f t="shared" ca="1" si="1"/>
        <v>Proj</v>
      </c>
      <c r="AB2" s="542" t="str">
        <f t="shared" ca="1" si="1"/>
        <v>Proj</v>
      </c>
      <c r="AC2" s="542" t="str">
        <f t="shared" ca="1" si="1"/>
        <v>Proj</v>
      </c>
      <c r="AD2" s="542" t="str">
        <f t="shared" ca="1" si="1"/>
        <v>Proj</v>
      </c>
      <c r="AE2" s="542" t="str">
        <f t="shared" ca="1" si="1"/>
        <v>Proj</v>
      </c>
      <c r="AF2" s="542" t="str">
        <f t="shared" ca="1" si="1"/>
        <v>Proj</v>
      </c>
      <c r="AG2" s="542" t="str">
        <f t="shared" ca="1" si="1"/>
        <v>Proj</v>
      </c>
      <c r="AH2" s="542" t="str">
        <f t="shared" ca="1" si="1"/>
        <v>Proj</v>
      </c>
      <c r="AI2" s="542" t="str">
        <f t="shared" ca="1" si="1"/>
        <v>Proj</v>
      </c>
      <c r="AJ2" s="542" t="str">
        <f t="shared" ca="1" si="1"/>
        <v>Proj</v>
      </c>
      <c r="AK2" s="542" t="str">
        <f t="shared" ca="1" si="1"/>
        <v>Proj</v>
      </c>
      <c r="AL2" s="542" t="str">
        <f t="shared" ca="1" si="1"/>
        <v>Proj</v>
      </c>
      <c r="AM2" s="542" t="str">
        <f t="shared" ca="1" si="1"/>
        <v>Proj</v>
      </c>
      <c r="AN2" s="542" t="str">
        <f t="shared" ca="1" si="1"/>
        <v>Proj</v>
      </c>
      <c r="AO2" s="542" t="str">
        <f t="shared" ca="1" si="1"/>
        <v>Proj</v>
      </c>
      <c r="AP2" s="542" t="str">
        <f t="shared" ca="1" si="1"/>
        <v>Proj</v>
      </c>
      <c r="AQ2" s="542" t="str">
        <f t="shared" ca="1" si="1"/>
        <v>Proj</v>
      </c>
      <c r="AR2" s="542" t="str">
        <f t="shared" ca="1" si="1"/>
        <v>Proj</v>
      </c>
      <c r="AS2" s="542" t="str">
        <f t="shared" ca="1" si="1"/>
        <v>Proj</v>
      </c>
      <c r="AT2" s="542" t="str">
        <f t="shared" ca="1" si="1"/>
        <v>Proj</v>
      </c>
      <c r="AU2" s="542" t="str">
        <f t="shared" ca="1" si="1"/>
        <v>Proj</v>
      </c>
      <c r="AV2" s="542" t="str">
        <f t="shared" ca="1" si="1"/>
        <v>Proj</v>
      </c>
      <c r="AW2" s="542" t="str">
        <f t="shared" ca="1" si="1"/>
        <v>Proj</v>
      </c>
      <c r="AX2" s="542" t="str">
        <f t="shared" ca="1" si="1"/>
        <v>Proj</v>
      </c>
      <c r="AY2" s="542" t="str">
        <f t="shared" ca="1" si="1"/>
        <v>Proj</v>
      </c>
      <c r="AZ2" s="542" t="str">
        <f t="shared" ca="1" si="1"/>
        <v>Proj</v>
      </c>
      <c r="BA2" s="542" t="str">
        <f t="shared" ca="1" si="1"/>
        <v>Proj</v>
      </c>
      <c r="BB2" s="540"/>
      <c r="BC2" s="543"/>
    </row>
    <row r="3" spans="1:55" ht="13.8" thickBot="1">
      <c r="B3" s="2740"/>
      <c r="C3" s="2742"/>
      <c r="D3" s="544">
        <v>41274</v>
      </c>
      <c r="E3" s="545">
        <f t="shared" ref="E3:BA3" si="2">DATE(YEAR(D3),MONTH(D3)+13,0)</f>
        <v>41639</v>
      </c>
      <c r="F3" s="545">
        <f t="shared" si="2"/>
        <v>42004</v>
      </c>
      <c r="G3" s="545">
        <f t="shared" si="2"/>
        <v>42369</v>
      </c>
      <c r="H3" s="545">
        <f t="shared" si="2"/>
        <v>42735</v>
      </c>
      <c r="I3" s="545">
        <f t="shared" si="2"/>
        <v>43100</v>
      </c>
      <c r="J3" s="545">
        <f t="shared" si="2"/>
        <v>43465</v>
      </c>
      <c r="K3" s="545">
        <f t="shared" si="2"/>
        <v>43830</v>
      </c>
      <c r="L3" s="545">
        <f t="shared" si="2"/>
        <v>44196</v>
      </c>
      <c r="M3" s="545">
        <f t="shared" si="2"/>
        <v>44561</v>
      </c>
      <c r="N3" s="545">
        <f t="shared" si="2"/>
        <v>44926</v>
      </c>
      <c r="O3" s="545">
        <f t="shared" si="2"/>
        <v>45291</v>
      </c>
      <c r="P3" s="546">
        <f t="shared" si="2"/>
        <v>45657</v>
      </c>
      <c r="Q3" s="547">
        <f t="shared" si="2"/>
        <v>46022</v>
      </c>
      <c r="R3" s="547">
        <f t="shared" si="2"/>
        <v>46387</v>
      </c>
      <c r="S3" s="547">
        <f t="shared" si="2"/>
        <v>46752</v>
      </c>
      <c r="T3" s="547">
        <f t="shared" si="2"/>
        <v>47118</v>
      </c>
      <c r="U3" s="547">
        <f t="shared" si="2"/>
        <v>47483</v>
      </c>
      <c r="V3" s="547">
        <f t="shared" si="2"/>
        <v>47848</v>
      </c>
      <c r="W3" s="547">
        <f t="shared" si="2"/>
        <v>48213</v>
      </c>
      <c r="X3" s="547">
        <f t="shared" si="2"/>
        <v>48579</v>
      </c>
      <c r="Y3" s="547">
        <f t="shared" si="2"/>
        <v>48944</v>
      </c>
      <c r="Z3" s="547">
        <f t="shared" si="2"/>
        <v>49309</v>
      </c>
      <c r="AA3" s="547">
        <f t="shared" si="2"/>
        <v>49674</v>
      </c>
      <c r="AB3" s="547">
        <f t="shared" si="2"/>
        <v>50040</v>
      </c>
      <c r="AC3" s="547">
        <f t="shared" si="2"/>
        <v>50405</v>
      </c>
      <c r="AD3" s="547">
        <f t="shared" si="2"/>
        <v>50770</v>
      </c>
      <c r="AE3" s="547">
        <f t="shared" si="2"/>
        <v>51135</v>
      </c>
      <c r="AF3" s="547">
        <f t="shared" si="2"/>
        <v>51501</v>
      </c>
      <c r="AG3" s="547">
        <f t="shared" si="2"/>
        <v>51866</v>
      </c>
      <c r="AH3" s="547">
        <f t="shared" si="2"/>
        <v>52231</v>
      </c>
      <c r="AI3" s="547">
        <f t="shared" si="2"/>
        <v>52596</v>
      </c>
      <c r="AJ3" s="547">
        <f t="shared" si="2"/>
        <v>52962</v>
      </c>
      <c r="AK3" s="547">
        <f t="shared" si="2"/>
        <v>53327</v>
      </c>
      <c r="AL3" s="547">
        <f t="shared" si="2"/>
        <v>53692</v>
      </c>
      <c r="AM3" s="547">
        <f t="shared" si="2"/>
        <v>54057</v>
      </c>
      <c r="AN3" s="547">
        <f t="shared" si="2"/>
        <v>54423</v>
      </c>
      <c r="AO3" s="547">
        <f t="shared" si="2"/>
        <v>54788</v>
      </c>
      <c r="AP3" s="547">
        <f t="shared" si="2"/>
        <v>55153</v>
      </c>
      <c r="AQ3" s="547">
        <f t="shared" si="2"/>
        <v>55518</v>
      </c>
      <c r="AR3" s="547">
        <f t="shared" si="2"/>
        <v>55884</v>
      </c>
      <c r="AS3" s="547">
        <f t="shared" si="2"/>
        <v>56249</v>
      </c>
      <c r="AT3" s="547">
        <f t="shared" si="2"/>
        <v>56614</v>
      </c>
      <c r="AU3" s="547">
        <f t="shared" si="2"/>
        <v>56979</v>
      </c>
      <c r="AV3" s="547">
        <f t="shared" si="2"/>
        <v>57345</v>
      </c>
      <c r="AW3" s="547">
        <f t="shared" si="2"/>
        <v>57710</v>
      </c>
      <c r="AX3" s="547">
        <f t="shared" si="2"/>
        <v>58075</v>
      </c>
      <c r="AY3" s="547">
        <f t="shared" si="2"/>
        <v>58440</v>
      </c>
      <c r="AZ3" s="547">
        <f t="shared" si="2"/>
        <v>58806</v>
      </c>
      <c r="BA3" s="547">
        <f t="shared" si="2"/>
        <v>59171</v>
      </c>
      <c r="BB3" s="548"/>
      <c r="BC3" s="549"/>
    </row>
    <row r="4" spans="1:55" ht="13.8" thickTop="1">
      <c r="B4" s="550"/>
      <c r="C4" s="550"/>
      <c r="D4" s="551"/>
      <c r="E4" s="329"/>
      <c r="F4" s="329"/>
      <c r="G4" s="329"/>
      <c r="H4" s="329"/>
      <c r="I4" s="329"/>
      <c r="J4" s="329"/>
      <c r="K4" s="329"/>
      <c r="L4" s="329"/>
      <c r="M4" s="329"/>
      <c r="N4" s="329"/>
      <c r="O4" s="329"/>
      <c r="P4" s="552"/>
      <c r="Q4" s="329"/>
      <c r="R4" s="329"/>
      <c r="S4" s="329"/>
      <c r="T4" s="329"/>
      <c r="U4" s="329"/>
      <c r="V4" s="329"/>
      <c r="W4" s="329"/>
      <c r="X4" s="329"/>
      <c r="Y4" s="329"/>
      <c r="Z4" s="329"/>
      <c r="AA4" s="329"/>
      <c r="AB4" s="329"/>
      <c r="AC4" s="329"/>
      <c r="AD4" s="329"/>
      <c r="AE4" s="329"/>
      <c r="AF4" s="329"/>
      <c r="AG4" s="329"/>
      <c r="AH4" s="329"/>
      <c r="AI4" s="329"/>
      <c r="AJ4" s="329"/>
      <c r="AK4" s="329"/>
      <c r="AL4" s="329"/>
      <c r="AM4" s="329"/>
      <c r="AN4" s="329"/>
      <c r="AO4" s="329"/>
      <c r="AP4" s="329"/>
      <c r="AQ4" s="329"/>
      <c r="AR4" s="329"/>
      <c r="AS4" s="329"/>
      <c r="AT4" s="329"/>
      <c r="AU4" s="329"/>
      <c r="AV4" s="329"/>
      <c r="AW4" s="329"/>
      <c r="AX4" s="329"/>
      <c r="AY4" s="329"/>
      <c r="AZ4" s="329"/>
      <c r="BA4" s="329"/>
      <c r="BB4" s="329"/>
      <c r="BC4" s="329"/>
    </row>
    <row r="5" spans="1:55" s="95" customFormat="1">
      <c r="A5" s="86">
        <v>1</v>
      </c>
      <c r="B5" s="94" t="s">
        <v>244</v>
      </c>
      <c r="C5" s="94" t="s">
        <v>317</v>
      </c>
      <c r="D5" s="89"/>
      <c r="E5" s="89"/>
      <c r="F5" s="89"/>
      <c r="G5" s="89"/>
      <c r="H5" s="89"/>
      <c r="I5" s="90"/>
      <c r="J5" s="90"/>
      <c r="K5" s="90">
        <f>Input!K7</f>
        <v>7042.9669301169997</v>
      </c>
      <c r="L5" s="90">
        <f>Input!L7</f>
        <v>7561.275100418</v>
      </c>
      <c r="M5" s="90">
        <f>Input!M7</f>
        <v>9869.7629046370002</v>
      </c>
      <c r="N5" s="90">
        <f>Input!N7</f>
        <v>15924.526874399</v>
      </c>
      <c r="O5" s="90">
        <f>Input!O7</f>
        <v>12570.542089828001</v>
      </c>
      <c r="P5" s="568">
        <f>Input!P7</f>
        <v>13455.585149639999</v>
      </c>
      <c r="Q5" s="142">
        <f>Input!Q7</f>
        <v>17736.964394084247</v>
      </c>
      <c r="R5" s="142">
        <f>Input!R7</f>
        <v>18589.767949026176</v>
      </c>
      <c r="S5" s="142">
        <f>Input!S7</f>
        <v>19115.742512480145</v>
      </c>
      <c r="T5" s="142">
        <f>Input!T7</f>
        <v>22528.626786304212</v>
      </c>
      <c r="U5" s="142">
        <f>Input!U7</f>
        <v>21832.704154820331</v>
      </c>
      <c r="V5" s="142">
        <f>Input!V7</f>
        <v>20430.772302231144</v>
      </c>
      <c r="W5" s="142">
        <f>Input!W7</f>
        <v>20957.485887710031</v>
      </c>
      <c r="X5" s="142">
        <f>Input!X7</f>
        <v>21416.211179616723</v>
      </c>
      <c r="Y5" s="142">
        <f>Input!Y7</f>
        <v>22526.684294601619</v>
      </c>
      <c r="Z5" s="142">
        <f>Input!Z7</f>
        <v>22829.839724003705</v>
      </c>
      <c r="AA5" s="142"/>
      <c r="AB5" s="143"/>
      <c r="AC5" s="143"/>
      <c r="AD5" s="143"/>
      <c r="AE5" s="143"/>
      <c r="AF5" s="143"/>
      <c r="AG5" s="143"/>
      <c r="AH5" s="143"/>
      <c r="AI5" s="143"/>
      <c r="AJ5" s="143"/>
      <c r="AK5" s="143"/>
      <c r="AL5" s="143"/>
      <c r="AM5" s="143"/>
      <c r="AN5" s="143"/>
      <c r="AO5" s="143"/>
      <c r="AP5" s="143"/>
      <c r="AQ5" s="143"/>
      <c r="AR5" s="143"/>
      <c r="AS5" s="143"/>
      <c r="AT5" s="143"/>
      <c r="AU5" s="143"/>
      <c r="AV5" s="143"/>
      <c r="AW5" s="143"/>
      <c r="AX5" s="143"/>
      <c r="AY5" s="143"/>
      <c r="AZ5" s="143"/>
      <c r="BA5" s="143"/>
    </row>
    <row r="6" spans="1:55" s="95" customFormat="1">
      <c r="A6" s="86">
        <v>2</v>
      </c>
      <c r="B6" s="94" t="s">
        <v>15</v>
      </c>
      <c r="C6" s="94" t="s">
        <v>320</v>
      </c>
      <c r="D6" s="89"/>
      <c r="E6" s="89"/>
      <c r="F6" s="89"/>
      <c r="G6" s="89"/>
      <c r="H6" s="89"/>
      <c r="I6" s="90"/>
      <c r="J6" s="90"/>
      <c r="K6" s="90">
        <f>Input!K11</f>
        <v>6083.7747332669996</v>
      </c>
      <c r="L6" s="90">
        <f>Input!L11</f>
        <v>6244.4273005289997</v>
      </c>
      <c r="M6" s="90">
        <f>Input!M11</f>
        <v>7088.8259803250003</v>
      </c>
      <c r="N6" s="90">
        <f>Input!N11</f>
        <v>10221.097432230999</v>
      </c>
      <c r="O6" s="90">
        <f>Input!O11</f>
        <v>10538.742407968</v>
      </c>
      <c r="P6" s="568">
        <f>Input!P11</f>
        <v>10942.100894030998</v>
      </c>
      <c r="Q6" s="142">
        <f>Input!Q11</f>
        <v>13918.243617704722</v>
      </c>
      <c r="R6" s="142">
        <f>Input!R11</f>
        <v>14383.611091165716</v>
      </c>
      <c r="S6" s="142">
        <f>Input!S11</f>
        <v>14457.705791708804</v>
      </c>
      <c r="T6" s="142">
        <f>Input!T11</f>
        <v>15696.22576356595</v>
      </c>
      <c r="U6" s="142">
        <f>Input!U11</f>
        <v>15887.412317123406</v>
      </c>
      <c r="V6" s="142">
        <f>Input!V11</f>
        <v>15334.882212559625</v>
      </c>
      <c r="W6" s="142">
        <f>Input!W11</f>
        <v>15944.619188827761</v>
      </c>
      <c r="X6" s="142">
        <f>Input!X11</f>
        <v>16006.513359806648</v>
      </c>
      <c r="Y6" s="142">
        <f>Input!Y11</f>
        <v>16419.679663426454</v>
      </c>
      <c r="Z6" s="142">
        <f>Input!Z11</f>
        <v>16800.954631290278</v>
      </c>
      <c r="AA6" s="142"/>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89"/>
    </row>
    <row r="7" spans="1:55" s="95" customFormat="1">
      <c r="A7" s="86"/>
      <c r="B7" s="111" t="s">
        <v>582</v>
      </c>
      <c r="C7" s="111" t="s">
        <v>323</v>
      </c>
      <c r="D7" s="237"/>
      <c r="E7" s="237"/>
      <c r="F7" s="237"/>
      <c r="G7" s="237"/>
      <c r="H7" s="237"/>
      <c r="I7" s="553"/>
      <c r="J7" s="553"/>
      <c r="K7" s="553">
        <f>Input!K15</f>
        <v>959.19219685000007</v>
      </c>
      <c r="L7" s="553">
        <f>Input!L15</f>
        <v>1316.8477998890003</v>
      </c>
      <c r="M7" s="553">
        <f>Input!M15</f>
        <v>2780.936924312</v>
      </c>
      <c r="N7" s="553">
        <f>Input!N15</f>
        <v>5703.4294421680006</v>
      </c>
      <c r="O7" s="553">
        <f>Input!O15</f>
        <v>2031.7996818600004</v>
      </c>
      <c r="P7" s="581">
        <f>Input!P15</f>
        <v>2513.4842556090007</v>
      </c>
      <c r="Q7" s="554">
        <f>Input!Q15</f>
        <v>3818.720776379525</v>
      </c>
      <c r="R7" s="554">
        <f>Input!R15</f>
        <v>4206.1568578604601</v>
      </c>
      <c r="S7" s="554">
        <f>Input!S15</f>
        <v>4658.0367207713407</v>
      </c>
      <c r="T7" s="554">
        <f>Input!T15</f>
        <v>6832.4010227382623</v>
      </c>
      <c r="U7" s="554">
        <f>Input!U15</f>
        <v>5945.2918376969246</v>
      </c>
      <c r="V7" s="554">
        <f>Input!V15</f>
        <v>5095.8900896715186</v>
      </c>
      <c r="W7" s="554">
        <f>Input!W15</f>
        <v>5012.8666988822697</v>
      </c>
      <c r="X7" s="554">
        <f>Input!X15</f>
        <v>5409.6978198100751</v>
      </c>
      <c r="Y7" s="554">
        <f>Input!Y15</f>
        <v>6107.0046311751648</v>
      </c>
      <c r="Z7" s="554">
        <f>Input!Z15</f>
        <v>6028.8850927134263</v>
      </c>
      <c r="AA7" s="554"/>
      <c r="AB7" s="238"/>
      <c r="AC7" s="238"/>
      <c r="AD7" s="238"/>
      <c r="AE7" s="238"/>
      <c r="AF7" s="238"/>
      <c r="AG7" s="238"/>
      <c r="AH7" s="238"/>
      <c r="AI7" s="238"/>
      <c r="AJ7" s="238"/>
      <c r="AK7" s="238"/>
      <c r="AL7" s="238"/>
      <c r="AM7" s="238"/>
      <c r="AN7" s="238"/>
      <c r="AO7" s="238"/>
      <c r="AP7" s="238"/>
      <c r="AQ7" s="238"/>
      <c r="AR7" s="238"/>
      <c r="AS7" s="238"/>
      <c r="AT7" s="238"/>
      <c r="AU7" s="238"/>
      <c r="AV7" s="238"/>
      <c r="AW7" s="238"/>
      <c r="AX7" s="238"/>
      <c r="AY7" s="238"/>
      <c r="AZ7" s="238"/>
      <c r="BA7" s="238"/>
    </row>
    <row r="8" spans="1:55" s="562" customFormat="1">
      <c r="A8" s="555"/>
      <c r="B8" s="556" t="s">
        <v>583</v>
      </c>
      <c r="C8" s="556" t="s">
        <v>322</v>
      </c>
      <c r="D8" s="557"/>
      <c r="E8" s="557"/>
      <c r="F8" s="557"/>
      <c r="G8" s="557"/>
      <c r="H8" s="557"/>
      <c r="I8" s="558"/>
      <c r="J8" s="558"/>
      <c r="K8" s="558">
        <f>K7/K5</f>
        <v>0.1361914951990362</v>
      </c>
      <c r="L8" s="558">
        <f t="shared" ref="L8:Z8" si="3">L7/L5</f>
        <v>0.17415684291346611</v>
      </c>
      <c r="M8" s="558">
        <f t="shared" si="3"/>
        <v>0.28176329575307868</v>
      </c>
      <c r="N8" s="558">
        <f t="shared" si="3"/>
        <v>0.35815377669631715</v>
      </c>
      <c r="O8" s="558">
        <f t="shared" si="3"/>
        <v>0.16163182680117821</v>
      </c>
      <c r="P8" s="571">
        <f t="shared" si="3"/>
        <v>0.18679858420547754</v>
      </c>
      <c r="Q8" s="559">
        <f t="shared" si="3"/>
        <v>0.21529731308775535</v>
      </c>
      <c r="R8" s="559">
        <f t="shared" si="3"/>
        <v>0.22626193448965562</v>
      </c>
      <c r="S8" s="559">
        <f t="shared" si="3"/>
        <v>0.24367542708478293</v>
      </c>
      <c r="T8" s="559">
        <f t="shared" si="3"/>
        <v>0.30327640861323479</v>
      </c>
      <c r="U8" s="559">
        <f t="shared" si="3"/>
        <v>0.27231129023402695</v>
      </c>
      <c r="V8" s="559">
        <f t="shared" si="3"/>
        <v>0.24942229369934399</v>
      </c>
      <c r="W8" s="559">
        <f t="shared" si="3"/>
        <v>0.23919217819070246</v>
      </c>
      <c r="X8" s="559">
        <f t="shared" si="3"/>
        <v>0.25259826653926798</v>
      </c>
      <c r="Y8" s="559">
        <f t="shared" si="3"/>
        <v>0.27110091087123156</v>
      </c>
      <c r="Z8" s="559">
        <f t="shared" si="3"/>
        <v>0.2640791685617726</v>
      </c>
      <c r="AA8" s="559"/>
      <c r="AB8" s="560"/>
      <c r="AC8" s="560"/>
      <c r="AD8" s="560"/>
      <c r="AE8" s="560"/>
      <c r="AF8" s="560"/>
      <c r="AG8" s="560"/>
      <c r="AH8" s="560"/>
      <c r="AI8" s="560"/>
      <c r="AJ8" s="560"/>
      <c r="AK8" s="560"/>
      <c r="AL8" s="560"/>
      <c r="AM8" s="560"/>
      <c r="AN8" s="560"/>
      <c r="AO8" s="560"/>
      <c r="AP8" s="560"/>
      <c r="AQ8" s="560"/>
      <c r="AR8" s="560"/>
      <c r="AS8" s="560"/>
      <c r="AT8" s="560"/>
      <c r="AU8" s="560"/>
      <c r="AV8" s="560"/>
      <c r="AW8" s="560"/>
      <c r="AX8" s="560"/>
      <c r="AY8" s="560"/>
      <c r="AZ8" s="560"/>
      <c r="BA8" s="560"/>
      <c r="BB8" s="561"/>
      <c r="BC8" s="561"/>
    </row>
    <row r="9" spans="1:55" s="5" customFormat="1">
      <c r="A9" s="86"/>
      <c r="B9" s="75"/>
      <c r="C9" s="75"/>
      <c r="D9" s="41"/>
      <c r="E9" s="41"/>
      <c r="F9" s="41"/>
      <c r="G9" s="41"/>
      <c r="H9" s="41"/>
      <c r="I9" s="41"/>
      <c r="J9" s="41"/>
      <c r="K9" s="41"/>
      <c r="L9" s="41"/>
      <c r="M9" s="41"/>
      <c r="N9" s="41"/>
      <c r="O9" s="41"/>
      <c r="P9" s="26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41"/>
      <c r="AT9" s="41"/>
      <c r="AU9" s="41"/>
      <c r="AV9" s="41"/>
      <c r="AW9" s="41"/>
      <c r="AX9" s="41"/>
      <c r="AY9" s="41"/>
      <c r="AZ9" s="41"/>
      <c r="BA9" s="41"/>
      <c r="BB9" s="84"/>
      <c r="BC9" s="84"/>
    </row>
    <row r="10" spans="1:55" s="95" customFormat="1" ht="17.399999999999999" customHeight="1">
      <c r="A10" s="86"/>
      <c r="B10" s="94" t="s">
        <v>584</v>
      </c>
      <c r="C10" s="563" t="s">
        <v>325</v>
      </c>
      <c r="D10" s="427"/>
      <c r="E10" s="427"/>
      <c r="F10" s="427"/>
      <c r="G10" s="427"/>
      <c r="H10" s="427"/>
      <c r="I10" s="564"/>
      <c r="J10" s="564"/>
      <c r="K10" s="564">
        <f>Input!K19</f>
        <v>565.37789901099995</v>
      </c>
      <c r="L10" s="564">
        <f>Input!L19</f>
        <v>673.40697816300008</v>
      </c>
      <c r="M10" s="564">
        <f>Input!M19</f>
        <v>948.89299045899998</v>
      </c>
      <c r="N10" s="564">
        <f>Input!N19</f>
        <v>1350.889132605</v>
      </c>
      <c r="O10" s="564">
        <f>Input!O19</f>
        <v>1349.1883473359999</v>
      </c>
      <c r="P10" s="590">
        <f>Input!P19</f>
        <v>1495.4168026570001</v>
      </c>
      <c r="Q10" s="2611">
        <f>Input!Q19</f>
        <v>1724.7512553462252</v>
      </c>
      <c r="R10" s="2611">
        <f>Input!R19</f>
        <v>1807.870911056124</v>
      </c>
      <c r="S10" s="2611">
        <f>Input!S19</f>
        <v>1832.946110728062</v>
      </c>
      <c r="T10" s="2611">
        <f>Input!T19</f>
        <v>2162.524552421728</v>
      </c>
      <c r="U10" s="2611">
        <f>Input!U19</f>
        <v>2178.072073711126</v>
      </c>
      <c r="V10" s="2611">
        <f>Input!V19</f>
        <v>2032.1553044460118</v>
      </c>
      <c r="W10" s="2611">
        <f>Input!W19</f>
        <v>2038.6793832514034</v>
      </c>
      <c r="X10" s="2611">
        <f>Input!X19</f>
        <v>2082.4465745460379</v>
      </c>
      <c r="Y10" s="2611">
        <f>Input!Y19</f>
        <v>2195.9907520780707</v>
      </c>
      <c r="Z10" s="2611">
        <f>Input!Z19</f>
        <v>2237.9732920368097</v>
      </c>
      <c r="AA10" s="565"/>
      <c r="AB10" s="428"/>
      <c r="AC10" s="428"/>
      <c r="AD10" s="428"/>
      <c r="AE10" s="428"/>
      <c r="AF10" s="428"/>
      <c r="AG10" s="428"/>
      <c r="AH10" s="428"/>
      <c r="AI10" s="428"/>
      <c r="AJ10" s="428"/>
      <c r="AK10" s="428"/>
      <c r="AL10" s="428"/>
      <c r="AM10" s="428"/>
      <c r="AN10" s="428"/>
      <c r="AO10" s="428"/>
      <c r="AP10" s="428"/>
      <c r="AQ10" s="428"/>
      <c r="AR10" s="428"/>
      <c r="AS10" s="428"/>
      <c r="AT10" s="428"/>
      <c r="AU10" s="428"/>
      <c r="AV10" s="428"/>
      <c r="AW10" s="428"/>
      <c r="AX10" s="428"/>
      <c r="AY10" s="428"/>
      <c r="AZ10" s="428"/>
      <c r="BA10" s="428"/>
    </row>
    <row r="11" spans="1:55" s="95" customFormat="1" ht="23.25" customHeight="1">
      <c r="A11" s="86"/>
      <c r="B11" s="94"/>
      <c r="C11" s="566" t="s">
        <v>331</v>
      </c>
      <c r="D11" s="427"/>
      <c r="E11" s="427"/>
      <c r="F11" s="427"/>
      <c r="G11" s="427"/>
      <c r="H11" s="427"/>
      <c r="I11" s="427"/>
      <c r="J11" s="427"/>
      <c r="K11" s="427"/>
      <c r="L11" s="427"/>
      <c r="M11" s="427"/>
      <c r="N11" s="427"/>
      <c r="O11" s="427"/>
      <c r="P11" s="567"/>
      <c r="Q11" s="428"/>
      <c r="R11" s="428"/>
      <c r="S11" s="428"/>
      <c r="T11" s="428"/>
      <c r="U11" s="428"/>
      <c r="V11" s="428"/>
      <c r="W11" s="428"/>
      <c r="X11" s="428"/>
      <c r="Y11" s="428"/>
      <c r="Z11" s="428"/>
      <c r="AA11" s="428"/>
      <c r="AB11" s="428"/>
      <c r="AC11" s="428"/>
      <c r="AD11" s="428"/>
      <c r="AE11" s="428"/>
      <c r="AF11" s="428"/>
      <c r="AG11" s="428"/>
      <c r="AH11" s="428"/>
      <c r="AI11" s="428"/>
      <c r="AJ11" s="428"/>
      <c r="AK11" s="428"/>
      <c r="AL11" s="428"/>
      <c r="AM11" s="428"/>
      <c r="AN11" s="428"/>
      <c r="AO11" s="428"/>
      <c r="AP11" s="428"/>
      <c r="AQ11" s="428"/>
      <c r="AR11" s="428"/>
      <c r="AS11" s="428"/>
      <c r="AT11" s="428"/>
      <c r="AU11" s="428"/>
      <c r="AV11" s="428"/>
      <c r="AW11" s="428"/>
      <c r="AX11" s="428"/>
      <c r="AY11" s="428"/>
      <c r="AZ11" s="428"/>
      <c r="BA11" s="428"/>
    </row>
    <row r="12" spans="1:55" s="95" customFormat="1" ht="30" customHeight="1">
      <c r="A12" s="86"/>
      <c r="B12" s="111" t="s">
        <v>334</v>
      </c>
      <c r="C12" s="94" t="s">
        <v>334</v>
      </c>
      <c r="D12" s="89"/>
      <c r="E12" s="89"/>
      <c r="F12" s="89"/>
      <c r="G12" s="89"/>
      <c r="H12" s="89"/>
      <c r="I12" s="90"/>
      <c r="J12" s="90"/>
      <c r="K12" s="90">
        <f>Input!K35</f>
        <v>1712.65494033</v>
      </c>
      <c r="L12" s="90">
        <f>Input!L35</f>
        <v>1961.5932744320003</v>
      </c>
      <c r="M12" s="90">
        <f>Input!M35</f>
        <v>3217.8548777280002</v>
      </c>
      <c r="N12" s="90">
        <f>Input!N35</f>
        <v>5750.569707300001</v>
      </c>
      <c r="O12" s="90">
        <f>Input!O35</f>
        <v>1765.9920331760006</v>
      </c>
      <c r="P12" s="568">
        <f>Input!P35</f>
        <v>1286.1489113670007</v>
      </c>
      <c r="Q12" s="142">
        <f>Input!Q35</f>
        <v>2960.165495542351</v>
      </c>
      <c r="R12" s="142">
        <f>Input!R35</f>
        <v>3356.3643093193014</v>
      </c>
      <c r="S12" s="142">
        <f>Input!S35</f>
        <v>3225.1563021775901</v>
      </c>
      <c r="T12" s="142">
        <f>Input!T35</f>
        <v>5074.5332103105829</v>
      </c>
      <c r="U12" s="142">
        <f>Input!U35</f>
        <v>4159.0388889400238</v>
      </c>
      <c r="V12" s="142">
        <f>Input!V35</f>
        <v>3455.4198097558992</v>
      </c>
      <c r="W12" s="142">
        <f>Input!W35</f>
        <v>3325.8599193575137</v>
      </c>
      <c r="X12" s="142">
        <f>Input!X35</f>
        <v>3721.2667713333512</v>
      </c>
      <c r="Y12" s="142">
        <f>Input!Y35</f>
        <v>4330.3201440024686</v>
      </c>
      <c r="Z12" s="142">
        <f>Input!Z35</f>
        <v>4238.5621585124063</v>
      </c>
      <c r="AA12" s="142"/>
      <c r="AB12" s="143"/>
      <c r="AC12" s="143"/>
      <c r="AD12" s="143"/>
      <c r="AE12" s="143"/>
      <c r="AF12" s="143"/>
      <c r="AG12" s="143"/>
      <c r="AH12" s="143"/>
      <c r="AI12" s="143"/>
      <c r="AJ12" s="143"/>
      <c r="AK12" s="143"/>
      <c r="AL12" s="143"/>
      <c r="AM12" s="143"/>
      <c r="AN12" s="143"/>
      <c r="AO12" s="143"/>
      <c r="AP12" s="143"/>
      <c r="AQ12" s="143"/>
      <c r="AR12" s="143"/>
      <c r="AS12" s="143"/>
      <c r="AT12" s="143"/>
      <c r="AU12" s="143"/>
      <c r="AV12" s="143"/>
      <c r="AW12" s="143"/>
      <c r="AX12" s="143"/>
      <c r="AY12" s="143"/>
      <c r="AZ12" s="143"/>
      <c r="BA12" s="143"/>
    </row>
    <row r="13" spans="1:55" s="572" customFormat="1" ht="21" customHeight="1">
      <c r="A13" s="555"/>
      <c r="B13" s="569"/>
      <c r="C13" s="569" t="s">
        <v>333</v>
      </c>
      <c r="D13" s="570"/>
      <c r="E13" s="570"/>
      <c r="F13" s="570"/>
      <c r="G13" s="558"/>
      <c r="H13" s="558"/>
      <c r="I13" s="558"/>
      <c r="J13" s="558"/>
      <c r="K13" s="558">
        <f>K12/K$5</f>
        <v>0.24317236717474533</v>
      </c>
      <c r="L13" s="558">
        <f t="shared" ref="L13:Z13" si="4">L12/L$5</f>
        <v>0.25942625395597102</v>
      </c>
      <c r="M13" s="558">
        <f t="shared" si="4"/>
        <v>0.32603162900865545</v>
      </c>
      <c r="N13" s="558">
        <f t="shared" si="4"/>
        <v>0.36111400688110118</v>
      </c>
      <c r="O13" s="558">
        <f t="shared" si="4"/>
        <v>0.14048654549313586</v>
      </c>
      <c r="P13" s="571">
        <f t="shared" si="4"/>
        <v>9.5584762540142018E-2</v>
      </c>
      <c r="Q13" s="559">
        <f t="shared" si="4"/>
        <v>0.16689245294587418</v>
      </c>
      <c r="R13" s="559">
        <f t="shared" si="4"/>
        <v>0.18054901591685141</v>
      </c>
      <c r="S13" s="559">
        <f t="shared" si="4"/>
        <v>0.16871729152409193</v>
      </c>
      <c r="T13" s="559">
        <f t="shared" si="4"/>
        <v>0.2252482256661793</v>
      </c>
      <c r="U13" s="559">
        <f t="shared" si="4"/>
        <v>0.1904958203732986</v>
      </c>
      <c r="V13" s="559">
        <f t="shared" si="4"/>
        <v>0.16912820321425392</v>
      </c>
      <c r="W13" s="559">
        <f t="shared" si="4"/>
        <v>0.15869555810164601</v>
      </c>
      <c r="X13" s="559">
        <f t="shared" si="4"/>
        <v>0.1737593424029707</v>
      </c>
      <c r="Y13" s="559">
        <f t="shared" si="4"/>
        <v>0.19223069349092814</v>
      </c>
      <c r="Z13" s="559">
        <f t="shared" si="4"/>
        <v>0.18565886619238531</v>
      </c>
      <c r="AA13" s="559"/>
      <c r="AB13" s="560"/>
      <c r="AC13" s="560"/>
      <c r="AD13" s="560"/>
      <c r="AE13" s="560"/>
      <c r="AF13" s="560"/>
      <c r="AG13" s="560"/>
      <c r="AH13" s="560"/>
      <c r="AI13" s="560"/>
      <c r="AJ13" s="560"/>
      <c r="AK13" s="560"/>
      <c r="AL13" s="560"/>
      <c r="AM13" s="560"/>
      <c r="AN13" s="560"/>
      <c r="AO13" s="560"/>
      <c r="AP13" s="560"/>
      <c r="AQ13" s="560"/>
      <c r="AR13" s="560"/>
      <c r="AS13" s="560"/>
      <c r="AT13" s="560"/>
      <c r="AU13" s="560"/>
      <c r="AV13" s="560"/>
      <c r="AW13" s="560"/>
      <c r="AX13" s="560"/>
      <c r="AY13" s="560"/>
      <c r="AZ13" s="560"/>
      <c r="BA13" s="560"/>
    </row>
    <row r="14" spans="1:55" s="5" customFormat="1" ht="21" customHeight="1">
      <c r="A14" s="86"/>
      <c r="B14" s="75"/>
      <c r="C14" s="75"/>
      <c r="D14" s="41"/>
      <c r="E14" s="41"/>
      <c r="F14" s="41"/>
      <c r="G14" s="41"/>
      <c r="H14" s="41"/>
      <c r="I14" s="41"/>
      <c r="J14" s="41"/>
      <c r="K14" s="41"/>
      <c r="L14" s="41"/>
      <c r="M14" s="41"/>
      <c r="N14" s="41"/>
      <c r="O14" s="41"/>
      <c r="P14" s="26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41"/>
      <c r="AT14" s="41"/>
      <c r="AU14" s="41"/>
      <c r="AV14" s="41"/>
      <c r="AW14" s="41"/>
      <c r="AX14" s="41"/>
      <c r="AY14" s="41"/>
      <c r="AZ14" s="41"/>
      <c r="BA14" s="41"/>
      <c r="BB14" s="84"/>
      <c r="BC14" s="84"/>
    </row>
    <row r="15" spans="1:55" s="95" customFormat="1" ht="20.25" customHeight="1">
      <c r="A15" s="86">
        <v>5</v>
      </c>
      <c r="B15" s="94" t="s">
        <v>585</v>
      </c>
      <c r="C15" s="94" t="s">
        <v>337</v>
      </c>
      <c r="D15" s="89"/>
      <c r="E15" s="89"/>
      <c r="F15" s="89"/>
      <c r="G15" s="89"/>
      <c r="H15" s="89"/>
      <c r="I15" s="90"/>
      <c r="J15" s="90"/>
      <c r="K15" s="90">
        <f>Input!K40</f>
        <v>1318.8406424909999</v>
      </c>
      <c r="L15" s="90">
        <f>Input!L40</f>
        <v>1318.1524527060001</v>
      </c>
      <c r="M15" s="90">
        <f>Input!M40</f>
        <v>1385.810943875</v>
      </c>
      <c r="N15" s="90">
        <f>Input!N40</f>
        <v>1398.029397737</v>
      </c>
      <c r="O15" s="90">
        <f>Input!O40</f>
        <v>1083.3806986520001</v>
      </c>
      <c r="P15" s="568">
        <f>Input!P40</f>
        <v>268.08145841499999</v>
      </c>
      <c r="Q15" s="142">
        <f>Input!Q40</f>
        <v>866.19597450905121</v>
      </c>
      <c r="R15" s="142">
        <f>Input!R40</f>
        <v>958.07836251496497</v>
      </c>
      <c r="S15" s="142">
        <f>Input!S40</f>
        <v>400.06569213431158</v>
      </c>
      <c r="T15" s="142">
        <f>Input!T40</f>
        <v>404.65673999404856</v>
      </c>
      <c r="U15" s="142">
        <f>Input!U40</f>
        <v>391.81912495422546</v>
      </c>
      <c r="V15" s="142">
        <f>Input!V40</f>
        <v>391.68502453039241</v>
      </c>
      <c r="W15" s="142">
        <f>Input!W40</f>
        <v>351.67260372664737</v>
      </c>
      <c r="X15" s="142">
        <f>Input!X40</f>
        <v>394.01552606931426</v>
      </c>
      <c r="Y15" s="142">
        <f>Input!Y40</f>
        <v>419.30626490537486</v>
      </c>
      <c r="Z15" s="142">
        <f>Input!Z40</f>
        <v>447.65035783578924</v>
      </c>
      <c r="AA15" s="142"/>
      <c r="AB15" s="143"/>
      <c r="AC15" s="143"/>
      <c r="AD15" s="143"/>
      <c r="AE15" s="143"/>
      <c r="AF15" s="143"/>
      <c r="AG15" s="143"/>
      <c r="AH15" s="143"/>
      <c r="AI15" s="143"/>
      <c r="AJ15" s="143"/>
      <c r="AK15" s="143"/>
      <c r="AL15" s="143"/>
      <c r="AM15" s="143"/>
      <c r="AN15" s="143"/>
      <c r="AO15" s="143"/>
      <c r="AP15" s="143"/>
      <c r="AQ15" s="143"/>
      <c r="AR15" s="143"/>
      <c r="AS15" s="143"/>
      <c r="AT15" s="143"/>
      <c r="AU15" s="143"/>
      <c r="AV15" s="143"/>
      <c r="AW15" s="143"/>
      <c r="AX15" s="143"/>
      <c r="AY15" s="143"/>
      <c r="AZ15" s="143"/>
      <c r="BA15" s="143"/>
    </row>
    <row r="16" spans="1:55" s="574" customFormat="1" ht="24" customHeight="1">
      <c r="A16" s="573"/>
      <c r="C16" s="575" t="s">
        <v>338</v>
      </c>
      <c r="D16" s="576"/>
      <c r="E16" s="576"/>
      <c r="F16" s="576"/>
      <c r="G16" s="576"/>
      <c r="H16" s="576"/>
      <c r="I16" s="576"/>
      <c r="J16" s="576"/>
      <c r="K16" s="576"/>
      <c r="L16" s="576"/>
      <c r="M16" s="576"/>
      <c r="N16" s="576"/>
      <c r="O16" s="576"/>
      <c r="P16" s="577"/>
      <c r="Q16" s="578"/>
      <c r="R16" s="578"/>
      <c r="S16" s="578"/>
      <c r="T16" s="578"/>
      <c r="U16" s="578"/>
      <c r="V16" s="578"/>
      <c r="W16" s="578"/>
      <c r="X16" s="578"/>
      <c r="Y16" s="578"/>
      <c r="Z16" s="578"/>
      <c r="AA16" s="578"/>
      <c r="AB16" s="578"/>
      <c r="AC16" s="578"/>
      <c r="AD16" s="578"/>
      <c r="AE16" s="578"/>
      <c r="AF16" s="578"/>
      <c r="AG16" s="578"/>
      <c r="AH16" s="578"/>
      <c r="AI16" s="578"/>
      <c r="AJ16" s="578"/>
      <c r="AK16" s="578"/>
      <c r="AL16" s="578"/>
      <c r="AM16" s="578"/>
      <c r="AN16" s="578"/>
      <c r="AO16" s="578"/>
      <c r="AP16" s="578"/>
      <c r="AQ16" s="578"/>
      <c r="AR16" s="578"/>
      <c r="AS16" s="578"/>
      <c r="AT16" s="578"/>
      <c r="AU16" s="578"/>
      <c r="AV16" s="578"/>
      <c r="AW16" s="578"/>
      <c r="AX16" s="578"/>
      <c r="AY16" s="578"/>
      <c r="AZ16" s="578"/>
      <c r="BA16" s="578"/>
      <c r="BB16" s="579"/>
      <c r="BC16" s="579"/>
    </row>
    <row r="17" spans="1:55" s="574" customFormat="1" ht="20.25" customHeight="1">
      <c r="A17" s="573"/>
      <c r="B17" s="580"/>
      <c r="C17" s="575" t="s">
        <v>339</v>
      </c>
      <c r="D17" s="576"/>
      <c r="E17" s="576"/>
      <c r="F17" s="576"/>
      <c r="G17" s="576"/>
      <c r="H17" s="576"/>
      <c r="I17" s="576"/>
      <c r="J17" s="576"/>
      <c r="K17" s="576"/>
      <c r="L17" s="576"/>
      <c r="M17" s="576"/>
      <c r="N17" s="576"/>
      <c r="O17" s="576"/>
      <c r="P17" s="577"/>
      <c r="Q17" s="578"/>
      <c r="R17" s="578"/>
      <c r="S17" s="578"/>
      <c r="T17" s="578"/>
      <c r="U17" s="578"/>
      <c r="V17" s="578"/>
      <c r="W17" s="578"/>
      <c r="X17" s="578"/>
      <c r="Y17" s="578"/>
      <c r="Z17" s="578"/>
      <c r="AA17" s="578"/>
      <c r="AB17" s="578"/>
      <c r="AC17" s="578"/>
      <c r="AD17" s="578"/>
      <c r="AE17" s="578"/>
      <c r="AF17" s="578"/>
      <c r="AG17" s="578"/>
      <c r="AH17" s="578"/>
      <c r="AI17" s="578"/>
      <c r="AJ17" s="578"/>
      <c r="AK17" s="578"/>
      <c r="AL17" s="578"/>
      <c r="AM17" s="578"/>
      <c r="AN17" s="578"/>
      <c r="AO17" s="578"/>
      <c r="AP17" s="578"/>
      <c r="AQ17" s="578"/>
      <c r="AR17" s="578"/>
      <c r="AS17" s="578"/>
      <c r="AT17" s="578"/>
      <c r="AU17" s="578"/>
      <c r="AV17" s="578"/>
      <c r="AW17" s="578"/>
      <c r="AX17" s="578"/>
      <c r="AY17" s="578"/>
      <c r="AZ17" s="578"/>
      <c r="BA17" s="578"/>
      <c r="BB17" s="579"/>
      <c r="BC17" s="579"/>
    </row>
    <row r="18" spans="1:55" s="95" customFormat="1" ht="16.5" customHeight="1">
      <c r="A18" s="86"/>
      <c r="B18" s="111" t="s">
        <v>342</v>
      </c>
      <c r="C18" s="111" t="s">
        <v>342</v>
      </c>
      <c r="D18" s="237"/>
      <c r="E18" s="237"/>
      <c r="F18" s="237"/>
      <c r="G18" s="237"/>
      <c r="H18" s="237"/>
      <c r="I18" s="553"/>
      <c r="J18" s="553"/>
      <c r="K18" s="553">
        <f>Input!K47</f>
        <v>393.81429783900012</v>
      </c>
      <c r="L18" s="553">
        <f>Input!L47</f>
        <v>643.44082172600019</v>
      </c>
      <c r="M18" s="553">
        <f>Input!M47</f>
        <v>1832.0439338530002</v>
      </c>
      <c r="N18" s="553">
        <f>Input!N47</f>
        <v>4352.5403095630008</v>
      </c>
      <c r="O18" s="553">
        <f>Input!O47</f>
        <v>682.61133452400054</v>
      </c>
      <c r="P18" s="581">
        <f>Input!P47</f>
        <v>1018.0674529520006</v>
      </c>
      <c r="Q18" s="554">
        <f>Input!Q47</f>
        <v>2093.9695210332998</v>
      </c>
      <c r="R18" s="554">
        <f>Input!R47</f>
        <v>2398.2859468043362</v>
      </c>
      <c r="S18" s="554">
        <f>Input!S47</f>
        <v>2825.0906100432785</v>
      </c>
      <c r="T18" s="554">
        <f>Input!T47</f>
        <v>4669.8764703165343</v>
      </c>
      <c r="U18" s="554">
        <f>Input!U47</f>
        <v>3767.2197639857982</v>
      </c>
      <c r="V18" s="554">
        <f>Input!V47</f>
        <v>3063.734785225507</v>
      </c>
      <c r="W18" s="554">
        <f>Input!W47</f>
        <v>2974.1873156308666</v>
      </c>
      <c r="X18" s="554">
        <f>Input!X47</f>
        <v>3327.2512452640372</v>
      </c>
      <c r="Y18" s="554">
        <f>Input!Y47</f>
        <v>3911.0138790970936</v>
      </c>
      <c r="Z18" s="554">
        <f>Input!Z47</f>
        <v>3790.9118006766171</v>
      </c>
      <c r="AA18" s="554"/>
      <c r="AB18" s="238"/>
      <c r="AC18" s="238"/>
      <c r="AD18" s="238"/>
      <c r="AE18" s="238"/>
      <c r="AF18" s="238"/>
      <c r="AG18" s="238"/>
      <c r="AH18" s="238"/>
      <c r="AI18" s="238"/>
      <c r="AJ18" s="238"/>
      <c r="AK18" s="238"/>
      <c r="AL18" s="238"/>
      <c r="AM18" s="238"/>
      <c r="AN18" s="238"/>
      <c r="AO18" s="238"/>
      <c r="AP18" s="238"/>
      <c r="AQ18" s="238"/>
      <c r="AR18" s="238"/>
      <c r="AS18" s="238"/>
      <c r="AT18" s="238"/>
      <c r="AU18" s="238"/>
      <c r="AV18" s="238"/>
      <c r="AW18" s="238"/>
      <c r="AX18" s="238"/>
      <c r="AY18" s="238"/>
      <c r="AZ18" s="238"/>
      <c r="BA18" s="238"/>
    </row>
    <row r="19" spans="1:55" s="562" customFormat="1" ht="15.75" customHeight="1">
      <c r="A19" s="555"/>
      <c r="B19" s="582"/>
      <c r="C19" s="582" t="s">
        <v>341</v>
      </c>
      <c r="D19" s="583"/>
      <c r="E19" s="583"/>
      <c r="F19" s="583"/>
      <c r="G19" s="583"/>
      <c r="H19" s="583"/>
      <c r="I19" s="558"/>
      <c r="J19" s="558"/>
      <c r="K19" s="558">
        <f>K18/K$5</f>
        <v>5.5915965777856916E-2</v>
      </c>
      <c r="L19" s="558">
        <f t="shared" ref="L19:Z19" si="5">L18/L$5</f>
        <v>8.5096867020541242E-2</v>
      </c>
      <c r="M19" s="558">
        <f t="shared" si="5"/>
        <v>0.18562187881861594</v>
      </c>
      <c r="N19" s="558">
        <f t="shared" si="5"/>
        <v>0.27332305341895868</v>
      </c>
      <c r="O19" s="558">
        <f t="shared" si="5"/>
        <v>5.4302458052017111E-2</v>
      </c>
      <c r="P19" s="571">
        <f t="shared" si="5"/>
        <v>7.5661328855641682E-2</v>
      </c>
      <c r="Q19" s="559">
        <f t="shared" si="5"/>
        <v>0.11805681482518478</v>
      </c>
      <c r="R19" s="559">
        <f t="shared" si="5"/>
        <v>0.129011074983858</v>
      </c>
      <c r="S19" s="559">
        <f t="shared" si="5"/>
        <v>0.14778869343939185</v>
      </c>
      <c r="T19" s="559">
        <f t="shared" si="5"/>
        <v>0.2072863346094172</v>
      </c>
      <c r="U19" s="559">
        <f t="shared" si="5"/>
        <v>0.1725493890849088</v>
      </c>
      <c r="V19" s="559">
        <f t="shared" si="5"/>
        <v>0.14995687582945319</v>
      </c>
      <c r="W19" s="559">
        <f t="shared" si="5"/>
        <v>0.14191527225958916</v>
      </c>
      <c r="X19" s="559">
        <f t="shared" si="5"/>
        <v>0.15536133900429644</v>
      </c>
      <c r="Y19" s="559">
        <f t="shared" si="5"/>
        <v>0.17361693482934565</v>
      </c>
      <c r="Z19" s="559">
        <f t="shared" si="5"/>
        <v>0.16605074089463642</v>
      </c>
      <c r="AA19" s="559"/>
      <c r="AB19" s="560"/>
      <c r="AC19" s="560"/>
      <c r="AD19" s="560"/>
      <c r="AE19" s="560"/>
      <c r="AF19" s="560"/>
      <c r="AG19" s="560"/>
      <c r="AH19" s="560"/>
      <c r="AI19" s="560"/>
      <c r="AJ19" s="560"/>
      <c r="AK19" s="560"/>
      <c r="AL19" s="560"/>
      <c r="AM19" s="560"/>
      <c r="AN19" s="560"/>
      <c r="AO19" s="560"/>
      <c r="AP19" s="560"/>
      <c r="AQ19" s="560"/>
      <c r="AR19" s="560"/>
      <c r="AS19" s="560"/>
      <c r="AT19" s="560"/>
      <c r="AU19" s="560"/>
      <c r="AV19" s="560"/>
      <c r="AW19" s="560"/>
      <c r="AX19" s="560"/>
      <c r="AY19" s="560"/>
      <c r="AZ19" s="560"/>
      <c r="BA19" s="560"/>
    </row>
    <row r="20" spans="1:55" s="95" customFormat="1" ht="13.8" customHeight="1">
      <c r="A20" s="86"/>
      <c r="B20" s="94"/>
      <c r="C20" s="94"/>
      <c r="D20" s="89"/>
      <c r="E20" s="89"/>
      <c r="F20" s="89"/>
      <c r="G20" s="89"/>
      <c r="H20" s="89"/>
      <c r="I20" s="89"/>
      <c r="J20" s="89"/>
      <c r="K20" s="89"/>
      <c r="L20" s="89"/>
      <c r="M20" s="89"/>
      <c r="N20" s="89"/>
      <c r="O20" s="89"/>
      <c r="P20" s="188"/>
      <c r="Q20" s="143"/>
      <c r="R20" s="143"/>
      <c r="S20" s="143"/>
      <c r="T20" s="143"/>
      <c r="U20" s="143"/>
      <c r="V20" s="143"/>
      <c r="W20" s="143"/>
      <c r="X20" s="143"/>
      <c r="Y20" s="143"/>
      <c r="Z20" s="143"/>
      <c r="AA20" s="143"/>
      <c r="AB20" s="143"/>
      <c r="AC20" s="143"/>
      <c r="AD20" s="143"/>
      <c r="AE20" s="143"/>
      <c r="AF20" s="143"/>
      <c r="AG20" s="143"/>
      <c r="AH20" s="143"/>
      <c r="AI20" s="143"/>
      <c r="AJ20" s="143"/>
      <c r="AK20" s="143"/>
      <c r="AL20" s="143"/>
      <c r="AM20" s="143"/>
      <c r="AN20" s="143"/>
      <c r="AO20" s="143"/>
      <c r="AP20" s="143"/>
      <c r="AQ20" s="143"/>
      <c r="AR20" s="143"/>
      <c r="AS20" s="89"/>
      <c r="AT20" s="89"/>
      <c r="AU20" s="89"/>
      <c r="AV20" s="89"/>
      <c r="AW20" s="89"/>
      <c r="AX20" s="89"/>
      <c r="AY20" s="89"/>
      <c r="AZ20" s="89"/>
      <c r="BA20" s="89"/>
    </row>
    <row r="21" spans="1:55" s="95" customFormat="1">
      <c r="A21" s="86">
        <v>6</v>
      </c>
      <c r="B21" s="94" t="s">
        <v>264</v>
      </c>
      <c r="C21" s="94" t="s">
        <v>356</v>
      </c>
      <c r="D21" s="89"/>
      <c r="E21" s="89"/>
      <c r="F21" s="89"/>
      <c r="G21" s="89"/>
      <c r="H21" s="89"/>
      <c r="I21" s="90"/>
      <c r="J21" s="90"/>
      <c r="K21" s="90">
        <f>Input!K66</f>
        <v>127.016141703</v>
      </c>
      <c r="L21" s="90">
        <f>Input!L66</f>
        <v>128.316681426</v>
      </c>
      <c r="M21" s="90">
        <f>Input!M66</f>
        <v>167.53190780400001</v>
      </c>
      <c r="N21" s="90">
        <f>Input!N66</f>
        <v>301.00806331699999</v>
      </c>
      <c r="O21" s="90">
        <f>Input!O66</f>
        <v>577.08849076199999</v>
      </c>
      <c r="P21" s="568">
        <f>Input!P66</f>
        <v>381.80389825200001</v>
      </c>
      <c r="Q21" s="142">
        <f ca="1">Input!Q66</f>
        <v>612.61692171388484</v>
      </c>
      <c r="R21" s="142">
        <f ca="1">Input!R66</f>
        <v>680.83090119855763</v>
      </c>
      <c r="S21" s="142">
        <f ca="1">Input!S66</f>
        <v>767.18909307794377</v>
      </c>
      <c r="T21" s="142">
        <f ca="1">Input!T66</f>
        <v>895.09609279666813</v>
      </c>
      <c r="U21" s="142">
        <f ca="1">Input!U66</f>
        <v>1017.6500482790449</v>
      </c>
      <c r="V21" s="142">
        <f ca="1">Input!V66</f>
        <v>1125.6841271289491</v>
      </c>
      <c r="W21" s="142">
        <f ca="1">Input!W66</f>
        <v>1210.8158232622893</v>
      </c>
      <c r="X21" s="142">
        <f ca="1">Input!X66</f>
        <v>1303.9966468625701</v>
      </c>
      <c r="Y21" s="142">
        <f ca="1">Input!Y66</f>
        <v>1408.9586272720051</v>
      </c>
      <c r="Z21" s="142">
        <f ca="1">Input!Z66</f>
        <v>1490.5861930715591</v>
      </c>
      <c r="AA21" s="142"/>
      <c r="AB21" s="143"/>
      <c r="AC21" s="143"/>
      <c r="AD21" s="143"/>
      <c r="AE21" s="143"/>
      <c r="AF21" s="143"/>
      <c r="AG21" s="143"/>
      <c r="AH21" s="143"/>
      <c r="AI21" s="143"/>
      <c r="AJ21" s="143"/>
      <c r="AK21" s="143"/>
      <c r="AL21" s="143"/>
      <c r="AM21" s="143"/>
      <c r="AN21" s="143"/>
      <c r="AO21" s="143"/>
      <c r="AP21" s="143"/>
      <c r="AQ21" s="143"/>
      <c r="AR21" s="143"/>
      <c r="AS21" s="143"/>
      <c r="AT21" s="143"/>
      <c r="AU21" s="143"/>
      <c r="AV21" s="143"/>
      <c r="AW21" s="143"/>
      <c r="AX21" s="143"/>
      <c r="AY21" s="143"/>
      <c r="AZ21" s="143"/>
      <c r="BA21" s="143"/>
    </row>
    <row r="22" spans="1:55" s="95" customFormat="1">
      <c r="A22" s="86">
        <v>7</v>
      </c>
      <c r="B22" s="94" t="s">
        <v>16</v>
      </c>
      <c r="C22" s="94" t="s">
        <v>369</v>
      </c>
      <c r="D22" s="89"/>
      <c r="E22" s="89"/>
      <c r="F22" s="89"/>
      <c r="G22" s="89"/>
      <c r="H22" s="89"/>
      <c r="I22" s="90"/>
      <c r="J22" s="90"/>
      <c r="K22" s="90">
        <f>Input!K77</f>
        <v>102.75348163699999</v>
      </c>
      <c r="L22" s="90">
        <f>Input!L77</f>
        <v>63.234525222000002</v>
      </c>
      <c r="M22" s="90">
        <f>Input!M77</f>
        <v>45.072929623999997</v>
      </c>
      <c r="N22" s="90">
        <f>Input!N77</f>
        <v>60.402056551999998</v>
      </c>
      <c r="O22" s="90">
        <f>Input!O77</f>
        <v>27.372487527000001</v>
      </c>
      <c r="P22" s="568">
        <f>Input!P77</f>
        <v>76.569107528000004</v>
      </c>
      <c r="Q22" s="142">
        <f ca="1">Input!Q77</f>
        <v>101.62259105422676</v>
      </c>
      <c r="R22" s="142">
        <f ca="1">Input!R77</f>
        <v>123.88870999071091</v>
      </c>
      <c r="S22" s="142">
        <f ca="1">Input!S77</f>
        <v>131.90099750132822</v>
      </c>
      <c r="T22" s="142">
        <f ca="1">Input!T77</f>
        <v>152.16027325368296</v>
      </c>
      <c r="U22" s="142">
        <f ca="1">Input!U77</f>
        <v>161.94977108299932</v>
      </c>
      <c r="V22" s="142">
        <f ca="1">Input!V77</f>
        <v>155.26045973421736</v>
      </c>
      <c r="W22" s="142">
        <f ca="1">Input!W77</f>
        <v>144.76033773057523</v>
      </c>
      <c r="X22" s="142">
        <f ca="1">Input!X77</f>
        <v>141.47158845308115</v>
      </c>
      <c r="Y22" s="142">
        <f ca="1">Input!Y77</f>
        <v>143.684632669682</v>
      </c>
      <c r="Z22" s="142">
        <f ca="1">Input!Z77</f>
        <v>148.60485777920837</v>
      </c>
      <c r="AA22" s="142"/>
      <c r="AB22" s="143"/>
      <c r="AC22" s="143"/>
      <c r="AD22" s="143"/>
      <c r="AE22" s="143"/>
      <c r="AF22" s="143"/>
      <c r="AG22" s="143"/>
      <c r="AH22" s="143"/>
      <c r="AI22" s="143"/>
      <c r="AJ22" s="143"/>
      <c r="AK22" s="143"/>
      <c r="AL22" s="143"/>
      <c r="AM22" s="143"/>
      <c r="AN22" s="143"/>
      <c r="AO22" s="143"/>
      <c r="AP22" s="143"/>
      <c r="AQ22" s="143"/>
      <c r="AR22" s="143"/>
      <c r="AS22" s="143"/>
      <c r="AT22" s="143"/>
      <c r="AU22" s="143"/>
      <c r="AV22" s="143"/>
      <c r="AW22" s="143"/>
      <c r="AX22" s="143"/>
      <c r="AY22" s="143"/>
      <c r="AZ22" s="143"/>
      <c r="BA22" s="143"/>
    </row>
    <row r="23" spans="1:55" s="589" customFormat="1">
      <c r="A23" s="249"/>
      <c r="B23" s="584" t="s">
        <v>586</v>
      </c>
      <c r="C23" s="254"/>
      <c r="D23" s="252"/>
      <c r="E23" s="252"/>
      <c r="F23" s="252"/>
      <c r="G23" s="252"/>
      <c r="H23" s="252"/>
      <c r="I23" s="585"/>
      <c r="J23" s="585"/>
      <c r="K23" s="585">
        <f>Input!K69</f>
        <v>87.172530234000007</v>
      </c>
      <c r="L23" s="585">
        <f>Input!L69</f>
        <v>43.301059166000002</v>
      </c>
      <c r="M23" s="585">
        <f>Input!M69</f>
        <v>18.580201013</v>
      </c>
      <c r="N23" s="585">
        <f>Input!N69</f>
        <v>10.274784277</v>
      </c>
      <c r="O23" s="585">
        <f>Input!O69</f>
        <v>10.155714106</v>
      </c>
      <c r="P23" s="586">
        <f>Input!P69</f>
        <v>44.380805248999998</v>
      </c>
      <c r="Q23" s="587">
        <f ca="1">Input!Q69</f>
        <v>74.699342046726755</v>
      </c>
      <c r="R23" s="587">
        <f ca="1">Input!R69</f>
        <v>95.075078049127569</v>
      </c>
      <c r="S23" s="587">
        <f ca="1">Input!S69</f>
        <v>101.60733791214767</v>
      </c>
      <c r="T23" s="587">
        <f ca="1">Input!T69</f>
        <v>121.233125168139</v>
      </c>
      <c r="U23" s="587">
        <f ca="1">Input!U69</f>
        <v>134.22264369569803</v>
      </c>
      <c r="V23" s="587">
        <f ca="1">Input!V69</f>
        <v>125.78160668586584</v>
      </c>
      <c r="W23" s="587">
        <f ca="1">Input!W69</f>
        <v>115.73305955399846</v>
      </c>
      <c r="X23" s="587">
        <f ca="1">Input!X69</f>
        <v>112.09363874832491</v>
      </c>
      <c r="Y23" s="587">
        <f ca="1">Input!Y69</f>
        <v>114.21263000439691</v>
      </c>
      <c r="Z23" s="587">
        <f ca="1">Input!Z69</f>
        <v>119.26979793457255</v>
      </c>
      <c r="AA23" s="587"/>
      <c r="AB23" s="588"/>
      <c r="AC23" s="588"/>
      <c r="AD23" s="588"/>
      <c r="AE23" s="588"/>
      <c r="AF23" s="588"/>
      <c r="AG23" s="588"/>
      <c r="AH23" s="588"/>
      <c r="AI23" s="588"/>
      <c r="AJ23" s="588"/>
      <c r="AK23" s="588"/>
      <c r="AL23" s="588"/>
      <c r="AM23" s="588"/>
      <c r="AN23" s="588"/>
      <c r="AO23" s="588"/>
      <c r="AP23" s="588"/>
      <c r="AQ23" s="588"/>
      <c r="AR23" s="588"/>
      <c r="AS23" s="588"/>
      <c r="AT23" s="588"/>
      <c r="AU23" s="588"/>
      <c r="AV23" s="588"/>
      <c r="AW23" s="588"/>
      <c r="AX23" s="588"/>
      <c r="AY23" s="588"/>
      <c r="AZ23" s="588"/>
      <c r="BA23" s="588"/>
    </row>
    <row r="24" spans="1:55" s="589" customFormat="1">
      <c r="A24" s="249">
        <v>8</v>
      </c>
      <c r="B24" s="94" t="s">
        <v>587</v>
      </c>
      <c r="C24" s="94" t="s">
        <v>372</v>
      </c>
      <c r="D24" s="89"/>
      <c r="E24" s="89"/>
      <c r="F24" s="89"/>
      <c r="G24" s="89"/>
      <c r="H24" s="89"/>
      <c r="I24" s="90"/>
      <c r="J24" s="90"/>
      <c r="K24" s="90">
        <f>Input!K82</f>
        <v>0</v>
      </c>
      <c r="L24" s="90">
        <f>Input!L82</f>
        <v>0</v>
      </c>
      <c r="M24" s="90">
        <f>Input!M82</f>
        <v>0</v>
      </c>
      <c r="N24" s="90">
        <f>Input!N82</f>
        <v>0</v>
      </c>
      <c r="O24" s="90">
        <f>Input!O82</f>
        <v>0</v>
      </c>
      <c r="P24" s="568">
        <f>Input!P82</f>
        <v>0</v>
      </c>
      <c r="Q24" s="142">
        <f>Input!Q82</f>
        <v>0</v>
      </c>
      <c r="R24" s="142">
        <f>Input!R82</f>
        <v>0</v>
      </c>
      <c r="S24" s="142">
        <f>Input!S82</f>
        <v>0</v>
      </c>
      <c r="T24" s="142">
        <f>Input!T82</f>
        <v>0</v>
      </c>
      <c r="U24" s="142">
        <f>Input!U82</f>
        <v>0</v>
      </c>
      <c r="V24" s="142">
        <f>Input!V82</f>
        <v>0</v>
      </c>
      <c r="W24" s="142">
        <f>Input!W82</f>
        <v>0</v>
      </c>
      <c r="X24" s="142">
        <f>Input!X82</f>
        <v>0</v>
      </c>
      <c r="Y24" s="142">
        <f>Input!Y82</f>
        <v>0</v>
      </c>
      <c r="Z24" s="142">
        <f>Input!Z82</f>
        <v>0</v>
      </c>
      <c r="AA24" s="142"/>
      <c r="AB24" s="143"/>
      <c r="AC24" s="143"/>
      <c r="AD24" s="143"/>
      <c r="AE24" s="143"/>
      <c r="AF24" s="143"/>
      <c r="AG24" s="143"/>
      <c r="AH24" s="143"/>
      <c r="AI24" s="143"/>
      <c r="AJ24" s="143"/>
      <c r="AK24" s="143"/>
      <c r="AL24" s="143"/>
      <c r="AM24" s="143"/>
      <c r="AN24" s="143"/>
      <c r="AO24" s="143"/>
      <c r="AP24" s="143"/>
      <c r="AQ24" s="143"/>
      <c r="AR24" s="143"/>
      <c r="AS24" s="143"/>
      <c r="AT24" s="143"/>
      <c r="AU24" s="143"/>
      <c r="AV24" s="143"/>
      <c r="AW24" s="143"/>
      <c r="AX24" s="143"/>
      <c r="AY24" s="143"/>
      <c r="AZ24" s="143"/>
      <c r="BA24" s="143"/>
    </row>
    <row r="25" spans="1:55" s="95" customFormat="1">
      <c r="A25" s="86">
        <v>9</v>
      </c>
      <c r="B25" s="94" t="s">
        <v>588</v>
      </c>
      <c r="C25" s="566" t="s">
        <v>589</v>
      </c>
      <c r="D25" s="427"/>
      <c r="E25" s="427"/>
      <c r="F25" s="427"/>
      <c r="G25" s="427"/>
      <c r="H25" s="427"/>
      <c r="I25" s="564"/>
      <c r="J25" s="564"/>
      <c r="K25" s="564">
        <f>K26-K27</f>
        <v>45.011213476999998</v>
      </c>
      <c r="L25" s="564">
        <f t="shared" ref="L25:Z25" si="6">L26-L27</f>
        <v>8.0108263749999988</v>
      </c>
      <c r="M25" s="564">
        <f t="shared" si="6"/>
        <v>1.7670768079999997</v>
      </c>
      <c r="N25" s="564">
        <f t="shared" si="6"/>
        <v>3.1664485150000008</v>
      </c>
      <c r="O25" s="564">
        <f t="shared" si="6"/>
        <v>22.482245881000001</v>
      </c>
      <c r="P25" s="590">
        <f t="shared" si="6"/>
        <v>198.76124451500002</v>
      </c>
      <c r="Q25" s="565">
        <f t="shared" si="6"/>
        <v>16.230570724666709</v>
      </c>
      <c r="R25" s="565">
        <f t="shared" si="6"/>
        <v>12.02804724916732</v>
      </c>
      <c r="S25" s="565">
        <f t="shared" si="6"/>
        <v>13.186811817571449</v>
      </c>
      <c r="T25" s="565">
        <f t="shared" si="6"/>
        <v>14.336535169178703</v>
      </c>
      <c r="U25" s="565">
        <f t="shared" si="6"/>
        <v>17.219893467666864</v>
      </c>
      <c r="V25" s="565">
        <f t="shared" si="6"/>
        <v>17.021552919137449</v>
      </c>
      <c r="W25" s="565">
        <f t="shared" si="6"/>
        <v>14.683428161063702</v>
      </c>
      <c r="X25" s="565">
        <f t="shared" si="6"/>
        <v>14.473290754976617</v>
      </c>
      <c r="Y25" s="565">
        <f t="shared" si="6"/>
        <v>14.694309641502553</v>
      </c>
      <c r="Z25" s="565">
        <f t="shared" si="6"/>
        <v>15.039807808198393</v>
      </c>
      <c r="AA25" s="565"/>
      <c r="AB25" s="428"/>
      <c r="AC25" s="428"/>
      <c r="AD25" s="428"/>
      <c r="AE25" s="428"/>
      <c r="AF25" s="428"/>
      <c r="AG25" s="428"/>
      <c r="AH25" s="428"/>
      <c r="AI25" s="428"/>
      <c r="AJ25" s="428"/>
      <c r="AK25" s="428"/>
      <c r="AL25" s="428"/>
      <c r="AM25" s="428"/>
      <c r="AN25" s="428"/>
      <c r="AO25" s="428"/>
      <c r="AP25" s="428"/>
      <c r="AQ25" s="428"/>
      <c r="AR25" s="428"/>
      <c r="AS25" s="428"/>
      <c r="AT25" s="428"/>
      <c r="AU25" s="428"/>
      <c r="AV25" s="428"/>
      <c r="AW25" s="428"/>
      <c r="AX25" s="428"/>
      <c r="AY25" s="428"/>
      <c r="AZ25" s="428"/>
      <c r="BA25" s="428"/>
    </row>
    <row r="26" spans="1:55" s="598" customFormat="1">
      <c r="A26" s="573"/>
      <c r="B26" s="591"/>
      <c r="C26" s="592" t="s">
        <v>346</v>
      </c>
      <c r="D26" s="593"/>
      <c r="E26" s="593"/>
      <c r="F26" s="593"/>
      <c r="G26" s="593"/>
      <c r="H26" s="593"/>
      <c r="I26" s="594"/>
      <c r="J26" s="594"/>
      <c r="K26" s="594">
        <f>Input!K52</f>
        <v>48.483380378</v>
      </c>
      <c r="L26" s="594">
        <f>Input!L52</f>
        <v>10.735344252999999</v>
      </c>
      <c r="M26" s="594">
        <f>Input!M52</f>
        <v>4.3711953809999997</v>
      </c>
      <c r="N26" s="594">
        <f>Input!N52</f>
        <v>15.225626021</v>
      </c>
      <c r="O26" s="594">
        <f>Input!O52</f>
        <v>24.751516067000001</v>
      </c>
      <c r="P26" s="595">
        <f>Input!P52</f>
        <v>199.87675919700001</v>
      </c>
      <c r="Q26" s="596">
        <f>Input!Q52</f>
        <v>22.550452467333333</v>
      </c>
      <c r="R26" s="596">
        <f>Input!R52</f>
        <v>18.228297815555557</v>
      </c>
      <c r="S26" s="596">
        <f>Input!S52</f>
        <v>19.477123409314817</v>
      </c>
      <c r="T26" s="596">
        <f>Input!T52</f>
        <v>21.994778080700623</v>
      </c>
      <c r="U26" s="596">
        <f>Input!U52</f>
        <v>23.122970090650721</v>
      </c>
      <c r="V26" s="596">
        <f>Input!V52</f>
        <v>22.851545761259178</v>
      </c>
      <c r="W26" s="596">
        <f>Input!W52</f>
        <v>21.370861270802376</v>
      </c>
      <c r="X26" s="596">
        <f>Input!X52</f>
        <v>21.174262738047215</v>
      </c>
      <c r="Y26" s="596">
        <f>Input!Y52</f>
        <v>21.665256891795821</v>
      </c>
      <c r="Z26" s="596">
        <f>Input!Z52</f>
        <v>22.029945805542656</v>
      </c>
      <c r="AA26" s="596"/>
      <c r="AB26" s="597"/>
      <c r="AC26" s="597"/>
      <c r="AD26" s="597"/>
      <c r="AE26" s="597"/>
      <c r="AF26" s="597"/>
      <c r="AG26" s="597"/>
      <c r="AH26" s="597"/>
      <c r="AI26" s="597"/>
      <c r="AJ26" s="597"/>
      <c r="AK26" s="597"/>
      <c r="AL26" s="597"/>
      <c r="AM26" s="597"/>
      <c r="AN26" s="597"/>
      <c r="AO26" s="597"/>
      <c r="AP26" s="597"/>
      <c r="AQ26" s="597"/>
      <c r="AR26" s="597"/>
      <c r="AS26" s="597"/>
      <c r="AT26" s="597"/>
      <c r="AU26" s="597"/>
      <c r="AV26" s="597"/>
      <c r="AW26" s="597"/>
      <c r="AX26" s="597"/>
      <c r="AY26" s="597"/>
      <c r="AZ26" s="597"/>
      <c r="BA26" s="597"/>
    </row>
    <row r="27" spans="1:55" s="598" customFormat="1">
      <c r="A27" s="573"/>
      <c r="B27" s="591"/>
      <c r="C27" s="599" t="s">
        <v>348</v>
      </c>
      <c r="D27" s="600"/>
      <c r="E27" s="600"/>
      <c r="F27" s="600"/>
      <c r="G27" s="600"/>
      <c r="H27" s="600"/>
      <c r="I27" s="601"/>
      <c r="J27" s="601"/>
      <c r="K27" s="601">
        <f>Input!K56</f>
        <v>3.472166901</v>
      </c>
      <c r="L27" s="601">
        <f>Input!L56</f>
        <v>2.7245178779999999</v>
      </c>
      <c r="M27" s="601">
        <f>Input!M56</f>
        <v>2.604118573</v>
      </c>
      <c r="N27" s="601">
        <f>Input!N56</f>
        <v>12.059177505999999</v>
      </c>
      <c r="O27" s="601">
        <f>Input!O56</f>
        <v>2.269270186</v>
      </c>
      <c r="P27" s="602">
        <f>Input!P56</f>
        <v>1.1155146819999999</v>
      </c>
      <c r="Q27" s="603">
        <f>Input!Q56</f>
        <v>6.3198817426666229</v>
      </c>
      <c r="R27" s="603">
        <f>Input!R56</f>
        <v>6.2002505663882364</v>
      </c>
      <c r="S27" s="603">
        <f>Input!S56</f>
        <v>6.290311591743369</v>
      </c>
      <c r="T27" s="603">
        <f>Input!T56</f>
        <v>7.6582429115219197</v>
      </c>
      <c r="U27" s="603">
        <f>Input!U56</f>
        <v>5.9030766229838569</v>
      </c>
      <c r="V27" s="603">
        <f>Input!V56</f>
        <v>5.8299928421217295</v>
      </c>
      <c r="W27" s="603">
        <f>Input!W56</f>
        <v>6.6874331097386746</v>
      </c>
      <c r="X27" s="603">
        <f>Input!X56</f>
        <v>6.7009719830705974</v>
      </c>
      <c r="Y27" s="603">
        <f>Input!Y56</f>
        <v>6.9709472502932677</v>
      </c>
      <c r="Z27" s="603">
        <f>Input!Z56</f>
        <v>6.9901379973442621</v>
      </c>
      <c r="AA27" s="603"/>
      <c r="AB27" s="604"/>
      <c r="AC27" s="604"/>
      <c r="AD27" s="604"/>
      <c r="AE27" s="604"/>
      <c r="AF27" s="604"/>
      <c r="AG27" s="604"/>
      <c r="AH27" s="604"/>
      <c r="AI27" s="604"/>
      <c r="AJ27" s="604"/>
      <c r="AK27" s="604"/>
      <c r="AL27" s="604"/>
      <c r="AM27" s="604"/>
      <c r="AN27" s="604"/>
      <c r="AO27" s="604"/>
      <c r="AP27" s="604"/>
      <c r="AQ27" s="604"/>
      <c r="AR27" s="604"/>
      <c r="AS27" s="604"/>
      <c r="AT27" s="604"/>
      <c r="AU27" s="604"/>
      <c r="AV27" s="604"/>
      <c r="AW27" s="604"/>
      <c r="AX27" s="604"/>
      <c r="AY27" s="604"/>
      <c r="AZ27" s="604"/>
      <c r="BA27" s="604"/>
    </row>
    <row r="28" spans="1:55" s="95" customFormat="1">
      <c r="A28" s="86"/>
      <c r="B28" s="111" t="s">
        <v>375</v>
      </c>
      <c r="C28" s="94" t="s">
        <v>590</v>
      </c>
      <c r="D28" s="89"/>
      <c r="E28" s="89"/>
      <c r="F28" s="89"/>
      <c r="G28" s="89"/>
      <c r="H28" s="89"/>
      <c r="I28" s="90"/>
      <c r="J28" s="90"/>
      <c r="K28" s="90">
        <f>Input!K86</f>
        <v>463.0881713820001</v>
      </c>
      <c r="L28" s="90">
        <f>Input!L86</f>
        <v>716.5338043050001</v>
      </c>
      <c r="M28" s="90">
        <f>Input!M86</f>
        <v>1956.2699888410002</v>
      </c>
      <c r="N28" s="90">
        <f>Input!N86</f>
        <v>4596.312764843</v>
      </c>
      <c r="O28" s="90">
        <f>Input!O86</f>
        <v>1254.8095836400007</v>
      </c>
      <c r="P28" s="568">
        <f>Input!P86</f>
        <v>1522.0634881910007</v>
      </c>
      <c r="Q28" s="142">
        <f ca="1">Input!Q86</f>
        <v>2621.194422417625</v>
      </c>
      <c r="R28" s="142">
        <f ca="1">Input!R86</f>
        <v>2967.2561852613499</v>
      </c>
      <c r="S28" s="142">
        <f ca="1">Input!S86</f>
        <v>3473.5655174374656</v>
      </c>
      <c r="T28" s="142">
        <f ca="1">Input!T86</f>
        <v>5427.1488250286984</v>
      </c>
      <c r="U28" s="142">
        <f ca="1">Input!U86</f>
        <v>4640.1399346495109</v>
      </c>
      <c r="V28" s="142">
        <f ca="1">Input!V86</f>
        <v>4051.1800055393765</v>
      </c>
      <c r="W28" s="142">
        <f ca="1">Input!W86</f>
        <v>4054.9262293236438</v>
      </c>
      <c r="X28" s="142">
        <f ca="1">Input!X86</f>
        <v>4504.249594428502</v>
      </c>
      <c r="Y28" s="142">
        <f ca="1">Input!Y86</f>
        <v>5190.9821833409187</v>
      </c>
      <c r="Z28" s="142">
        <f ca="1">Input!Z86</f>
        <v>5147.9329437771667</v>
      </c>
      <c r="AA28" s="142"/>
      <c r="AB28" s="143"/>
      <c r="AC28" s="143"/>
      <c r="AD28" s="143"/>
      <c r="AE28" s="143"/>
      <c r="AF28" s="143"/>
      <c r="AG28" s="143"/>
      <c r="AH28" s="143"/>
      <c r="AI28" s="143"/>
      <c r="AJ28" s="143"/>
      <c r="AK28" s="143"/>
      <c r="AL28" s="143"/>
      <c r="AM28" s="143"/>
      <c r="AN28" s="143"/>
      <c r="AO28" s="143"/>
      <c r="AP28" s="143"/>
      <c r="AQ28" s="143"/>
      <c r="AR28" s="143"/>
      <c r="AS28" s="143"/>
      <c r="AT28" s="143"/>
      <c r="AU28" s="143"/>
      <c r="AV28" s="143"/>
      <c r="AW28" s="143"/>
      <c r="AX28" s="143"/>
      <c r="AY28" s="143"/>
      <c r="AZ28" s="143"/>
      <c r="BA28" s="143"/>
    </row>
    <row r="29" spans="1:55" s="606" customFormat="1">
      <c r="A29" s="555"/>
      <c r="B29" s="605"/>
      <c r="C29" s="605" t="s">
        <v>374</v>
      </c>
      <c r="D29" s="570"/>
      <c r="E29" s="570"/>
      <c r="F29" s="570"/>
      <c r="G29" s="570"/>
      <c r="H29" s="570"/>
      <c r="I29" s="558"/>
      <c r="J29" s="558"/>
      <c r="K29" s="558">
        <f>K28/K$5</f>
        <v>6.5751859404841351E-2</v>
      </c>
      <c r="L29" s="558">
        <f t="shared" ref="L29:Z29" si="7">L28/L$5</f>
        <v>9.476362052551017E-2</v>
      </c>
      <c r="M29" s="558">
        <f t="shared" si="7"/>
        <v>0.19820840761249775</v>
      </c>
      <c r="N29" s="558">
        <f t="shared" si="7"/>
        <v>0.28863104072700857</v>
      </c>
      <c r="O29" s="558">
        <f t="shared" si="7"/>
        <v>9.9821437665395849E-2</v>
      </c>
      <c r="P29" s="571">
        <f t="shared" si="7"/>
        <v>0.11311759921728289</v>
      </c>
      <c r="Q29" s="559">
        <f t="shared" ca="1" si="7"/>
        <v>0.14778145595713454</v>
      </c>
      <c r="R29" s="559">
        <f t="shared" ca="1" si="7"/>
        <v>0.15961770977441325</v>
      </c>
      <c r="S29" s="559">
        <f t="shared" ca="1" si="7"/>
        <v>0.18171229891643861</v>
      </c>
      <c r="T29" s="559">
        <f t="shared" ca="1" si="7"/>
        <v>0.24090011683836918</v>
      </c>
      <c r="U29" s="559">
        <f t="shared" ca="1" si="7"/>
        <v>0.21253161778519489</v>
      </c>
      <c r="V29" s="559">
        <f t="shared" ca="1" si="7"/>
        <v>0.19828814817230217</v>
      </c>
      <c r="W29" s="559">
        <f t="shared" ca="1" si="7"/>
        <v>0.19348342883540001</v>
      </c>
      <c r="X29" s="559">
        <f t="shared" ca="1" si="7"/>
        <v>0.21031962921226258</v>
      </c>
      <c r="Y29" s="559">
        <f t="shared" ca="1" si="7"/>
        <v>0.23043702816862868</v>
      </c>
      <c r="Z29" s="559">
        <f t="shared" ca="1" si="7"/>
        <v>0.22549141851243648</v>
      </c>
      <c r="AA29" s="559"/>
      <c r="AB29" s="560"/>
      <c r="AC29" s="560"/>
      <c r="AD29" s="560"/>
      <c r="AE29" s="560"/>
      <c r="AF29" s="560"/>
      <c r="AG29" s="560"/>
      <c r="AH29" s="560"/>
      <c r="AI29" s="560"/>
      <c r="AJ29" s="560"/>
      <c r="AK29" s="560"/>
      <c r="AL29" s="560"/>
      <c r="AM29" s="560"/>
      <c r="AN29" s="560"/>
      <c r="AO29" s="560"/>
      <c r="AP29" s="560"/>
      <c r="AQ29" s="560"/>
      <c r="AR29" s="560"/>
      <c r="AS29" s="560"/>
      <c r="AT29" s="560"/>
      <c r="AU29" s="560"/>
      <c r="AV29" s="560"/>
      <c r="AW29" s="560"/>
      <c r="AX29" s="560"/>
      <c r="AY29" s="560"/>
      <c r="AZ29" s="560"/>
      <c r="BA29" s="560"/>
      <c r="BB29" s="572"/>
      <c r="BC29" s="572"/>
    </row>
    <row r="30" spans="1:55" s="5" customFormat="1">
      <c r="A30" s="86"/>
      <c r="B30" s="75"/>
      <c r="C30" s="75"/>
      <c r="D30" s="41"/>
      <c r="E30" s="41"/>
      <c r="F30" s="41"/>
      <c r="G30" s="41"/>
      <c r="H30" s="41"/>
      <c r="I30" s="41"/>
      <c r="J30" s="41"/>
      <c r="K30" s="41"/>
      <c r="L30" s="41"/>
      <c r="M30" s="41"/>
      <c r="N30" s="41"/>
      <c r="O30" s="41"/>
      <c r="P30" s="26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41"/>
      <c r="AT30" s="41"/>
      <c r="AU30" s="41"/>
      <c r="AV30" s="41"/>
      <c r="AW30" s="41"/>
      <c r="AX30" s="41"/>
      <c r="AY30" s="41"/>
      <c r="AZ30" s="41"/>
      <c r="BA30" s="41"/>
      <c r="BB30" s="84"/>
      <c r="BC30" s="84"/>
    </row>
    <row r="31" spans="1:55" s="95" customFormat="1">
      <c r="A31" s="86">
        <v>10</v>
      </c>
      <c r="B31" s="566" t="s">
        <v>591</v>
      </c>
      <c r="C31" s="566" t="s">
        <v>378</v>
      </c>
      <c r="D31" s="427"/>
      <c r="E31" s="427"/>
      <c r="F31" s="427"/>
      <c r="G31" s="427"/>
      <c r="H31" s="427"/>
      <c r="I31" s="564"/>
      <c r="J31" s="564"/>
      <c r="K31" s="564">
        <f>Input!K90</f>
        <v>35.36444229</v>
      </c>
      <c r="L31" s="564">
        <f>Input!L90</f>
        <v>54.087470033999999</v>
      </c>
      <c r="M31" s="564">
        <f>Input!M90</f>
        <v>130.14570190500001</v>
      </c>
      <c r="N31" s="564">
        <f>Input!N90</f>
        <v>275.23203030799999</v>
      </c>
      <c r="O31" s="564">
        <f>Input!O90</f>
        <v>144.66686674799999</v>
      </c>
      <c r="P31" s="590">
        <f>Input!P90</f>
        <v>94.056906749000007</v>
      </c>
      <c r="Q31" s="565">
        <f ca="1">Input!Q90</f>
        <v>410.29239504579402</v>
      </c>
      <c r="R31" s="565">
        <f ca="1">Input!R90</f>
        <v>464.46102454408219</v>
      </c>
      <c r="S31" s="565">
        <f ca="1">Input!S90</f>
        <v>543.71301239966942</v>
      </c>
      <c r="T31" s="565">
        <f ca="1">Input!T90</f>
        <v>849.50504649601839</v>
      </c>
      <c r="U31" s="565">
        <f ca="1">Input!U90</f>
        <v>726.31549603978658</v>
      </c>
      <c r="V31" s="565">
        <f ca="1">Input!V90</f>
        <v>634.12631013509588</v>
      </c>
      <c r="W31" s="565">
        <f ca="1">Input!W90</f>
        <v>634.71270201647599</v>
      </c>
      <c r="X31" s="565">
        <f ca="1">Input!X90</f>
        <v>705.04474531789219</v>
      </c>
      <c r="Y31" s="565">
        <f ca="1">Input!Y90</f>
        <v>812.53816749639418</v>
      </c>
      <c r="Z31" s="565">
        <f ca="1">Input!Z90</f>
        <v>805.79972205547199</v>
      </c>
      <c r="AA31" s="565"/>
      <c r="AB31" s="428"/>
      <c r="AC31" s="428"/>
      <c r="AD31" s="428"/>
      <c r="AE31" s="428"/>
      <c r="AF31" s="428"/>
      <c r="AG31" s="428"/>
      <c r="AH31" s="428"/>
      <c r="AI31" s="428"/>
      <c r="AJ31" s="428"/>
      <c r="AK31" s="428"/>
      <c r="AL31" s="428"/>
      <c r="AM31" s="428"/>
      <c r="AN31" s="428"/>
      <c r="AO31" s="428"/>
      <c r="AP31" s="428"/>
      <c r="AQ31" s="428"/>
      <c r="AR31" s="428"/>
      <c r="AS31" s="428"/>
      <c r="AT31" s="428"/>
      <c r="AU31" s="428"/>
      <c r="AV31" s="428"/>
      <c r="AW31" s="428"/>
      <c r="AX31" s="428"/>
      <c r="AY31" s="428"/>
      <c r="AZ31" s="428"/>
      <c r="BA31" s="428"/>
    </row>
    <row r="32" spans="1:55" s="95" customFormat="1" ht="13.8" thickBot="1">
      <c r="A32" s="86"/>
      <c r="B32" s="111" t="s">
        <v>289</v>
      </c>
      <c r="C32" s="111" t="s">
        <v>592</v>
      </c>
      <c r="D32" s="237"/>
      <c r="E32" s="237"/>
      <c r="F32" s="237"/>
      <c r="G32" s="237"/>
      <c r="H32" s="237"/>
      <c r="I32" s="553"/>
      <c r="J32" s="553"/>
      <c r="K32" s="553">
        <f>Input!K94</f>
        <v>427.7237290920001</v>
      </c>
      <c r="L32" s="553">
        <f>Input!L94</f>
        <v>662.44633427100007</v>
      </c>
      <c r="M32" s="553">
        <f>Input!M94</f>
        <v>1826.1242869360003</v>
      </c>
      <c r="N32" s="553">
        <f>Input!N94</f>
        <v>4321.0807345350004</v>
      </c>
      <c r="O32" s="553">
        <f>Input!O94</f>
        <v>1110.1427168920006</v>
      </c>
      <c r="P32" s="581">
        <f>Input!P94</f>
        <v>1428.0065814420007</v>
      </c>
      <c r="Q32" s="554">
        <f ca="1">Input!Q94</f>
        <v>2210.9020273718311</v>
      </c>
      <c r="R32" s="554">
        <f ca="1">Input!R94</f>
        <v>2502.7951607172677</v>
      </c>
      <c r="S32" s="554">
        <f ca="1">Input!S94</f>
        <v>2929.8525050377962</v>
      </c>
      <c r="T32" s="554">
        <f ca="1">Input!T94</f>
        <v>4577.6437785326798</v>
      </c>
      <c r="U32" s="554">
        <f ca="1">Input!U94</f>
        <v>3913.8244386097244</v>
      </c>
      <c r="V32" s="554">
        <f ca="1">Input!V94</f>
        <v>3417.0536954042805</v>
      </c>
      <c r="W32" s="554">
        <f ca="1">Input!W94</f>
        <v>3420.2135273071681</v>
      </c>
      <c r="X32" s="554">
        <f ca="1">Input!X94</f>
        <v>3799.2048491106098</v>
      </c>
      <c r="Y32" s="554">
        <f ca="1">Input!Y94</f>
        <v>4378.444015844525</v>
      </c>
      <c r="Z32" s="554">
        <f ca="1">Input!Z94</f>
        <v>4342.133221721695</v>
      </c>
      <c r="AA32" s="554"/>
      <c r="AB32" s="143"/>
      <c r="AC32" s="143"/>
      <c r="AD32" s="143"/>
      <c r="AE32" s="143"/>
      <c r="AF32" s="143"/>
      <c r="AG32" s="143"/>
      <c r="AH32" s="143"/>
      <c r="AI32" s="143"/>
      <c r="AJ32" s="143"/>
      <c r="AK32" s="143"/>
      <c r="AL32" s="143"/>
      <c r="AM32" s="143"/>
      <c r="AN32" s="143"/>
      <c r="AO32" s="143"/>
      <c r="AP32" s="143"/>
      <c r="AQ32" s="143"/>
      <c r="AR32" s="143"/>
      <c r="AS32" s="143"/>
      <c r="AT32" s="143"/>
      <c r="AU32" s="143"/>
      <c r="AV32" s="143"/>
      <c r="AW32" s="143"/>
      <c r="AX32" s="143"/>
      <c r="AY32" s="143"/>
      <c r="AZ32" s="143"/>
      <c r="BA32" s="143"/>
    </row>
    <row r="33" spans="1:53" s="95" customFormat="1" ht="14.4" thickTop="1" thickBot="1">
      <c r="A33" s="86"/>
      <c r="B33" s="607" t="s">
        <v>593</v>
      </c>
      <c r="C33" s="608" t="s">
        <v>594</v>
      </c>
      <c r="D33" s="609"/>
      <c r="E33" s="609"/>
      <c r="F33" s="609"/>
      <c r="G33" s="609"/>
      <c r="H33" s="609"/>
      <c r="I33" s="610"/>
      <c r="J33" s="610"/>
      <c r="K33" s="610">
        <f>K32/K$5</f>
        <v>6.0730617271959081E-2</v>
      </c>
      <c r="L33" s="610">
        <f t="shared" ref="L33:Z33" si="8">L32/L$5</f>
        <v>8.7610399763709018E-2</v>
      </c>
      <c r="M33" s="610">
        <f t="shared" si="8"/>
        <v>0.18502210281850365</v>
      </c>
      <c r="N33" s="610">
        <f t="shared" si="8"/>
        <v>0.27134751120812062</v>
      </c>
      <c r="O33" s="610">
        <f t="shared" si="8"/>
        <v>8.8313034470511878E-2</v>
      </c>
      <c r="P33" s="611">
        <f t="shared" si="8"/>
        <v>0.10612742333841993</v>
      </c>
      <c r="Q33" s="612">
        <f t="shared" ca="1" si="8"/>
        <v>0.12464940326030231</v>
      </c>
      <c r="R33" s="612">
        <f t="shared" ca="1" si="8"/>
        <v>0.13463294257249597</v>
      </c>
      <c r="S33" s="612">
        <f t="shared" ca="1" si="8"/>
        <v>0.15326909237896336</v>
      </c>
      <c r="T33" s="612">
        <f t="shared" ca="1" si="8"/>
        <v>0.20319231269415669</v>
      </c>
      <c r="U33" s="612">
        <f t="shared" ca="1" si="8"/>
        <v>0.17926430051247735</v>
      </c>
      <c r="V33" s="612">
        <f t="shared" ca="1" si="8"/>
        <v>0.1672503439838699</v>
      </c>
      <c r="W33" s="612">
        <f t="shared" ca="1" si="8"/>
        <v>0.16319770155793653</v>
      </c>
      <c r="X33" s="612">
        <f t="shared" ca="1" si="8"/>
        <v>0.17739855183752454</v>
      </c>
      <c r="Y33" s="612">
        <f t="shared" ca="1" si="8"/>
        <v>0.19436699864852247</v>
      </c>
      <c r="Z33" s="612">
        <f t="shared" ca="1" si="8"/>
        <v>0.19019551929470174</v>
      </c>
      <c r="AA33" s="612"/>
      <c r="AB33" s="613"/>
      <c r="AC33" s="613"/>
      <c r="AD33" s="613"/>
      <c r="AE33" s="613"/>
      <c r="AF33" s="613"/>
      <c r="AG33" s="613"/>
      <c r="AH33" s="613"/>
      <c r="AI33" s="613"/>
      <c r="AJ33" s="613"/>
      <c r="AK33" s="613"/>
      <c r="AL33" s="613"/>
      <c r="AM33" s="613"/>
      <c r="AN33" s="613"/>
      <c r="AO33" s="613"/>
      <c r="AP33" s="613"/>
      <c r="AQ33" s="613"/>
      <c r="AR33" s="613"/>
      <c r="AS33" s="613"/>
      <c r="AT33" s="613"/>
      <c r="AU33" s="613"/>
      <c r="AV33" s="613"/>
      <c r="AW33" s="613"/>
      <c r="AX33" s="613"/>
      <c r="AY33" s="613"/>
      <c r="AZ33" s="613"/>
      <c r="BA33" s="613"/>
    </row>
    <row r="34" spans="1:53" s="95" customFormat="1" ht="13.8" thickTop="1">
      <c r="A34" s="86"/>
      <c r="B34" s="614" t="s">
        <v>595</v>
      </c>
      <c r="C34" s="614" t="s">
        <v>386</v>
      </c>
      <c r="D34" s="615"/>
      <c r="E34" s="615"/>
      <c r="F34" s="615"/>
      <c r="G34" s="615"/>
      <c r="H34" s="615"/>
      <c r="I34" s="616"/>
      <c r="J34" s="616"/>
      <c r="K34" s="616">
        <f>Input!K100</f>
        <v>1.548499702</v>
      </c>
      <c r="L34" s="616">
        <f>Input!L100</f>
        <v>1.4002600789999999</v>
      </c>
      <c r="M34" s="616">
        <f>Input!M100</f>
        <v>2.6652292210000001</v>
      </c>
      <c r="N34" s="616">
        <f>Input!N100</f>
        <v>5.1274449459999998</v>
      </c>
      <c r="O34" s="616">
        <f>Input!O100</f>
        <v>1.24989181</v>
      </c>
      <c r="P34" s="617">
        <f>Input!P100</f>
        <v>8.3486434000000003</v>
      </c>
      <c r="Q34" s="618">
        <f ca="1">Input!Q100</f>
        <v>5.6571294361597548</v>
      </c>
      <c r="R34" s="618">
        <f ca="1">Input!R100</f>
        <v>5.9611875844804612</v>
      </c>
      <c r="S34" s="618">
        <f ca="1">Input!S100</f>
        <v>7.1092445028597666</v>
      </c>
      <c r="T34" s="618">
        <f ca="1">Input!T100</f>
        <v>11.845338220115311</v>
      </c>
      <c r="U34" s="618">
        <f ca="1">Input!U100</f>
        <v>11.04150910065643</v>
      </c>
      <c r="V34" s="618">
        <f ca="1">Input!V100</f>
        <v>10.605513967355357</v>
      </c>
      <c r="W34" s="618">
        <f ca="1">Input!W100</f>
        <v>9.0519069377287824</v>
      </c>
      <c r="X34" s="618">
        <f ca="1">Input!X100</f>
        <v>10.110567746924389</v>
      </c>
      <c r="Y34" s="618">
        <f ca="1">Input!Y100</f>
        <v>11.855962447685599</v>
      </c>
      <c r="Z34" s="618">
        <f ca="1">Input!Z100</f>
        <v>11.9612261244732</v>
      </c>
      <c r="AA34" s="618"/>
      <c r="AB34" s="143"/>
      <c r="AC34" s="143"/>
      <c r="AD34" s="143"/>
      <c r="AE34" s="143"/>
      <c r="AF34" s="143"/>
      <c r="AG34" s="143"/>
      <c r="AH34" s="143"/>
      <c r="AI34" s="143"/>
      <c r="AJ34" s="143"/>
      <c r="AK34" s="143"/>
      <c r="AL34" s="143"/>
      <c r="AM34" s="143"/>
      <c r="AN34" s="143"/>
      <c r="AO34" s="143"/>
      <c r="AP34" s="143"/>
      <c r="AQ34" s="143"/>
      <c r="AR34" s="143"/>
      <c r="AS34" s="143"/>
      <c r="AT34" s="143"/>
      <c r="AU34" s="143"/>
      <c r="AV34" s="143"/>
      <c r="AW34" s="143"/>
      <c r="AX34" s="143"/>
      <c r="AY34" s="143"/>
      <c r="AZ34" s="143"/>
      <c r="BA34" s="143"/>
    </row>
    <row r="35" spans="1:53" s="95" customFormat="1">
      <c r="A35" s="86"/>
      <c r="B35" s="94" t="s">
        <v>596</v>
      </c>
      <c r="C35" s="94" t="s">
        <v>391</v>
      </c>
      <c r="D35" s="89"/>
      <c r="E35" s="89"/>
      <c r="F35" s="89"/>
      <c r="G35" s="89"/>
      <c r="H35" s="89"/>
      <c r="I35" s="90"/>
      <c r="J35" s="90"/>
      <c r="K35" s="90">
        <f>Input!K106</f>
        <v>426.17522939000003</v>
      </c>
      <c r="L35" s="90">
        <f>Input!L106</f>
        <v>661.04607419199999</v>
      </c>
      <c r="M35" s="90">
        <f>Input!M106</f>
        <v>1823.459057715</v>
      </c>
      <c r="N35" s="90">
        <f>Input!N106</f>
        <v>4315.9532895889997</v>
      </c>
      <c r="O35" s="90">
        <f>Input!O106</f>
        <v>1108.8928250819999</v>
      </c>
      <c r="P35" s="568">
        <f>Input!P106</f>
        <v>1419.6579380420001</v>
      </c>
      <c r="Q35" s="142">
        <f ca="1">Input!Q106</f>
        <v>2205.244897935675</v>
      </c>
      <c r="R35" s="142">
        <f ca="1">Input!R106</f>
        <v>2496.8339731327874</v>
      </c>
      <c r="S35" s="142">
        <f ca="1">Input!S106</f>
        <v>2922.7432605349363</v>
      </c>
      <c r="T35" s="142">
        <f ca="1">Input!T106</f>
        <v>4565.7984403125647</v>
      </c>
      <c r="U35" s="142">
        <f ca="1">Input!U106</f>
        <v>3902.7829295090678</v>
      </c>
      <c r="V35" s="142">
        <f ca="1">Input!V106</f>
        <v>3406.4481814369269</v>
      </c>
      <c r="W35" s="142">
        <f ca="1">Input!W106</f>
        <v>3411.1616203694412</v>
      </c>
      <c r="X35" s="142">
        <f ca="1">Input!X106</f>
        <v>3789.0942813636852</v>
      </c>
      <c r="Y35" s="142">
        <f ca="1">Input!Y106</f>
        <v>4366.5880533968357</v>
      </c>
      <c r="Z35" s="142">
        <f ca="1">Input!Z106</f>
        <v>4330.1719955972221</v>
      </c>
      <c r="AA35" s="142"/>
      <c r="AB35" s="143"/>
      <c r="AC35" s="143"/>
      <c r="AD35" s="143"/>
      <c r="AE35" s="143"/>
      <c r="AF35" s="143"/>
      <c r="AG35" s="143"/>
      <c r="AH35" s="143"/>
      <c r="AI35" s="143"/>
      <c r="AJ35" s="143"/>
      <c r="AK35" s="143"/>
      <c r="AL35" s="143"/>
      <c r="AM35" s="143"/>
      <c r="AN35" s="143"/>
      <c r="AO35" s="143"/>
      <c r="AP35" s="143"/>
      <c r="AQ35" s="143"/>
      <c r="AR35" s="143"/>
      <c r="AS35" s="143"/>
      <c r="AT35" s="143"/>
      <c r="AU35" s="143"/>
      <c r="AV35" s="143"/>
      <c r="AW35" s="143"/>
      <c r="AX35" s="143"/>
      <c r="AY35" s="143"/>
      <c r="AZ35" s="143"/>
      <c r="BA35" s="143"/>
    </row>
    <row r="36" spans="1:53" s="95" customFormat="1">
      <c r="A36" s="86"/>
      <c r="B36" s="94"/>
      <c r="C36" s="94"/>
      <c r="D36" s="89"/>
      <c r="E36" s="89"/>
      <c r="F36" s="89"/>
      <c r="G36" s="89"/>
      <c r="H36" s="89"/>
      <c r="I36" s="89"/>
      <c r="J36" s="89"/>
      <c r="K36" s="89"/>
      <c r="L36" s="89"/>
      <c r="M36" s="89"/>
      <c r="N36" s="89"/>
      <c r="O36" s="89"/>
      <c r="P36" s="188"/>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89"/>
      <c r="AT36" s="89"/>
      <c r="AU36" s="89"/>
      <c r="AV36" s="89"/>
      <c r="AW36" s="89"/>
      <c r="AX36" s="89"/>
      <c r="AY36" s="89"/>
      <c r="AZ36" s="89"/>
      <c r="BA36" s="89"/>
    </row>
    <row r="37" spans="1:53" s="95" customFormat="1">
      <c r="A37" s="86"/>
      <c r="B37" s="94" t="s">
        <v>597</v>
      </c>
      <c r="C37" s="94" t="s">
        <v>598</v>
      </c>
      <c r="D37" s="89"/>
      <c r="E37" s="89"/>
      <c r="F37" s="89"/>
      <c r="G37" s="89"/>
      <c r="H37" s="89"/>
      <c r="I37" s="90"/>
      <c r="J37" s="90"/>
      <c r="K37" s="90">
        <f>Input!K118</f>
        <v>109.15</v>
      </c>
      <c r="L37" s="90">
        <f>Input!L118</f>
        <v>85.44</v>
      </c>
      <c r="M37" s="90">
        <f>Input!M118</f>
        <v>98.990000000000009</v>
      </c>
      <c r="N37" s="90">
        <f>Input!N118</f>
        <v>122.53</v>
      </c>
      <c r="O37" s="90">
        <f>Input!O118</f>
        <v>122.36</v>
      </c>
      <c r="P37" s="568">
        <f>Input!P118</f>
        <v>121.75</v>
      </c>
      <c r="Q37" s="142">
        <f>Input!Q118</f>
        <v>188.90934246431667</v>
      </c>
      <c r="R37" s="142">
        <f>Input!R118</f>
        <v>192.2692655115911</v>
      </c>
      <c r="S37" s="142">
        <f>Input!S118</f>
        <v>240.53831705014494</v>
      </c>
      <c r="T37" s="142">
        <f>Input!T118</f>
        <v>416.97928201955125</v>
      </c>
      <c r="U37" s="142">
        <f>Input!U118</f>
        <v>319.00355568091612</v>
      </c>
      <c r="V37" s="142">
        <f>Input!V118</f>
        <v>280.19111300813086</v>
      </c>
      <c r="W37" s="142">
        <f>Input!W118</f>
        <v>285.05992434408267</v>
      </c>
      <c r="X37" s="142">
        <f>Input!X118</f>
        <v>329.67447852104692</v>
      </c>
      <c r="Y37" s="142">
        <f>Input!Y118</f>
        <v>388.25893317829536</v>
      </c>
      <c r="Z37" s="142">
        <f>Input!Z118</f>
        <v>340.64146945037083</v>
      </c>
      <c r="AA37" s="142"/>
      <c r="AB37" s="143"/>
      <c r="AC37" s="143"/>
      <c r="AD37" s="143"/>
      <c r="AE37" s="143"/>
      <c r="AF37" s="143"/>
      <c r="AG37" s="143"/>
      <c r="AH37" s="143"/>
      <c r="AI37" s="143"/>
      <c r="AJ37" s="143"/>
      <c r="AK37" s="143"/>
      <c r="AL37" s="143"/>
      <c r="AM37" s="143"/>
      <c r="AN37" s="143"/>
      <c r="AO37" s="143"/>
      <c r="AP37" s="143"/>
      <c r="AQ37" s="143"/>
      <c r="AR37" s="143"/>
      <c r="AS37" s="143"/>
      <c r="AT37" s="143"/>
      <c r="AU37" s="143"/>
      <c r="AV37" s="143"/>
      <c r="AW37" s="143"/>
      <c r="AX37" s="143"/>
      <c r="AY37" s="143"/>
      <c r="AZ37" s="143"/>
      <c r="BA37" s="143"/>
    </row>
    <row r="38" spans="1:53" s="95" customFormat="1">
      <c r="A38" s="86"/>
      <c r="B38" s="94" t="s">
        <v>599</v>
      </c>
      <c r="C38" s="94" t="s">
        <v>401</v>
      </c>
      <c r="D38" s="89"/>
      <c r="E38" s="89"/>
      <c r="F38" s="89"/>
      <c r="G38" s="89"/>
      <c r="H38" s="89"/>
      <c r="I38" s="90"/>
      <c r="J38" s="90"/>
      <c r="K38" s="90">
        <f>Input!K121</f>
        <v>0</v>
      </c>
      <c r="L38" s="90">
        <f>Input!L121</f>
        <v>0</v>
      </c>
      <c r="M38" s="90">
        <f>Input!M121</f>
        <v>0</v>
      </c>
      <c r="N38" s="90">
        <f>Input!N121</f>
        <v>0</v>
      </c>
      <c r="O38" s="90">
        <f>Input!O121</f>
        <v>0</v>
      </c>
      <c r="P38" s="568">
        <f>Input!P121</f>
        <v>0</v>
      </c>
      <c r="Q38" s="142">
        <f>Input!Q121</f>
        <v>0</v>
      </c>
      <c r="R38" s="142">
        <f>Input!R121</f>
        <v>0</v>
      </c>
      <c r="S38" s="142">
        <f>Input!S121</f>
        <v>0</v>
      </c>
      <c r="T38" s="142">
        <f>Input!T121</f>
        <v>0</v>
      </c>
      <c r="U38" s="142">
        <f>Input!U121</f>
        <v>0</v>
      </c>
      <c r="V38" s="142">
        <f>Input!V121</f>
        <v>0</v>
      </c>
      <c r="W38" s="142">
        <f>Input!W121</f>
        <v>0</v>
      </c>
      <c r="X38" s="142">
        <f>Input!X121</f>
        <v>0</v>
      </c>
      <c r="Y38" s="142">
        <f>Input!Y121</f>
        <v>0</v>
      </c>
      <c r="Z38" s="142">
        <f>Input!Z121</f>
        <v>0</v>
      </c>
      <c r="AA38" s="142"/>
      <c r="AB38" s="143"/>
      <c r="AC38" s="143"/>
      <c r="AD38" s="143"/>
      <c r="AE38" s="143"/>
      <c r="AF38" s="143"/>
      <c r="AG38" s="143"/>
      <c r="AH38" s="143"/>
      <c r="AI38" s="143"/>
      <c r="AJ38" s="143"/>
      <c r="AK38" s="143"/>
      <c r="AL38" s="143"/>
      <c r="AM38" s="143"/>
      <c r="AN38" s="143"/>
      <c r="AO38" s="143"/>
      <c r="AP38" s="143"/>
      <c r="AQ38" s="143"/>
      <c r="AR38" s="143"/>
      <c r="AS38" s="143"/>
      <c r="AT38" s="143"/>
      <c r="AU38" s="143"/>
      <c r="AV38" s="143"/>
      <c r="AW38" s="143"/>
      <c r="AX38" s="143"/>
      <c r="AY38" s="143"/>
      <c r="AZ38" s="143"/>
      <c r="BA38" s="143"/>
    </row>
    <row r="39" spans="1:53" s="95" customFormat="1">
      <c r="A39" s="86"/>
      <c r="B39" s="94" t="s">
        <v>600</v>
      </c>
      <c r="C39" s="94" t="s">
        <v>404</v>
      </c>
      <c r="D39" s="89"/>
      <c r="E39" s="89"/>
      <c r="F39" s="89"/>
      <c r="G39" s="89"/>
      <c r="H39" s="89"/>
      <c r="I39" s="90"/>
      <c r="J39" s="90"/>
      <c r="K39" s="90">
        <f>Input!K125</f>
        <v>0</v>
      </c>
      <c r="L39" s="90">
        <f>Input!L125</f>
        <v>0</v>
      </c>
      <c r="M39" s="90">
        <f>Input!M125</f>
        <v>0</v>
      </c>
      <c r="N39" s="90">
        <f>Input!N125</f>
        <v>0</v>
      </c>
      <c r="O39" s="90">
        <f>Input!O125</f>
        <v>0</v>
      </c>
      <c r="P39" s="568">
        <f>Input!P125</f>
        <v>0</v>
      </c>
      <c r="Q39" s="142">
        <f>Input!Q125</f>
        <v>0</v>
      </c>
      <c r="R39" s="142">
        <f>Input!R125</f>
        <v>0</v>
      </c>
      <c r="S39" s="142">
        <f>Input!S125</f>
        <v>0</v>
      </c>
      <c r="T39" s="142">
        <f>Input!T125</f>
        <v>0</v>
      </c>
      <c r="U39" s="142">
        <f>Input!U125</f>
        <v>0</v>
      </c>
      <c r="V39" s="142">
        <f>Input!V125</f>
        <v>0</v>
      </c>
      <c r="W39" s="142">
        <f>Input!W125</f>
        <v>0</v>
      </c>
      <c r="X39" s="142">
        <f>Input!X125</f>
        <v>0</v>
      </c>
      <c r="Y39" s="142">
        <f>Input!Y125</f>
        <v>0</v>
      </c>
      <c r="Z39" s="142">
        <f>Input!Z125</f>
        <v>0</v>
      </c>
      <c r="AA39" s="142"/>
      <c r="AB39" s="143"/>
      <c r="AC39" s="143"/>
      <c r="AD39" s="143"/>
      <c r="AE39" s="143"/>
      <c r="AF39" s="143"/>
      <c r="AG39" s="143"/>
      <c r="AH39" s="143"/>
      <c r="AI39" s="143"/>
      <c r="AJ39" s="143"/>
      <c r="AK39" s="143"/>
      <c r="AL39" s="143"/>
      <c r="AM39" s="143"/>
      <c r="AN39" s="143"/>
      <c r="AO39" s="143"/>
      <c r="AP39" s="143"/>
      <c r="AQ39" s="143"/>
      <c r="AR39" s="143"/>
      <c r="AS39" s="143"/>
      <c r="AT39" s="143"/>
      <c r="AU39" s="143"/>
      <c r="AV39" s="143"/>
      <c r="AW39" s="143"/>
      <c r="AX39" s="143"/>
      <c r="AY39" s="143"/>
      <c r="AZ39" s="143"/>
      <c r="BA39" s="143"/>
    </row>
    <row r="40" spans="1:53" s="95" customFormat="1">
      <c r="A40" s="86"/>
      <c r="B40" s="111" t="s">
        <v>601</v>
      </c>
      <c r="C40" s="111" t="s">
        <v>406</v>
      </c>
      <c r="D40" s="237"/>
      <c r="E40" s="237"/>
      <c r="F40" s="237"/>
      <c r="G40" s="237"/>
      <c r="H40" s="237"/>
      <c r="I40" s="553"/>
      <c r="J40" s="553"/>
      <c r="K40" s="553">
        <f>K35-K37-K38-K39</f>
        <v>317.02522939000005</v>
      </c>
      <c r="L40" s="553">
        <f t="shared" ref="L40:Z40" si="9">L35-L37-L38-L39</f>
        <v>575.60607419200005</v>
      </c>
      <c r="M40" s="553">
        <f t="shared" si="9"/>
        <v>1724.469057715</v>
      </c>
      <c r="N40" s="553">
        <f t="shared" si="9"/>
        <v>4193.423289589</v>
      </c>
      <c r="O40" s="553">
        <f t="shared" si="9"/>
        <v>986.53282508199993</v>
      </c>
      <c r="P40" s="581">
        <f t="shared" si="9"/>
        <v>1297.9079380420001</v>
      </c>
      <c r="Q40" s="554">
        <f t="shared" ca="1" si="9"/>
        <v>2016.3355554713582</v>
      </c>
      <c r="R40" s="554">
        <f t="shared" ca="1" si="9"/>
        <v>2304.5647076211962</v>
      </c>
      <c r="S40" s="554">
        <f t="shared" ca="1" si="9"/>
        <v>2682.2049434847913</v>
      </c>
      <c r="T40" s="554">
        <f ca="1">T35-T37-T38-T39</f>
        <v>4148.8191582930131</v>
      </c>
      <c r="U40" s="554">
        <f t="shared" ca="1" si="9"/>
        <v>3583.7793738281516</v>
      </c>
      <c r="V40" s="554">
        <f t="shared" ca="1" si="9"/>
        <v>3126.2570684287962</v>
      </c>
      <c r="W40" s="554">
        <f t="shared" ca="1" si="9"/>
        <v>3126.1016960253583</v>
      </c>
      <c r="X40" s="554">
        <f t="shared" ca="1" si="9"/>
        <v>3459.4198028426381</v>
      </c>
      <c r="Y40" s="554">
        <f t="shared" ca="1" si="9"/>
        <v>3978.3291202185401</v>
      </c>
      <c r="Z40" s="554">
        <f t="shared" ca="1" si="9"/>
        <v>3989.5305261468511</v>
      </c>
      <c r="AA40" s="554"/>
      <c r="AB40" s="238"/>
      <c r="AC40" s="238"/>
      <c r="AD40" s="238"/>
      <c r="AE40" s="238"/>
      <c r="AF40" s="238"/>
      <c r="AG40" s="238"/>
      <c r="AH40" s="238"/>
      <c r="AI40" s="238"/>
      <c r="AJ40" s="238"/>
      <c r="AK40" s="238"/>
      <c r="AL40" s="238"/>
      <c r="AM40" s="238"/>
      <c r="AN40" s="238"/>
      <c r="AO40" s="238"/>
      <c r="AP40" s="238"/>
      <c r="AQ40" s="238"/>
      <c r="AR40" s="238"/>
      <c r="AS40" s="238"/>
      <c r="AT40" s="238"/>
      <c r="AU40" s="238"/>
      <c r="AV40" s="238"/>
      <c r="AW40" s="238"/>
      <c r="AX40" s="238"/>
      <c r="AY40" s="238"/>
      <c r="AZ40" s="238"/>
      <c r="BA40" s="238"/>
    </row>
    <row r="41" spans="1:53" s="95" customFormat="1">
      <c r="A41" s="86"/>
      <c r="B41" s="94"/>
      <c r="C41" s="94"/>
      <c r="D41" s="89"/>
      <c r="E41" s="89"/>
      <c r="F41" s="89"/>
      <c r="G41" s="89"/>
      <c r="H41" s="89"/>
      <c r="I41" s="89"/>
      <c r="J41" s="89"/>
      <c r="K41" s="89"/>
      <c r="L41" s="89"/>
      <c r="M41" s="89"/>
      <c r="N41" s="89"/>
      <c r="O41" s="89"/>
      <c r="P41" s="188"/>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89"/>
      <c r="AT41" s="89"/>
      <c r="AU41" s="89"/>
      <c r="AV41" s="89"/>
      <c r="AW41" s="89"/>
      <c r="AX41" s="89"/>
      <c r="AY41" s="89"/>
      <c r="AZ41" s="89"/>
      <c r="BA41" s="89"/>
    </row>
    <row r="42" spans="1:53" s="95" customFormat="1">
      <c r="A42" s="86"/>
      <c r="B42" s="94" t="s">
        <v>602</v>
      </c>
      <c r="C42" s="94" t="s">
        <v>410</v>
      </c>
      <c r="D42" s="89"/>
      <c r="E42" s="89"/>
      <c r="F42" s="89"/>
      <c r="G42" s="89"/>
      <c r="H42" s="89"/>
      <c r="I42" s="90"/>
      <c r="J42" s="90"/>
      <c r="K42" s="90">
        <f>Input!K133</f>
        <v>317.64</v>
      </c>
      <c r="L42" s="90">
        <f>Input!L133</f>
        <v>423.52</v>
      </c>
      <c r="M42" s="90">
        <f>Input!M133</f>
        <v>952.92</v>
      </c>
      <c r="N42" s="90">
        <f>Input!N133</f>
        <v>1588.2</v>
      </c>
      <c r="O42" s="90">
        <f>Input!O133</f>
        <v>1058.8</v>
      </c>
      <c r="P42" s="568">
        <f>Input!P133</f>
        <v>1058.8</v>
      </c>
      <c r="Q42" s="142">
        <f>Input!Q133</f>
        <v>1058.8</v>
      </c>
      <c r="R42" s="142">
        <f>Input!R133</f>
        <v>1323.5</v>
      </c>
      <c r="S42" s="142">
        <f>Input!S133</f>
        <v>1588.1999999999998</v>
      </c>
      <c r="T42" s="142">
        <f>Input!T133</f>
        <v>1588.1999999999998</v>
      </c>
      <c r="U42" s="142">
        <f>Input!U133</f>
        <v>1852.8999999999999</v>
      </c>
      <c r="V42" s="142">
        <f>Input!V133</f>
        <v>1852.8999999999999</v>
      </c>
      <c r="W42" s="142">
        <f>Input!W133</f>
        <v>1588.1999999999998</v>
      </c>
      <c r="X42" s="142">
        <f>Input!X133</f>
        <v>2117.6</v>
      </c>
      <c r="Y42" s="142">
        <f>Input!Y133</f>
        <v>2647</v>
      </c>
      <c r="Z42" s="142">
        <f>Input!Z133</f>
        <v>3176.3999999999996</v>
      </c>
      <c r="AA42" s="142"/>
      <c r="AB42" s="143"/>
      <c r="AC42" s="143"/>
      <c r="AD42" s="143"/>
      <c r="AE42" s="143"/>
      <c r="AF42" s="143"/>
      <c r="AG42" s="143"/>
      <c r="AH42" s="143"/>
      <c r="AI42" s="143"/>
      <c r="AJ42" s="143"/>
      <c r="AK42" s="143"/>
      <c r="AL42" s="143"/>
      <c r="AM42" s="143"/>
      <c r="AN42" s="143"/>
      <c r="AO42" s="143"/>
      <c r="AP42" s="143"/>
      <c r="AQ42" s="143"/>
      <c r="AR42" s="143"/>
      <c r="AS42" s="143"/>
      <c r="AT42" s="143"/>
      <c r="AU42" s="143"/>
      <c r="AV42" s="143"/>
      <c r="AW42" s="143"/>
      <c r="AX42" s="143"/>
      <c r="AY42" s="143"/>
      <c r="AZ42" s="143"/>
      <c r="BA42" s="143"/>
    </row>
    <row r="43" spans="1:53" s="95" customFormat="1" ht="13.8" thickBot="1">
      <c r="A43" s="86"/>
      <c r="B43" s="619" t="s">
        <v>603</v>
      </c>
      <c r="C43" s="619" t="s">
        <v>412</v>
      </c>
      <c r="D43" s="620"/>
      <c r="E43" s="620"/>
      <c r="F43" s="620"/>
      <c r="G43" s="620"/>
      <c r="H43" s="620"/>
      <c r="I43" s="621"/>
      <c r="J43" s="621"/>
      <c r="K43" s="621">
        <f>Input!K136</f>
        <v>-0.61477060999993682</v>
      </c>
      <c r="L43" s="621">
        <f>Input!L136</f>
        <v>152.08607419200007</v>
      </c>
      <c r="M43" s="621">
        <f>Input!M136</f>
        <v>771.549057715</v>
      </c>
      <c r="N43" s="621">
        <f>Input!N136</f>
        <v>2605.2232895890002</v>
      </c>
      <c r="O43" s="621">
        <f>Input!O136</f>
        <v>-72.267174918000023</v>
      </c>
      <c r="P43" s="622">
        <f>Input!P136</f>
        <v>239.10793804200011</v>
      </c>
      <c r="Q43" s="623">
        <f ca="1">Input!Q136</f>
        <v>957.53555547135829</v>
      </c>
      <c r="R43" s="623">
        <f ca="1">Input!R136</f>
        <v>981.06470762119625</v>
      </c>
      <c r="S43" s="623">
        <f ca="1">Input!S136</f>
        <v>1094.0049434847915</v>
      </c>
      <c r="T43" s="623">
        <f ca="1">Input!T136</f>
        <v>2560.6191582930132</v>
      </c>
      <c r="U43" s="623">
        <f ca="1">Input!U136</f>
        <v>1730.8793738281518</v>
      </c>
      <c r="V43" s="623">
        <f ca="1">Input!V136</f>
        <v>1273.3570684287963</v>
      </c>
      <c r="W43" s="623">
        <f ca="1">Input!W136</f>
        <v>1537.9016960253584</v>
      </c>
      <c r="X43" s="623">
        <f ca="1">Input!X136</f>
        <v>1341.8198028426382</v>
      </c>
      <c r="Y43" s="623">
        <f ca="1">Input!Y136</f>
        <v>1331.3291202185401</v>
      </c>
      <c r="Z43" s="623">
        <f ca="1">Input!Z136</f>
        <v>813.13052614685148</v>
      </c>
      <c r="AA43" s="623"/>
      <c r="AB43" s="624"/>
      <c r="AC43" s="624"/>
      <c r="AD43" s="624"/>
      <c r="AE43" s="624"/>
      <c r="AF43" s="624"/>
      <c r="AG43" s="624"/>
      <c r="AH43" s="624"/>
      <c r="AI43" s="624"/>
      <c r="AJ43" s="624"/>
      <c r="AK43" s="624"/>
      <c r="AL43" s="624"/>
      <c r="AM43" s="624"/>
      <c r="AN43" s="624"/>
      <c r="AO43" s="624"/>
      <c r="AP43" s="624"/>
      <c r="AQ43" s="624"/>
      <c r="AR43" s="624"/>
      <c r="AS43" s="624"/>
      <c r="AT43" s="624"/>
      <c r="AU43" s="624"/>
      <c r="AV43" s="624"/>
      <c r="AW43" s="624"/>
      <c r="AX43" s="624"/>
      <c r="AY43" s="624"/>
      <c r="AZ43" s="624"/>
      <c r="BA43" s="624"/>
    </row>
    <row r="44" spans="1:53" s="626" customFormat="1" ht="13.8" thickTop="1">
      <c r="A44" s="573"/>
      <c r="B44" s="416" t="s">
        <v>604</v>
      </c>
      <c r="C44" s="416"/>
      <c r="D44" s="500"/>
      <c r="E44" s="500"/>
      <c r="F44" s="500"/>
      <c r="G44" s="500"/>
      <c r="H44" s="500"/>
      <c r="I44" s="501"/>
      <c r="J44" s="501"/>
      <c r="K44" s="501">
        <f>K32-Input!K94</f>
        <v>0</v>
      </c>
      <c r="L44" s="501">
        <f>L32-Input!L94</f>
        <v>0</v>
      </c>
      <c r="M44" s="501">
        <f>M32-Input!M94</f>
        <v>0</v>
      </c>
      <c r="N44" s="501">
        <f>N32-Input!N94</f>
        <v>0</v>
      </c>
      <c r="O44" s="501">
        <f>O32-Input!O94</f>
        <v>0</v>
      </c>
      <c r="P44" s="501">
        <f>P32-Input!P94</f>
        <v>0</v>
      </c>
      <c r="Q44" s="1468">
        <f ca="1">Q32-Input!Q94</f>
        <v>0</v>
      </c>
      <c r="R44" s="1468">
        <f ca="1">R32-Input!R94</f>
        <v>0</v>
      </c>
      <c r="S44" s="1468">
        <f ca="1">S32-Input!S94</f>
        <v>0</v>
      </c>
      <c r="T44" s="1468">
        <f ca="1">T32-Input!T94</f>
        <v>0</v>
      </c>
      <c r="U44" s="1468">
        <f ca="1">U32-Input!U94</f>
        <v>0</v>
      </c>
      <c r="V44" s="1468">
        <f ca="1">V32-Input!V94</f>
        <v>0</v>
      </c>
      <c r="W44" s="1468">
        <f ca="1">W32-Input!W94</f>
        <v>0</v>
      </c>
      <c r="X44" s="1468">
        <f ca="1">X32-Input!X94</f>
        <v>0</v>
      </c>
      <c r="Y44" s="1468">
        <f ca="1">Y32-Input!Y94</f>
        <v>0</v>
      </c>
      <c r="Z44" s="1468">
        <f ca="1">Z32-Input!Z94</f>
        <v>0</v>
      </c>
      <c r="AA44" s="1468"/>
      <c r="AB44" s="1486"/>
      <c r="AC44" s="1486"/>
      <c r="AD44" s="1486"/>
      <c r="AE44" s="1486"/>
      <c r="AF44" s="1486"/>
      <c r="AG44" s="1486"/>
      <c r="AH44" s="1486"/>
      <c r="AI44" s="1486"/>
      <c r="AJ44" s="1486"/>
      <c r="AK44" s="1486"/>
      <c r="AL44" s="1486"/>
      <c r="AM44" s="1486"/>
      <c r="AN44" s="1486"/>
      <c r="AO44" s="1486"/>
      <c r="AP44" s="1486"/>
      <c r="AQ44" s="1486"/>
      <c r="AR44" s="1486"/>
      <c r="AS44" s="500"/>
      <c r="AT44" s="500"/>
      <c r="AU44" s="500"/>
      <c r="AV44" s="500"/>
      <c r="AW44" s="500"/>
      <c r="AX44" s="500"/>
      <c r="AY44" s="500"/>
      <c r="AZ44" s="500"/>
      <c r="BA44" s="500"/>
    </row>
    <row r="45" spans="1:53" s="631" customFormat="1">
      <c r="A45" s="555"/>
      <c r="B45" s="627"/>
      <c r="C45" s="627"/>
      <c r="D45" s="628"/>
      <c r="E45" s="628"/>
      <c r="F45" s="628"/>
      <c r="G45" s="628"/>
      <c r="H45" s="628"/>
      <c r="I45" s="628"/>
      <c r="J45" s="628"/>
      <c r="K45" s="628"/>
      <c r="L45" s="628"/>
      <c r="M45" s="628"/>
      <c r="N45" s="628"/>
      <c r="O45" s="628"/>
      <c r="P45" s="629"/>
      <c r="Q45" s="630"/>
      <c r="R45" s="628"/>
      <c r="S45" s="628"/>
      <c r="T45" s="628"/>
      <c r="U45" s="628"/>
      <c r="V45" s="628"/>
      <c r="W45" s="628"/>
      <c r="X45" s="628"/>
      <c r="Y45" s="628"/>
      <c r="Z45" s="628"/>
      <c r="AA45" s="628"/>
      <c r="AB45" s="628"/>
      <c r="AC45" s="628"/>
      <c r="AD45" s="628"/>
      <c r="AE45" s="628"/>
      <c r="AF45" s="628"/>
      <c r="AG45" s="628"/>
      <c r="AH45" s="628"/>
      <c r="AI45" s="628"/>
      <c r="AJ45" s="628"/>
      <c r="AK45" s="628"/>
      <c r="AL45" s="628"/>
      <c r="AM45" s="628"/>
      <c r="AN45" s="628"/>
      <c r="AO45" s="628"/>
      <c r="AP45" s="628"/>
      <c r="AQ45" s="628"/>
      <c r="AR45" s="628"/>
      <c r="AS45" s="628"/>
      <c r="AT45" s="628"/>
      <c r="AU45" s="628"/>
      <c r="AV45" s="628"/>
      <c r="AW45" s="628"/>
      <c r="AX45" s="628"/>
      <c r="AY45" s="628"/>
      <c r="AZ45" s="628"/>
      <c r="BA45" s="628"/>
    </row>
    <row r="46" spans="1:53" s="631" customFormat="1">
      <c r="A46" s="555"/>
      <c r="B46" s="627"/>
      <c r="C46" s="627"/>
      <c r="D46" s="628"/>
      <c r="E46" s="628"/>
      <c r="F46" s="628"/>
      <c r="G46" s="628"/>
      <c r="H46" s="628"/>
      <c r="I46" s="628"/>
      <c r="J46" s="628"/>
      <c r="K46" s="628"/>
      <c r="L46" s="628"/>
      <c r="M46" s="628"/>
      <c r="N46" s="628"/>
      <c r="O46" s="628"/>
      <c r="P46" s="629"/>
      <c r="Q46" s="628"/>
      <c r="R46" s="628"/>
      <c r="S46" s="628"/>
      <c r="T46" s="628"/>
      <c r="U46" s="628"/>
      <c r="V46" s="628"/>
      <c r="W46" s="628"/>
      <c r="X46" s="628"/>
      <c r="Y46" s="628"/>
      <c r="Z46" s="628"/>
      <c r="AA46" s="628"/>
      <c r="AB46" s="628"/>
      <c r="AC46" s="628"/>
      <c r="AD46" s="628"/>
      <c r="AE46" s="628"/>
      <c r="AF46" s="628"/>
      <c r="AG46" s="628"/>
      <c r="AH46" s="628"/>
      <c r="AI46" s="628"/>
      <c r="AJ46" s="628"/>
      <c r="AK46" s="628"/>
      <c r="AL46" s="628"/>
      <c r="AM46" s="628"/>
      <c r="AN46" s="628"/>
      <c r="AO46" s="628"/>
      <c r="AP46" s="628"/>
      <c r="AQ46" s="628"/>
      <c r="AR46" s="628"/>
      <c r="AS46" s="628"/>
      <c r="AT46" s="628"/>
      <c r="AU46" s="628"/>
      <c r="AV46" s="628"/>
      <c r="AW46" s="628"/>
      <c r="AX46" s="628"/>
      <c r="AY46" s="628"/>
      <c r="AZ46" s="628"/>
      <c r="BA46" s="628"/>
    </row>
    <row r="47" spans="1:53" s="631" customFormat="1">
      <c r="A47" s="555"/>
      <c r="B47" s="627"/>
      <c r="C47" s="627"/>
      <c r="D47" s="628"/>
      <c r="E47" s="628"/>
      <c r="F47" s="628"/>
      <c r="G47" s="628"/>
      <c r="H47" s="628"/>
      <c r="I47" s="628"/>
      <c r="J47" s="628"/>
      <c r="K47" s="628"/>
      <c r="L47" s="628"/>
      <c r="M47" s="628"/>
      <c r="N47" s="628"/>
      <c r="O47" s="628"/>
      <c r="P47" s="629"/>
      <c r="Q47" s="628"/>
      <c r="R47" s="628"/>
      <c r="S47" s="628"/>
      <c r="T47" s="628"/>
      <c r="U47" s="628"/>
      <c r="V47" s="628"/>
      <c r="W47" s="628"/>
      <c r="X47" s="628"/>
      <c r="Y47" s="628"/>
      <c r="Z47" s="628"/>
      <c r="AA47" s="628"/>
      <c r="AB47" s="628"/>
      <c r="AC47" s="628"/>
      <c r="AD47" s="628"/>
      <c r="AE47" s="628"/>
      <c r="AF47" s="628"/>
      <c r="AG47" s="628"/>
      <c r="AH47" s="628"/>
      <c r="AI47" s="628"/>
      <c r="AJ47" s="628"/>
      <c r="AK47" s="628"/>
      <c r="AL47" s="628"/>
      <c r="AM47" s="628"/>
      <c r="AN47" s="628"/>
      <c r="AO47" s="628"/>
      <c r="AP47" s="628"/>
      <c r="AQ47" s="628"/>
      <c r="AR47" s="628"/>
      <c r="AS47" s="628"/>
      <c r="AT47" s="628"/>
      <c r="AU47" s="628"/>
      <c r="AV47" s="628"/>
      <c r="AW47" s="628"/>
      <c r="AX47" s="628"/>
      <c r="AY47" s="628"/>
      <c r="AZ47" s="628"/>
      <c r="BA47" s="628"/>
    </row>
    <row r="48" spans="1:53" s="631" customFormat="1">
      <c r="A48" s="555"/>
      <c r="B48" s="627"/>
      <c r="C48" s="627"/>
      <c r="D48" s="628"/>
      <c r="E48" s="628"/>
      <c r="F48" s="628"/>
      <c r="G48" s="628"/>
      <c r="H48" s="628"/>
      <c r="I48" s="628"/>
      <c r="J48" s="628"/>
      <c r="K48" s="628"/>
      <c r="L48" s="628"/>
      <c r="M48" s="628"/>
      <c r="N48" s="628"/>
      <c r="O48" s="628"/>
      <c r="P48" s="629"/>
      <c r="Q48" s="628"/>
      <c r="R48" s="628"/>
      <c r="S48" s="628"/>
      <c r="T48" s="628"/>
      <c r="U48" s="628"/>
      <c r="V48" s="628"/>
      <c r="W48" s="628"/>
      <c r="X48" s="628"/>
      <c r="Y48" s="628"/>
      <c r="Z48" s="628"/>
      <c r="AA48" s="628"/>
      <c r="AB48" s="628"/>
      <c r="AC48" s="628"/>
      <c r="AD48" s="628"/>
      <c r="AE48" s="628"/>
      <c r="AF48" s="628"/>
      <c r="AG48" s="628"/>
      <c r="AH48" s="628"/>
      <c r="AI48" s="628"/>
      <c r="AJ48" s="628"/>
      <c r="AK48" s="628"/>
      <c r="AL48" s="628"/>
      <c r="AM48" s="628"/>
      <c r="AN48" s="628"/>
      <c r="AO48" s="628"/>
      <c r="AP48" s="628"/>
      <c r="AQ48" s="628"/>
      <c r="AR48" s="628"/>
      <c r="AS48" s="628"/>
      <c r="AT48" s="628"/>
      <c r="AU48" s="628"/>
      <c r="AV48" s="628"/>
      <c r="AW48" s="628"/>
      <c r="AX48" s="628"/>
      <c r="AY48" s="628"/>
      <c r="AZ48" s="628"/>
      <c r="BA48" s="628"/>
    </row>
    <row r="49" spans="1:53" s="631" customFormat="1">
      <c r="A49" s="555"/>
      <c r="B49" s="627"/>
      <c r="C49" s="627"/>
      <c r="D49" s="628"/>
      <c r="E49" s="628"/>
      <c r="F49" s="628"/>
      <c r="G49" s="628"/>
      <c r="H49" s="628"/>
      <c r="I49" s="628"/>
      <c r="J49" s="628"/>
      <c r="K49" s="632"/>
      <c r="L49" s="628"/>
      <c r="M49" s="628"/>
      <c r="N49" s="628"/>
      <c r="O49" s="628"/>
      <c r="P49" s="629"/>
      <c r="Q49" s="628"/>
      <c r="R49" s="628"/>
      <c r="S49" s="628"/>
      <c r="T49" s="628"/>
      <c r="U49" s="628"/>
      <c r="V49" s="628"/>
      <c r="W49" s="628"/>
      <c r="X49" s="628"/>
      <c r="Y49" s="628"/>
      <c r="Z49" s="628"/>
      <c r="AA49" s="628"/>
      <c r="AB49" s="628"/>
      <c r="AC49" s="628"/>
      <c r="AD49" s="628"/>
      <c r="AE49" s="628"/>
      <c r="AF49" s="628"/>
      <c r="AG49" s="628"/>
      <c r="AH49" s="628"/>
      <c r="AI49" s="628"/>
      <c r="AJ49" s="628"/>
      <c r="AK49" s="628"/>
      <c r="AL49" s="628"/>
      <c r="AM49" s="628"/>
      <c r="AN49" s="628"/>
      <c r="AO49" s="628"/>
      <c r="AP49" s="628"/>
      <c r="AQ49" s="628"/>
      <c r="AR49" s="628"/>
      <c r="AS49" s="628"/>
      <c r="AT49" s="628"/>
      <c r="AU49" s="628"/>
      <c r="AV49" s="628"/>
      <c r="AW49" s="628"/>
      <c r="AX49" s="628"/>
      <c r="AY49" s="628"/>
      <c r="AZ49" s="628"/>
      <c r="BA49" s="628"/>
    </row>
    <row r="50" spans="1:53" s="631" customFormat="1">
      <c r="A50" s="555"/>
      <c r="B50" s="627"/>
      <c r="C50" s="627"/>
      <c r="D50" s="628"/>
      <c r="E50" s="628"/>
      <c r="F50" s="628"/>
      <c r="G50" s="628"/>
      <c r="H50" s="628"/>
      <c r="I50" s="628"/>
      <c r="J50" s="628"/>
      <c r="K50" s="628"/>
      <c r="L50" s="628"/>
      <c r="M50" s="628"/>
      <c r="N50" s="628"/>
      <c r="O50" s="632"/>
      <c r="P50" s="629"/>
      <c r="Q50" s="628"/>
      <c r="R50" s="628"/>
      <c r="S50" s="628"/>
      <c r="T50" s="628"/>
      <c r="U50" s="628"/>
      <c r="V50" s="628"/>
      <c r="W50" s="628"/>
      <c r="X50" s="628"/>
      <c r="Y50" s="628"/>
      <c r="Z50" s="628"/>
      <c r="AA50" s="628"/>
      <c r="AB50" s="628"/>
      <c r="AC50" s="628"/>
      <c r="AD50" s="628"/>
      <c r="AE50" s="628"/>
      <c r="AF50" s="628"/>
      <c r="AG50" s="628"/>
      <c r="AH50" s="628"/>
      <c r="AI50" s="628"/>
      <c r="AJ50" s="628"/>
      <c r="AK50" s="628"/>
      <c r="AL50" s="628"/>
      <c r="AM50" s="628"/>
      <c r="AN50" s="628"/>
      <c r="AO50" s="628"/>
      <c r="AP50" s="628"/>
      <c r="AQ50" s="628"/>
      <c r="AR50" s="628"/>
      <c r="AS50" s="628"/>
      <c r="AT50" s="628"/>
      <c r="AU50" s="628"/>
      <c r="AV50" s="628"/>
      <c r="AW50" s="628"/>
      <c r="AX50" s="628"/>
      <c r="AY50" s="628"/>
      <c r="AZ50" s="628"/>
      <c r="BA50" s="628"/>
    </row>
    <row r="51" spans="1:53" s="631" customFormat="1">
      <c r="A51" s="555"/>
      <c r="B51" s="627"/>
      <c r="C51" s="627"/>
      <c r="D51" s="628"/>
      <c r="E51" s="628"/>
      <c r="F51" s="628"/>
      <c r="G51" s="628"/>
      <c r="H51" s="628"/>
      <c r="I51" s="628"/>
      <c r="J51" s="628"/>
      <c r="K51" s="628"/>
      <c r="L51" s="628"/>
      <c r="M51" s="628"/>
      <c r="N51" s="628"/>
      <c r="O51" s="628"/>
      <c r="P51" s="629"/>
      <c r="Q51" s="628"/>
      <c r="R51" s="628"/>
      <c r="S51" s="628"/>
      <c r="T51" s="628"/>
      <c r="U51" s="628"/>
      <c r="V51" s="628"/>
      <c r="W51" s="628"/>
      <c r="X51" s="628"/>
      <c r="Y51" s="628"/>
      <c r="Z51" s="628"/>
      <c r="AA51" s="628"/>
      <c r="AB51" s="628"/>
      <c r="AC51" s="628"/>
      <c r="AD51" s="628"/>
      <c r="AE51" s="628"/>
      <c r="AF51" s="628"/>
      <c r="AG51" s="628"/>
      <c r="AH51" s="628"/>
      <c r="AI51" s="628"/>
      <c r="AJ51" s="628"/>
      <c r="AK51" s="628"/>
      <c r="AL51" s="628"/>
      <c r="AM51" s="628"/>
      <c r="AN51" s="628"/>
      <c r="AO51" s="628"/>
      <c r="AP51" s="628"/>
      <c r="AQ51" s="628"/>
      <c r="AR51" s="628"/>
      <c r="AS51" s="628"/>
      <c r="AT51" s="628"/>
      <c r="AU51" s="628"/>
      <c r="AV51" s="628"/>
      <c r="AW51" s="628"/>
      <c r="AX51" s="628"/>
      <c r="AY51" s="628"/>
      <c r="AZ51" s="628"/>
      <c r="BA51" s="628"/>
    </row>
    <row r="52" spans="1:53">
      <c r="B52" s="633"/>
      <c r="C52" s="633"/>
      <c r="M52" s="539"/>
      <c r="P52" s="634"/>
    </row>
    <row r="53" spans="1:53">
      <c r="M53" s="539"/>
      <c r="P53" s="634"/>
    </row>
    <row r="54" spans="1:53">
      <c r="M54" s="539"/>
      <c r="P54" s="634"/>
    </row>
    <row r="55" spans="1:53">
      <c r="A55" s="635"/>
      <c r="D55" s="476"/>
      <c r="E55" s="476"/>
      <c r="F55" s="476"/>
      <c r="G55" s="476"/>
      <c r="H55" s="476"/>
      <c r="I55" s="476"/>
      <c r="J55" s="476"/>
      <c r="K55" s="476"/>
      <c r="L55" s="476"/>
      <c r="M55" s="476"/>
      <c r="N55" s="536"/>
      <c r="O55" s="536"/>
      <c r="P55" s="537"/>
      <c r="Q55" s="538"/>
      <c r="R55" s="538"/>
      <c r="S55" s="538"/>
      <c r="T55" s="538"/>
      <c r="U55" s="538"/>
      <c r="V55" s="538"/>
      <c r="W55" s="538"/>
      <c r="X55" s="538"/>
      <c r="Y55" s="538"/>
      <c r="Z55" s="538"/>
      <c r="AA55" s="538"/>
      <c r="AB55" s="538"/>
      <c r="AC55" s="538"/>
      <c r="AD55" s="538"/>
      <c r="AE55" s="538"/>
      <c r="AF55" s="538"/>
      <c r="AG55" s="538"/>
      <c r="AH55" s="538"/>
      <c r="AI55" s="538"/>
      <c r="AJ55" s="538"/>
      <c r="AK55" s="538"/>
      <c r="AL55" s="538"/>
      <c r="AM55" s="538"/>
      <c r="AN55" s="538"/>
      <c r="AO55" s="538"/>
      <c r="AP55" s="538"/>
      <c r="AQ55" s="538"/>
      <c r="AR55" s="538"/>
      <c r="AS55" s="538"/>
      <c r="AT55" s="538"/>
      <c r="AU55" s="538"/>
      <c r="AV55" s="538"/>
      <c r="AW55" s="538"/>
      <c r="AX55" s="538"/>
      <c r="AY55" s="538"/>
      <c r="AZ55" s="538"/>
      <c r="BA55" s="538"/>
    </row>
    <row r="56" spans="1:53">
      <c r="A56" s="635"/>
      <c r="B56" s="2739" t="s">
        <v>605</v>
      </c>
      <c r="C56" s="2741" t="s">
        <v>418</v>
      </c>
      <c r="D56" s="18"/>
      <c r="E56" s="18"/>
      <c r="F56" s="540"/>
      <c r="G56" s="540"/>
      <c r="H56" s="540"/>
      <c r="I56" s="540"/>
      <c r="J56" s="540"/>
      <c r="K56" s="540"/>
      <c r="L56" s="540"/>
      <c r="M56" s="540"/>
      <c r="N56" s="540"/>
      <c r="O56" s="540"/>
      <c r="P56" s="838"/>
      <c r="Q56" s="542"/>
      <c r="R56" s="542"/>
      <c r="S56" s="542"/>
      <c r="T56" s="542"/>
      <c r="U56" s="542"/>
      <c r="V56" s="542"/>
      <c r="W56" s="542"/>
      <c r="X56" s="542"/>
      <c r="Y56" s="542"/>
      <c r="Z56" s="542"/>
      <c r="AA56" s="542"/>
      <c r="AB56" s="542"/>
      <c r="AC56" s="542"/>
      <c r="AD56" s="542"/>
      <c r="AE56" s="542"/>
      <c r="AF56" s="542"/>
      <c r="AG56" s="542"/>
      <c r="AH56" s="542"/>
      <c r="AI56" s="542"/>
      <c r="AJ56" s="542"/>
      <c r="AK56" s="542"/>
      <c r="AL56" s="542"/>
      <c r="AM56" s="542"/>
      <c r="AN56" s="542"/>
      <c r="AO56" s="542"/>
      <c r="AP56" s="542"/>
      <c r="AQ56" s="542"/>
      <c r="AR56" s="542"/>
      <c r="AS56" s="542"/>
      <c r="AT56" s="542"/>
      <c r="AU56" s="542"/>
      <c r="AV56" s="542"/>
      <c r="AW56" s="542"/>
      <c r="AX56" s="542"/>
      <c r="AY56" s="542"/>
      <c r="AZ56" s="542"/>
      <c r="BA56" s="542"/>
    </row>
    <row r="57" spans="1:53" ht="13.8" thickBot="1">
      <c r="A57" s="635"/>
      <c r="B57" s="2740"/>
      <c r="C57" s="2743"/>
      <c r="D57" s="636">
        <v>41274</v>
      </c>
      <c r="E57" s="545">
        <f>DATE(YEAR(D57),MONTH(D57)+13,0)</f>
        <v>41639</v>
      </c>
      <c r="F57" s="545">
        <f t="shared" ref="F57:G57" si="10">DATE(YEAR(E57),MONTH(E57)+13,0)</f>
        <v>42004</v>
      </c>
      <c r="G57" s="545">
        <f t="shared" si="10"/>
        <v>42369</v>
      </c>
      <c r="H57" s="545">
        <f t="shared" ref="H57" si="11">DATE(YEAR(G57),MONTH(G57)+13,0)</f>
        <v>42735</v>
      </c>
      <c r="I57" s="545">
        <f t="shared" ref="I57" si="12">DATE(YEAR(H57),MONTH(H57)+13,0)</f>
        <v>43100</v>
      </c>
      <c r="J57" s="545">
        <f t="shared" ref="J57" si="13">DATE(YEAR(I57),MONTH(I57)+13,0)</f>
        <v>43465</v>
      </c>
      <c r="K57" s="545">
        <f t="shared" ref="K57" si="14">DATE(YEAR(J57),MONTH(J57)+13,0)</f>
        <v>43830</v>
      </c>
      <c r="L57" s="545">
        <f t="shared" ref="L57" si="15">DATE(YEAR(K57),MONTH(K57)+13,0)</f>
        <v>44196</v>
      </c>
      <c r="M57" s="545">
        <f t="shared" ref="M57" si="16">DATE(YEAR(L57),MONTH(L57)+13,0)</f>
        <v>44561</v>
      </c>
      <c r="N57" s="545">
        <f t="shared" ref="N57" si="17">DATE(YEAR(M57),MONTH(M57)+13,0)</f>
        <v>44926</v>
      </c>
      <c r="O57" s="545">
        <f t="shared" ref="O57" si="18">DATE(YEAR(N57),MONTH(N57)+13,0)</f>
        <v>45291</v>
      </c>
      <c r="P57" s="546">
        <f t="shared" ref="P57" si="19">DATE(YEAR(O57),MONTH(O57)+13,0)</f>
        <v>45657</v>
      </c>
      <c r="Q57" s="2598">
        <f t="shared" ref="Q57" si="20">DATE(YEAR(P57),MONTH(P57)+13,0)</f>
        <v>46022</v>
      </c>
      <c r="R57" s="2598">
        <f t="shared" ref="R57" si="21">DATE(YEAR(Q57),MONTH(Q57)+13,0)</f>
        <v>46387</v>
      </c>
      <c r="S57" s="2598">
        <f t="shared" ref="S57" si="22">DATE(YEAR(R57),MONTH(R57)+13,0)</f>
        <v>46752</v>
      </c>
      <c r="T57" s="2598">
        <f t="shared" ref="T57" si="23">DATE(YEAR(S57),MONTH(S57)+13,0)</f>
        <v>47118</v>
      </c>
      <c r="U57" s="2598">
        <f t="shared" ref="U57" si="24">DATE(YEAR(T57),MONTH(T57)+13,0)</f>
        <v>47483</v>
      </c>
      <c r="V57" s="2598">
        <f t="shared" ref="V57" si="25">DATE(YEAR(U57),MONTH(U57)+13,0)</f>
        <v>47848</v>
      </c>
      <c r="W57" s="2598">
        <f t="shared" ref="W57" si="26">DATE(YEAR(V57),MONTH(V57)+13,0)</f>
        <v>48213</v>
      </c>
      <c r="X57" s="2598">
        <f t="shared" ref="X57" si="27">DATE(YEAR(W57),MONTH(W57)+13,0)</f>
        <v>48579</v>
      </c>
      <c r="Y57" s="2598">
        <f t="shared" ref="Y57" si="28">DATE(YEAR(X57),MONTH(X57)+13,0)</f>
        <v>48944</v>
      </c>
      <c r="Z57" s="2598">
        <f t="shared" ref="Z57" si="29">DATE(YEAR(Y57),MONTH(Y57)+13,0)</f>
        <v>49309</v>
      </c>
      <c r="AA57" s="2598">
        <f t="shared" ref="AA57" si="30">DATE(YEAR(Z57),MONTH(Z57)+13,0)</f>
        <v>49674</v>
      </c>
      <c r="AB57" s="2598">
        <f t="shared" ref="AB57" si="31">DATE(YEAR(AA57),MONTH(AA57)+13,0)</f>
        <v>50040</v>
      </c>
      <c r="AC57" s="2598">
        <f t="shared" ref="AC57" si="32">DATE(YEAR(AB57),MONTH(AB57)+13,0)</f>
        <v>50405</v>
      </c>
      <c r="AD57" s="2598">
        <f t="shared" ref="AD57" si="33">DATE(YEAR(AC57),MONTH(AC57)+13,0)</f>
        <v>50770</v>
      </c>
      <c r="AE57" s="2598">
        <f t="shared" ref="AE57" si="34">DATE(YEAR(AD57),MONTH(AD57)+13,0)</f>
        <v>51135</v>
      </c>
      <c r="AF57" s="2598">
        <f t="shared" ref="AF57" si="35">DATE(YEAR(AE57),MONTH(AE57)+13,0)</f>
        <v>51501</v>
      </c>
      <c r="AG57" s="2598">
        <f t="shared" ref="AG57" si="36">DATE(YEAR(AF57),MONTH(AF57)+13,0)</f>
        <v>51866</v>
      </c>
      <c r="AH57" s="2598">
        <f t="shared" ref="AH57" si="37">DATE(YEAR(AG57),MONTH(AG57)+13,0)</f>
        <v>52231</v>
      </c>
      <c r="AI57" s="2598">
        <f t="shared" ref="AI57" si="38">DATE(YEAR(AH57),MONTH(AH57)+13,0)</f>
        <v>52596</v>
      </c>
      <c r="AJ57" s="2598">
        <f t="shared" ref="AJ57" si="39">DATE(YEAR(AI57),MONTH(AI57)+13,0)</f>
        <v>52962</v>
      </c>
      <c r="AK57" s="2598">
        <f t="shared" ref="AK57" si="40">DATE(YEAR(AJ57),MONTH(AJ57)+13,0)</f>
        <v>53327</v>
      </c>
      <c r="AL57" s="2598">
        <f t="shared" ref="AL57" si="41">DATE(YEAR(AK57),MONTH(AK57)+13,0)</f>
        <v>53692</v>
      </c>
      <c r="AM57" s="2598">
        <f t="shared" ref="AM57" si="42">DATE(YEAR(AL57),MONTH(AL57)+13,0)</f>
        <v>54057</v>
      </c>
      <c r="AN57" s="2598">
        <f t="shared" ref="AN57" si="43">DATE(YEAR(AM57),MONTH(AM57)+13,0)</f>
        <v>54423</v>
      </c>
      <c r="AO57" s="2598">
        <f t="shared" ref="AO57" si="44">DATE(YEAR(AN57),MONTH(AN57)+13,0)</f>
        <v>54788</v>
      </c>
      <c r="AP57" s="2598">
        <f t="shared" ref="AP57" si="45">DATE(YEAR(AO57),MONTH(AO57)+13,0)</f>
        <v>55153</v>
      </c>
      <c r="AQ57" s="2598">
        <f t="shared" ref="AQ57" si="46">DATE(YEAR(AP57),MONTH(AP57)+13,0)</f>
        <v>55518</v>
      </c>
      <c r="AR57" s="2598">
        <f t="shared" ref="AR57" si="47">DATE(YEAR(AQ57),MONTH(AQ57)+13,0)</f>
        <v>55884</v>
      </c>
      <c r="AS57" s="547"/>
      <c r="AT57" s="547"/>
      <c r="AU57" s="547"/>
      <c r="AV57" s="547"/>
      <c r="AW57" s="547"/>
      <c r="AX57" s="547"/>
      <c r="AY57" s="547"/>
      <c r="AZ57" s="547"/>
      <c r="BA57" s="547"/>
    </row>
    <row r="58" spans="1:53" ht="13.8" thickTop="1">
      <c r="A58" s="635"/>
      <c r="B58" s="18" t="s">
        <v>606</v>
      </c>
      <c r="C58" s="18" t="s">
        <v>419</v>
      </c>
      <c r="D58" s="551"/>
      <c r="E58" s="329"/>
      <c r="F58" s="329"/>
      <c r="G58" s="329"/>
      <c r="H58" s="329"/>
      <c r="I58" s="329"/>
      <c r="J58" s="329"/>
      <c r="K58" s="329"/>
      <c r="L58" s="329"/>
      <c r="M58" s="329"/>
      <c r="N58" s="329"/>
      <c r="O58" s="329"/>
      <c r="P58" s="637"/>
      <c r="Q58" s="329"/>
      <c r="R58" s="329"/>
      <c r="S58" s="329"/>
      <c r="T58" s="329"/>
      <c r="U58" s="329"/>
      <c r="V58" s="329"/>
      <c r="W58" s="329"/>
      <c r="X58" s="329"/>
      <c r="Y58" s="329"/>
      <c r="Z58" s="329"/>
      <c r="AA58" s="329"/>
      <c r="AB58" s="329"/>
      <c r="AC58" s="329"/>
      <c r="AD58" s="329"/>
      <c r="AE58" s="329"/>
      <c r="AF58" s="329"/>
      <c r="AG58" s="329"/>
      <c r="AH58" s="329"/>
      <c r="AI58" s="329"/>
      <c r="AJ58" s="329"/>
      <c r="AK58" s="329"/>
      <c r="AL58" s="329"/>
      <c r="AM58" s="329"/>
      <c r="AN58" s="329"/>
      <c r="AO58" s="329"/>
      <c r="AP58" s="329"/>
      <c r="AQ58" s="329"/>
      <c r="AR58" s="329"/>
      <c r="AS58" s="329"/>
      <c r="AT58" s="329"/>
      <c r="AU58" s="329"/>
      <c r="AV58" s="329"/>
      <c r="AW58" s="329"/>
      <c r="AX58" s="329"/>
      <c r="AY58" s="329"/>
      <c r="AZ58" s="329"/>
      <c r="BA58" s="329"/>
    </row>
    <row r="59" spans="1:53">
      <c r="A59" s="86"/>
      <c r="B59" s="87" t="s">
        <v>607</v>
      </c>
      <c r="C59" s="122"/>
      <c r="D59" s="89"/>
      <c r="E59" s="89"/>
      <c r="F59" s="89"/>
      <c r="G59" s="89"/>
      <c r="H59" s="89"/>
      <c r="I59" s="90"/>
      <c r="J59" s="90"/>
      <c r="K59" s="90">
        <f>K60+K61</f>
        <v>471.173323541</v>
      </c>
      <c r="L59" s="90">
        <f t="shared" ref="L59:Z59" si="48">L60+L61</f>
        <v>509.99535087300001</v>
      </c>
      <c r="M59" s="90">
        <f t="shared" si="48"/>
        <v>427.65273090400001</v>
      </c>
      <c r="N59" s="90">
        <f t="shared" si="48"/>
        <v>2125.6252915599998</v>
      </c>
      <c r="O59" s="90">
        <f t="shared" si="48"/>
        <v>2284.3997887720002</v>
      </c>
      <c r="P59" s="90">
        <f t="shared" si="48"/>
        <v>1903.248325989</v>
      </c>
      <c r="Q59" s="984">
        <f t="shared" ca="1" si="48"/>
        <v>2701.1738918776446</v>
      </c>
      <c r="R59" s="984">
        <f t="shared" ca="1" si="48"/>
        <v>3135.0965236377901</v>
      </c>
      <c r="S59" s="984">
        <f t="shared" ca="1" si="48"/>
        <v>3137.4176211543613</v>
      </c>
      <c r="T59" s="984">
        <f t="shared" ca="1" si="48"/>
        <v>3867.4171858535392</v>
      </c>
      <c r="U59" s="984">
        <f t="shared" ca="1" si="48"/>
        <v>4329.2237196818278</v>
      </c>
      <c r="V59" s="984">
        <f t="shared" ca="1" si="48"/>
        <v>3844.848142300692</v>
      </c>
      <c r="W59" s="984">
        <f t="shared" ca="1" si="48"/>
        <v>4112.178659523629</v>
      </c>
      <c r="X59" s="984">
        <f t="shared" ca="1" si="48"/>
        <v>4373.6470410809279</v>
      </c>
      <c r="Y59" s="984">
        <f t="shared" ca="1" si="48"/>
        <v>4640.8002786566958</v>
      </c>
      <c r="Z59" s="984">
        <f t="shared" ca="1" si="48"/>
        <v>4840.4743234377711</v>
      </c>
      <c r="AA59" s="142"/>
      <c r="AB59" s="143"/>
      <c r="AC59" s="143"/>
      <c r="AD59" s="143"/>
      <c r="AE59" s="143"/>
      <c r="AF59" s="143"/>
      <c r="AG59" s="143"/>
      <c r="AH59" s="143"/>
      <c r="AI59" s="143"/>
      <c r="AJ59" s="143"/>
      <c r="AK59" s="143"/>
      <c r="AL59" s="143"/>
      <c r="AM59" s="143"/>
      <c r="AN59" s="143"/>
      <c r="AO59" s="143"/>
      <c r="AP59" s="143"/>
      <c r="AQ59" s="143"/>
      <c r="AR59" s="143"/>
      <c r="AS59" s="143"/>
      <c r="AT59" s="143"/>
      <c r="AU59" s="143"/>
      <c r="AV59" s="143"/>
      <c r="AW59" s="143"/>
      <c r="AX59" s="143"/>
      <c r="AY59" s="143"/>
      <c r="AZ59" s="143"/>
      <c r="BA59" s="143"/>
    </row>
    <row r="60" spans="1:53">
      <c r="A60" s="573">
        <v>1</v>
      </c>
      <c r="B60" s="638" t="s">
        <v>608</v>
      </c>
      <c r="C60" s="639" t="s">
        <v>351</v>
      </c>
      <c r="D60" s="593"/>
      <c r="E60" s="593"/>
      <c r="F60" s="593"/>
      <c r="G60" s="593"/>
      <c r="H60" s="593"/>
      <c r="I60" s="594"/>
      <c r="J60" s="594"/>
      <c r="K60" s="594">
        <f>Input!K158</f>
        <v>0</v>
      </c>
      <c r="L60" s="594">
        <f>Input!L158</f>
        <v>0</v>
      </c>
      <c r="M60" s="594">
        <f>Input!M158</f>
        <v>0</v>
      </c>
      <c r="N60" s="594">
        <f>Input!N158</f>
        <v>0</v>
      </c>
      <c r="O60" s="594">
        <f>Input!O158</f>
        <v>0</v>
      </c>
      <c r="P60" s="594">
        <f>Input!P158</f>
        <v>0</v>
      </c>
      <c r="Q60" s="2604">
        <f ca="1">Input!Q158</f>
        <v>1.286453767450439</v>
      </c>
      <c r="R60" s="2604">
        <f ca="1">Input!R158</f>
        <v>3.394358959809324</v>
      </c>
      <c r="S60" s="2604">
        <f ca="1">Input!S158</f>
        <v>1.6164403504626534</v>
      </c>
      <c r="T60" s="2604">
        <f ca="1">Input!T158</f>
        <v>2.0699449155581533</v>
      </c>
      <c r="U60" s="2604">
        <f ca="1">Input!U158</f>
        <v>5.7548908009739534</v>
      </c>
      <c r="V60" s="2604">
        <f ca="1">Input!V158</f>
        <v>6.2808563871731167</v>
      </c>
      <c r="W60" s="2604">
        <f ca="1">Input!W158</f>
        <v>8.1178663285536459</v>
      </c>
      <c r="X60" s="2604">
        <f ca="1">Input!X158</f>
        <v>6.6192350479977904</v>
      </c>
      <c r="Y60" s="2604">
        <f ca="1">Input!Y158</f>
        <v>3.1430284102243604</v>
      </c>
      <c r="Z60" s="2604">
        <f ca="1">Input!Z158</f>
        <v>3.4849330036377069</v>
      </c>
      <c r="AA60" s="596"/>
      <c r="AB60" s="597"/>
      <c r="AC60" s="597"/>
      <c r="AD60" s="597"/>
      <c r="AE60" s="597"/>
      <c r="AF60" s="597"/>
      <c r="AG60" s="597"/>
      <c r="AH60" s="597"/>
      <c r="AI60" s="597"/>
      <c r="AJ60" s="597"/>
      <c r="AK60" s="597"/>
      <c r="AL60" s="597"/>
      <c r="AM60" s="597"/>
      <c r="AN60" s="597"/>
      <c r="AO60" s="597"/>
      <c r="AP60" s="597"/>
      <c r="AQ60" s="597"/>
      <c r="AR60" s="597"/>
      <c r="AS60" s="597"/>
      <c r="AT60" s="597"/>
      <c r="AU60" s="597"/>
      <c r="AV60" s="597"/>
      <c r="AW60" s="597"/>
      <c r="AX60" s="597"/>
      <c r="AY60" s="597"/>
      <c r="AZ60" s="597"/>
      <c r="BA60" s="597"/>
    </row>
    <row r="61" spans="1:53">
      <c r="A61" s="573">
        <v>2</v>
      </c>
      <c r="B61" s="638" t="s">
        <v>609</v>
      </c>
      <c r="C61" s="639" t="s">
        <v>352</v>
      </c>
      <c r="D61" s="593"/>
      <c r="E61" s="593"/>
      <c r="F61" s="593"/>
      <c r="G61" s="593"/>
      <c r="H61" s="593"/>
      <c r="I61" s="594"/>
      <c r="J61" s="594"/>
      <c r="K61" s="594">
        <f>+Input!K166</f>
        <v>471.173323541</v>
      </c>
      <c r="L61" s="594">
        <f>+Input!L166</f>
        <v>509.99535087300001</v>
      </c>
      <c r="M61" s="594">
        <f>+Input!M166</f>
        <v>427.65273090400001</v>
      </c>
      <c r="N61" s="594">
        <f>+Input!N166</f>
        <v>2125.6252915599998</v>
      </c>
      <c r="O61" s="594">
        <f>+Input!O166</f>
        <v>2284.3997887720002</v>
      </c>
      <c r="P61" s="594">
        <f>+Input!P166</f>
        <v>1903.248325989</v>
      </c>
      <c r="Q61" s="2604">
        <f>+Input!Q166</f>
        <v>2699.8874381101941</v>
      </c>
      <c r="R61" s="2604">
        <f>+Input!R166</f>
        <v>3131.7021646779808</v>
      </c>
      <c r="S61" s="2604">
        <f>+Input!S166</f>
        <v>3135.8011808038987</v>
      </c>
      <c r="T61" s="2604">
        <f>+Input!T166</f>
        <v>3865.347240937981</v>
      </c>
      <c r="U61" s="2604">
        <f>+Input!U166</f>
        <v>4323.4688288808538</v>
      </c>
      <c r="V61" s="2604">
        <f>+Input!V166</f>
        <v>3838.5672859135188</v>
      </c>
      <c r="W61" s="2604">
        <f>+Input!W166</f>
        <v>4104.0607931950753</v>
      </c>
      <c r="X61" s="2604">
        <f>+Input!X166</f>
        <v>4367.0278060329301</v>
      </c>
      <c r="Y61" s="2604">
        <f>+Input!Y166</f>
        <v>4637.6572502464714</v>
      </c>
      <c r="Z61" s="2604">
        <f>+Input!Z166</f>
        <v>4836.9893904341334</v>
      </c>
      <c r="AA61" s="596"/>
      <c r="AB61" s="597"/>
      <c r="AC61" s="597"/>
      <c r="AD61" s="597"/>
      <c r="AE61" s="597"/>
      <c r="AF61" s="597"/>
      <c r="AG61" s="597"/>
      <c r="AH61" s="597"/>
      <c r="AI61" s="597"/>
      <c r="AJ61" s="597"/>
      <c r="AK61" s="597"/>
      <c r="AL61" s="597"/>
      <c r="AM61" s="597"/>
      <c r="AN61" s="597"/>
      <c r="AO61" s="597"/>
      <c r="AP61" s="597"/>
      <c r="AQ61" s="597"/>
      <c r="AR61" s="597"/>
      <c r="AS61" s="597"/>
      <c r="AT61" s="597"/>
      <c r="AU61" s="597"/>
      <c r="AV61" s="597"/>
      <c r="AW61" s="597"/>
      <c r="AX61" s="597"/>
      <c r="AY61" s="597"/>
      <c r="AZ61" s="597"/>
      <c r="BA61" s="597"/>
    </row>
    <row r="62" spans="1:53">
      <c r="A62" s="86">
        <v>3</v>
      </c>
      <c r="B62" s="87" t="s">
        <v>610</v>
      </c>
      <c r="C62" s="87" t="s">
        <v>434</v>
      </c>
      <c r="D62" s="89"/>
      <c r="E62" s="89"/>
      <c r="F62" s="89"/>
      <c r="G62" s="89"/>
      <c r="H62" s="89"/>
      <c r="I62" s="90"/>
      <c r="J62" s="90"/>
      <c r="K62" s="90">
        <f>+Input!K176</f>
        <v>2002</v>
      </c>
      <c r="L62" s="90">
        <f>+Input!L176</f>
        <v>2302</v>
      </c>
      <c r="M62" s="90">
        <f>+Input!M176</f>
        <v>4362</v>
      </c>
      <c r="N62" s="90">
        <f>+Input!N176</f>
        <v>6812</v>
      </c>
      <c r="O62" s="90">
        <f>+Input!O176</f>
        <v>8242</v>
      </c>
      <c r="P62" s="90">
        <f>+Input!P176</f>
        <v>7039.0512328770001</v>
      </c>
      <c r="Q62" s="984">
        <f>+Input!Q176</f>
        <v>7240.5269734545445</v>
      </c>
      <c r="R62" s="984">
        <f>+Input!R176</f>
        <v>8369.0462558123163</v>
      </c>
      <c r="S62" s="984">
        <f>+Input!S176</f>
        <v>9866.9949350453426</v>
      </c>
      <c r="T62" s="984">
        <f>+Input!T176</f>
        <v>11827.517834256236</v>
      </c>
      <c r="U62" s="984">
        <f>+Input!U176</f>
        <v>13701.92128705046</v>
      </c>
      <c r="V62" s="984">
        <f>+Input!V176</f>
        <v>15142.693271513081</v>
      </c>
      <c r="W62" s="984">
        <f>+Input!W176</f>
        <v>16203.771572201886</v>
      </c>
      <c r="X62" s="984">
        <f>+Input!X176</f>
        <v>17460.158961054767</v>
      </c>
      <c r="Y62" s="984">
        <f>+Input!Y176</f>
        <v>18695.94997251192</v>
      </c>
      <c r="Z62" s="984">
        <f>+Input!Z176</f>
        <v>19404.118316195578</v>
      </c>
      <c r="AA62" s="142"/>
      <c r="AB62" s="143"/>
      <c r="AC62" s="143"/>
      <c r="AD62" s="143"/>
      <c r="AE62" s="143"/>
      <c r="AF62" s="143"/>
      <c r="AG62" s="143"/>
      <c r="AH62" s="143"/>
      <c r="AI62" s="143"/>
      <c r="AJ62" s="143"/>
      <c r="AK62" s="143"/>
      <c r="AL62" s="143"/>
      <c r="AM62" s="143"/>
      <c r="AN62" s="143"/>
      <c r="AO62" s="143"/>
      <c r="AP62" s="143"/>
      <c r="AQ62" s="143"/>
      <c r="AR62" s="143"/>
      <c r="AS62" s="143"/>
      <c r="AT62" s="143"/>
      <c r="AU62" s="143"/>
      <c r="AV62" s="143"/>
      <c r="AW62" s="143"/>
      <c r="AX62" s="143"/>
      <c r="AY62" s="143"/>
      <c r="AZ62" s="143"/>
      <c r="BA62" s="143"/>
    </row>
    <row r="63" spans="1:53">
      <c r="A63" s="86">
        <v>4</v>
      </c>
      <c r="B63" s="651" t="s">
        <v>611</v>
      </c>
      <c r="C63" s="87" t="s">
        <v>453</v>
      </c>
      <c r="D63" s="89"/>
      <c r="E63" s="89"/>
      <c r="F63" s="89"/>
      <c r="G63" s="89"/>
      <c r="H63" s="89"/>
      <c r="I63" s="90"/>
      <c r="J63" s="90"/>
      <c r="K63" s="90">
        <f>+Input!K195</f>
        <v>401.90973443600001</v>
      </c>
      <c r="L63" s="90">
        <f>+Input!L195</f>
        <v>217.396300223</v>
      </c>
      <c r="M63" s="90">
        <f>+Input!M195</f>
        <v>187.45807717599999</v>
      </c>
      <c r="N63" s="90">
        <f>+Input!N195</f>
        <v>188.14970842400001</v>
      </c>
      <c r="O63" s="90">
        <f>+Input!O195</f>
        <v>365.83832569700002</v>
      </c>
      <c r="P63" s="90">
        <f>+Input!P195</f>
        <v>528.62319192699999</v>
      </c>
      <c r="Q63" s="2617">
        <f>+Input!Q195</f>
        <v>707.6839334266059</v>
      </c>
      <c r="R63" s="984">
        <f>+Input!R195</f>
        <v>770.21438361429773</v>
      </c>
      <c r="S63" s="984">
        <f>+Input!S195</f>
        <v>801.6352077174198</v>
      </c>
      <c r="T63" s="984">
        <f>+Input!T195</f>
        <v>1096.4912703996604</v>
      </c>
      <c r="U63" s="984">
        <f>+Input!U195</f>
        <v>1029.4911553331885</v>
      </c>
      <c r="V63" s="984">
        <f>+Input!V195</f>
        <v>1013.680181095388</v>
      </c>
      <c r="W63" s="984">
        <f>+Input!W195</f>
        <v>1022.5921282666756</v>
      </c>
      <c r="X63" s="984">
        <f>+Input!X195</f>
        <v>1056.2495420335272</v>
      </c>
      <c r="Y63" s="984">
        <f>+Input!Y195</f>
        <v>1118.4303066230393</v>
      </c>
      <c r="Z63" s="984">
        <f>+Input!Z195</f>
        <v>1147.3553125259837</v>
      </c>
      <c r="AA63" s="142"/>
      <c r="AB63" s="143"/>
      <c r="AC63" s="143"/>
      <c r="AD63" s="143"/>
      <c r="AE63" s="143"/>
      <c r="AF63" s="143"/>
      <c r="AG63" s="143"/>
      <c r="AH63" s="143"/>
      <c r="AI63" s="143"/>
      <c r="AJ63" s="143"/>
      <c r="AK63" s="143"/>
      <c r="AL63" s="143"/>
      <c r="AM63" s="143"/>
      <c r="AN63" s="143"/>
      <c r="AO63" s="143"/>
      <c r="AP63" s="143"/>
      <c r="AQ63" s="143"/>
      <c r="AR63" s="143"/>
      <c r="AS63" s="143"/>
      <c r="AT63" s="143"/>
      <c r="AU63" s="143"/>
      <c r="AV63" s="143"/>
      <c r="AW63" s="143"/>
      <c r="AX63" s="143"/>
      <c r="AY63" s="143"/>
      <c r="AZ63" s="143"/>
      <c r="BA63" s="143"/>
    </row>
    <row r="64" spans="1:53">
      <c r="A64" s="86">
        <v>5</v>
      </c>
      <c r="B64" s="651" t="s">
        <v>177</v>
      </c>
      <c r="C64" s="87" t="s">
        <v>470</v>
      </c>
      <c r="D64" s="89"/>
      <c r="E64" s="89"/>
      <c r="F64" s="89"/>
      <c r="G64" s="89"/>
      <c r="H64" s="89"/>
      <c r="I64" s="90"/>
      <c r="J64" s="90"/>
      <c r="K64" s="90">
        <f>Input!K207</f>
        <v>1301.1230715409999</v>
      </c>
      <c r="L64" s="90">
        <f>Input!L207</f>
        <v>834.13488603799999</v>
      </c>
      <c r="M64" s="90">
        <f>Input!M207</f>
        <v>2204.0777077339999</v>
      </c>
      <c r="N64" s="90">
        <f>Input!N207</f>
        <v>2282.5277024090001</v>
      </c>
      <c r="O64" s="90">
        <f>Input!O207</f>
        <v>2160.5881618560002</v>
      </c>
      <c r="P64" s="90">
        <f>Input!P207</f>
        <v>2950.3006368440001</v>
      </c>
      <c r="Q64" s="984">
        <f>Input!Q207</f>
        <v>3932.8570885216805</v>
      </c>
      <c r="R64" s="984">
        <f>Input!R207</f>
        <v>4099.4140757093919</v>
      </c>
      <c r="S64" s="984">
        <f>Input!S207</f>
        <v>3988.5857813988309</v>
      </c>
      <c r="T64" s="984">
        <f>Input!T207</f>
        <v>4919.5163940431257</v>
      </c>
      <c r="U64" s="984">
        <f>Input!U207</f>
        <v>4622.5026425816868</v>
      </c>
      <c r="V64" s="984">
        <f>Input!V207</f>
        <v>4477.2886816885384</v>
      </c>
      <c r="W64" s="984">
        <f>Input!W207</f>
        <v>4715.8645422812715</v>
      </c>
      <c r="X64" s="984">
        <f>Input!X207</f>
        <v>4770.0805313353621</v>
      </c>
      <c r="Y64" s="984">
        <f>Input!Y207</f>
        <v>4929.5030409536612</v>
      </c>
      <c r="Z64" s="984">
        <f>Input!Z207</f>
        <v>5113.4870052798842</v>
      </c>
      <c r="AA64" s="142"/>
      <c r="AB64" s="143"/>
      <c r="AC64" s="143"/>
      <c r="AD64" s="143"/>
      <c r="AE64" s="143"/>
      <c r="AF64" s="143"/>
      <c r="AG64" s="143"/>
      <c r="AH64" s="143"/>
      <c r="AI64" s="143"/>
      <c r="AJ64" s="143"/>
      <c r="AK64" s="143"/>
      <c r="AL64" s="143"/>
      <c r="AM64" s="143"/>
      <c r="AN64" s="143"/>
      <c r="AO64" s="143"/>
      <c r="AP64" s="143"/>
      <c r="AQ64" s="143"/>
      <c r="AR64" s="143"/>
      <c r="AS64" s="143"/>
      <c r="AT64" s="143"/>
      <c r="AU64" s="143"/>
      <c r="AV64" s="143"/>
      <c r="AW64" s="143"/>
      <c r="AX64" s="143"/>
      <c r="AY64" s="143"/>
      <c r="AZ64" s="143"/>
      <c r="BA64" s="143"/>
    </row>
    <row r="65" spans="1:55">
      <c r="A65" s="86">
        <v>6</v>
      </c>
      <c r="B65" s="651" t="s">
        <v>612</v>
      </c>
      <c r="C65" s="87" t="s">
        <v>472</v>
      </c>
      <c r="D65" s="89"/>
      <c r="E65" s="89"/>
      <c r="F65" s="89"/>
      <c r="G65" s="89"/>
      <c r="H65" s="89"/>
      <c r="I65" s="90"/>
      <c r="J65" s="90"/>
      <c r="K65" s="90">
        <f>Input!K211</f>
        <v>73.830829320000007</v>
      </c>
      <c r="L65" s="90">
        <f>Input!L211</f>
        <v>114.665589805</v>
      </c>
      <c r="M65" s="90">
        <f>Input!M211</f>
        <v>95.103133615000004</v>
      </c>
      <c r="N65" s="90">
        <f>Input!N211</f>
        <v>215.88388823899999</v>
      </c>
      <c r="O65" s="90">
        <f>Input!O211</f>
        <v>451.66914876099997</v>
      </c>
      <c r="P65" s="90">
        <f>Input!P211</f>
        <v>499.639397159</v>
      </c>
      <c r="Q65" s="984">
        <f>Input!Q211</f>
        <v>715.10567180137173</v>
      </c>
      <c r="R65" s="984">
        <f>Input!R211</f>
        <v>841.92393402484561</v>
      </c>
      <c r="S65" s="984">
        <f>Input!S211</f>
        <v>961.72143341036758</v>
      </c>
      <c r="T65" s="984">
        <f>Input!T211</f>
        <v>1286.1490857138494</v>
      </c>
      <c r="U65" s="984">
        <f>Input!U211</f>
        <v>1404.8258378103051</v>
      </c>
      <c r="V65" s="984">
        <f>Input!V211</f>
        <v>1411.3727173778148</v>
      </c>
      <c r="W65" s="984">
        <f>Input!W211</f>
        <v>1559.350947280162</v>
      </c>
      <c r="X65" s="984">
        <f>Input!X211</f>
        <v>1715.1559060125137</v>
      </c>
      <c r="Y65" s="984">
        <f>Input!Y211</f>
        <v>1934.7342624972723</v>
      </c>
      <c r="Z65" s="984">
        <f>Input!Z211</f>
        <v>2096.1364814473559</v>
      </c>
      <c r="AA65" s="142"/>
      <c r="AB65" s="143"/>
      <c r="AC65" s="143"/>
      <c r="AD65" s="143"/>
      <c r="AE65" s="143"/>
      <c r="AF65" s="143"/>
      <c r="AG65" s="143"/>
      <c r="AH65" s="143"/>
      <c r="AI65" s="143"/>
      <c r="AJ65" s="143"/>
      <c r="AK65" s="143"/>
      <c r="AL65" s="143"/>
      <c r="AM65" s="143"/>
      <c r="AN65" s="143"/>
      <c r="AO65" s="143"/>
      <c r="AP65" s="143"/>
      <c r="AQ65" s="143"/>
      <c r="AR65" s="143"/>
      <c r="AS65" s="143"/>
      <c r="AT65" s="143"/>
      <c r="AU65" s="143"/>
      <c r="AV65" s="143"/>
      <c r="AW65" s="143"/>
      <c r="AX65" s="143"/>
      <c r="AY65" s="143"/>
      <c r="AZ65" s="143"/>
      <c r="BA65" s="143"/>
    </row>
    <row r="66" spans="1:55">
      <c r="A66" s="86"/>
      <c r="B66" s="2618" t="s">
        <v>613</v>
      </c>
      <c r="C66" s="104" t="s">
        <v>614</v>
      </c>
      <c r="D66" s="136"/>
      <c r="E66" s="136"/>
      <c r="F66" s="136"/>
      <c r="G66" s="136"/>
      <c r="H66" s="136"/>
      <c r="I66" s="137"/>
      <c r="J66" s="137"/>
      <c r="K66" s="137">
        <f>SUM(K62:K65)+K59</f>
        <v>4250.0369588379999</v>
      </c>
      <c r="L66" s="137">
        <f t="shared" ref="L66:Z66" si="49">SUM(L62:L65)+L59</f>
        <v>3978.1921269389995</v>
      </c>
      <c r="M66" s="137">
        <f t="shared" si="49"/>
        <v>7276.2916494290002</v>
      </c>
      <c r="N66" s="137">
        <f t="shared" si="49"/>
        <v>11624.186590631998</v>
      </c>
      <c r="O66" s="137">
        <f t="shared" si="49"/>
        <v>13504.495425085999</v>
      </c>
      <c r="P66" s="137">
        <f t="shared" si="49"/>
        <v>12920.862784796002</v>
      </c>
      <c r="Q66" s="2605">
        <f t="shared" ca="1" si="49"/>
        <v>15297.347559081847</v>
      </c>
      <c r="R66" s="2605">
        <f t="shared" ca="1" si="49"/>
        <v>17215.695172798642</v>
      </c>
      <c r="S66" s="2605">
        <f t="shared" ca="1" si="49"/>
        <v>18756.354978726322</v>
      </c>
      <c r="T66" s="2605">
        <f t="shared" ca="1" si="49"/>
        <v>22997.091770266408</v>
      </c>
      <c r="U66" s="2605">
        <f t="shared" ca="1" si="49"/>
        <v>25087.964642457468</v>
      </c>
      <c r="V66" s="2605">
        <f t="shared" ca="1" si="49"/>
        <v>25889.882993975512</v>
      </c>
      <c r="W66" s="2605">
        <f t="shared" ca="1" si="49"/>
        <v>27613.757849553629</v>
      </c>
      <c r="X66" s="2605">
        <f t="shared" ca="1" si="49"/>
        <v>29375.291981517097</v>
      </c>
      <c r="Y66" s="2605">
        <f t="shared" ca="1" si="49"/>
        <v>31319.417861242589</v>
      </c>
      <c r="Z66" s="2605">
        <f t="shared" ca="1" si="49"/>
        <v>32601.571438886571</v>
      </c>
      <c r="AA66" s="138"/>
      <c r="AB66" s="139"/>
      <c r="AC66" s="139"/>
      <c r="AD66" s="139"/>
      <c r="AE66" s="139"/>
      <c r="AF66" s="139"/>
      <c r="AG66" s="139"/>
      <c r="AH66" s="139"/>
      <c r="AI66" s="139"/>
      <c r="AJ66" s="139"/>
      <c r="AK66" s="139"/>
      <c r="AL66" s="139"/>
      <c r="AM66" s="139"/>
      <c r="AN66" s="139"/>
      <c r="AO66" s="139"/>
      <c r="AP66" s="139"/>
      <c r="AQ66" s="139"/>
      <c r="AR66" s="139"/>
      <c r="AS66" s="139"/>
      <c r="AT66" s="139"/>
      <c r="AU66" s="139"/>
      <c r="AV66" s="139"/>
      <c r="AW66" s="139"/>
      <c r="AX66" s="139"/>
      <c r="AY66" s="139"/>
      <c r="AZ66" s="139"/>
      <c r="BA66" s="139"/>
    </row>
    <row r="67" spans="1:55" s="641" customFormat="1">
      <c r="A67" s="573"/>
      <c r="B67" s="2619" t="s">
        <v>604</v>
      </c>
      <c r="C67" s="640"/>
      <c r="D67" s="500"/>
      <c r="E67" s="500"/>
      <c r="F67" s="500"/>
      <c r="G67" s="500"/>
      <c r="H67" s="500"/>
      <c r="I67" s="501"/>
      <c r="J67" s="501"/>
      <c r="K67" s="501">
        <f>K66-Input!K214</f>
        <v>0</v>
      </c>
      <c r="L67" s="501">
        <f>L66-Input!L214</f>
        <v>0</v>
      </c>
      <c r="M67" s="501">
        <f>M66-Input!M214</f>
        <v>0</v>
      </c>
      <c r="N67" s="501">
        <f>N66-Input!N214</f>
        <v>0</v>
      </c>
      <c r="O67" s="501">
        <f>O66-Input!O214</f>
        <v>0</v>
      </c>
      <c r="P67" s="501">
        <f>P66-Input!P214</f>
        <v>0</v>
      </c>
      <c r="Q67" s="2606">
        <f ca="1">Q66-Input!Q214</f>
        <v>0</v>
      </c>
      <c r="R67" s="2606">
        <f ca="1">R66-Input!R214</f>
        <v>0</v>
      </c>
      <c r="S67" s="2606">
        <f ca="1">S66-Input!S214</f>
        <v>0</v>
      </c>
      <c r="T67" s="2606">
        <f ca="1">T66-Input!T214</f>
        <v>0</v>
      </c>
      <c r="U67" s="2606">
        <f ca="1">U66-Input!U214</f>
        <v>0</v>
      </c>
      <c r="V67" s="2606">
        <f ca="1">V66-Input!V214</f>
        <v>0</v>
      </c>
      <c r="W67" s="2606">
        <f ca="1">W66-Input!W214</f>
        <v>0</v>
      </c>
      <c r="X67" s="2606">
        <f ca="1">X66-Input!X214</f>
        <v>0</v>
      </c>
      <c r="Y67" s="2606">
        <f ca="1">Y66-Input!Y214</f>
        <v>0</v>
      </c>
      <c r="Z67" s="2606">
        <f ca="1">Z66-Input!Z214</f>
        <v>0</v>
      </c>
      <c r="AA67" s="1468"/>
      <c r="AB67" s="1486"/>
      <c r="AC67" s="1486"/>
      <c r="AD67" s="1486"/>
      <c r="AE67" s="1486"/>
      <c r="AF67" s="1486"/>
      <c r="AG67" s="1486"/>
      <c r="AH67" s="1486"/>
      <c r="AI67" s="1486"/>
      <c r="AJ67" s="1486"/>
      <c r="AK67" s="1486"/>
      <c r="AL67" s="1486"/>
      <c r="AM67" s="1486"/>
      <c r="AN67" s="1486"/>
      <c r="AO67" s="1486"/>
      <c r="AP67" s="1486"/>
      <c r="AQ67" s="1486"/>
      <c r="AR67" s="1486"/>
      <c r="AS67" s="500"/>
      <c r="AT67" s="500"/>
      <c r="AU67" s="500"/>
      <c r="AV67" s="500"/>
      <c r="AW67" s="500"/>
      <c r="AX67" s="500"/>
      <c r="AY67" s="500"/>
      <c r="AZ67" s="500"/>
      <c r="BA67" s="500"/>
    </row>
    <row r="68" spans="1:55">
      <c r="A68" s="555"/>
      <c r="B68" s="2620"/>
      <c r="C68" s="642"/>
      <c r="D68" s="643"/>
      <c r="E68" s="643"/>
      <c r="F68" s="643"/>
      <c r="G68" s="643"/>
      <c r="H68" s="643"/>
      <c r="I68" s="643"/>
      <c r="J68" s="643"/>
      <c r="K68" s="643"/>
      <c r="L68" s="643"/>
      <c r="M68" s="643"/>
      <c r="N68" s="643"/>
      <c r="O68" s="643"/>
      <c r="P68" s="644"/>
      <c r="Q68" s="643"/>
      <c r="R68" s="643"/>
      <c r="S68" s="643"/>
      <c r="T68" s="643"/>
      <c r="U68" s="643"/>
      <c r="V68" s="643"/>
      <c r="W68" s="643"/>
      <c r="X68" s="643"/>
      <c r="Y68" s="643"/>
      <c r="Z68" s="643"/>
      <c r="AA68" s="643"/>
      <c r="AB68" s="643"/>
      <c r="AC68" s="643"/>
      <c r="AD68" s="643"/>
      <c r="AE68" s="643"/>
      <c r="AF68" s="643"/>
      <c r="AG68" s="643"/>
      <c r="AH68" s="643"/>
      <c r="AI68" s="643"/>
      <c r="AJ68" s="643"/>
      <c r="AK68" s="643"/>
      <c r="AL68" s="643"/>
      <c r="AM68" s="643"/>
      <c r="AN68" s="643"/>
      <c r="AO68" s="643"/>
      <c r="AP68" s="643"/>
      <c r="AQ68" s="643"/>
      <c r="AR68" s="643"/>
      <c r="AS68" s="643"/>
      <c r="AT68" s="643"/>
      <c r="AU68" s="643"/>
      <c r="AV68" s="643"/>
      <c r="AW68" s="643"/>
      <c r="AX68" s="643"/>
      <c r="AY68" s="643"/>
      <c r="AZ68" s="643"/>
      <c r="BA68" s="643"/>
    </row>
    <row r="69" spans="1:55">
      <c r="A69" s="86">
        <v>7</v>
      </c>
      <c r="B69" s="651" t="s">
        <v>615</v>
      </c>
      <c r="C69" s="87"/>
      <c r="D69" s="89"/>
      <c r="E69" s="89"/>
      <c r="F69" s="89"/>
      <c r="G69" s="89"/>
      <c r="H69" s="89"/>
      <c r="I69" s="90"/>
      <c r="J69" s="90"/>
      <c r="K69" s="90">
        <f>+Input!K220</f>
        <v>3.0000000000000001E-3</v>
      </c>
      <c r="L69" s="90">
        <f>+Input!L220</f>
        <v>3.0000000000000001E-3</v>
      </c>
      <c r="M69" s="90">
        <f>+Input!M220</f>
        <v>3.0000000000000001E-3</v>
      </c>
      <c r="N69" s="90">
        <f>+Input!N220</f>
        <v>0</v>
      </c>
      <c r="O69" s="90">
        <f>+Input!O220</f>
        <v>0</v>
      </c>
      <c r="P69" s="90">
        <f>+Input!P220</f>
        <v>0.51152601600000003</v>
      </c>
      <c r="Q69" s="984">
        <f>+Input!Q220</f>
        <v>0.1157117042920911</v>
      </c>
      <c r="R69" s="984">
        <f>+Input!R220</f>
        <v>0.14016798215701534</v>
      </c>
      <c r="S69" s="984">
        <f>+Input!S220</f>
        <v>0.16689211730316902</v>
      </c>
      <c r="T69" s="984">
        <f>+Input!T220</f>
        <v>0.22832883523194145</v>
      </c>
      <c r="U69" s="984">
        <f>+Input!U220</f>
        <v>0.25815489257612506</v>
      </c>
      <c r="V69" s="984">
        <f>+Input!V220</f>
        <v>0.28184115093805934</v>
      </c>
      <c r="W69" s="984">
        <f>+Input!W220</f>
        <v>0.20450541277825954</v>
      </c>
      <c r="X69" s="984">
        <f>+Input!X220</f>
        <v>0.22052628298631355</v>
      </c>
      <c r="Y69" s="984">
        <f>+Input!Y220</f>
        <v>0.24231241538851803</v>
      </c>
      <c r="Z69" s="984">
        <f>+Input!Z220</f>
        <v>0.25328251343758607</v>
      </c>
      <c r="AA69" s="142"/>
      <c r="AB69" s="143"/>
      <c r="AC69" s="143"/>
      <c r="AD69" s="143"/>
      <c r="AE69" s="143"/>
      <c r="AF69" s="143"/>
      <c r="AG69" s="143"/>
      <c r="AH69" s="143"/>
      <c r="AI69" s="143"/>
      <c r="AJ69" s="143"/>
      <c r="AK69" s="143"/>
      <c r="AL69" s="143"/>
      <c r="AM69" s="143"/>
      <c r="AN69" s="143"/>
      <c r="AO69" s="143"/>
      <c r="AP69" s="143"/>
      <c r="AQ69" s="143"/>
      <c r="AR69" s="143"/>
      <c r="AS69" s="143"/>
      <c r="AT69" s="143"/>
      <c r="AU69" s="143"/>
      <c r="AV69" s="143"/>
      <c r="AW69" s="143"/>
      <c r="AX69" s="143"/>
      <c r="AY69" s="143"/>
      <c r="AZ69" s="143"/>
      <c r="BA69" s="143"/>
      <c r="BC69" s="645"/>
    </row>
    <row r="70" spans="1:55">
      <c r="A70" s="86">
        <v>8</v>
      </c>
      <c r="B70" s="651" t="s">
        <v>616</v>
      </c>
      <c r="C70" s="87" t="s">
        <v>479</v>
      </c>
      <c r="D70" s="89"/>
      <c r="E70" s="89"/>
      <c r="F70" s="89"/>
      <c r="G70" s="89"/>
      <c r="H70" s="89"/>
      <c r="I70" s="90"/>
      <c r="J70" s="90"/>
      <c r="K70" s="90">
        <f>Input!K226</f>
        <v>5134.4875672569997</v>
      </c>
      <c r="L70" s="90">
        <f>Input!L226</f>
        <v>3899.6310245270001</v>
      </c>
      <c r="M70" s="90">
        <f>Input!M226</f>
        <v>3366.6880868059998</v>
      </c>
      <c r="N70" s="90">
        <f>Input!N226</f>
        <v>2159.6449481770001</v>
      </c>
      <c r="O70" s="90">
        <f>Input!O226</f>
        <v>1249.7676991010001</v>
      </c>
      <c r="P70" s="90">
        <f>Input!P226</f>
        <v>1571.196451367</v>
      </c>
      <c r="Q70" s="984">
        <f>Input!Q226</f>
        <v>1362.4554136632614</v>
      </c>
      <c r="R70" s="984">
        <f>Input!R226</f>
        <v>1055.8317323962074</v>
      </c>
      <c r="S70" s="984">
        <f>Input!S226</f>
        <v>1344.8052124684946</v>
      </c>
      <c r="T70" s="984">
        <f>Input!T226</f>
        <v>1991.0247798095879</v>
      </c>
      <c r="U70" s="984">
        <f>Input!U226</f>
        <v>2087.4996383659745</v>
      </c>
      <c r="V70" s="984">
        <f>Input!V226</f>
        <v>2099.9839488508114</v>
      </c>
      <c r="W70" s="984">
        <f>Input!W226</f>
        <v>2043.1077933541928</v>
      </c>
      <c r="X70" s="984">
        <f>Input!X226</f>
        <v>1991.7645263121085</v>
      </c>
      <c r="Y70" s="984">
        <f>Input!Y226</f>
        <v>1959.2439304419931</v>
      </c>
      <c r="Z70" s="984">
        <f>Input!Z226</f>
        <v>1894.8945027264017</v>
      </c>
      <c r="AA70" s="142"/>
      <c r="AB70" s="143"/>
      <c r="AC70" s="143"/>
      <c r="AD70" s="143"/>
      <c r="AE70" s="143"/>
      <c r="AF70" s="143"/>
      <c r="AG70" s="143"/>
      <c r="AH70" s="143"/>
      <c r="AI70" s="143"/>
      <c r="AJ70" s="143"/>
      <c r="AK70" s="143"/>
      <c r="AL70" s="143"/>
      <c r="AM70" s="143"/>
      <c r="AN70" s="143"/>
      <c r="AO70" s="143"/>
      <c r="AP70" s="143"/>
      <c r="AQ70" s="143"/>
      <c r="AR70" s="143"/>
      <c r="AS70" s="143"/>
      <c r="AT70" s="143"/>
      <c r="AU70" s="143"/>
      <c r="AV70" s="143"/>
      <c r="AW70" s="143"/>
      <c r="AX70" s="143"/>
      <c r="AY70" s="143"/>
      <c r="AZ70" s="143"/>
      <c r="BA70" s="143"/>
    </row>
    <row r="71" spans="1:55">
      <c r="A71" s="86">
        <v>9</v>
      </c>
      <c r="B71" s="651" t="s">
        <v>617</v>
      </c>
      <c r="C71" s="87" t="s">
        <v>482</v>
      </c>
      <c r="D71" s="89"/>
      <c r="E71" s="89"/>
      <c r="F71" s="89"/>
      <c r="G71" s="89"/>
      <c r="H71" s="89"/>
      <c r="I71" s="90"/>
      <c r="J71" s="90"/>
      <c r="K71" s="90">
        <f>Input!K232</f>
        <v>53.148677360999997</v>
      </c>
      <c r="L71" s="90">
        <f>Input!L232</f>
        <v>55.797572195999997</v>
      </c>
      <c r="M71" s="90">
        <f>Input!M232</f>
        <v>38.935203139000002</v>
      </c>
      <c r="N71" s="90">
        <f>Input!N232</f>
        <v>47.207630471999998</v>
      </c>
      <c r="O71" s="90">
        <f>Input!O232</f>
        <v>350.40774098100002</v>
      </c>
      <c r="P71" s="90">
        <f>Input!P232</f>
        <v>363.78572410300001</v>
      </c>
      <c r="Q71" s="984">
        <f>Input!Q232</f>
        <v>445.32655525121618</v>
      </c>
      <c r="R71" s="984">
        <f>Input!R232</f>
        <v>464.07593457728149</v>
      </c>
      <c r="S71" s="984">
        <f>Input!S232</f>
        <v>433.09784409652923</v>
      </c>
      <c r="T71" s="984">
        <f>Input!T232</f>
        <v>469.43540202227246</v>
      </c>
      <c r="U71" s="984">
        <f>Input!U232</f>
        <v>403.12369017596325</v>
      </c>
      <c r="V71" s="984">
        <f>Input!V232</f>
        <v>342.50330405832415</v>
      </c>
      <c r="W71" s="984">
        <f>Input!W232</f>
        <v>325.8403884756267</v>
      </c>
      <c r="X71" s="984">
        <f>Input!X232</f>
        <v>294.0570765171658</v>
      </c>
      <c r="Y71" s="984">
        <f>Input!Y232</f>
        <v>272.38546965652267</v>
      </c>
      <c r="Z71" s="984">
        <f>Input!Z232</f>
        <v>242.86699132716512</v>
      </c>
      <c r="AA71" s="142"/>
      <c r="AB71" s="143"/>
      <c r="AC71" s="143"/>
      <c r="AD71" s="143"/>
      <c r="AE71" s="143"/>
      <c r="AF71" s="143"/>
      <c r="AG71" s="143"/>
      <c r="AH71" s="143"/>
      <c r="AI71" s="143"/>
      <c r="AJ71" s="143"/>
      <c r="AK71" s="143"/>
      <c r="AL71" s="143"/>
      <c r="AM71" s="143"/>
      <c r="AN71" s="143"/>
      <c r="AO71" s="143"/>
      <c r="AP71" s="143"/>
      <c r="AQ71" s="143"/>
      <c r="AR71" s="143"/>
      <c r="AS71" s="143"/>
      <c r="AT71" s="143"/>
      <c r="AU71" s="143"/>
      <c r="AV71" s="143"/>
      <c r="AW71" s="143"/>
      <c r="AX71" s="143"/>
      <c r="AY71" s="143"/>
      <c r="AZ71" s="143"/>
      <c r="BA71" s="143"/>
    </row>
    <row r="72" spans="1:55">
      <c r="A72" s="86">
        <v>10</v>
      </c>
      <c r="B72" s="651" t="s">
        <v>618</v>
      </c>
      <c r="C72" s="87"/>
      <c r="D72" s="89"/>
      <c r="E72" s="89"/>
      <c r="F72" s="89"/>
      <c r="G72" s="89"/>
      <c r="H72" s="89"/>
      <c r="I72" s="90"/>
      <c r="J72" s="90"/>
      <c r="K72" s="90">
        <f>Input!K238</f>
        <v>0</v>
      </c>
      <c r="L72" s="90">
        <f>Input!L238</f>
        <v>0</v>
      </c>
      <c r="M72" s="90">
        <f>Input!M238</f>
        <v>0</v>
      </c>
      <c r="N72" s="90">
        <f>Input!N238</f>
        <v>0</v>
      </c>
      <c r="O72" s="90">
        <f>Input!O238</f>
        <v>0</v>
      </c>
      <c r="P72" s="90">
        <f>Input!P238</f>
        <v>11.212288815999999</v>
      </c>
      <c r="Q72" s="984">
        <f>Input!Q238</f>
        <v>11.257121304596755</v>
      </c>
      <c r="R72" s="984">
        <f>Input!R238</f>
        <v>11.062543132916627</v>
      </c>
      <c r="S72" s="984">
        <f>Input!S238</f>
        <v>10.706429093422036</v>
      </c>
      <c r="T72" s="984">
        <f>Input!T238</f>
        <v>10.679269310181812</v>
      </c>
      <c r="U72" s="984">
        <f>Input!U238</f>
        <v>9.6764838538704634</v>
      </c>
      <c r="V72" s="984">
        <f>Input!V238</f>
        <v>8.4939421650743014</v>
      </c>
      <c r="W72" s="984">
        <f>Input!W238</f>
        <v>7.3267857983513522</v>
      </c>
      <c r="X72" s="984">
        <f>Input!X238</f>
        <v>6.2827215763301094</v>
      </c>
      <c r="Y72" s="984">
        <f>Input!Y238</f>
        <v>5.3754919652900242</v>
      </c>
      <c r="Z72" s="984">
        <f>Input!Z238</f>
        <v>4.6155612223849456</v>
      </c>
      <c r="AA72" s="142"/>
      <c r="AB72" s="143"/>
      <c r="AC72" s="143"/>
      <c r="AD72" s="143"/>
      <c r="AE72" s="143"/>
      <c r="AF72" s="143"/>
      <c r="AG72" s="143"/>
      <c r="AH72" s="143"/>
      <c r="AI72" s="143"/>
      <c r="AJ72" s="143"/>
      <c r="AK72" s="143"/>
      <c r="AL72" s="143"/>
      <c r="AM72" s="143"/>
      <c r="AN72" s="143"/>
      <c r="AO72" s="143"/>
      <c r="AP72" s="143"/>
      <c r="AQ72" s="143"/>
      <c r="AR72" s="143"/>
      <c r="AS72" s="143"/>
      <c r="AT72" s="143"/>
      <c r="AU72" s="143"/>
      <c r="AV72" s="143"/>
      <c r="AW72" s="143"/>
      <c r="AX72" s="143"/>
      <c r="AY72" s="143"/>
      <c r="AZ72" s="143"/>
      <c r="BA72" s="143"/>
    </row>
    <row r="73" spans="1:55">
      <c r="A73" s="86">
        <v>11</v>
      </c>
      <c r="B73" s="651" t="s">
        <v>619</v>
      </c>
      <c r="C73" s="87"/>
      <c r="D73" s="89"/>
      <c r="E73" s="89"/>
      <c r="F73" s="89"/>
      <c r="G73" s="89"/>
      <c r="H73" s="89"/>
      <c r="I73" s="90"/>
      <c r="J73" s="90"/>
      <c r="K73" s="90">
        <f>Input!K244</f>
        <v>0</v>
      </c>
      <c r="L73" s="90">
        <f>Input!L244</f>
        <v>0</v>
      </c>
      <c r="M73" s="90">
        <f>Input!M244</f>
        <v>0</v>
      </c>
      <c r="N73" s="90">
        <f>Input!N244</f>
        <v>0</v>
      </c>
      <c r="O73" s="90">
        <f>Input!O244</f>
        <v>0</v>
      </c>
      <c r="P73" s="90">
        <f>Input!P244</f>
        <v>0</v>
      </c>
      <c r="Q73" s="984">
        <f>Input!Q244</f>
        <v>0</v>
      </c>
      <c r="R73" s="984">
        <f>Input!R244</f>
        <v>0</v>
      </c>
      <c r="S73" s="984">
        <f>Input!S244</f>
        <v>0</v>
      </c>
      <c r="T73" s="984">
        <f>Input!T244</f>
        <v>0</v>
      </c>
      <c r="U73" s="984">
        <f>Input!U244</f>
        <v>0</v>
      </c>
      <c r="V73" s="984">
        <f>Input!V244</f>
        <v>0</v>
      </c>
      <c r="W73" s="984">
        <f>Input!W244</f>
        <v>0</v>
      </c>
      <c r="X73" s="984">
        <f>Input!X244</f>
        <v>0</v>
      </c>
      <c r="Y73" s="984">
        <f>Input!Y244</f>
        <v>0</v>
      </c>
      <c r="Z73" s="984">
        <f>Input!Z244</f>
        <v>0</v>
      </c>
      <c r="AA73" s="142"/>
      <c r="AB73" s="143"/>
      <c r="AC73" s="143"/>
      <c r="AD73" s="143"/>
      <c r="AE73" s="143"/>
      <c r="AF73" s="143"/>
      <c r="AG73" s="143"/>
      <c r="AH73" s="143"/>
      <c r="AI73" s="143"/>
      <c r="AJ73" s="143"/>
      <c r="AK73" s="143"/>
      <c r="AL73" s="143"/>
      <c r="AM73" s="143"/>
      <c r="AN73" s="143"/>
      <c r="AO73" s="143"/>
      <c r="AP73" s="143"/>
      <c r="AQ73" s="143"/>
      <c r="AR73" s="143"/>
      <c r="AS73" s="143"/>
      <c r="AT73" s="143"/>
      <c r="AU73" s="143"/>
      <c r="AV73" s="143"/>
      <c r="AW73" s="143"/>
      <c r="AX73" s="143"/>
      <c r="AY73" s="143"/>
      <c r="AZ73" s="143"/>
      <c r="BA73" s="143"/>
    </row>
    <row r="74" spans="1:55">
      <c r="A74" s="86">
        <v>12</v>
      </c>
      <c r="B74" s="651" t="s">
        <v>620</v>
      </c>
      <c r="C74" s="87"/>
      <c r="D74" s="89"/>
      <c r="E74" s="89"/>
      <c r="F74" s="89"/>
      <c r="G74" s="89"/>
      <c r="H74" s="89"/>
      <c r="I74" s="90"/>
      <c r="J74" s="90"/>
      <c r="K74" s="90">
        <f>Input!K249</f>
        <v>698.50608688499995</v>
      </c>
      <c r="L74" s="90">
        <f>Input!L249</f>
        <v>760.95529727300004</v>
      </c>
      <c r="M74" s="90">
        <f>Input!M249</f>
        <v>66.117926734999998</v>
      </c>
      <c r="N74" s="90">
        <f>Input!N249</f>
        <v>33.176188396000001</v>
      </c>
      <c r="O74" s="90">
        <f>Input!O249</f>
        <v>88.189941648000001</v>
      </c>
      <c r="P74" s="90">
        <f>Input!P249</f>
        <v>601.16557409799998</v>
      </c>
      <c r="Q74" s="984">
        <f>Input!Q249</f>
        <v>655.73942212749739</v>
      </c>
      <c r="R74" s="984">
        <f>Input!R249</f>
        <v>705.21572376650136</v>
      </c>
      <c r="S74" s="984">
        <f>Input!S249</f>
        <v>753.78340859097159</v>
      </c>
      <c r="T74" s="984">
        <f>Input!T249</f>
        <v>834.0658206924611</v>
      </c>
      <c r="U74" s="984">
        <f>Input!U249</f>
        <v>865.15270616276734</v>
      </c>
      <c r="V74" s="984">
        <f>Input!V249</f>
        <v>890.43447318103404</v>
      </c>
      <c r="W74" s="984">
        <f>Input!W249</f>
        <v>910.88682846351242</v>
      </c>
      <c r="X74" s="984">
        <f>Input!X249</f>
        <v>933.76707014317083</v>
      </c>
      <c r="Y74" s="984">
        <f>Input!Y249</f>
        <v>960.66162548930265</v>
      </c>
      <c r="Z74" s="984">
        <f>Input!Z249</f>
        <v>986.73028450902962</v>
      </c>
      <c r="AA74" s="142"/>
      <c r="AB74" s="143"/>
      <c r="AC74" s="143"/>
      <c r="AD74" s="143"/>
      <c r="AE74" s="143"/>
      <c r="AF74" s="143"/>
      <c r="AG74" s="143"/>
      <c r="AH74" s="143"/>
      <c r="AI74" s="143"/>
      <c r="AJ74" s="143"/>
      <c r="AK74" s="143"/>
      <c r="AL74" s="143"/>
      <c r="AM74" s="143"/>
      <c r="AN74" s="143"/>
      <c r="AO74" s="143"/>
      <c r="AP74" s="143"/>
      <c r="AQ74" s="143"/>
      <c r="AR74" s="143"/>
      <c r="AS74" s="143"/>
      <c r="AT74" s="143"/>
      <c r="AU74" s="143"/>
      <c r="AV74" s="143"/>
      <c r="AW74" s="143"/>
      <c r="AX74" s="143"/>
      <c r="AY74" s="143"/>
      <c r="AZ74" s="143"/>
      <c r="BA74" s="143"/>
    </row>
    <row r="75" spans="1:55">
      <c r="A75" s="86">
        <v>13</v>
      </c>
      <c r="B75" s="651" t="s">
        <v>621</v>
      </c>
      <c r="C75" s="87" t="s">
        <v>491</v>
      </c>
      <c r="D75" s="89"/>
      <c r="E75" s="89"/>
      <c r="F75" s="89"/>
      <c r="G75" s="89"/>
      <c r="H75" s="89"/>
      <c r="I75" s="90"/>
      <c r="J75" s="90"/>
      <c r="K75" s="90">
        <f>+Input!K254</f>
        <v>0</v>
      </c>
      <c r="L75" s="90">
        <f>+Input!L254</f>
        <v>0</v>
      </c>
      <c r="M75" s="90">
        <f>+Input!M254</f>
        <v>0</v>
      </c>
      <c r="N75" s="90">
        <f>+Input!N254</f>
        <v>0</v>
      </c>
      <c r="O75" s="90">
        <f>+Input!O254</f>
        <v>0</v>
      </c>
      <c r="P75" s="90">
        <f>+Input!P254</f>
        <v>0</v>
      </c>
      <c r="Q75" s="984">
        <f>+Input!Q254</f>
        <v>0</v>
      </c>
      <c r="R75" s="984">
        <f>+Input!R254</f>
        <v>0</v>
      </c>
      <c r="S75" s="984">
        <f>+Input!S254</f>
        <v>0</v>
      </c>
      <c r="T75" s="984">
        <f>+Input!T254</f>
        <v>0</v>
      </c>
      <c r="U75" s="984">
        <f>+Input!U254</f>
        <v>0</v>
      </c>
      <c r="V75" s="984">
        <f>+Input!V254</f>
        <v>0</v>
      </c>
      <c r="W75" s="984">
        <f>+Input!W254</f>
        <v>0</v>
      </c>
      <c r="X75" s="984">
        <f>+Input!X254</f>
        <v>0</v>
      </c>
      <c r="Y75" s="984">
        <f>+Input!Y254</f>
        <v>0</v>
      </c>
      <c r="Z75" s="984">
        <f>+Input!Z254</f>
        <v>0</v>
      </c>
      <c r="AA75" s="142"/>
      <c r="AB75" s="143"/>
      <c r="AC75" s="143"/>
      <c r="AD75" s="143"/>
      <c r="AE75" s="143"/>
      <c r="AF75" s="143"/>
      <c r="AG75" s="143"/>
      <c r="AH75" s="143"/>
      <c r="AI75" s="143"/>
      <c r="AJ75" s="143"/>
      <c r="AK75" s="143"/>
      <c r="AL75" s="143"/>
      <c r="AM75" s="143"/>
      <c r="AN75" s="143"/>
      <c r="AO75" s="143"/>
      <c r="AP75" s="143"/>
      <c r="AQ75" s="143"/>
      <c r="AR75" s="143"/>
      <c r="AS75" s="143"/>
      <c r="AT75" s="143"/>
      <c r="AU75" s="143"/>
      <c r="AV75" s="143"/>
      <c r="AW75" s="143"/>
      <c r="AX75" s="143"/>
      <c r="AY75" s="143"/>
      <c r="AZ75" s="143"/>
      <c r="BA75" s="143"/>
    </row>
    <row r="76" spans="1:55">
      <c r="A76" s="86">
        <v>14</v>
      </c>
      <c r="B76" s="651" t="s">
        <v>622</v>
      </c>
      <c r="C76" s="87" t="s">
        <v>623</v>
      </c>
      <c r="D76" s="89"/>
      <c r="E76" s="89"/>
      <c r="F76" s="89"/>
      <c r="G76" s="89"/>
      <c r="H76" s="89"/>
      <c r="I76" s="90"/>
      <c r="J76" s="90"/>
      <c r="K76" s="90">
        <f>Input!K259</f>
        <v>36.412462404999999</v>
      </c>
      <c r="L76" s="90">
        <f>Input!L259</f>
        <v>22.901670675999998</v>
      </c>
      <c r="M76" s="90">
        <f>Input!M259</f>
        <v>324.085468816</v>
      </c>
      <c r="N76" s="90">
        <f>Input!N259</f>
        <v>302.64536233899997</v>
      </c>
      <c r="O76" s="90">
        <f>Input!O259</f>
        <v>45.105620483000003</v>
      </c>
      <c r="P76" s="90">
        <f>Input!P259</f>
        <v>260.112988949</v>
      </c>
      <c r="Q76" s="984">
        <f>Input!Q259</f>
        <v>245.24150977980378</v>
      </c>
      <c r="R76" s="984">
        <f>Input!R259</f>
        <v>283.85334911834428</v>
      </c>
      <c r="S76" s="984">
        <f>Input!S259</f>
        <v>330.88240712003977</v>
      </c>
      <c r="T76" s="984">
        <f>Input!T259</f>
        <v>331.65796105413978</v>
      </c>
      <c r="U76" s="984">
        <f>Input!U259</f>
        <v>305.8266299459508</v>
      </c>
      <c r="V76" s="984">
        <f>Input!V259</f>
        <v>321.66858798663395</v>
      </c>
      <c r="W76" s="984">
        <f>Input!W259</f>
        <v>317.43256604278162</v>
      </c>
      <c r="X76" s="984">
        <f>Input!X259</f>
        <v>329.09194028159055</v>
      </c>
      <c r="Y76" s="984">
        <f>Input!Y259</f>
        <v>346.52077436225267</v>
      </c>
      <c r="Z76" s="984">
        <f>Input!Z259</f>
        <v>343.85292451895424</v>
      </c>
      <c r="AA76" s="142"/>
      <c r="AB76" s="143"/>
      <c r="AC76" s="143"/>
      <c r="AD76" s="143"/>
      <c r="AE76" s="143"/>
      <c r="AF76" s="143"/>
      <c r="AG76" s="143"/>
      <c r="AH76" s="143"/>
      <c r="AI76" s="143"/>
      <c r="AJ76" s="143"/>
      <c r="AK76" s="143"/>
      <c r="AL76" s="143"/>
      <c r="AM76" s="143"/>
      <c r="AN76" s="143"/>
      <c r="AO76" s="143"/>
      <c r="AP76" s="143"/>
      <c r="AQ76" s="143"/>
      <c r="AR76" s="143"/>
      <c r="AS76" s="143"/>
      <c r="AT76" s="143"/>
      <c r="AU76" s="143"/>
      <c r="AV76" s="143"/>
      <c r="AW76" s="143"/>
      <c r="AX76" s="143"/>
      <c r="AY76" s="143"/>
      <c r="AZ76" s="143"/>
      <c r="BA76" s="143"/>
    </row>
    <row r="77" spans="1:55">
      <c r="A77" s="86"/>
      <c r="B77" s="104" t="s">
        <v>624</v>
      </c>
      <c r="C77" s="104" t="s">
        <v>625</v>
      </c>
      <c r="D77" s="136"/>
      <c r="E77" s="136"/>
      <c r="F77" s="136"/>
      <c r="G77" s="136"/>
      <c r="H77" s="136"/>
      <c r="I77" s="137"/>
      <c r="J77" s="137"/>
      <c r="K77" s="137">
        <f>SUM(K69:K76)</f>
        <v>5922.5577939079994</v>
      </c>
      <c r="L77" s="137">
        <f t="shared" ref="L77:Z77" si="50">SUM(L69:L76)</f>
        <v>4739.2885646720006</v>
      </c>
      <c r="M77" s="137">
        <f t="shared" si="50"/>
        <v>3795.8296854959999</v>
      </c>
      <c r="N77" s="137">
        <f t="shared" si="50"/>
        <v>2542.6741293839996</v>
      </c>
      <c r="O77" s="137">
        <f t="shared" si="50"/>
        <v>1733.471002213</v>
      </c>
      <c r="P77" s="137">
        <f t="shared" si="50"/>
        <v>2807.9845533490002</v>
      </c>
      <c r="Q77" s="2605">
        <f t="shared" si="50"/>
        <v>2720.135733830668</v>
      </c>
      <c r="R77" s="2605">
        <f t="shared" si="50"/>
        <v>2520.1794509734082</v>
      </c>
      <c r="S77" s="2605">
        <f t="shared" si="50"/>
        <v>2873.4421934867601</v>
      </c>
      <c r="T77" s="2605">
        <f t="shared" si="50"/>
        <v>3637.0915617238757</v>
      </c>
      <c r="U77" s="2605">
        <f t="shared" si="50"/>
        <v>3671.5373033971027</v>
      </c>
      <c r="V77" s="2605">
        <f t="shared" si="50"/>
        <v>3663.3660973928158</v>
      </c>
      <c r="W77" s="2605">
        <f t="shared" si="50"/>
        <v>3604.7988675472429</v>
      </c>
      <c r="X77" s="2605">
        <f t="shared" si="50"/>
        <v>3555.1838611133521</v>
      </c>
      <c r="Y77" s="2605">
        <f t="shared" si="50"/>
        <v>3544.42960433075</v>
      </c>
      <c r="Z77" s="2605">
        <f t="shared" si="50"/>
        <v>3473.2135468173733</v>
      </c>
      <c r="AA77" s="138"/>
      <c r="AB77" s="139"/>
      <c r="AC77" s="139"/>
      <c r="AD77" s="139"/>
      <c r="AE77" s="139"/>
      <c r="AF77" s="139"/>
      <c r="AG77" s="139"/>
      <c r="AH77" s="139"/>
      <c r="AI77" s="139"/>
      <c r="AJ77" s="139"/>
      <c r="AK77" s="139"/>
      <c r="AL77" s="139"/>
      <c r="AM77" s="139"/>
      <c r="AN77" s="139"/>
      <c r="AO77" s="139"/>
      <c r="AP77" s="139"/>
      <c r="AQ77" s="139"/>
      <c r="AR77" s="139"/>
      <c r="AS77" s="139"/>
      <c r="AT77" s="139"/>
      <c r="AU77" s="139"/>
      <c r="AV77" s="139"/>
      <c r="AW77" s="139"/>
      <c r="AX77" s="139"/>
      <c r="AY77" s="139"/>
      <c r="AZ77" s="139"/>
      <c r="BA77" s="139"/>
    </row>
    <row r="78" spans="1:55" ht="13.8" thickBot="1">
      <c r="A78" s="86"/>
      <c r="B78" s="406" t="s">
        <v>626</v>
      </c>
      <c r="C78" s="406" t="s">
        <v>627</v>
      </c>
      <c r="D78" s="408"/>
      <c r="E78" s="408"/>
      <c r="F78" s="408"/>
      <c r="G78" s="408"/>
      <c r="H78" s="408"/>
      <c r="I78" s="409"/>
      <c r="J78" s="409"/>
      <c r="K78" s="409">
        <f>K66+K77</f>
        <v>10172.594752745999</v>
      </c>
      <c r="L78" s="409">
        <f t="shared" ref="L78:Z78" si="51">L66+L77</f>
        <v>8717.4806916109992</v>
      </c>
      <c r="M78" s="409">
        <f t="shared" si="51"/>
        <v>11072.121334924999</v>
      </c>
      <c r="N78" s="409">
        <f t="shared" si="51"/>
        <v>14166.860720015997</v>
      </c>
      <c r="O78" s="409">
        <f t="shared" si="51"/>
        <v>15237.966427298999</v>
      </c>
      <c r="P78" s="409">
        <f t="shared" si="51"/>
        <v>15728.847338145002</v>
      </c>
      <c r="Q78" s="2607">
        <f t="shared" ca="1" si="51"/>
        <v>18017.483292912515</v>
      </c>
      <c r="R78" s="2607">
        <f t="shared" ca="1" si="51"/>
        <v>19735.874623772048</v>
      </c>
      <c r="S78" s="2607">
        <f t="shared" ca="1" si="51"/>
        <v>21629.797172213082</v>
      </c>
      <c r="T78" s="2607">
        <f t="shared" ca="1" si="51"/>
        <v>26634.183331990283</v>
      </c>
      <c r="U78" s="2607">
        <f t="shared" ca="1" si="51"/>
        <v>28759.501945854572</v>
      </c>
      <c r="V78" s="2607">
        <f t="shared" ca="1" si="51"/>
        <v>29553.249091368329</v>
      </c>
      <c r="W78" s="2607">
        <f t="shared" ca="1" si="51"/>
        <v>31218.556717100873</v>
      </c>
      <c r="X78" s="2607">
        <f t="shared" ca="1" si="51"/>
        <v>32930.475842630447</v>
      </c>
      <c r="Y78" s="2607">
        <f t="shared" ca="1" si="51"/>
        <v>34863.847465573337</v>
      </c>
      <c r="Z78" s="2607">
        <f t="shared" ca="1" si="51"/>
        <v>36074.784985703947</v>
      </c>
      <c r="AA78" s="410"/>
      <c r="AB78" s="411"/>
      <c r="AC78" s="411"/>
      <c r="AD78" s="411"/>
      <c r="AE78" s="411"/>
      <c r="AF78" s="411"/>
      <c r="AG78" s="411"/>
      <c r="AH78" s="411"/>
      <c r="AI78" s="411"/>
      <c r="AJ78" s="411"/>
      <c r="AK78" s="411"/>
      <c r="AL78" s="411"/>
      <c r="AM78" s="411"/>
      <c r="AN78" s="411"/>
      <c r="AO78" s="411"/>
      <c r="AP78" s="411"/>
      <c r="AQ78" s="411"/>
      <c r="AR78" s="411"/>
      <c r="AS78" s="411"/>
      <c r="AT78" s="411"/>
      <c r="AU78" s="411"/>
      <c r="AV78" s="411"/>
      <c r="AW78" s="411"/>
      <c r="AX78" s="411"/>
      <c r="AY78" s="411"/>
      <c r="AZ78" s="411"/>
      <c r="BA78" s="411"/>
    </row>
    <row r="79" spans="1:55" s="641" customFormat="1" ht="13.8" thickTop="1">
      <c r="A79" s="646"/>
      <c r="B79" s="384" t="s">
        <v>604</v>
      </c>
      <c r="C79" s="384"/>
      <c r="D79" s="500"/>
      <c r="E79" s="500"/>
      <c r="F79" s="500"/>
      <c r="G79" s="500"/>
      <c r="H79" s="500"/>
      <c r="I79" s="501"/>
      <c r="J79" s="501"/>
      <c r="K79" s="501">
        <f>K78-Input!K265</f>
        <v>0</v>
      </c>
      <c r="L79" s="501">
        <f>L78-Input!L265</f>
        <v>0</v>
      </c>
      <c r="M79" s="501">
        <f>M78-Input!M265</f>
        <v>0</v>
      </c>
      <c r="N79" s="501">
        <f>N78-Input!N265</f>
        <v>0</v>
      </c>
      <c r="O79" s="501">
        <f>O78-Input!O265</f>
        <v>0</v>
      </c>
      <c r="P79" s="501">
        <f>P78-Input!P265</f>
        <v>0</v>
      </c>
      <c r="Q79" s="2606">
        <f ca="1">Q78-Input!Q265</f>
        <v>0</v>
      </c>
      <c r="R79" s="2606">
        <f ca="1">R78-Input!R265</f>
        <v>0</v>
      </c>
      <c r="S79" s="2606">
        <f ca="1">S78-Input!S265</f>
        <v>0</v>
      </c>
      <c r="T79" s="2606">
        <f ca="1">T78-Input!T265</f>
        <v>0</v>
      </c>
      <c r="U79" s="2606">
        <f ca="1">U78-Input!U265</f>
        <v>0</v>
      </c>
      <c r="V79" s="2606">
        <f ca="1">V78-Input!V265</f>
        <v>0</v>
      </c>
      <c r="W79" s="2606">
        <f ca="1">W78-Input!W265</f>
        <v>0</v>
      </c>
      <c r="X79" s="2606">
        <f ca="1">X78-Input!X265</f>
        <v>0</v>
      </c>
      <c r="Y79" s="2606">
        <f ca="1">Y78-Input!Y265</f>
        <v>0</v>
      </c>
      <c r="Z79" s="2606">
        <f ca="1">Z78-Input!Z265</f>
        <v>0</v>
      </c>
      <c r="AA79" s="1468"/>
      <c r="AB79" s="1486"/>
      <c r="AC79" s="1486"/>
      <c r="AD79" s="1486"/>
      <c r="AE79" s="1486"/>
      <c r="AF79" s="1486"/>
      <c r="AG79" s="1486"/>
      <c r="AH79" s="1486"/>
      <c r="AI79" s="1486"/>
      <c r="AJ79" s="1486"/>
      <c r="AK79" s="1486"/>
      <c r="AL79" s="1486"/>
      <c r="AM79" s="1486"/>
      <c r="AN79" s="1486"/>
      <c r="AO79" s="1486"/>
      <c r="AP79" s="1486"/>
      <c r="AQ79" s="1486"/>
      <c r="AR79" s="1486"/>
      <c r="AS79" s="500"/>
      <c r="AT79" s="500"/>
      <c r="AU79" s="500"/>
      <c r="AV79" s="500"/>
      <c r="AW79" s="500"/>
      <c r="AX79" s="500"/>
      <c r="AY79" s="500"/>
      <c r="AZ79" s="500"/>
      <c r="BA79" s="500"/>
    </row>
    <row r="80" spans="1:55">
      <c r="A80" s="635"/>
      <c r="D80" s="647"/>
      <c r="E80" s="647"/>
      <c r="F80" s="647"/>
      <c r="G80" s="647"/>
      <c r="H80" s="647"/>
      <c r="I80" s="647"/>
      <c r="J80" s="647"/>
      <c r="K80" s="647"/>
      <c r="L80" s="647"/>
      <c r="M80" s="647"/>
      <c r="N80" s="647"/>
      <c r="O80" s="647"/>
      <c r="P80" s="648"/>
      <c r="Q80" s="647"/>
      <c r="R80" s="647"/>
      <c r="S80" s="647"/>
      <c r="T80" s="647"/>
      <c r="U80" s="647"/>
      <c r="V80" s="647"/>
      <c r="W80" s="647"/>
      <c r="X80" s="647"/>
      <c r="Y80" s="647"/>
      <c r="Z80" s="647"/>
      <c r="AA80" s="647"/>
      <c r="AB80" s="647"/>
      <c r="AC80" s="647"/>
      <c r="AD80" s="647"/>
      <c r="AE80" s="647"/>
      <c r="AF80" s="647"/>
      <c r="AG80" s="647"/>
      <c r="AH80" s="647"/>
      <c r="AI80" s="647"/>
      <c r="AJ80" s="647"/>
      <c r="AK80" s="647"/>
      <c r="AL80" s="647"/>
      <c r="AM80" s="647"/>
      <c r="AN80" s="647"/>
      <c r="AO80" s="647"/>
      <c r="AP80" s="647"/>
      <c r="AQ80" s="647"/>
      <c r="AR80" s="647"/>
      <c r="AS80" s="647"/>
      <c r="AT80" s="647"/>
      <c r="AU80" s="647"/>
      <c r="AV80" s="647"/>
      <c r="AW80" s="647"/>
      <c r="AX80" s="647"/>
      <c r="AY80" s="647"/>
      <c r="AZ80" s="647"/>
      <c r="BA80" s="647"/>
    </row>
    <row r="81" spans="1:53">
      <c r="A81" s="39"/>
      <c r="B81" s="18" t="s">
        <v>99</v>
      </c>
      <c r="C81" s="18" t="s">
        <v>497</v>
      </c>
      <c r="D81" s="89"/>
      <c r="E81" s="89"/>
      <c r="F81" s="89"/>
      <c r="G81" s="89"/>
      <c r="H81" s="89"/>
      <c r="I81" s="89"/>
      <c r="J81" s="89"/>
      <c r="K81" s="89"/>
      <c r="L81" s="89"/>
      <c r="M81" s="89"/>
      <c r="N81" s="89"/>
      <c r="O81" s="89"/>
      <c r="P81" s="568"/>
      <c r="Q81" s="89"/>
      <c r="R81" s="89"/>
      <c r="S81" s="89"/>
      <c r="T81" s="89"/>
      <c r="U81" s="89"/>
      <c r="V81" s="89"/>
      <c r="W81" s="89"/>
      <c r="X81" s="89"/>
      <c r="Y81" s="89"/>
      <c r="Z81" s="89"/>
      <c r="AA81" s="89"/>
      <c r="AB81" s="89"/>
      <c r="AC81" s="89"/>
      <c r="AD81" s="89"/>
      <c r="AE81" s="89"/>
      <c r="AF81" s="89"/>
      <c r="AG81" s="89"/>
      <c r="AH81" s="89"/>
      <c r="AI81" s="89"/>
      <c r="AJ81" s="89"/>
      <c r="AK81" s="89"/>
      <c r="AL81" s="89"/>
      <c r="AM81" s="89"/>
      <c r="AN81" s="89"/>
      <c r="AO81" s="89"/>
      <c r="AP81" s="89"/>
      <c r="AQ81" s="89"/>
      <c r="AR81" s="89"/>
      <c r="AS81" s="89"/>
      <c r="AT81" s="89"/>
      <c r="AU81" s="89"/>
      <c r="AV81" s="89"/>
      <c r="AW81" s="89"/>
      <c r="AX81" s="89"/>
      <c r="AY81" s="89"/>
      <c r="AZ81" s="89"/>
      <c r="BA81" s="89"/>
    </row>
    <row r="82" spans="1:53">
      <c r="A82" s="86"/>
      <c r="B82" s="87" t="s">
        <v>628</v>
      </c>
      <c r="C82" s="122"/>
      <c r="D82" s="89"/>
      <c r="E82" s="89"/>
      <c r="F82" s="89"/>
      <c r="G82" s="89"/>
      <c r="H82" s="89"/>
      <c r="I82" s="90"/>
      <c r="J82" s="90"/>
      <c r="K82" s="90">
        <f>+K83+K84</f>
        <v>1156.3716984289999</v>
      </c>
      <c r="L82" s="90">
        <f t="shared" ref="L82:Z82" si="52">+L83+L84</f>
        <v>685.40656374699995</v>
      </c>
      <c r="M82" s="90">
        <f t="shared" si="52"/>
        <v>689.16295133599999</v>
      </c>
      <c r="N82" s="90">
        <f t="shared" si="52"/>
        <v>2.559405532</v>
      </c>
      <c r="O82" s="90">
        <f t="shared" si="52"/>
        <v>845.80580895499997</v>
      </c>
      <c r="P82" s="90">
        <f t="shared" si="52"/>
        <v>1229.228015118</v>
      </c>
      <c r="Q82" s="984">
        <f t="shared" ca="1" si="52"/>
        <v>1627.7236010635652</v>
      </c>
      <c r="R82" s="984">
        <f t="shared" ca="1" si="52"/>
        <v>1685.447996658171</v>
      </c>
      <c r="S82" s="984">
        <f t="shared" ca="1" si="52"/>
        <v>1550.5482856920157</v>
      </c>
      <c r="T82" s="984">
        <f t="shared" ca="1" si="52"/>
        <v>2136.859179495259</v>
      </c>
      <c r="U82" s="984">
        <f t="shared" ca="1" si="52"/>
        <v>2154.1676466459458</v>
      </c>
      <c r="V82" s="984">
        <f t="shared" ca="1" si="52"/>
        <v>2045.1654161051099</v>
      </c>
      <c r="W82" s="984">
        <f t="shared" ca="1" si="52"/>
        <v>2106.1436444013684</v>
      </c>
      <c r="X82" s="984">
        <f t="shared" ca="1" si="52"/>
        <v>2248.6223982010874</v>
      </c>
      <c r="Y82" s="984">
        <f t="shared" ca="1" si="52"/>
        <v>2367.7130746290904</v>
      </c>
      <c r="Z82" s="984">
        <f t="shared" ca="1" si="52"/>
        <v>2492.9776285941348</v>
      </c>
      <c r="AA82" s="142"/>
      <c r="AB82" s="143"/>
      <c r="AC82" s="143"/>
      <c r="AD82" s="143"/>
      <c r="AE82" s="143"/>
      <c r="AF82" s="143"/>
      <c r="AG82" s="143"/>
      <c r="AH82" s="143"/>
      <c r="AI82" s="143"/>
      <c r="AJ82" s="143"/>
      <c r="AK82" s="143"/>
      <c r="AL82" s="143"/>
      <c r="AM82" s="143"/>
      <c r="AN82" s="143"/>
      <c r="AO82" s="143"/>
      <c r="AP82" s="143"/>
      <c r="AQ82" s="143"/>
      <c r="AR82" s="143"/>
      <c r="AS82" s="143"/>
      <c r="AT82" s="143"/>
      <c r="AU82" s="143"/>
      <c r="AV82" s="143"/>
      <c r="AW82" s="143"/>
      <c r="AX82" s="143"/>
      <c r="AY82" s="143"/>
      <c r="AZ82" s="143"/>
      <c r="BA82" s="143"/>
    </row>
    <row r="83" spans="1:53">
      <c r="A83" s="573">
        <v>15</v>
      </c>
      <c r="B83" s="638" t="s">
        <v>629</v>
      </c>
      <c r="C83" s="639" t="s">
        <v>360</v>
      </c>
      <c r="D83" s="593"/>
      <c r="E83" s="593"/>
      <c r="F83" s="593"/>
      <c r="G83" s="593"/>
      <c r="H83" s="593"/>
      <c r="I83" s="594"/>
      <c r="J83" s="594"/>
      <c r="K83" s="594">
        <f>Input!K273</f>
        <v>0</v>
      </c>
      <c r="L83" s="594">
        <f>Input!L273</f>
        <v>0</v>
      </c>
      <c r="M83" s="594">
        <f>Input!M273</f>
        <v>0</v>
      </c>
      <c r="N83" s="594">
        <f>Input!N273</f>
        <v>0</v>
      </c>
      <c r="O83" s="594">
        <f>Input!O273</f>
        <v>0</v>
      </c>
      <c r="P83" s="594">
        <f>Input!P273</f>
        <v>0</v>
      </c>
      <c r="Q83" s="2604">
        <f ca="1">Input!Q273</f>
        <v>0</v>
      </c>
      <c r="R83" s="2604">
        <f ca="1">Input!R273</f>
        <v>0</v>
      </c>
      <c r="S83" s="2604">
        <f ca="1">Input!S273</f>
        <v>0</v>
      </c>
      <c r="T83" s="2604">
        <f ca="1">Input!T273</f>
        <v>0</v>
      </c>
      <c r="U83" s="2604">
        <f ca="1">Input!U273</f>
        <v>0</v>
      </c>
      <c r="V83" s="2604">
        <f ca="1">Input!V273</f>
        <v>0</v>
      </c>
      <c r="W83" s="2604">
        <f ca="1">Input!W273</f>
        <v>0</v>
      </c>
      <c r="X83" s="2604">
        <f ca="1">Input!X273</f>
        <v>0</v>
      </c>
      <c r="Y83" s="2604">
        <f ca="1">Input!Y273</f>
        <v>0</v>
      </c>
      <c r="Z83" s="2604">
        <f ca="1">Input!Z273</f>
        <v>0</v>
      </c>
      <c r="AA83" s="596"/>
      <c r="AB83" s="597"/>
      <c r="AC83" s="597"/>
      <c r="AD83" s="597"/>
      <c r="AE83" s="597"/>
      <c r="AF83" s="597"/>
      <c r="AG83" s="597"/>
      <c r="AH83" s="597"/>
      <c r="AI83" s="597"/>
      <c r="AJ83" s="597"/>
      <c r="AK83" s="597"/>
      <c r="AL83" s="597"/>
      <c r="AM83" s="597"/>
      <c r="AN83" s="597"/>
      <c r="AO83" s="597"/>
      <c r="AP83" s="597"/>
      <c r="AQ83" s="597"/>
      <c r="AR83" s="597"/>
      <c r="AS83" s="597"/>
      <c r="AT83" s="597"/>
      <c r="AU83" s="597"/>
      <c r="AV83" s="597"/>
      <c r="AW83" s="597"/>
      <c r="AX83" s="597"/>
      <c r="AY83" s="597"/>
      <c r="AZ83" s="597"/>
      <c r="BA83" s="597"/>
    </row>
    <row r="84" spans="1:53">
      <c r="A84" s="573">
        <v>16</v>
      </c>
      <c r="B84" s="638" t="s">
        <v>630</v>
      </c>
      <c r="C84" s="639" t="s">
        <v>361</v>
      </c>
      <c r="D84" s="593"/>
      <c r="E84" s="593"/>
      <c r="F84" s="593"/>
      <c r="G84" s="593"/>
      <c r="H84" s="593"/>
      <c r="I84" s="594"/>
      <c r="J84" s="594"/>
      <c r="K84" s="594">
        <f>+Input!K279</f>
        <v>1156.3716984289999</v>
      </c>
      <c r="L84" s="594">
        <f>+Input!L279</f>
        <v>685.40656374699995</v>
      </c>
      <c r="M84" s="594">
        <f>+Input!M279</f>
        <v>689.16295133599999</v>
      </c>
      <c r="N84" s="594">
        <f>+Input!N279</f>
        <v>2.559405532</v>
      </c>
      <c r="O84" s="594">
        <f>+Input!O279</f>
        <v>845.80580895499997</v>
      </c>
      <c r="P84" s="594">
        <f>+Input!P279</f>
        <v>1229.228015118</v>
      </c>
      <c r="Q84" s="2604">
        <f>+Input!Q279</f>
        <v>1627.7236010635652</v>
      </c>
      <c r="R84" s="2604">
        <f>+Input!R279</f>
        <v>1685.447996658171</v>
      </c>
      <c r="S84" s="2604">
        <f>+Input!S279</f>
        <v>1550.5482856920157</v>
      </c>
      <c r="T84" s="2604">
        <f>+Input!T279</f>
        <v>2136.859179495259</v>
      </c>
      <c r="U84" s="2604">
        <f>+Input!U279</f>
        <v>2154.1676466459458</v>
      </c>
      <c r="V84" s="2604">
        <f>+Input!V279</f>
        <v>2045.1654161051099</v>
      </c>
      <c r="W84" s="2604">
        <f>+Input!W279</f>
        <v>2106.1436444013684</v>
      </c>
      <c r="X84" s="2604">
        <f>+Input!X279</f>
        <v>2248.6223982010874</v>
      </c>
      <c r="Y84" s="2604">
        <f>+Input!Y279</f>
        <v>2367.7130746290904</v>
      </c>
      <c r="Z84" s="2604">
        <f>+Input!Z279</f>
        <v>2492.9776285941348</v>
      </c>
      <c r="AA84" s="596"/>
      <c r="AB84" s="597"/>
      <c r="AC84" s="597"/>
      <c r="AD84" s="597"/>
      <c r="AE84" s="597"/>
      <c r="AF84" s="597"/>
      <c r="AG84" s="597"/>
      <c r="AH84" s="597"/>
      <c r="AI84" s="597"/>
      <c r="AJ84" s="597"/>
      <c r="AK84" s="597"/>
      <c r="AL84" s="597"/>
      <c r="AM84" s="597"/>
      <c r="AN84" s="597"/>
      <c r="AO84" s="597"/>
      <c r="AP84" s="597"/>
      <c r="AQ84" s="597"/>
      <c r="AR84" s="597"/>
      <c r="AS84" s="597"/>
      <c r="AT84" s="597"/>
      <c r="AU84" s="597"/>
      <c r="AV84" s="597"/>
      <c r="AW84" s="597"/>
      <c r="AX84" s="597"/>
      <c r="AY84" s="597"/>
      <c r="AZ84" s="597"/>
      <c r="BA84" s="597"/>
    </row>
    <row r="85" spans="1:53">
      <c r="A85" s="249">
        <v>17</v>
      </c>
      <c r="B85" s="651" t="s">
        <v>503</v>
      </c>
      <c r="C85" s="87"/>
      <c r="D85" s="252"/>
      <c r="E85" s="252"/>
      <c r="F85" s="252"/>
      <c r="G85" s="252"/>
      <c r="H85" s="252"/>
      <c r="I85" s="585"/>
      <c r="J85" s="585"/>
      <c r="K85" s="585">
        <f>Input!K284</f>
        <v>45.098300795999997</v>
      </c>
      <c r="L85" s="585">
        <f>Input!L284</f>
        <v>118.183078862</v>
      </c>
      <c r="M85" s="585">
        <f>Input!M284</f>
        <v>285.54735748299998</v>
      </c>
      <c r="N85" s="585">
        <f>Input!N284</f>
        <v>106.451076947</v>
      </c>
      <c r="O85" s="585">
        <f>Input!O284</f>
        <v>23.307675261</v>
      </c>
      <c r="P85" s="585">
        <f>Input!P284</f>
        <v>233.21169483899999</v>
      </c>
      <c r="Q85" s="2608">
        <f>Input!Q284</f>
        <v>227.13875345107962</v>
      </c>
      <c r="R85" s="2608">
        <f>Input!R284</f>
        <v>257.89699489184238</v>
      </c>
      <c r="S85" s="2608">
        <f>Input!S284</f>
        <v>259.59619479825773</v>
      </c>
      <c r="T85" s="2608">
        <f>Input!T284</f>
        <v>248.30332965281943</v>
      </c>
      <c r="U85" s="2608">
        <f>Input!U284</f>
        <v>256.41433891887675</v>
      </c>
      <c r="V85" s="2608">
        <f>Input!V284</f>
        <v>273.62727712596279</v>
      </c>
      <c r="W85" s="2608">
        <f>Input!W284</f>
        <v>266.92268972793966</v>
      </c>
      <c r="X85" s="2608">
        <f>Input!X284</f>
        <v>272.51688912314381</v>
      </c>
      <c r="Y85" s="2608">
        <f>Input!Y284</f>
        <v>282.33632375944961</v>
      </c>
      <c r="Z85" s="2608">
        <f>Input!Z284</f>
        <v>282.15279795908566</v>
      </c>
      <c r="AA85" s="587"/>
      <c r="AB85" s="588"/>
      <c r="AC85" s="588"/>
      <c r="AD85" s="588"/>
      <c r="AE85" s="588"/>
      <c r="AF85" s="588"/>
      <c r="AG85" s="588"/>
      <c r="AH85" s="588"/>
      <c r="AI85" s="588"/>
      <c r="AJ85" s="588"/>
      <c r="AK85" s="588"/>
      <c r="AL85" s="588"/>
      <c r="AM85" s="588"/>
      <c r="AN85" s="588"/>
      <c r="AO85" s="588"/>
      <c r="AP85" s="588"/>
      <c r="AQ85" s="588"/>
      <c r="AR85" s="588"/>
      <c r="AS85" s="588"/>
      <c r="AT85" s="588"/>
      <c r="AU85" s="588"/>
      <c r="AV85" s="588"/>
      <c r="AW85" s="588"/>
      <c r="AX85" s="588"/>
      <c r="AY85" s="588"/>
      <c r="AZ85" s="588"/>
      <c r="BA85" s="588"/>
    </row>
    <row r="86" spans="1:53">
      <c r="A86" s="249">
        <v>18</v>
      </c>
      <c r="B86" s="651" t="s">
        <v>631</v>
      </c>
      <c r="C86" s="87" t="s">
        <v>507</v>
      </c>
      <c r="D86" s="252"/>
      <c r="E86" s="252"/>
      <c r="F86" s="252"/>
      <c r="G86" s="252"/>
      <c r="H86" s="252"/>
      <c r="I86" s="585"/>
      <c r="J86" s="585"/>
      <c r="K86" s="585">
        <f>Input!K289</f>
        <v>879.30163535199995</v>
      </c>
      <c r="L86" s="585">
        <f>Input!L289</f>
        <v>709.12680017599996</v>
      </c>
      <c r="M86" s="585">
        <f>Input!M289</f>
        <v>794.79728936100003</v>
      </c>
      <c r="N86" s="585">
        <f>Input!N289</f>
        <v>1028.4757360789999</v>
      </c>
      <c r="O86" s="585">
        <f>Input!O289</f>
        <v>1989.2834125500001</v>
      </c>
      <c r="P86" s="585">
        <f>Input!P289</f>
        <v>1611.5109306879999</v>
      </c>
      <c r="Q86" s="2608">
        <f>Input!Q289</f>
        <v>1517.7163751115675</v>
      </c>
      <c r="R86" s="2608">
        <f>Input!R289</f>
        <v>1493.3277643629785</v>
      </c>
      <c r="S86" s="2608">
        <f>Input!S289</f>
        <v>1501.2900843690613</v>
      </c>
      <c r="T86" s="2608">
        <f>Input!T289</f>
        <v>1763.3446465429292</v>
      </c>
      <c r="U86" s="2608">
        <f>Input!U289</f>
        <v>1858.0116437338759</v>
      </c>
      <c r="V86" s="2608">
        <f>Input!V289</f>
        <v>1437.1663915590482</v>
      </c>
      <c r="W86" s="2608">
        <f>Input!W289</f>
        <v>1336.1157237134776</v>
      </c>
      <c r="X86" s="2608">
        <f>Input!X289</f>
        <v>1303.0703246563905</v>
      </c>
      <c r="Y86" s="2608">
        <f>Input!Y289</f>
        <v>1312.1110278924041</v>
      </c>
      <c r="Z86" s="2608">
        <f>Input!Z289</f>
        <v>1268.0069594032705</v>
      </c>
      <c r="AA86" s="587"/>
      <c r="AB86" s="588"/>
      <c r="AC86" s="588"/>
      <c r="AD86" s="588"/>
      <c r="AE86" s="588"/>
      <c r="AF86" s="588"/>
      <c r="AG86" s="588"/>
      <c r="AH86" s="588"/>
      <c r="AI86" s="588"/>
      <c r="AJ86" s="588"/>
      <c r="AK86" s="588"/>
      <c r="AL86" s="588"/>
      <c r="AM86" s="588"/>
      <c r="AN86" s="588"/>
      <c r="AO86" s="588"/>
      <c r="AP86" s="588"/>
      <c r="AQ86" s="588"/>
      <c r="AR86" s="588"/>
      <c r="AS86" s="588"/>
      <c r="AT86" s="588"/>
      <c r="AU86" s="588"/>
      <c r="AV86" s="588"/>
      <c r="AW86" s="588"/>
      <c r="AX86" s="588"/>
      <c r="AY86" s="588"/>
      <c r="AZ86" s="588"/>
      <c r="BA86" s="588"/>
    </row>
    <row r="87" spans="1:53">
      <c r="A87" s="249">
        <v>19</v>
      </c>
      <c r="B87" s="651" t="s">
        <v>632</v>
      </c>
      <c r="C87" s="87" t="s">
        <v>509</v>
      </c>
      <c r="D87" s="252"/>
      <c r="E87" s="252"/>
      <c r="F87" s="252"/>
      <c r="G87" s="252"/>
      <c r="H87" s="252"/>
      <c r="I87" s="585"/>
      <c r="J87" s="585"/>
      <c r="K87" s="585">
        <f>Input!K293</f>
        <v>1219.2262188029999</v>
      </c>
      <c r="L87" s="585">
        <f>Input!L293</f>
        <v>537.43534196999997</v>
      </c>
      <c r="M87" s="585">
        <f>Input!M293</f>
        <v>1417.1029445130002</v>
      </c>
      <c r="N87" s="585">
        <f>Input!N293</f>
        <v>1736.9497672849998</v>
      </c>
      <c r="O87" s="585">
        <f>Input!O293</f>
        <v>1658.86089249</v>
      </c>
      <c r="P87" s="585">
        <f>Input!P293</f>
        <v>1606.7794728669999</v>
      </c>
      <c r="Q87" s="2608">
        <f>Input!Q293</f>
        <v>2211.8637873866269</v>
      </c>
      <c r="R87" s="2608">
        <f>Input!R293</f>
        <v>2168.2262635370789</v>
      </c>
      <c r="S87" s="2608">
        <f>Input!S293</f>
        <v>2374.7197805922151</v>
      </c>
      <c r="T87" s="2608">
        <f>Input!T293</f>
        <v>2726.0358238117583</v>
      </c>
      <c r="U87" s="2608">
        <f>Input!U293</f>
        <v>2685.2352012216302</v>
      </c>
      <c r="V87" s="2608">
        <f>Input!V293</f>
        <v>2482.2563060714697</v>
      </c>
      <c r="W87" s="2608">
        <f>Input!W293</f>
        <v>2553.5234873611544</v>
      </c>
      <c r="X87" s="2608">
        <f>Input!X293</f>
        <v>2599.2054247267183</v>
      </c>
      <c r="Y87" s="2608">
        <f>Input!Y293</f>
        <v>2751.7409007433384</v>
      </c>
      <c r="Z87" s="2608">
        <f>Input!Z293</f>
        <v>2780.8821533183295</v>
      </c>
      <c r="AA87" s="587"/>
      <c r="AB87" s="588"/>
      <c r="AC87" s="588"/>
      <c r="AD87" s="588"/>
      <c r="AE87" s="588"/>
      <c r="AF87" s="588"/>
      <c r="AG87" s="588"/>
      <c r="AH87" s="588"/>
      <c r="AI87" s="588"/>
      <c r="AJ87" s="588"/>
      <c r="AK87" s="588"/>
      <c r="AL87" s="588"/>
      <c r="AM87" s="588"/>
      <c r="AN87" s="588"/>
      <c r="AO87" s="588"/>
      <c r="AP87" s="588"/>
      <c r="AQ87" s="588"/>
      <c r="AR87" s="588"/>
      <c r="AS87" s="588"/>
      <c r="AT87" s="588"/>
      <c r="AU87" s="588"/>
      <c r="AV87" s="588"/>
      <c r="AW87" s="588"/>
      <c r="AX87" s="588"/>
      <c r="AY87" s="588"/>
      <c r="AZ87" s="588"/>
      <c r="BA87" s="588"/>
    </row>
    <row r="88" spans="1:53">
      <c r="A88" s="86"/>
      <c r="B88" s="104" t="s">
        <v>633</v>
      </c>
      <c r="C88" s="104" t="s">
        <v>634</v>
      </c>
      <c r="D88" s="136"/>
      <c r="E88" s="136"/>
      <c r="F88" s="136"/>
      <c r="G88" s="136"/>
      <c r="H88" s="136"/>
      <c r="I88" s="137"/>
      <c r="J88" s="137"/>
      <c r="K88" s="137">
        <f>K82+SUM(K85:K87)</f>
        <v>3299.9978533799999</v>
      </c>
      <c r="L88" s="137">
        <f t="shared" ref="L88:Z88" si="53">L82+SUM(L85:L87)</f>
        <v>2050.1517847549999</v>
      </c>
      <c r="M88" s="137">
        <f t="shared" si="53"/>
        <v>3186.6105426930003</v>
      </c>
      <c r="N88" s="137">
        <f t="shared" si="53"/>
        <v>2874.4359858429998</v>
      </c>
      <c r="O88" s="137">
        <f t="shared" si="53"/>
        <v>4517.2577892560003</v>
      </c>
      <c r="P88" s="137">
        <f t="shared" si="53"/>
        <v>4680.7301135119997</v>
      </c>
      <c r="Q88" s="2605">
        <f t="shared" ca="1" si="53"/>
        <v>5584.4425170128388</v>
      </c>
      <c r="R88" s="2605">
        <f t="shared" ca="1" si="53"/>
        <v>5604.8990194500711</v>
      </c>
      <c r="S88" s="2605">
        <f t="shared" ca="1" si="53"/>
        <v>5686.1543454515504</v>
      </c>
      <c r="T88" s="2605">
        <f t="shared" ca="1" si="53"/>
        <v>6874.5429795027658</v>
      </c>
      <c r="U88" s="2605">
        <f t="shared" ca="1" si="53"/>
        <v>6953.8288305203287</v>
      </c>
      <c r="V88" s="2605">
        <f t="shared" ca="1" si="53"/>
        <v>6238.215390861591</v>
      </c>
      <c r="W88" s="2605">
        <f t="shared" ca="1" si="53"/>
        <v>6262.7055452039403</v>
      </c>
      <c r="X88" s="2605">
        <f t="shared" ca="1" si="53"/>
        <v>6423.4150367073398</v>
      </c>
      <c r="Y88" s="2605">
        <f t="shared" ca="1" si="53"/>
        <v>6713.9013270242822</v>
      </c>
      <c r="Z88" s="2605">
        <f t="shared" ca="1" si="53"/>
        <v>6824.019539274821</v>
      </c>
      <c r="AA88" s="138"/>
      <c r="AB88" s="139"/>
      <c r="AC88" s="139"/>
      <c r="AD88" s="139"/>
      <c r="AE88" s="139"/>
      <c r="AF88" s="139"/>
      <c r="AG88" s="139"/>
      <c r="AH88" s="139"/>
      <c r="AI88" s="139"/>
      <c r="AJ88" s="139"/>
      <c r="AK88" s="139"/>
      <c r="AL88" s="139"/>
      <c r="AM88" s="139"/>
      <c r="AN88" s="139"/>
      <c r="AO88" s="139"/>
      <c r="AP88" s="139"/>
      <c r="AQ88" s="139"/>
      <c r="AR88" s="139"/>
      <c r="AS88" s="139"/>
      <c r="AT88" s="139"/>
      <c r="AU88" s="139"/>
      <c r="AV88" s="139"/>
      <c r="AW88" s="139"/>
      <c r="AX88" s="139"/>
      <c r="AY88" s="139"/>
      <c r="AZ88" s="139"/>
      <c r="BA88" s="139"/>
    </row>
    <row r="89" spans="1:53" s="641" customFormat="1">
      <c r="A89" s="573"/>
      <c r="B89" s="416" t="s">
        <v>604</v>
      </c>
      <c r="C89" s="416"/>
      <c r="D89" s="500"/>
      <c r="E89" s="500"/>
      <c r="F89" s="500"/>
      <c r="G89" s="500"/>
      <c r="H89" s="500"/>
      <c r="I89" s="501"/>
      <c r="J89" s="501"/>
      <c r="K89" s="501">
        <f>K88-Input!K296</f>
        <v>0</v>
      </c>
      <c r="L89" s="501">
        <f>L88-Input!L296</f>
        <v>0</v>
      </c>
      <c r="M89" s="501">
        <f>M88-Input!M296</f>
        <v>0</v>
      </c>
      <c r="N89" s="501">
        <f>N88-Input!N296</f>
        <v>0</v>
      </c>
      <c r="O89" s="501">
        <f>O88-Input!O296</f>
        <v>0</v>
      </c>
      <c r="P89" s="501">
        <f>P88-Input!P296</f>
        <v>0</v>
      </c>
      <c r="Q89" s="2606">
        <f ca="1">Q88-Input!Q296</f>
        <v>0</v>
      </c>
      <c r="R89" s="2606">
        <f ca="1">R88-Input!R296</f>
        <v>0</v>
      </c>
      <c r="S89" s="2606">
        <f ca="1">S88-Input!S296</f>
        <v>0</v>
      </c>
      <c r="T89" s="2606">
        <f ca="1">T88-Input!T296</f>
        <v>0</v>
      </c>
      <c r="U89" s="2606">
        <f ca="1">U88-Input!U296</f>
        <v>0</v>
      </c>
      <c r="V89" s="2606">
        <f ca="1">V88-Input!V296</f>
        <v>0</v>
      </c>
      <c r="W89" s="2606">
        <f ca="1">W88-Input!W296</f>
        <v>0</v>
      </c>
      <c r="X89" s="2606">
        <f ca="1">X88-Input!X296</f>
        <v>0</v>
      </c>
      <c r="Y89" s="2606">
        <f ca="1">Y88-Input!Y296</f>
        <v>0</v>
      </c>
      <c r="Z89" s="2606">
        <f ca="1">Z88-Input!Z296</f>
        <v>0</v>
      </c>
      <c r="AA89" s="1468"/>
      <c r="AB89" s="1486"/>
      <c r="AC89" s="1486"/>
      <c r="AD89" s="1486"/>
      <c r="AE89" s="1486"/>
      <c r="AF89" s="1486"/>
      <c r="AG89" s="1486"/>
      <c r="AH89" s="1486"/>
      <c r="AI89" s="1486"/>
      <c r="AJ89" s="1486"/>
      <c r="AK89" s="1486"/>
      <c r="AL89" s="1486"/>
      <c r="AM89" s="1486"/>
      <c r="AN89" s="1486"/>
      <c r="AO89" s="1486"/>
      <c r="AP89" s="1486"/>
      <c r="AQ89" s="1486"/>
      <c r="AR89" s="1486"/>
      <c r="AS89" s="500"/>
      <c r="AT89" s="500"/>
      <c r="AU89" s="500"/>
      <c r="AV89" s="500"/>
      <c r="AW89" s="500"/>
      <c r="AX89" s="500"/>
      <c r="AY89" s="500"/>
      <c r="AZ89" s="500"/>
      <c r="BA89" s="500"/>
    </row>
    <row r="90" spans="1:53">
      <c r="A90" s="573"/>
      <c r="B90" s="642"/>
      <c r="C90" s="639"/>
      <c r="D90" s="593"/>
      <c r="E90" s="593"/>
      <c r="F90" s="593"/>
      <c r="G90" s="593"/>
      <c r="H90" s="593"/>
      <c r="I90" s="593"/>
      <c r="J90" s="593"/>
      <c r="K90" s="593"/>
      <c r="L90" s="593"/>
      <c r="M90" s="593"/>
      <c r="N90" s="593"/>
      <c r="O90" s="593"/>
      <c r="P90" s="649"/>
      <c r="Q90" s="597"/>
      <c r="R90" s="597"/>
      <c r="S90" s="597"/>
      <c r="T90" s="597"/>
      <c r="U90" s="597"/>
      <c r="V90" s="597"/>
      <c r="W90" s="597"/>
      <c r="X90" s="597"/>
      <c r="Y90" s="597"/>
      <c r="Z90" s="597"/>
      <c r="AA90" s="597"/>
      <c r="AB90" s="597"/>
      <c r="AC90" s="597"/>
      <c r="AD90" s="597"/>
      <c r="AE90" s="597"/>
      <c r="AF90" s="597"/>
      <c r="AG90" s="597"/>
      <c r="AH90" s="597"/>
      <c r="AI90" s="597"/>
      <c r="AJ90" s="597"/>
      <c r="AK90" s="597"/>
      <c r="AL90" s="597"/>
      <c r="AM90" s="597"/>
      <c r="AN90" s="597"/>
      <c r="AO90" s="597"/>
      <c r="AP90" s="597"/>
      <c r="AQ90" s="597"/>
      <c r="AR90" s="597"/>
      <c r="AS90" s="593"/>
      <c r="AT90" s="593"/>
      <c r="AU90" s="593"/>
      <c r="AV90" s="593"/>
      <c r="AW90" s="593"/>
      <c r="AX90" s="593"/>
      <c r="AY90" s="593"/>
      <c r="AZ90" s="593"/>
      <c r="BA90" s="593"/>
    </row>
    <row r="91" spans="1:53">
      <c r="A91" s="86">
        <v>22</v>
      </c>
      <c r="B91" s="651" t="s">
        <v>635</v>
      </c>
      <c r="C91" s="87" t="s">
        <v>534</v>
      </c>
      <c r="D91" s="89"/>
      <c r="E91" s="89"/>
      <c r="F91" s="89"/>
      <c r="G91" s="89"/>
      <c r="H91" s="89"/>
      <c r="I91" s="90"/>
      <c r="J91" s="90"/>
      <c r="K91" s="90">
        <f>Input!K343</f>
        <v>0</v>
      </c>
      <c r="L91" s="90">
        <f>Input!L343</f>
        <v>0</v>
      </c>
      <c r="M91" s="90">
        <f>Input!M343</f>
        <v>0</v>
      </c>
      <c r="N91" s="90">
        <f>Input!N343</f>
        <v>0</v>
      </c>
      <c r="O91" s="90">
        <f>Input!O343</f>
        <v>0</v>
      </c>
      <c r="P91" s="90">
        <f>Input!P343</f>
        <v>0</v>
      </c>
      <c r="Q91" s="984">
        <f>Input!Q343</f>
        <v>0</v>
      </c>
      <c r="R91" s="984">
        <f>Input!R343</f>
        <v>0</v>
      </c>
      <c r="S91" s="984">
        <f>Input!S343</f>
        <v>0</v>
      </c>
      <c r="T91" s="984">
        <f>Input!T343</f>
        <v>0</v>
      </c>
      <c r="U91" s="984">
        <f>Input!U343</f>
        <v>0</v>
      </c>
      <c r="V91" s="984">
        <f>Input!V343</f>
        <v>0</v>
      </c>
      <c r="W91" s="984">
        <f>Input!W343</f>
        <v>0</v>
      </c>
      <c r="X91" s="984">
        <f>Input!X343</f>
        <v>0</v>
      </c>
      <c r="Y91" s="984">
        <f>Input!Y343</f>
        <v>0</v>
      </c>
      <c r="Z91" s="984">
        <f>Input!Z343</f>
        <v>0</v>
      </c>
      <c r="AA91" s="142"/>
      <c r="AB91" s="143"/>
      <c r="AC91" s="143"/>
      <c r="AD91" s="143"/>
      <c r="AE91" s="143"/>
      <c r="AF91" s="143"/>
      <c r="AG91" s="143"/>
      <c r="AH91" s="143"/>
      <c r="AI91" s="143"/>
      <c r="AJ91" s="143"/>
      <c r="AK91" s="143"/>
      <c r="AL91" s="143"/>
      <c r="AM91" s="143"/>
      <c r="AN91" s="143"/>
      <c r="AO91" s="143"/>
      <c r="AP91" s="143"/>
      <c r="AQ91" s="143"/>
      <c r="AR91" s="143"/>
      <c r="AS91" s="143"/>
      <c r="AT91" s="143"/>
      <c r="AU91" s="143"/>
      <c r="AV91" s="143"/>
      <c r="AW91" s="143"/>
      <c r="AX91" s="143"/>
      <c r="AY91" s="143"/>
      <c r="AZ91" s="143"/>
      <c r="BA91" s="143"/>
    </row>
    <row r="92" spans="1:53">
      <c r="A92" s="86">
        <v>20</v>
      </c>
      <c r="B92" s="87" t="s">
        <v>636</v>
      </c>
      <c r="C92" s="87"/>
      <c r="D92" s="89"/>
      <c r="E92" s="89"/>
      <c r="F92" s="89"/>
      <c r="G92" s="89"/>
      <c r="H92" s="89"/>
      <c r="I92" s="90"/>
      <c r="J92" s="90"/>
      <c r="K92" s="90">
        <f>+Input!K330</f>
        <v>628.47249524100005</v>
      </c>
      <c r="L92" s="90">
        <f>+Input!L330</f>
        <v>137.062222093</v>
      </c>
      <c r="M92" s="90">
        <f>+Input!M330</f>
        <v>2.6763435320000002</v>
      </c>
      <c r="N92" s="90">
        <f>+Input!N330</f>
        <v>1.0484815000000001</v>
      </c>
      <c r="O92" s="90">
        <f>+Input!O330</f>
        <v>2.9644798749999999</v>
      </c>
      <c r="P92" s="90">
        <f>+Input!P330</f>
        <v>119.527496051</v>
      </c>
      <c r="Q92" s="984">
        <f>+Input!Q330</f>
        <v>351.10113874462809</v>
      </c>
      <c r="R92" s="984">
        <f>+Input!R330</f>
        <v>497.008080119243</v>
      </c>
      <c r="S92" s="984">
        <f>+Input!S330</f>
        <v>583.71521092329453</v>
      </c>
      <c r="T92" s="984">
        <f>+Input!T330</f>
        <v>814.31730987355388</v>
      </c>
      <c r="U92" s="984">
        <f>+Input!U330</f>
        <v>711.52401678971239</v>
      </c>
      <c r="V92" s="984">
        <f>+Input!V330</f>
        <v>575.66000497191988</v>
      </c>
      <c r="W92" s="984">
        <f>+Input!W330</f>
        <v>445.3340713572826</v>
      </c>
      <c r="X92" s="984">
        <f>+Input!X330</f>
        <v>358.65792112628571</v>
      </c>
      <c r="Y92" s="984">
        <f>+Input!Y330</f>
        <v>337.86153077179063</v>
      </c>
      <c r="Z92" s="984">
        <f>+Input!Z330</f>
        <v>344.77629244595983</v>
      </c>
      <c r="AA92" s="142"/>
      <c r="AB92" s="143"/>
      <c r="AC92" s="143"/>
      <c r="AD92" s="143"/>
      <c r="AE92" s="143"/>
      <c r="AF92" s="143"/>
      <c r="AG92" s="143"/>
      <c r="AH92" s="143"/>
      <c r="AI92" s="143"/>
      <c r="AJ92" s="143"/>
      <c r="AK92" s="143"/>
      <c r="AL92" s="143"/>
      <c r="AM92" s="143"/>
      <c r="AN92" s="143"/>
      <c r="AO92" s="143"/>
      <c r="AP92" s="143"/>
      <c r="AQ92" s="143"/>
      <c r="AR92" s="143"/>
      <c r="AS92" s="143"/>
      <c r="AT92" s="143"/>
      <c r="AU92" s="143"/>
      <c r="AV92" s="143"/>
      <c r="AW92" s="143"/>
      <c r="AX92" s="143"/>
      <c r="AY92" s="143"/>
      <c r="AZ92" s="143"/>
      <c r="BA92" s="143"/>
    </row>
    <row r="93" spans="1:53">
      <c r="A93" s="573"/>
      <c r="B93" s="650"/>
      <c r="C93" s="639" t="s">
        <v>637</v>
      </c>
      <c r="D93" s="593"/>
      <c r="E93" s="593"/>
      <c r="F93" s="593"/>
      <c r="G93" s="593"/>
      <c r="H93" s="593"/>
      <c r="I93" s="593"/>
      <c r="J93" s="593"/>
      <c r="K93" s="593"/>
      <c r="L93" s="593"/>
      <c r="M93" s="593"/>
      <c r="N93" s="593"/>
      <c r="O93" s="593"/>
      <c r="P93" s="649"/>
      <c r="Q93" s="597"/>
      <c r="R93" s="597"/>
      <c r="S93" s="597"/>
      <c r="T93" s="597"/>
      <c r="U93" s="597"/>
      <c r="V93" s="597"/>
      <c r="W93" s="597"/>
      <c r="X93" s="597"/>
      <c r="Y93" s="597"/>
      <c r="Z93" s="597"/>
      <c r="AA93" s="597"/>
      <c r="AB93" s="597"/>
      <c r="AC93" s="597"/>
      <c r="AD93" s="597"/>
      <c r="AE93" s="597"/>
      <c r="AF93" s="597"/>
      <c r="AG93" s="597"/>
      <c r="AH93" s="597"/>
      <c r="AI93" s="597"/>
      <c r="AJ93" s="597"/>
      <c r="AK93" s="597"/>
      <c r="AL93" s="597"/>
      <c r="AM93" s="597"/>
      <c r="AN93" s="597"/>
      <c r="AO93" s="597"/>
      <c r="AP93" s="597"/>
      <c r="AQ93" s="597"/>
      <c r="AR93" s="597"/>
      <c r="AS93" s="597"/>
      <c r="AT93" s="597"/>
      <c r="AU93" s="597"/>
      <c r="AV93" s="597"/>
      <c r="AW93" s="597"/>
      <c r="AX93" s="597"/>
      <c r="AY93" s="597"/>
      <c r="AZ93" s="597"/>
      <c r="BA93" s="597"/>
    </row>
    <row r="94" spans="1:53">
      <c r="A94" s="573"/>
      <c r="B94" s="650"/>
      <c r="C94" s="639" t="s">
        <v>638</v>
      </c>
      <c r="D94" s="593"/>
      <c r="E94" s="593"/>
      <c r="F94" s="593"/>
      <c r="G94" s="593"/>
      <c r="H94" s="593"/>
      <c r="I94" s="593"/>
      <c r="J94" s="593"/>
      <c r="K94" s="593"/>
      <c r="L94" s="593"/>
      <c r="M94" s="593"/>
      <c r="N94" s="593"/>
      <c r="O94" s="593"/>
      <c r="P94" s="649"/>
      <c r="Q94" s="597"/>
      <c r="R94" s="597"/>
      <c r="S94" s="597"/>
      <c r="T94" s="597"/>
      <c r="U94" s="597"/>
      <c r="V94" s="597"/>
      <c r="W94" s="597"/>
      <c r="X94" s="597"/>
      <c r="Y94" s="597"/>
      <c r="Z94" s="597"/>
      <c r="AA94" s="597"/>
      <c r="AB94" s="597"/>
      <c r="AC94" s="597"/>
      <c r="AD94" s="597"/>
      <c r="AE94" s="597"/>
      <c r="AF94" s="597"/>
      <c r="AG94" s="597"/>
      <c r="AH94" s="597"/>
      <c r="AI94" s="597"/>
      <c r="AJ94" s="597"/>
      <c r="AK94" s="597"/>
      <c r="AL94" s="597"/>
      <c r="AM94" s="597"/>
      <c r="AN94" s="597"/>
      <c r="AO94" s="597"/>
      <c r="AP94" s="597"/>
      <c r="AQ94" s="597"/>
      <c r="AR94" s="597"/>
      <c r="AS94" s="597"/>
      <c r="AT94" s="597"/>
      <c r="AU94" s="597"/>
      <c r="AV94" s="597"/>
      <c r="AW94" s="597"/>
      <c r="AX94" s="597"/>
      <c r="AY94" s="597"/>
      <c r="AZ94" s="597"/>
      <c r="BA94" s="597"/>
    </row>
    <row r="95" spans="1:53">
      <c r="A95" s="573"/>
      <c r="B95" s="650"/>
      <c r="C95" s="639" t="s">
        <v>639</v>
      </c>
      <c r="D95" s="593"/>
      <c r="E95" s="593"/>
      <c r="F95" s="593"/>
      <c r="G95" s="593"/>
      <c r="H95" s="593"/>
      <c r="I95" s="593"/>
      <c r="J95" s="593"/>
      <c r="K95" s="593"/>
      <c r="L95" s="593"/>
      <c r="M95" s="593"/>
      <c r="N95" s="593"/>
      <c r="O95" s="593"/>
      <c r="P95" s="649"/>
      <c r="Q95" s="597"/>
      <c r="R95" s="597"/>
      <c r="S95" s="597"/>
      <c r="T95" s="597"/>
      <c r="U95" s="597"/>
      <c r="V95" s="597"/>
      <c r="W95" s="597"/>
      <c r="X95" s="597"/>
      <c r="Y95" s="597"/>
      <c r="Z95" s="597"/>
      <c r="AA95" s="597"/>
      <c r="AB95" s="597"/>
      <c r="AC95" s="597"/>
      <c r="AD95" s="597"/>
      <c r="AE95" s="597"/>
      <c r="AF95" s="597"/>
      <c r="AG95" s="597"/>
      <c r="AH95" s="597"/>
      <c r="AI95" s="597"/>
      <c r="AJ95" s="597"/>
      <c r="AK95" s="597"/>
      <c r="AL95" s="597"/>
      <c r="AM95" s="597"/>
      <c r="AN95" s="597"/>
      <c r="AO95" s="597"/>
      <c r="AP95" s="597"/>
      <c r="AQ95" s="597"/>
      <c r="AR95" s="597"/>
      <c r="AS95" s="597"/>
      <c r="AT95" s="597"/>
      <c r="AU95" s="597"/>
      <c r="AV95" s="597"/>
      <c r="AW95" s="597"/>
      <c r="AX95" s="597"/>
      <c r="AY95" s="597"/>
      <c r="AZ95" s="597"/>
      <c r="BA95" s="597"/>
    </row>
    <row r="96" spans="1:53">
      <c r="A96" s="86">
        <v>21</v>
      </c>
      <c r="B96" s="87" t="s">
        <v>640</v>
      </c>
      <c r="C96" s="87" t="s">
        <v>529</v>
      </c>
      <c r="D96" s="89"/>
      <c r="E96" s="89"/>
      <c r="F96" s="89"/>
      <c r="G96" s="89"/>
      <c r="H96" s="89"/>
      <c r="I96" s="90"/>
      <c r="J96" s="90"/>
      <c r="K96" s="90">
        <f>Input!K336</f>
        <v>0</v>
      </c>
      <c r="L96" s="90">
        <f>Input!L336</f>
        <v>0</v>
      </c>
      <c r="M96" s="90">
        <f>Input!M336</f>
        <v>0</v>
      </c>
      <c r="N96" s="90">
        <f>Input!N336</f>
        <v>0</v>
      </c>
      <c r="O96" s="90">
        <f>Input!O336</f>
        <v>0</v>
      </c>
      <c r="P96" s="90">
        <f>Input!P336</f>
        <v>0</v>
      </c>
      <c r="Q96" s="984">
        <f>Input!Q336</f>
        <v>0</v>
      </c>
      <c r="R96" s="984">
        <f>Input!R336</f>
        <v>0</v>
      </c>
      <c r="S96" s="984">
        <f>Input!S336</f>
        <v>0</v>
      </c>
      <c r="T96" s="984">
        <f>Input!T336</f>
        <v>0</v>
      </c>
      <c r="U96" s="984">
        <f>Input!U336</f>
        <v>0</v>
      </c>
      <c r="V96" s="984">
        <f>Input!V336</f>
        <v>0</v>
      </c>
      <c r="W96" s="984">
        <f>Input!W336</f>
        <v>0</v>
      </c>
      <c r="X96" s="984">
        <f>Input!X336</f>
        <v>0</v>
      </c>
      <c r="Y96" s="984">
        <f>Input!Y336</f>
        <v>0</v>
      </c>
      <c r="Z96" s="984">
        <f>Input!Z336</f>
        <v>0</v>
      </c>
      <c r="AA96" s="142"/>
      <c r="AB96" s="143"/>
      <c r="AC96" s="143"/>
      <c r="AD96" s="143"/>
      <c r="AE96" s="143"/>
      <c r="AF96" s="143"/>
      <c r="AG96" s="143"/>
      <c r="AH96" s="143"/>
      <c r="AI96" s="143"/>
      <c r="AJ96" s="143"/>
      <c r="AK96" s="143"/>
      <c r="AL96" s="143"/>
      <c r="AM96" s="143"/>
      <c r="AN96" s="143"/>
      <c r="AO96" s="143"/>
      <c r="AP96" s="143"/>
      <c r="AQ96" s="143"/>
      <c r="AR96" s="143"/>
      <c r="AS96" s="143"/>
      <c r="AT96" s="143"/>
      <c r="AU96" s="143"/>
      <c r="AV96" s="143"/>
      <c r="AW96" s="143"/>
      <c r="AX96" s="143"/>
      <c r="AY96" s="143"/>
      <c r="AZ96" s="143"/>
      <c r="BA96" s="143"/>
    </row>
    <row r="97" spans="1:53">
      <c r="A97" s="86">
        <v>23</v>
      </c>
      <c r="B97" s="651" t="s">
        <v>641</v>
      </c>
      <c r="C97" s="651" t="s">
        <v>536</v>
      </c>
      <c r="D97" s="89"/>
      <c r="E97" s="89"/>
      <c r="F97" s="89"/>
      <c r="G97" s="89"/>
      <c r="H97" s="89"/>
      <c r="I97" s="90"/>
      <c r="J97" s="90"/>
      <c r="K97" s="90">
        <f>Input!K347</f>
        <v>137.79715404599995</v>
      </c>
      <c r="L97" s="90">
        <f>Input!L347</f>
        <v>203.819014815</v>
      </c>
      <c r="M97" s="90">
        <f>Input!M347</f>
        <v>404.73717331400002</v>
      </c>
      <c r="N97" s="90">
        <f>Input!N347</f>
        <v>685.92743615300003</v>
      </c>
      <c r="O97" s="90">
        <f>Input!O347</f>
        <v>754.36092400999996</v>
      </c>
      <c r="P97" s="90">
        <f>Input!P347</f>
        <v>751.41312760000005</v>
      </c>
      <c r="Q97" s="984">
        <f>Input!Q347</f>
        <v>728.56491970698278</v>
      </c>
      <c r="R97" s="984">
        <f>Input!R347</f>
        <v>830.24173762573196</v>
      </c>
      <c r="S97" s="984">
        <f>Input!S347</f>
        <v>910.14162344567421</v>
      </c>
      <c r="T97" s="984">
        <f>Input!T347</f>
        <v>1097.4342471955927</v>
      </c>
      <c r="U97" s="984">
        <f>Input!U347</f>
        <v>1084.0537994948738</v>
      </c>
      <c r="V97" s="984">
        <f>Input!V347</f>
        <v>979.17552859989325</v>
      </c>
      <c r="W97" s="984">
        <f>Input!W347</f>
        <v>976.76408958418608</v>
      </c>
      <c r="X97" s="984">
        <f>Input!X347</f>
        <v>1017.8855211633892</v>
      </c>
      <c r="Y97" s="984">
        <f>Input!Y347</f>
        <v>1081.4308550618584</v>
      </c>
      <c r="Z97" s="984">
        <f>Input!Z347</f>
        <v>1097.4854265784545</v>
      </c>
      <c r="AA97" s="142"/>
      <c r="AB97" s="143"/>
      <c r="AC97" s="143"/>
      <c r="AD97" s="143"/>
      <c r="AE97" s="143"/>
      <c r="AF97" s="143"/>
      <c r="AG97" s="143"/>
      <c r="AH97" s="143"/>
      <c r="AI97" s="143"/>
      <c r="AJ97" s="143"/>
      <c r="AK97" s="143"/>
      <c r="AL97" s="143"/>
      <c r="AM97" s="143"/>
      <c r="AN97" s="143"/>
      <c r="AO97" s="143"/>
      <c r="AP97" s="143"/>
      <c r="AQ97" s="143"/>
      <c r="AR97" s="143"/>
      <c r="AS97" s="143"/>
      <c r="AT97" s="143"/>
      <c r="AU97" s="143"/>
      <c r="AV97" s="143"/>
      <c r="AW97" s="143"/>
      <c r="AX97" s="143"/>
      <c r="AY97" s="143"/>
      <c r="AZ97" s="143"/>
      <c r="BA97" s="143"/>
    </row>
    <row r="98" spans="1:53">
      <c r="A98" s="86"/>
      <c r="B98" s="652" t="s">
        <v>642</v>
      </c>
      <c r="C98" s="652" t="s">
        <v>643</v>
      </c>
      <c r="D98" s="653"/>
      <c r="E98" s="653"/>
      <c r="F98" s="653"/>
      <c r="G98" s="653"/>
      <c r="H98" s="653"/>
      <c r="I98" s="654"/>
      <c r="J98" s="654"/>
      <c r="K98" s="654">
        <f>K91+K92+K96+K97</f>
        <v>766.26964928699999</v>
      </c>
      <c r="L98" s="654">
        <f t="shared" ref="L98:Z98" si="54">L91+L92+L96+L97</f>
        <v>340.88123690800001</v>
      </c>
      <c r="M98" s="654">
        <f t="shared" si="54"/>
        <v>407.41351684599999</v>
      </c>
      <c r="N98" s="654">
        <f t="shared" si="54"/>
        <v>686.97591765300001</v>
      </c>
      <c r="O98" s="654">
        <f t="shared" si="54"/>
        <v>757.32540388500001</v>
      </c>
      <c r="P98" s="654">
        <f t="shared" si="54"/>
        <v>870.94062365100001</v>
      </c>
      <c r="Q98" s="2609">
        <f t="shared" si="54"/>
        <v>1079.6660584516108</v>
      </c>
      <c r="R98" s="2609">
        <f t="shared" si="54"/>
        <v>1327.249817744975</v>
      </c>
      <c r="S98" s="2609">
        <f t="shared" si="54"/>
        <v>1493.8568343689687</v>
      </c>
      <c r="T98" s="2609">
        <f t="shared" si="54"/>
        <v>1911.7515570691467</v>
      </c>
      <c r="U98" s="2609">
        <f t="shared" si="54"/>
        <v>1795.5778162845863</v>
      </c>
      <c r="V98" s="2609">
        <f t="shared" si="54"/>
        <v>1554.8355335718131</v>
      </c>
      <c r="W98" s="2609">
        <f t="shared" si="54"/>
        <v>1422.0981609414687</v>
      </c>
      <c r="X98" s="2609">
        <f t="shared" si="54"/>
        <v>1376.5434422896749</v>
      </c>
      <c r="Y98" s="2609">
        <f t="shared" si="54"/>
        <v>1419.292385833649</v>
      </c>
      <c r="Z98" s="2609">
        <f t="shared" si="54"/>
        <v>1442.2617190244143</v>
      </c>
      <c r="AA98" s="656"/>
      <c r="AB98" s="657"/>
      <c r="AC98" s="657"/>
      <c r="AD98" s="657"/>
      <c r="AE98" s="657"/>
      <c r="AF98" s="657"/>
      <c r="AG98" s="657"/>
      <c r="AH98" s="657"/>
      <c r="AI98" s="657"/>
      <c r="AJ98" s="657"/>
      <c r="AK98" s="657"/>
      <c r="AL98" s="657"/>
      <c r="AM98" s="657"/>
      <c r="AN98" s="657"/>
      <c r="AO98" s="657"/>
      <c r="AP98" s="657"/>
      <c r="AQ98" s="657"/>
      <c r="AR98" s="657"/>
      <c r="AS98" s="657"/>
      <c r="AT98" s="657"/>
      <c r="AU98" s="657"/>
      <c r="AV98" s="657"/>
      <c r="AW98" s="657"/>
      <c r="AX98" s="657"/>
      <c r="AY98" s="657"/>
      <c r="AZ98" s="657"/>
      <c r="BA98" s="657"/>
    </row>
    <row r="99" spans="1:53" ht="13.8" thickBot="1">
      <c r="A99" s="86"/>
      <c r="B99" s="406" t="s">
        <v>644</v>
      </c>
      <c r="C99" s="406" t="s">
        <v>645</v>
      </c>
      <c r="D99" s="408"/>
      <c r="E99" s="408"/>
      <c r="F99" s="408"/>
      <c r="G99" s="408"/>
      <c r="H99" s="408"/>
      <c r="I99" s="409"/>
      <c r="J99" s="409"/>
      <c r="K99" s="409">
        <f>K98+K88</f>
        <v>4066.2675026669999</v>
      </c>
      <c r="L99" s="409">
        <f t="shared" ref="L99:Z99" si="55">L98+L88</f>
        <v>2391.033021663</v>
      </c>
      <c r="M99" s="409">
        <f t="shared" si="55"/>
        <v>3594.0240595390005</v>
      </c>
      <c r="N99" s="409">
        <f t="shared" si="55"/>
        <v>3561.4119034959999</v>
      </c>
      <c r="O99" s="409">
        <f t="shared" si="55"/>
        <v>5274.5831931410003</v>
      </c>
      <c r="P99" s="409">
        <f t="shared" si="55"/>
        <v>5551.670737163</v>
      </c>
      <c r="Q99" s="2607">
        <f t="shared" ca="1" si="55"/>
        <v>6664.10857546445</v>
      </c>
      <c r="R99" s="2607">
        <f t="shared" ca="1" si="55"/>
        <v>6932.1488371950463</v>
      </c>
      <c r="S99" s="2607">
        <f t="shared" ca="1" si="55"/>
        <v>7180.0111798205189</v>
      </c>
      <c r="T99" s="2607">
        <f t="shared" ca="1" si="55"/>
        <v>8786.2945365719133</v>
      </c>
      <c r="U99" s="2607">
        <f t="shared" ca="1" si="55"/>
        <v>8749.406646804915</v>
      </c>
      <c r="V99" s="2607">
        <f t="shared" ca="1" si="55"/>
        <v>7793.0509244334044</v>
      </c>
      <c r="W99" s="2607">
        <f t="shared" ca="1" si="55"/>
        <v>7684.8037061454088</v>
      </c>
      <c r="X99" s="2607">
        <f t="shared" ca="1" si="55"/>
        <v>7799.9584789970149</v>
      </c>
      <c r="Y99" s="2607">
        <f t="shared" ca="1" si="55"/>
        <v>8133.1937128579311</v>
      </c>
      <c r="Z99" s="2607">
        <f t="shared" ca="1" si="55"/>
        <v>8266.2812582992356</v>
      </c>
      <c r="AA99" s="410"/>
      <c r="AB99" s="411"/>
      <c r="AC99" s="411"/>
      <c r="AD99" s="411"/>
      <c r="AE99" s="411"/>
      <c r="AF99" s="411"/>
      <c r="AG99" s="411"/>
      <c r="AH99" s="411"/>
      <c r="AI99" s="411"/>
      <c r="AJ99" s="411"/>
      <c r="AK99" s="411"/>
      <c r="AL99" s="411"/>
      <c r="AM99" s="411"/>
      <c r="AN99" s="411"/>
      <c r="AO99" s="411"/>
      <c r="AP99" s="411"/>
      <c r="AQ99" s="411"/>
      <c r="AR99" s="411"/>
      <c r="AS99" s="411"/>
      <c r="AT99" s="411"/>
      <c r="AU99" s="411"/>
      <c r="AV99" s="411"/>
      <c r="AW99" s="411"/>
      <c r="AX99" s="411"/>
      <c r="AY99" s="411"/>
      <c r="AZ99" s="411"/>
      <c r="BA99" s="411"/>
    </row>
    <row r="100" spans="1:53" s="641" customFormat="1" ht="13.8" thickTop="1">
      <c r="A100" s="573"/>
      <c r="B100" s="416" t="s">
        <v>604</v>
      </c>
      <c r="C100" s="416"/>
      <c r="D100" s="500"/>
      <c r="E100" s="500"/>
      <c r="F100" s="500"/>
      <c r="G100" s="500"/>
      <c r="H100" s="500"/>
      <c r="I100" s="500"/>
      <c r="J100" s="501"/>
      <c r="K100" s="501">
        <f>K99-Input!K353</f>
        <v>0</v>
      </c>
      <c r="L100" s="501">
        <f>L99-Input!L353</f>
        <v>0</v>
      </c>
      <c r="M100" s="501">
        <f>M99-Input!M353</f>
        <v>0</v>
      </c>
      <c r="N100" s="501">
        <f>N99-Input!N353</f>
        <v>0</v>
      </c>
      <c r="O100" s="501">
        <f>O99-Input!O353</f>
        <v>0</v>
      </c>
      <c r="P100" s="501">
        <f>P99-Input!P353</f>
        <v>0</v>
      </c>
      <c r="Q100" s="2606">
        <f ca="1">Q99-Input!Q353</f>
        <v>0</v>
      </c>
      <c r="R100" s="2606">
        <f ca="1">R99-Input!R353</f>
        <v>0</v>
      </c>
      <c r="S100" s="2606">
        <f ca="1">S99-Input!S353</f>
        <v>0</v>
      </c>
      <c r="T100" s="2606">
        <f ca="1">T99-Input!T353</f>
        <v>0</v>
      </c>
      <c r="U100" s="2606">
        <f ca="1">U99-Input!U353</f>
        <v>0</v>
      </c>
      <c r="V100" s="2606">
        <f ca="1">V99-Input!V353</f>
        <v>0</v>
      </c>
      <c r="W100" s="2606">
        <f ca="1">W99-Input!W353</f>
        <v>0</v>
      </c>
      <c r="X100" s="2606">
        <f ca="1">X99-Input!X353</f>
        <v>0</v>
      </c>
      <c r="Y100" s="2606">
        <f ca="1">Y99-Input!Y353</f>
        <v>0</v>
      </c>
      <c r="Z100" s="2606">
        <f ca="1">Z99-Input!Z353</f>
        <v>0</v>
      </c>
      <c r="AA100" s="1468"/>
      <c r="AB100" s="1486"/>
      <c r="AC100" s="1486"/>
      <c r="AD100" s="1486"/>
      <c r="AE100" s="1486"/>
      <c r="AF100" s="1486"/>
      <c r="AG100" s="1486"/>
      <c r="AH100" s="1486"/>
      <c r="AI100" s="1486"/>
      <c r="AJ100" s="1486"/>
      <c r="AK100" s="1486"/>
      <c r="AL100" s="1486"/>
      <c r="AM100" s="1486"/>
      <c r="AN100" s="1486"/>
      <c r="AO100" s="1486"/>
      <c r="AP100" s="1486"/>
      <c r="AQ100" s="1486"/>
      <c r="AR100" s="1486"/>
      <c r="AS100" s="500"/>
      <c r="AT100" s="500"/>
      <c r="AU100" s="500"/>
      <c r="AV100" s="500"/>
      <c r="AW100" s="500"/>
      <c r="AX100" s="500"/>
      <c r="AY100" s="500"/>
      <c r="AZ100" s="500"/>
      <c r="BA100" s="500"/>
    </row>
    <row r="101" spans="1:53">
      <c r="A101" s="555"/>
      <c r="B101" s="658"/>
      <c r="C101" s="658"/>
      <c r="D101" s="659"/>
      <c r="E101" s="659"/>
      <c r="F101" s="659"/>
      <c r="G101" s="659"/>
      <c r="H101" s="659"/>
      <c r="I101" s="659"/>
      <c r="J101" s="659"/>
      <c r="K101" s="659"/>
      <c r="L101" s="659"/>
      <c r="M101" s="659"/>
      <c r="N101" s="659"/>
      <c r="O101" s="659"/>
      <c r="P101" s="660"/>
      <c r="Q101" s="1481"/>
      <c r="R101" s="1481"/>
      <c r="S101" s="1481"/>
      <c r="T101" s="1481"/>
      <c r="U101" s="1481"/>
      <c r="V101" s="1481"/>
      <c r="W101" s="1481"/>
      <c r="X101" s="1481"/>
      <c r="Y101" s="1481"/>
      <c r="Z101" s="1481"/>
      <c r="AA101" s="1481"/>
      <c r="AB101" s="1481"/>
      <c r="AC101" s="1481"/>
      <c r="AD101" s="1481"/>
      <c r="AE101" s="1481"/>
      <c r="AF101" s="1481"/>
      <c r="AG101" s="1481"/>
      <c r="AH101" s="1481"/>
      <c r="AI101" s="1481"/>
      <c r="AJ101" s="1481"/>
      <c r="AK101" s="1481"/>
      <c r="AL101" s="1481"/>
      <c r="AM101" s="1481"/>
      <c r="AN101" s="1481"/>
      <c r="AO101" s="1481"/>
      <c r="AP101" s="1481"/>
      <c r="AQ101" s="1481"/>
      <c r="AR101" s="1481"/>
      <c r="AS101" s="659"/>
      <c r="AT101" s="659"/>
      <c r="AU101" s="659"/>
      <c r="AV101" s="659"/>
      <c r="AW101" s="659"/>
      <c r="AX101" s="659"/>
      <c r="AY101" s="659"/>
      <c r="AZ101" s="659"/>
      <c r="BA101" s="659"/>
    </row>
    <row r="102" spans="1:53">
      <c r="A102" s="86"/>
      <c r="B102" s="122" t="s">
        <v>646</v>
      </c>
      <c r="C102" s="122" t="s">
        <v>540</v>
      </c>
      <c r="D102" s="89"/>
      <c r="E102" s="89"/>
      <c r="F102" s="89"/>
      <c r="G102" s="89"/>
      <c r="H102" s="89"/>
      <c r="I102" s="89"/>
      <c r="J102" s="89"/>
      <c r="K102" s="89"/>
      <c r="L102" s="89"/>
      <c r="M102" s="89"/>
      <c r="N102" s="89"/>
      <c r="O102" s="89"/>
      <c r="P102" s="188"/>
      <c r="Q102" s="143"/>
      <c r="R102" s="143"/>
      <c r="S102" s="143"/>
      <c r="T102" s="143"/>
      <c r="U102" s="143"/>
      <c r="V102" s="143"/>
      <c r="W102" s="143"/>
      <c r="X102" s="143"/>
      <c r="Y102" s="143"/>
      <c r="Z102" s="143"/>
      <c r="AA102" s="143"/>
      <c r="AB102" s="143"/>
      <c r="AC102" s="143"/>
      <c r="AD102" s="143"/>
      <c r="AE102" s="143"/>
      <c r="AF102" s="143"/>
      <c r="AG102" s="143"/>
      <c r="AH102" s="143"/>
      <c r="AI102" s="143"/>
      <c r="AJ102" s="143"/>
      <c r="AK102" s="143"/>
      <c r="AL102" s="143"/>
      <c r="AM102" s="143"/>
      <c r="AN102" s="143"/>
      <c r="AO102" s="143"/>
      <c r="AP102" s="143"/>
      <c r="AQ102" s="143"/>
      <c r="AR102" s="143"/>
      <c r="AS102" s="89"/>
      <c r="AT102" s="89"/>
      <c r="AU102" s="89"/>
      <c r="AV102" s="89"/>
      <c r="AW102" s="89"/>
      <c r="AX102" s="89"/>
      <c r="AY102" s="89"/>
      <c r="AZ102" s="89"/>
      <c r="BA102" s="89"/>
    </row>
    <row r="103" spans="1:53">
      <c r="A103" s="86">
        <v>24</v>
      </c>
      <c r="B103" s="87" t="s">
        <v>595</v>
      </c>
      <c r="C103" s="87" t="s">
        <v>543</v>
      </c>
      <c r="D103" s="89"/>
      <c r="E103" s="89"/>
      <c r="F103" s="89"/>
      <c r="G103" s="89"/>
      <c r="H103" s="89"/>
      <c r="I103" s="90"/>
      <c r="J103" s="90"/>
      <c r="K103" s="90">
        <f>Input!K359</f>
        <v>27.277893347999999</v>
      </c>
      <c r="L103" s="90">
        <f>Input!L359</f>
        <v>26.347426104</v>
      </c>
      <c r="M103" s="90">
        <f>Input!M359</f>
        <v>26.588184510000001</v>
      </c>
      <c r="N103" s="90">
        <f>Input!N359</f>
        <v>29.143335456999999</v>
      </c>
      <c r="O103" s="90">
        <f>Input!O359</f>
        <v>27.591065852</v>
      </c>
      <c r="P103" s="90">
        <f>Input!P359</f>
        <v>32.786197180000002</v>
      </c>
      <c r="Q103" s="984">
        <f ca="1">Input!Q359</f>
        <v>48.149162311134603</v>
      </c>
      <c r="R103" s="984">
        <f ca="1">Input!R359</f>
        <v>45.498539888053095</v>
      </c>
      <c r="S103" s="984">
        <f ca="1">Input!S359</f>
        <v>55.382793734507047</v>
      </c>
      <c r="T103" s="984">
        <f ca="1">Input!T359</f>
        <v>97.66230743771861</v>
      </c>
      <c r="U103" s="984">
        <f ca="1">Input!U359</f>
        <v>80.745424434172804</v>
      </c>
      <c r="V103" s="984">
        <f ca="1">Input!V359</f>
        <v>68.905249931371188</v>
      </c>
      <c r="W103" s="984">
        <f ca="1">Input!W359</f>
        <v>67.865637208497702</v>
      </c>
      <c r="X103" s="984">
        <f ca="1">Input!X359</f>
        <v>76.649715897064851</v>
      </c>
      <c r="Y103" s="984">
        <f ca="1">Input!Y359</f>
        <v>89.450094767857664</v>
      </c>
      <c r="Z103" s="984">
        <f ca="1">Input!Z359</f>
        <v>87.922377717965901</v>
      </c>
      <c r="AA103" s="90">
        <f>Input!AA359</f>
        <v>0</v>
      </c>
      <c r="AB103" s="90">
        <f>Input!AB359</f>
        <v>0</v>
      </c>
      <c r="AC103" s="90">
        <f>Input!AC359</f>
        <v>0</v>
      </c>
      <c r="AD103" s="90">
        <f>Input!AD359</f>
        <v>0</v>
      </c>
      <c r="AE103" s="90">
        <f>Input!AE359</f>
        <v>0</v>
      </c>
      <c r="AF103" s="90">
        <f>Input!AF359</f>
        <v>0</v>
      </c>
      <c r="AG103" s="90">
        <f>Input!AG359</f>
        <v>0</v>
      </c>
      <c r="AH103" s="90">
        <f>Input!AH359</f>
        <v>0</v>
      </c>
      <c r="AI103" s="90">
        <f>Input!AI359</f>
        <v>0</v>
      </c>
      <c r="AJ103" s="90">
        <f>Input!AJ359</f>
        <v>0</v>
      </c>
      <c r="AK103" s="90">
        <f>Input!AK359</f>
        <v>0</v>
      </c>
      <c r="AL103" s="90">
        <f>Input!AL359</f>
        <v>0</v>
      </c>
      <c r="AM103" s="90">
        <f>Input!AM359</f>
        <v>0</v>
      </c>
      <c r="AN103" s="90">
        <f>Input!AN359</f>
        <v>0</v>
      </c>
      <c r="AO103" s="90">
        <f>Input!AO359</f>
        <v>0</v>
      </c>
      <c r="AP103" s="90">
        <f>Input!AP359</f>
        <v>0</v>
      </c>
      <c r="AQ103" s="90">
        <f>Input!AQ359</f>
        <v>0</v>
      </c>
      <c r="AR103" s="90">
        <f>Input!AR359</f>
        <v>0</v>
      </c>
      <c r="AS103" s="90">
        <f>Input!AS359</f>
        <v>0</v>
      </c>
      <c r="AT103" s="143"/>
      <c r="AU103" s="143"/>
      <c r="AV103" s="143"/>
      <c r="AW103" s="143"/>
      <c r="AX103" s="143"/>
      <c r="AY103" s="143"/>
      <c r="AZ103" s="143"/>
      <c r="BA103" s="143"/>
    </row>
    <row r="104" spans="1:53">
      <c r="A104" s="86"/>
      <c r="B104" s="87"/>
      <c r="C104" s="87"/>
      <c r="D104" s="89"/>
      <c r="E104" s="89"/>
      <c r="F104" s="89"/>
      <c r="G104" s="89"/>
      <c r="H104" s="89"/>
      <c r="I104" s="89"/>
      <c r="J104" s="89"/>
      <c r="K104" s="89"/>
      <c r="L104" s="89"/>
      <c r="M104" s="89"/>
      <c r="N104" s="89"/>
      <c r="O104" s="89"/>
      <c r="P104" s="188"/>
      <c r="Q104" s="143"/>
      <c r="R104" s="143"/>
      <c r="S104" s="143"/>
      <c r="T104" s="143"/>
      <c r="U104" s="143"/>
      <c r="V104" s="143"/>
      <c r="W104" s="143"/>
      <c r="X104" s="143"/>
      <c r="Y104" s="143"/>
      <c r="Z104" s="143"/>
      <c r="AA104" s="143"/>
      <c r="AB104" s="143"/>
      <c r="AC104" s="143"/>
      <c r="AD104" s="143"/>
      <c r="AE104" s="143"/>
      <c r="AF104" s="143"/>
      <c r="AG104" s="143"/>
      <c r="AH104" s="143"/>
      <c r="AI104" s="143"/>
      <c r="AJ104" s="143"/>
      <c r="AK104" s="143"/>
      <c r="AL104" s="143"/>
      <c r="AM104" s="143"/>
      <c r="AN104" s="143"/>
      <c r="AO104" s="143"/>
      <c r="AP104" s="143"/>
      <c r="AQ104" s="143"/>
      <c r="AR104" s="143"/>
      <c r="AS104" s="89"/>
      <c r="AT104" s="89"/>
      <c r="AU104" s="89"/>
      <c r="AV104" s="89"/>
      <c r="AW104" s="89"/>
      <c r="AX104" s="89"/>
      <c r="AY104" s="89"/>
      <c r="AZ104" s="89"/>
      <c r="BA104" s="89"/>
    </row>
    <row r="105" spans="1:53">
      <c r="A105" s="86"/>
      <c r="B105" s="122" t="s">
        <v>129</v>
      </c>
      <c r="C105" s="122" t="s">
        <v>544</v>
      </c>
      <c r="D105" s="89"/>
      <c r="E105" s="89"/>
      <c r="F105" s="89"/>
      <c r="G105" s="89"/>
      <c r="H105" s="89"/>
      <c r="I105" s="89"/>
      <c r="J105" s="89"/>
      <c r="K105" s="89"/>
      <c r="L105" s="89"/>
      <c r="M105" s="89"/>
      <c r="N105" s="89"/>
      <c r="O105" s="89"/>
      <c r="P105" s="188"/>
      <c r="Q105" s="143"/>
      <c r="R105" s="143"/>
      <c r="S105" s="143"/>
      <c r="T105" s="143"/>
      <c r="U105" s="143"/>
      <c r="V105" s="143"/>
      <c r="W105" s="143"/>
      <c r="X105" s="143"/>
      <c r="Y105" s="143"/>
      <c r="Z105" s="143"/>
      <c r="AA105" s="143"/>
      <c r="AB105" s="143"/>
      <c r="AC105" s="143"/>
      <c r="AD105" s="143"/>
      <c r="AE105" s="143"/>
      <c r="AF105" s="143"/>
      <c r="AG105" s="143"/>
      <c r="AH105" s="143"/>
      <c r="AI105" s="143"/>
      <c r="AJ105" s="143"/>
      <c r="AK105" s="143"/>
      <c r="AL105" s="143"/>
      <c r="AM105" s="143"/>
      <c r="AN105" s="143"/>
      <c r="AO105" s="143"/>
      <c r="AP105" s="143"/>
      <c r="AQ105" s="143"/>
      <c r="AR105" s="143"/>
      <c r="AS105" s="89"/>
      <c r="AT105" s="89"/>
      <c r="AU105" s="89"/>
      <c r="AV105" s="89"/>
      <c r="AW105" s="89"/>
      <c r="AX105" s="89"/>
      <c r="AY105" s="89"/>
      <c r="AZ105" s="89"/>
      <c r="BA105" s="89"/>
    </row>
    <row r="106" spans="1:53">
      <c r="A106" s="86">
        <v>25</v>
      </c>
      <c r="B106" s="87" t="s">
        <v>647</v>
      </c>
      <c r="C106" s="87" t="s">
        <v>548</v>
      </c>
      <c r="D106" s="89"/>
      <c r="E106" s="89"/>
      <c r="F106" s="89"/>
      <c r="G106" s="89"/>
      <c r="H106" s="89"/>
      <c r="I106" s="90"/>
      <c r="J106" s="90"/>
      <c r="K106" s="90">
        <f>Input!K366</f>
        <v>0</v>
      </c>
      <c r="L106" s="90">
        <f>Input!L366</f>
        <v>0</v>
      </c>
      <c r="M106" s="90">
        <f>Input!M366</f>
        <v>0</v>
      </c>
      <c r="N106" s="90">
        <f>Input!N366</f>
        <v>0</v>
      </c>
      <c r="O106" s="90">
        <f>Input!O366</f>
        <v>0</v>
      </c>
      <c r="P106" s="90">
        <f>Input!P366</f>
        <v>0</v>
      </c>
      <c r="Q106" s="984">
        <f>Input!Q366</f>
        <v>0</v>
      </c>
      <c r="R106" s="984">
        <f>Input!R366</f>
        <v>0</v>
      </c>
      <c r="S106" s="984">
        <f>Input!S366</f>
        <v>0</v>
      </c>
      <c r="T106" s="984">
        <f>Input!T366</f>
        <v>0</v>
      </c>
      <c r="U106" s="984">
        <f>Input!U366</f>
        <v>0</v>
      </c>
      <c r="V106" s="984">
        <f>Input!V366</f>
        <v>0</v>
      </c>
      <c r="W106" s="984">
        <f>Input!W366</f>
        <v>0</v>
      </c>
      <c r="X106" s="984">
        <f>Input!X366</f>
        <v>0</v>
      </c>
      <c r="Y106" s="984">
        <f>Input!Y366</f>
        <v>0</v>
      </c>
      <c r="Z106" s="984">
        <f>Input!Z366</f>
        <v>0</v>
      </c>
      <c r="AA106" s="142"/>
      <c r="AB106" s="143"/>
      <c r="AC106" s="143"/>
      <c r="AD106" s="143"/>
      <c r="AE106" s="143"/>
      <c r="AF106" s="143"/>
      <c r="AG106" s="143"/>
      <c r="AH106" s="143"/>
      <c r="AI106" s="143"/>
      <c r="AJ106" s="143"/>
      <c r="AK106" s="143"/>
      <c r="AL106" s="143"/>
      <c r="AM106" s="143"/>
      <c r="AN106" s="143"/>
      <c r="AO106" s="143"/>
      <c r="AP106" s="143"/>
      <c r="AQ106" s="143"/>
      <c r="AR106" s="143"/>
      <c r="AS106" s="143"/>
      <c r="AT106" s="143"/>
      <c r="AU106" s="143"/>
      <c r="AV106" s="143"/>
      <c r="AW106" s="143"/>
      <c r="AX106" s="143"/>
      <c r="AY106" s="143"/>
      <c r="AZ106" s="143"/>
      <c r="BA106" s="143"/>
    </row>
    <row r="107" spans="1:53">
      <c r="A107" s="86">
        <v>26</v>
      </c>
      <c r="B107" s="87" t="s">
        <v>648</v>
      </c>
      <c r="C107" s="87" t="s">
        <v>551</v>
      </c>
      <c r="D107" s="89"/>
      <c r="E107" s="89"/>
      <c r="F107" s="89"/>
      <c r="G107" s="89"/>
      <c r="H107" s="89"/>
      <c r="I107" s="90"/>
      <c r="J107" s="90"/>
      <c r="K107" s="90">
        <f>+Input!K370</f>
        <v>5294</v>
      </c>
      <c r="L107" s="90">
        <f>+Input!L370</f>
        <v>5294</v>
      </c>
      <c r="M107" s="90">
        <f>+Input!M370</f>
        <v>5294</v>
      </c>
      <c r="N107" s="90">
        <f>+Input!N370</f>
        <v>5294</v>
      </c>
      <c r="O107" s="90">
        <f>+Input!O370</f>
        <v>5294</v>
      </c>
      <c r="P107" s="90">
        <f>+Input!P370</f>
        <v>5294</v>
      </c>
      <c r="Q107" s="984">
        <f>+Input!Q370</f>
        <v>5294</v>
      </c>
      <c r="R107" s="984">
        <f>+Input!R370</f>
        <v>5294</v>
      </c>
      <c r="S107" s="984">
        <f>+Input!S370</f>
        <v>5294</v>
      </c>
      <c r="T107" s="984">
        <f>+Input!T370</f>
        <v>5294</v>
      </c>
      <c r="U107" s="984">
        <f>+Input!U370</f>
        <v>5294</v>
      </c>
      <c r="V107" s="984">
        <f>+Input!V370</f>
        <v>5294</v>
      </c>
      <c r="W107" s="984">
        <f>+Input!W370</f>
        <v>5294</v>
      </c>
      <c r="X107" s="984">
        <f>+Input!X370</f>
        <v>5294</v>
      </c>
      <c r="Y107" s="984">
        <f>+Input!Y370</f>
        <v>5294</v>
      </c>
      <c r="Z107" s="984">
        <f>+Input!Z370</f>
        <v>5294</v>
      </c>
      <c r="AA107" s="142"/>
      <c r="AB107" s="143"/>
      <c r="AC107" s="143"/>
      <c r="AD107" s="143"/>
      <c r="AE107" s="143"/>
      <c r="AF107" s="143"/>
      <c r="AG107" s="143"/>
      <c r="AH107" s="143"/>
      <c r="AI107" s="143"/>
      <c r="AJ107" s="143"/>
      <c r="AK107" s="143"/>
      <c r="AL107" s="143"/>
      <c r="AM107" s="143"/>
      <c r="AN107" s="143"/>
      <c r="AO107" s="143"/>
      <c r="AP107" s="143"/>
      <c r="AQ107" s="143"/>
      <c r="AR107" s="143"/>
      <c r="AS107" s="143"/>
      <c r="AT107" s="143"/>
      <c r="AU107" s="143"/>
      <c r="AV107" s="143"/>
      <c r="AW107" s="143"/>
      <c r="AX107" s="143"/>
      <c r="AY107" s="143"/>
      <c r="AZ107" s="143"/>
      <c r="BA107" s="143"/>
    </row>
    <row r="108" spans="1:53">
      <c r="A108" s="86">
        <v>27</v>
      </c>
      <c r="B108" s="2626" t="s">
        <v>649</v>
      </c>
      <c r="C108" s="87"/>
      <c r="D108" s="89"/>
      <c r="E108" s="89"/>
      <c r="F108" s="89"/>
      <c r="G108" s="89"/>
      <c r="H108" s="89"/>
      <c r="I108" s="90"/>
      <c r="J108" s="90"/>
      <c r="K108" s="90">
        <f>+Input!K374</f>
        <v>0</v>
      </c>
      <c r="L108" s="90">
        <f>+Input!L374</f>
        <v>0</v>
      </c>
      <c r="M108" s="90">
        <f>+Input!M374</f>
        <v>0</v>
      </c>
      <c r="N108" s="90">
        <f>+Input!N374</f>
        <v>0</v>
      </c>
      <c r="O108" s="90">
        <f>+Input!O374</f>
        <v>0</v>
      </c>
      <c r="P108" s="90">
        <f>+Input!P374</f>
        <v>0</v>
      </c>
      <c r="Q108" s="984">
        <f>+Input!Q374</f>
        <v>0</v>
      </c>
      <c r="R108" s="984">
        <f>+Input!R374</f>
        <v>0</v>
      </c>
      <c r="S108" s="984">
        <f>+Input!S374</f>
        <v>0</v>
      </c>
      <c r="T108" s="984">
        <f>+Input!T374</f>
        <v>0</v>
      </c>
      <c r="U108" s="984">
        <f>+Input!U374</f>
        <v>0</v>
      </c>
      <c r="V108" s="984">
        <f>+Input!V374</f>
        <v>0</v>
      </c>
      <c r="W108" s="984">
        <f>+Input!W374</f>
        <v>0</v>
      </c>
      <c r="X108" s="984">
        <f>+Input!X374</f>
        <v>0</v>
      </c>
      <c r="Y108" s="984">
        <f>+Input!Y374</f>
        <v>0</v>
      </c>
      <c r="Z108" s="984">
        <f>+Input!Z374</f>
        <v>0</v>
      </c>
      <c r="AA108" s="142"/>
      <c r="AB108" s="143"/>
      <c r="AC108" s="143"/>
      <c r="AD108" s="143"/>
      <c r="AE108" s="143"/>
      <c r="AF108" s="143"/>
      <c r="AG108" s="143"/>
      <c r="AH108" s="143"/>
      <c r="AI108" s="143"/>
      <c r="AJ108" s="143"/>
      <c r="AK108" s="143"/>
      <c r="AL108" s="143"/>
      <c r="AM108" s="143"/>
      <c r="AN108" s="143"/>
      <c r="AO108" s="143"/>
      <c r="AP108" s="143"/>
      <c r="AQ108" s="143"/>
      <c r="AR108" s="143"/>
      <c r="AS108" s="143"/>
      <c r="AT108" s="143"/>
      <c r="AU108" s="143"/>
      <c r="AV108" s="143"/>
      <c r="AW108" s="143"/>
      <c r="AX108" s="143"/>
      <c r="AY108" s="143"/>
      <c r="AZ108" s="143"/>
      <c r="BA108" s="143"/>
    </row>
    <row r="109" spans="1:53">
      <c r="A109" s="86">
        <v>28</v>
      </c>
      <c r="B109" s="87" t="s">
        <v>603</v>
      </c>
      <c r="C109" s="87" t="s">
        <v>556</v>
      </c>
      <c r="D109" s="89"/>
      <c r="E109" s="89"/>
      <c r="F109" s="89"/>
      <c r="G109" s="89"/>
      <c r="H109" s="89"/>
      <c r="I109" s="90"/>
      <c r="J109" s="90"/>
      <c r="K109" s="90">
        <f>Input!K378</f>
        <v>428.84563039400001</v>
      </c>
      <c r="L109" s="90">
        <f>Input!L378</f>
        <v>583.46740524899997</v>
      </c>
      <c r="M109" s="90">
        <f>Input!M378</f>
        <v>1187.9853976439999</v>
      </c>
      <c r="N109" s="90">
        <f>Input!N378</f>
        <v>3018.455058084</v>
      </c>
      <c r="O109" s="90">
        <f>Input!O378</f>
        <v>2044.8513450360001</v>
      </c>
      <c r="P109" s="90">
        <f>Input!P378</f>
        <v>1882.513091925</v>
      </c>
      <c r="Q109" s="984">
        <f ca="1">Input!Q378</f>
        <v>2840.0486473963583</v>
      </c>
      <c r="R109" s="984">
        <f ca="1">Input!R378</f>
        <v>3821.1133550175546</v>
      </c>
      <c r="S109" s="984">
        <f ca="1">Input!S378</f>
        <v>4915.1182985023461</v>
      </c>
      <c r="T109" s="984">
        <f ca="1">Input!T378</f>
        <v>7475.7374567953593</v>
      </c>
      <c r="U109" s="984">
        <f ca="1">Input!U378</f>
        <v>9206.6168306235104</v>
      </c>
      <c r="V109" s="984">
        <f ca="1">Input!V378</f>
        <v>10479.973899052307</v>
      </c>
      <c r="W109" s="984">
        <f ca="1">Input!W378</f>
        <v>12017.875595077665</v>
      </c>
      <c r="X109" s="984">
        <f ca="1">Input!X378</f>
        <v>13359.695397920303</v>
      </c>
      <c r="Y109" s="984">
        <f ca="1">Input!Y378</f>
        <v>14691.024518138842</v>
      </c>
      <c r="Z109" s="984">
        <f ca="1">Input!Z378</f>
        <v>15504.155044285693</v>
      </c>
      <c r="AA109" s="142"/>
      <c r="AB109" s="143"/>
      <c r="AC109" s="143"/>
      <c r="AD109" s="143"/>
      <c r="AE109" s="143"/>
      <c r="AF109" s="143"/>
      <c r="AG109" s="143"/>
      <c r="AH109" s="143"/>
      <c r="AI109" s="143"/>
      <c r="AJ109" s="143"/>
      <c r="AK109" s="143"/>
      <c r="AL109" s="143"/>
      <c r="AM109" s="143"/>
      <c r="AN109" s="143"/>
      <c r="AO109" s="143"/>
      <c r="AP109" s="143"/>
      <c r="AQ109" s="143"/>
      <c r="AR109" s="143"/>
      <c r="AS109" s="143"/>
      <c r="AT109" s="143"/>
      <c r="AU109" s="143"/>
      <c r="AV109" s="143"/>
      <c r="AW109" s="143"/>
      <c r="AX109" s="143"/>
      <c r="AY109" s="143"/>
      <c r="AZ109" s="143"/>
      <c r="BA109" s="143"/>
    </row>
    <row r="110" spans="1:53">
      <c r="A110" s="86">
        <v>29</v>
      </c>
      <c r="B110" s="2626" t="s">
        <v>650</v>
      </c>
      <c r="C110" s="87" t="s">
        <v>559</v>
      </c>
      <c r="D110" s="89"/>
      <c r="E110" s="89"/>
      <c r="F110" s="89"/>
      <c r="G110" s="89"/>
      <c r="H110" s="89"/>
      <c r="I110" s="90"/>
      <c r="J110" s="90"/>
      <c r="K110" s="90">
        <f>+Input!K382</f>
        <v>356.20372633699986</v>
      </c>
      <c r="L110" s="90">
        <f>+Input!L382</f>
        <v>422.63283859500012</v>
      </c>
      <c r="M110" s="90">
        <f>+Input!M382</f>
        <v>969.52369323199969</v>
      </c>
      <c r="N110" s="90">
        <f>+Input!N382</f>
        <v>2263.8504229790001</v>
      </c>
      <c r="O110" s="90">
        <f>+Input!O382</f>
        <v>2596.9408232699998</v>
      </c>
      <c r="P110" s="90">
        <f>+Input!P382</f>
        <v>2967.8773118770005</v>
      </c>
      <c r="Q110" s="984">
        <f>+Input!Q382</f>
        <v>3171.1769077405752</v>
      </c>
      <c r="R110" s="984">
        <f>+Input!R382</f>
        <v>3643.1138916713962</v>
      </c>
      <c r="S110" s="984">
        <f>+Input!S382</f>
        <v>4185.2849001557097</v>
      </c>
      <c r="T110" s="984">
        <f>+Input!T382</f>
        <v>4980.4890311852942</v>
      </c>
      <c r="U110" s="984">
        <f>+Input!U382</f>
        <v>5428.7330439919706</v>
      </c>
      <c r="V110" s="984">
        <f>+Input!V382</f>
        <v>5917.3190179512485</v>
      </c>
      <c r="W110" s="984">
        <f>+Input!W382</f>
        <v>6154.011778669299</v>
      </c>
      <c r="X110" s="984">
        <f>+Input!X382</f>
        <v>6400.1722498160716</v>
      </c>
      <c r="Y110" s="984">
        <f>+Input!Y382</f>
        <v>6656.1791398087144</v>
      </c>
      <c r="Z110" s="984">
        <f>+Input!Z382</f>
        <v>6922.4263054010635</v>
      </c>
      <c r="AA110" s="142"/>
      <c r="AB110" s="143"/>
      <c r="AC110" s="143"/>
      <c r="AD110" s="143"/>
      <c r="AE110" s="143"/>
      <c r="AF110" s="143"/>
      <c r="AG110" s="143"/>
      <c r="AH110" s="143"/>
      <c r="AI110" s="143"/>
      <c r="AJ110" s="143"/>
      <c r="AK110" s="143"/>
      <c r="AL110" s="143"/>
      <c r="AM110" s="143"/>
      <c r="AN110" s="143"/>
      <c r="AO110" s="143"/>
      <c r="AP110" s="143"/>
      <c r="AQ110" s="143"/>
      <c r="AR110" s="143"/>
      <c r="AS110" s="143"/>
      <c r="AT110" s="143"/>
      <c r="AU110" s="143"/>
      <c r="AV110" s="143"/>
      <c r="AW110" s="143"/>
      <c r="AX110" s="143"/>
      <c r="AY110" s="143"/>
      <c r="AZ110" s="143"/>
      <c r="BA110" s="143"/>
    </row>
    <row r="111" spans="1:53">
      <c r="A111" s="86"/>
      <c r="B111" s="122" t="s">
        <v>241</v>
      </c>
      <c r="C111" s="122" t="s">
        <v>561</v>
      </c>
      <c r="D111" s="123"/>
      <c r="E111" s="123"/>
      <c r="F111" s="123"/>
      <c r="G111" s="123"/>
      <c r="H111" s="123"/>
      <c r="I111" s="339"/>
      <c r="J111" s="339">
        <f>'BS Raw'!E113</f>
        <v>6268.8722508990004</v>
      </c>
      <c r="K111" s="339">
        <f>SUM(K106:K110)</f>
        <v>6079.0493567310004</v>
      </c>
      <c r="L111" s="339">
        <f t="shared" ref="L111:Z111" si="56">SUM(L106:L110)</f>
        <v>6300.100243844</v>
      </c>
      <c r="M111" s="339">
        <f t="shared" si="56"/>
        <v>7451.5090908759994</v>
      </c>
      <c r="N111" s="339">
        <f t="shared" si="56"/>
        <v>10576.305481063</v>
      </c>
      <c r="O111" s="339">
        <f t="shared" si="56"/>
        <v>9935.7921683060013</v>
      </c>
      <c r="P111" s="339">
        <f t="shared" si="56"/>
        <v>10144.390403802001</v>
      </c>
      <c r="Q111" s="2610">
        <f t="shared" ca="1" si="56"/>
        <v>11305.225555136934</v>
      </c>
      <c r="R111" s="2610">
        <f t="shared" ca="1" si="56"/>
        <v>12758.227246688952</v>
      </c>
      <c r="S111" s="2610">
        <f t="shared" ca="1" si="56"/>
        <v>14394.403198658056</v>
      </c>
      <c r="T111" s="2610">
        <f t="shared" ca="1" si="56"/>
        <v>17750.226487980653</v>
      </c>
      <c r="U111" s="2610">
        <f t="shared" ca="1" si="56"/>
        <v>19929.34987461548</v>
      </c>
      <c r="V111" s="2610">
        <f t="shared" ca="1" si="56"/>
        <v>21691.292917003557</v>
      </c>
      <c r="W111" s="2610">
        <f t="shared" ca="1" si="56"/>
        <v>23465.887373746962</v>
      </c>
      <c r="X111" s="2610">
        <f t="shared" ca="1" si="56"/>
        <v>25053.867647736373</v>
      </c>
      <c r="Y111" s="2610">
        <f t="shared" ca="1" si="56"/>
        <v>26641.203657947557</v>
      </c>
      <c r="Z111" s="2610">
        <f t="shared" ca="1" si="56"/>
        <v>27720.581349686756</v>
      </c>
      <c r="AA111" s="340"/>
      <c r="AB111" s="341"/>
      <c r="AC111" s="341"/>
      <c r="AD111" s="341"/>
      <c r="AE111" s="341"/>
      <c r="AF111" s="341"/>
      <c r="AG111" s="341"/>
      <c r="AH111" s="341"/>
      <c r="AI111" s="341"/>
      <c r="AJ111" s="341"/>
      <c r="AK111" s="341"/>
      <c r="AL111" s="341"/>
      <c r="AM111" s="341"/>
      <c r="AN111" s="341"/>
      <c r="AO111" s="341"/>
      <c r="AP111" s="341"/>
      <c r="AQ111" s="341"/>
      <c r="AR111" s="341"/>
      <c r="AS111" s="341"/>
      <c r="AT111" s="341"/>
      <c r="AU111" s="341"/>
      <c r="AV111" s="341"/>
      <c r="AW111" s="341"/>
      <c r="AX111" s="341"/>
      <c r="AY111" s="341"/>
      <c r="AZ111" s="341"/>
      <c r="BA111" s="341"/>
    </row>
    <row r="112" spans="1:53" ht="13.8" thickBot="1">
      <c r="A112" s="86"/>
      <c r="B112" s="406" t="s">
        <v>651</v>
      </c>
      <c r="C112" s="406" t="s">
        <v>652</v>
      </c>
      <c r="D112" s="408"/>
      <c r="E112" s="408"/>
      <c r="F112" s="408"/>
      <c r="G112" s="408"/>
      <c r="H112" s="408"/>
      <c r="I112" s="409"/>
      <c r="J112" s="409"/>
      <c r="K112" s="409">
        <f>+K99+K103+K111</f>
        <v>10172.594752746001</v>
      </c>
      <c r="L112" s="409">
        <f t="shared" ref="L112:Z112" si="57">+L99+L103+L111</f>
        <v>8717.4806916109992</v>
      </c>
      <c r="M112" s="409">
        <f t="shared" si="57"/>
        <v>11072.121334924999</v>
      </c>
      <c r="N112" s="409">
        <f t="shared" si="57"/>
        <v>14166.860720016</v>
      </c>
      <c r="O112" s="409">
        <f t="shared" si="57"/>
        <v>15237.966427299001</v>
      </c>
      <c r="P112" s="409">
        <f t="shared" si="57"/>
        <v>15728.847338145002</v>
      </c>
      <c r="Q112" s="2607">
        <f t="shared" ca="1" si="57"/>
        <v>18017.483292912519</v>
      </c>
      <c r="R112" s="2607">
        <f t="shared" ca="1" si="57"/>
        <v>19735.874623772052</v>
      </c>
      <c r="S112" s="2607">
        <f t="shared" ca="1" si="57"/>
        <v>21629.797172213082</v>
      </c>
      <c r="T112" s="2607">
        <f t="shared" ca="1" si="57"/>
        <v>26634.183331990287</v>
      </c>
      <c r="U112" s="2607">
        <f t="shared" ca="1" si="57"/>
        <v>28759.501945854568</v>
      </c>
      <c r="V112" s="2607">
        <f t="shared" ca="1" si="57"/>
        <v>29553.249091368332</v>
      </c>
      <c r="W112" s="2607">
        <f t="shared" ca="1" si="57"/>
        <v>31218.55671710087</v>
      </c>
      <c r="X112" s="2607">
        <f t="shared" ca="1" si="57"/>
        <v>32930.475842630454</v>
      </c>
      <c r="Y112" s="2607">
        <f t="shared" ca="1" si="57"/>
        <v>34863.847465573344</v>
      </c>
      <c r="Z112" s="2607">
        <f t="shared" ca="1" si="57"/>
        <v>36074.784985703955</v>
      </c>
      <c r="AA112" s="410"/>
      <c r="AB112" s="411"/>
      <c r="AC112" s="411"/>
      <c r="AD112" s="411"/>
      <c r="AE112" s="411"/>
      <c r="AF112" s="411"/>
      <c r="AG112" s="411"/>
      <c r="AH112" s="411"/>
      <c r="AI112" s="411"/>
      <c r="AJ112" s="411"/>
      <c r="AK112" s="411"/>
      <c r="AL112" s="411"/>
      <c r="AM112" s="411"/>
      <c r="AN112" s="411"/>
      <c r="AO112" s="411"/>
      <c r="AP112" s="411"/>
      <c r="AQ112" s="411"/>
      <c r="AR112" s="411"/>
      <c r="AS112" s="411"/>
      <c r="AT112" s="411"/>
      <c r="AU112" s="411"/>
      <c r="AV112" s="411"/>
      <c r="AW112" s="411"/>
      <c r="AX112" s="411"/>
      <c r="AY112" s="411"/>
      <c r="AZ112" s="411"/>
      <c r="BA112" s="411"/>
    </row>
    <row r="113" spans="1:53" s="641" customFormat="1" ht="13.8" thickTop="1">
      <c r="A113" s="573"/>
      <c r="B113" s="416" t="s">
        <v>604</v>
      </c>
      <c r="C113" s="416"/>
      <c r="D113" s="500"/>
      <c r="E113" s="500"/>
      <c r="F113" s="500"/>
      <c r="G113" s="500"/>
      <c r="H113" s="500"/>
      <c r="I113" s="501"/>
      <c r="J113" s="501"/>
      <c r="K113" s="501">
        <f>K112-Input!K388</f>
        <v>0</v>
      </c>
      <c r="L113" s="501">
        <f>L112-Input!L388</f>
        <v>0</v>
      </c>
      <c r="M113" s="501">
        <f>M112-Input!M388</f>
        <v>0</v>
      </c>
      <c r="N113" s="501">
        <f>N112-Input!N388</f>
        <v>0</v>
      </c>
      <c r="O113" s="501">
        <f>O112-Input!O388</f>
        <v>0</v>
      </c>
      <c r="P113" s="501">
        <f>P112-Input!P388</f>
        <v>0</v>
      </c>
      <c r="Q113" s="2606">
        <f ca="1">Q112-Input!Q388</f>
        <v>0</v>
      </c>
      <c r="R113" s="2606">
        <f ca="1">R112-Input!R388</f>
        <v>0</v>
      </c>
      <c r="S113" s="2606">
        <f ca="1">S112-Input!S388</f>
        <v>0</v>
      </c>
      <c r="T113" s="2606">
        <f ca="1">T112-Input!T388</f>
        <v>0</v>
      </c>
      <c r="U113" s="2606">
        <f ca="1">U112-Input!U388</f>
        <v>0</v>
      </c>
      <c r="V113" s="2606">
        <f ca="1">V112-Input!V388</f>
        <v>0</v>
      </c>
      <c r="W113" s="2606">
        <f ca="1">W112-Input!W388</f>
        <v>0</v>
      </c>
      <c r="X113" s="2606">
        <f ca="1">X112-Input!X388</f>
        <v>0</v>
      </c>
      <c r="Y113" s="2606">
        <f ca="1">Y112-Input!Y388</f>
        <v>0</v>
      </c>
      <c r="Z113" s="2606">
        <f ca="1">Z112-Input!Z388</f>
        <v>0</v>
      </c>
      <c r="AA113" s="501"/>
      <c r="AB113" s="500"/>
      <c r="AC113" s="500"/>
      <c r="AD113" s="500"/>
      <c r="AE113" s="500"/>
      <c r="AF113" s="500"/>
      <c r="AG113" s="500"/>
      <c r="AH113" s="500"/>
      <c r="AI113" s="500"/>
      <c r="AJ113" s="500"/>
      <c r="AK113" s="500"/>
      <c r="AL113" s="500"/>
      <c r="AM113" s="500"/>
      <c r="AN113" s="500"/>
      <c r="AO113" s="500"/>
      <c r="AP113" s="500"/>
      <c r="AQ113" s="500"/>
      <c r="AR113" s="500"/>
      <c r="AS113" s="500"/>
      <c r="AT113" s="500"/>
      <c r="AU113" s="500"/>
      <c r="AV113" s="500"/>
      <c r="AW113" s="500"/>
      <c r="AX113" s="500"/>
      <c r="AY113" s="500"/>
      <c r="AZ113" s="500"/>
      <c r="BA113" s="500"/>
    </row>
    <row r="114" spans="1:53">
      <c r="A114" s="555"/>
      <c r="B114" s="627"/>
      <c r="C114" s="627"/>
      <c r="D114" s="628"/>
      <c r="E114" s="628"/>
      <c r="F114" s="628"/>
      <c r="G114" s="628"/>
      <c r="H114" s="628"/>
      <c r="I114" s="628"/>
      <c r="J114" s="628"/>
      <c r="K114" s="628"/>
      <c r="L114" s="628"/>
      <c r="M114" s="628"/>
      <c r="N114" s="628"/>
      <c r="O114" s="628"/>
      <c r="P114" s="629"/>
      <c r="Q114" s="628"/>
      <c r="R114" s="628"/>
      <c r="S114" s="628"/>
      <c r="T114" s="628"/>
      <c r="U114" s="628"/>
      <c r="V114" s="628"/>
      <c r="W114" s="628"/>
      <c r="X114" s="628"/>
      <c r="Y114" s="628"/>
      <c r="Z114" s="628"/>
      <c r="AA114" s="628"/>
      <c r="AB114" s="628"/>
      <c r="AC114" s="628"/>
      <c r="AD114" s="628"/>
      <c r="AE114" s="628"/>
      <c r="AF114" s="628"/>
      <c r="AG114" s="628"/>
      <c r="AH114" s="628"/>
      <c r="AI114" s="628"/>
      <c r="AJ114" s="628"/>
      <c r="AK114" s="628"/>
      <c r="AL114" s="628"/>
      <c r="AM114" s="628"/>
      <c r="AN114" s="628"/>
      <c r="AO114" s="628"/>
      <c r="AP114" s="628"/>
      <c r="AQ114" s="628"/>
      <c r="AR114" s="628"/>
      <c r="AS114" s="628"/>
      <c r="AT114" s="628"/>
      <c r="AU114" s="628"/>
      <c r="AV114" s="628"/>
      <c r="AW114" s="628"/>
      <c r="AX114" s="628"/>
      <c r="AY114" s="628"/>
      <c r="AZ114" s="628"/>
      <c r="BA114" s="628"/>
    </row>
    <row r="115" spans="1:53">
      <c r="A115" s="555"/>
      <c r="B115" s="627"/>
      <c r="C115" s="627"/>
      <c r="D115" s="628"/>
      <c r="E115" s="628"/>
      <c r="F115" s="628"/>
      <c r="G115" s="628"/>
      <c r="H115" s="628"/>
      <c r="I115" s="628"/>
      <c r="J115" s="628"/>
      <c r="K115" s="628"/>
      <c r="L115" s="628"/>
      <c r="M115" s="628"/>
      <c r="N115" s="628"/>
      <c r="O115" s="628"/>
      <c r="P115" s="629"/>
      <c r="Q115" s="630"/>
      <c r="R115" s="628"/>
      <c r="S115" s="628"/>
      <c r="T115" s="628"/>
      <c r="U115" s="628"/>
      <c r="V115" s="628"/>
      <c r="W115" s="628"/>
      <c r="X115" s="628"/>
      <c r="Y115" s="628"/>
      <c r="Z115" s="628"/>
      <c r="AA115" s="628"/>
      <c r="AB115" s="628"/>
      <c r="AC115" s="628"/>
      <c r="AD115" s="628"/>
      <c r="AE115" s="628"/>
      <c r="AF115" s="628"/>
      <c r="AG115" s="628"/>
      <c r="AH115" s="628"/>
      <c r="AI115" s="628"/>
      <c r="AJ115" s="628"/>
      <c r="AK115" s="628"/>
      <c r="AL115" s="628"/>
      <c r="AM115" s="628"/>
      <c r="AN115" s="628"/>
      <c r="AO115" s="628"/>
      <c r="AP115" s="628"/>
      <c r="AQ115" s="628"/>
      <c r="AR115" s="628"/>
      <c r="AS115" s="628"/>
      <c r="AT115" s="628"/>
      <c r="AU115" s="628"/>
      <c r="AV115" s="628"/>
      <c r="AW115" s="628"/>
      <c r="AX115" s="628"/>
      <c r="AY115" s="628"/>
      <c r="AZ115" s="628"/>
      <c r="BA115" s="628"/>
    </row>
    <row r="116" spans="1:53">
      <c r="A116" s="555"/>
      <c r="B116" s="627"/>
      <c r="C116" s="627"/>
      <c r="D116" s="628"/>
      <c r="E116" s="628"/>
      <c r="F116" s="628"/>
      <c r="G116" s="628"/>
      <c r="H116" s="628"/>
      <c r="I116" s="628"/>
      <c r="J116" s="628"/>
      <c r="K116" s="628"/>
      <c r="L116" s="628"/>
      <c r="M116" s="628"/>
      <c r="N116" s="628"/>
      <c r="O116" s="628"/>
      <c r="P116" s="629"/>
      <c r="Q116" s="628"/>
      <c r="R116" s="628"/>
      <c r="S116" s="628"/>
      <c r="T116" s="628"/>
      <c r="U116" s="628"/>
      <c r="V116" s="628"/>
      <c r="W116" s="628"/>
      <c r="X116" s="628"/>
      <c r="Y116" s="628"/>
      <c r="Z116" s="628"/>
      <c r="AA116" s="628"/>
      <c r="AB116" s="628"/>
      <c r="AC116" s="628"/>
      <c r="AD116" s="628"/>
      <c r="AE116" s="628"/>
      <c r="AF116" s="628"/>
      <c r="AG116" s="628"/>
      <c r="AH116" s="628"/>
      <c r="AI116" s="628"/>
      <c r="AJ116" s="628"/>
      <c r="AK116" s="628"/>
      <c r="AL116" s="628"/>
      <c r="AM116" s="628"/>
      <c r="AN116" s="628"/>
      <c r="AO116" s="628"/>
      <c r="AP116" s="628"/>
      <c r="AQ116" s="628"/>
      <c r="AR116" s="628"/>
      <c r="AS116" s="628"/>
      <c r="AT116" s="628"/>
      <c r="AU116" s="628"/>
      <c r="AV116" s="628"/>
      <c r="AW116" s="628"/>
      <c r="AX116" s="628"/>
      <c r="AY116" s="628"/>
      <c r="AZ116" s="628"/>
      <c r="BA116" s="628"/>
    </row>
    <row r="117" spans="1:53">
      <c r="A117" s="555"/>
      <c r="B117" s="627"/>
      <c r="C117" s="627"/>
      <c r="D117" s="628"/>
      <c r="E117" s="628"/>
      <c r="F117" s="628"/>
      <c r="G117" s="628"/>
      <c r="H117" s="628"/>
      <c r="I117" s="628"/>
      <c r="J117" s="628"/>
      <c r="K117" s="628"/>
      <c r="L117" s="628"/>
      <c r="M117" s="628"/>
      <c r="N117" s="628"/>
      <c r="O117" s="628"/>
      <c r="P117" s="629"/>
      <c r="Q117" s="628"/>
      <c r="R117" s="628"/>
      <c r="S117" s="628"/>
      <c r="T117" s="628"/>
      <c r="U117" s="628"/>
      <c r="V117" s="628"/>
      <c r="W117" s="628"/>
      <c r="X117" s="628"/>
      <c r="Y117" s="628"/>
      <c r="Z117" s="628"/>
      <c r="AA117" s="628"/>
      <c r="AB117" s="628"/>
      <c r="AC117" s="628"/>
      <c r="AD117" s="628"/>
      <c r="AE117" s="628"/>
      <c r="AF117" s="628"/>
      <c r="AG117" s="628"/>
      <c r="AH117" s="628"/>
      <c r="AI117" s="628"/>
      <c r="AJ117" s="628"/>
      <c r="AK117" s="628"/>
      <c r="AL117" s="628"/>
      <c r="AM117" s="628"/>
      <c r="AN117" s="628"/>
      <c r="AO117" s="628"/>
      <c r="AP117" s="628"/>
      <c r="AQ117" s="628"/>
      <c r="AR117" s="628"/>
      <c r="AS117" s="628"/>
      <c r="AT117" s="628"/>
      <c r="AU117" s="628"/>
      <c r="AV117" s="628"/>
      <c r="AW117" s="628"/>
      <c r="AX117" s="628"/>
      <c r="AY117" s="628"/>
      <c r="AZ117" s="628"/>
      <c r="BA117" s="628"/>
    </row>
    <row r="118" spans="1:53">
      <c r="A118" s="555"/>
      <c r="B118" s="627"/>
      <c r="C118" s="627"/>
      <c r="D118" s="628"/>
      <c r="E118" s="628"/>
      <c r="F118" s="628"/>
      <c r="G118" s="628"/>
      <c r="H118" s="628"/>
      <c r="I118" s="628"/>
      <c r="J118" s="628"/>
      <c r="K118" s="628"/>
      <c r="L118" s="628"/>
      <c r="M118" s="628"/>
      <c r="N118" s="628"/>
      <c r="O118" s="628"/>
      <c r="P118" s="629"/>
      <c r="Q118" s="628"/>
      <c r="R118" s="628"/>
      <c r="S118" s="628"/>
      <c r="T118" s="628"/>
      <c r="U118" s="628"/>
      <c r="V118" s="628"/>
      <c r="W118" s="628"/>
      <c r="X118" s="628"/>
      <c r="Y118" s="628"/>
      <c r="Z118" s="628"/>
      <c r="AA118" s="628"/>
      <c r="AB118" s="628"/>
      <c r="AC118" s="628"/>
      <c r="AD118" s="628"/>
      <c r="AE118" s="628"/>
      <c r="AF118" s="628"/>
      <c r="AG118" s="628"/>
      <c r="AH118" s="628"/>
      <c r="AI118" s="628"/>
      <c r="AJ118" s="628"/>
      <c r="AK118" s="628"/>
      <c r="AL118" s="628"/>
      <c r="AM118" s="628"/>
      <c r="AN118" s="628"/>
      <c r="AO118" s="628"/>
      <c r="AP118" s="628"/>
      <c r="AQ118" s="628"/>
      <c r="AR118" s="628"/>
      <c r="AS118" s="628"/>
      <c r="AT118" s="628"/>
      <c r="AU118" s="628"/>
      <c r="AV118" s="628"/>
      <c r="AW118" s="628"/>
      <c r="AX118" s="628"/>
      <c r="AY118" s="628"/>
      <c r="AZ118" s="628"/>
      <c r="BA118" s="628"/>
    </row>
    <row r="119" spans="1:53">
      <c r="A119" s="555"/>
      <c r="B119" s="627"/>
      <c r="C119" s="627"/>
      <c r="D119" s="628"/>
      <c r="E119" s="628"/>
      <c r="F119" s="628"/>
      <c r="G119" s="628"/>
      <c r="H119" s="628"/>
      <c r="I119" s="628"/>
      <c r="J119" s="628"/>
      <c r="K119" s="628"/>
      <c r="L119" s="628"/>
      <c r="M119" s="628"/>
      <c r="N119" s="628"/>
      <c r="O119" s="628"/>
      <c r="P119" s="629"/>
      <c r="Q119" s="630"/>
      <c r="R119" s="628"/>
      <c r="S119" s="628"/>
      <c r="T119" s="628"/>
      <c r="U119" s="628"/>
      <c r="V119" s="628"/>
      <c r="W119" s="628"/>
      <c r="X119" s="628"/>
      <c r="Y119" s="628"/>
      <c r="Z119" s="628"/>
      <c r="AA119" s="628"/>
      <c r="AB119" s="628"/>
      <c r="AC119" s="628"/>
      <c r="AD119" s="628"/>
      <c r="AE119" s="628"/>
      <c r="AF119" s="628"/>
      <c r="AG119" s="628"/>
      <c r="AH119" s="628"/>
      <c r="AI119" s="628"/>
      <c r="AJ119" s="628"/>
      <c r="AK119" s="628"/>
      <c r="AL119" s="628"/>
      <c r="AM119" s="628"/>
      <c r="AN119" s="628"/>
      <c r="AO119" s="628"/>
      <c r="AP119" s="628"/>
      <c r="AQ119" s="628"/>
      <c r="AR119" s="628"/>
      <c r="AS119" s="628"/>
      <c r="AT119" s="628"/>
      <c r="AU119" s="628"/>
      <c r="AV119" s="628"/>
      <c r="AW119" s="628"/>
      <c r="AX119" s="628"/>
      <c r="AY119" s="628"/>
      <c r="AZ119" s="628"/>
      <c r="BA119" s="628"/>
    </row>
    <row r="120" spans="1:53">
      <c r="A120" s="555"/>
      <c r="B120" s="627"/>
      <c r="C120" s="627"/>
      <c r="D120" s="628"/>
      <c r="E120" s="628"/>
      <c r="F120" s="628"/>
      <c r="G120" s="628"/>
      <c r="H120" s="628"/>
      <c r="I120" s="628"/>
      <c r="J120" s="628"/>
      <c r="K120" s="628"/>
      <c r="L120" s="628"/>
      <c r="M120" s="628"/>
      <c r="N120" s="628"/>
      <c r="O120" s="628"/>
      <c r="P120" s="629"/>
      <c r="Q120" s="628"/>
      <c r="R120" s="628"/>
      <c r="S120" s="628"/>
      <c r="T120" s="628"/>
      <c r="U120" s="628"/>
      <c r="V120" s="628"/>
      <c r="W120" s="628"/>
      <c r="X120" s="628"/>
      <c r="Y120" s="628"/>
      <c r="Z120" s="628"/>
      <c r="AA120" s="628"/>
      <c r="AB120" s="628"/>
      <c r="AC120" s="628"/>
      <c r="AD120" s="628"/>
      <c r="AE120" s="628"/>
      <c r="AF120" s="628"/>
      <c r="AG120" s="628"/>
      <c r="AH120" s="628"/>
      <c r="AI120" s="628"/>
      <c r="AJ120" s="628"/>
      <c r="AK120" s="628"/>
      <c r="AL120" s="628"/>
      <c r="AM120" s="628"/>
      <c r="AN120" s="628"/>
      <c r="AO120" s="628"/>
      <c r="AP120" s="628"/>
      <c r="AQ120" s="628"/>
      <c r="AR120" s="628"/>
      <c r="AS120" s="628"/>
      <c r="AT120" s="628"/>
      <c r="AU120" s="628"/>
      <c r="AV120" s="628"/>
      <c r="AW120" s="628"/>
      <c r="AX120" s="628"/>
      <c r="AY120" s="628"/>
      <c r="AZ120" s="628"/>
      <c r="BA120" s="628"/>
    </row>
    <row r="121" spans="1:53">
      <c r="M121" s="539"/>
      <c r="P121" s="634"/>
    </row>
    <row r="122" spans="1:53">
      <c r="M122" s="539"/>
      <c r="P122" s="634"/>
    </row>
    <row r="123" spans="1:53">
      <c r="M123" s="539"/>
      <c r="P123" s="634"/>
    </row>
    <row r="124" spans="1:53">
      <c r="A124" s="662">
        <v>1</v>
      </c>
      <c r="D124" s="5"/>
      <c r="E124" s="5"/>
      <c r="F124" s="75"/>
      <c r="G124" s="75"/>
      <c r="H124" s="75"/>
      <c r="I124" s="75"/>
      <c r="J124" s="75"/>
      <c r="K124" s="75"/>
      <c r="L124" s="75"/>
      <c r="M124" s="75"/>
      <c r="N124" s="536"/>
      <c r="O124" s="536"/>
      <c r="P124" s="537"/>
      <c r="Q124" s="538"/>
      <c r="R124" s="538"/>
      <c r="S124" s="538"/>
      <c r="T124" s="538"/>
      <c r="U124" s="538"/>
      <c r="V124" s="538"/>
      <c r="W124" s="538"/>
      <c r="X124" s="538"/>
      <c r="Y124" s="538"/>
      <c r="Z124" s="538"/>
      <c r="AA124" s="538"/>
      <c r="AB124" s="538"/>
      <c r="AC124" s="538"/>
      <c r="AD124" s="538"/>
      <c r="AE124" s="538"/>
      <c r="AF124" s="538"/>
      <c r="AG124" s="538"/>
      <c r="AH124" s="538"/>
      <c r="AI124" s="538"/>
      <c r="AJ124" s="538"/>
      <c r="AK124" s="538"/>
      <c r="AL124" s="538"/>
      <c r="AM124" s="538"/>
      <c r="AN124" s="538"/>
      <c r="AO124" s="538"/>
      <c r="AP124" s="538"/>
      <c r="AQ124" s="538"/>
      <c r="AR124" s="538"/>
      <c r="AS124" s="538"/>
      <c r="AT124" s="538"/>
      <c r="AU124" s="538"/>
      <c r="AV124" s="538"/>
      <c r="AW124" s="538"/>
      <c r="AX124" s="538"/>
      <c r="AY124" s="538"/>
      <c r="AZ124" s="538"/>
      <c r="BA124" s="538"/>
    </row>
    <row r="125" spans="1:53">
      <c r="A125" s="539"/>
      <c r="B125" s="2739" t="s">
        <v>653</v>
      </c>
      <c r="C125" s="2741" t="s">
        <v>654</v>
      </c>
      <c r="D125" s="18"/>
      <c r="E125" s="18"/>
      <c r="F125" s="540"/>
      <c r="G125" s="540"/>
      <c r="H125" s="540"/>
      <c r="I125" s="540"/>
      <c r="J125" s="540"/>
      <c r="K125" s="540"/>
      <c r="L125" s="540"/>
      <c r="M125" s="540"/>
      <c r="N125" s="540"/>
      <c r="O125" s="540"/>
      <c r="P125" s="541"/>
      <c r="Q125" s="542"/>
      <c r="R125" s="542"/>
      <c r="S125" s="542"/>
      <c r="T125" s="542"/>
      <c r="U125" s="542"/>
      <c r="V125" s="542"/>
      <c r="W125" s="542"/>
      <c r="X125" s="542"/>
      <c r="Y125" s="542"/>
      <c r="Z125" s="542"/>
      <c r="AA125" s="542"/>
      <c r="AB125" s="542"/>
      <c r="AC125" s="542"/>
      <c r="AD125" s="542"/>
      <c r="AE125" s="542"/>
      <c r="AF125" s="542"/>
      <c r="AG125" s="542"/>
      <c r="AH125" s="542"/>
      <c r="AI125" s="542"/>
      <c r="AJ125" s="542"/>
      <c r="AK125" s="542"/>
      <c r="AL125" s="542"/>
      <c r="AM125" s="542"/>
      <c r="AN125" s="542"/>
      <c r="AO125" s="542"/>
      <c r="AP125" s="542"/>
      <c r="AQ125" s="542"/>
      <c r="AR125" s="542"/>
      <c r="AS125" s="542"/>
      <c r="AT125" s="542"/>
      <c r="AU125" s="542"/>
      <c r="AV125" s="542"/>
      <c r="AW125" s="542"/>
      <c r="AX125" s="542"/>
      <c r="AY125" s="542"/>
      <c r="AZ125" s="542"/>
      <c r="BA125" s="542"/>
    </row>
    <row r="126" spans="1:53" ht="13.8" thickBot="1">
      <c r="A126" s="539"/>
      <c r="B126" s="2740"/>
      <c r="C126" s="2743"/>
      <c r="D126" s="636">
        <f>D3</f>
        <v>41274</v>
      </c>
      <c r="E126" s="2599">
        <f t="shared" ref="E126:AR126" si="58">E3</f>
        <v>41639</v>
      </c>
      <c r="F126" s="2599">
        <f t="shared" si="58"/>
        <v>42004</v>
      </c>
      <c r="G126" s="2599">
        <f t="shared" si="58"/>
        <v>42369</v>
      </c>
      <c r="H126" s="2599">
        <f t="shared" si="58"/>
        <v>42735</v>
      </c>
      <c r="I126" s="2599">
        <f t="shared" si="58"/>
        <v>43100</v>
      </c>
      <c r="J126" s="2599">
        <f t="shared" si="58"/>
        <v>43465</v>
      </c>
      <c r="K126" s="2599">
        <f t="shared" si="58"/>
        <v>43830</v>
      </c>
      <c r="L126" s="2599">
        <f t="shared" si="58"/>
        <v>44196</v>
      </c>
      <c r="M126" s="2599">
        <f t="shared" si="58"/>
        <v>44561</v>
      </c>
      <c r="N126" s="2599">
        <f t="shared" si="58"/>
        <v>44926</v>
      </c>
      <c r="O126" s="2599">
        <f t="shared" si="58"/>
        <v>45291</v>
      </c>
      <c r="P126" s="2599">
        <f t="shared" si="58"/>
        <v>45657</v>
      </c>
      <c r="Q126" s="2600">
        <f t="shared" si="58"/>
        <v>46022</v>
      </c>
      <c r="R126" s="2600">
        <f t="shared" si="58"/>
        <v>46387</v>
      </c>
      <c r="S126" s="2600">
        <f t="shared" si="58"/>
        <v>46752</v>
      </c>
      <c r="T126" s="2600">
        <f t="shared" si="58"/>
        <v>47118</v>
      </c>
      <c r="U126" s="2600">
        <f t="shared" si="58"/>
        <v>47483</v>
      </c>
      <c r="V126" s="2600">
        <f t="shared" si="58"/>
        <v>47848</v>
      </c>
      <c r="W126" s="2600">
        <f t="shared" si="58"/>
        <v>48213</v>
      </c>
      <c r="X126" s="2600">
        <f t="shared" si="58"/>
        <v>48579</v>
      </c>
      <c r="Y126" s="2600">
        <f t="shared" si="58"/>
        <v>48944</v>
      </c>
      <c r="Z126" s="2600">
        <f t="shared" si="58"/>
        <v>49309</v>
      </c>
      <c r="AA126" s="2600">
        <f t="shared" si="58"/>
        <v>49674</v>
      </c>
      <c r="AB126" s="2600">
        <f t="shared" si="58"/>
        <v>50040</v>
      </c>
      <c r="AC126" s="2600">
        <f t="shared" si="58"/>
        <v>50405</v>
      </c>
      <c r="AD126" s="2600">
        <f t="shared" si="58"/>
        <v>50770</v>
      </c>
      <c r="AE126" s="2600">
        <f t="shared" si="58"/>
        <v>51135</v>
      </c>
      <c r="AF126" s="2600">
        <f t="shared" si="58"/>
        <v>51501</v>
      </c>
      <c r="AG126" s="2600">
        <f t="shared" si="58"/>
        <v>51866</v>
      </c>
      <c r="AH126" s="2600">
        <f t="shared" si="58"/>
        <v>52231</v>
      </c>
      <c r="AI126" s="2600">
        <f t="shared" si="58"/>
        <v>52596</v>
      </c>
      <c r="AJ126" s="2600">
        <f t="shared" si="58"/>
        <v>52962</v>
      </c>
      <c r="AK126" s="2600">
        <f t="shared" si="58"/>
        <v>53327</v>
      </c>
      <c r="AL126" s="2600">
        <f t="shared" si="58"/>
        <v>53692</v>
      </c>
      <c r="AM126" s="2600">
        <f t="shared" si="58"/>
        <v>54057</v>
      </c>
      <c r="AN126" s="2600">
        <f t="shared" si="58"/>
        <v>54423</v>
      </c>
      <c r="AO126" s="2600">
        <f t="shared" si="58"/>
        <v>54788</v>
      </c>
      <c r="AP126" s="2600">
        <f t="shared" si="58"/>
        <v>55153</v>
      </c>
      <c r="AQ126" s="2600">
        <f t="shared" si="58"/>
        <v>55518</v>
      </c>
      <c r="AR126" s="2600">
        <f t="shared" si="58"/>
        <v>55884</v>
      </c>
      <c r="AS126" s="547"/>
      <c r="AT126" s="547"/>
      <c r="AU126" s="547"/>
      <c r="AV126" s="547"/>
      <c r="AW126" s="547"/>
      <c r="AX126" s="547"/>
      <c r="AY126" s="547"/>
      <c r="AZ126" s="547"/>
      <c r="BA126" s="547"/>
    </row>
    <row r="127" spans="1:53" ht="13.8" thickTop="1">
      <c r="A127" s="539"/>
      <c r="B127" s="5"/>
      <c r="C127" s="5"/>
      <c r="D127" s="663"/>
      <c r="E127" s="41"/>
      <c r="F127" s="41"/>
      <c r="G127" s="41"/>
      <c r="H127" s="41"/>
      <c r="I127" s="41"/>
      <c r="J127" s="41"/>
      <c r="K127" s="41"/>
      <c r="L127" s="41"/>
      <c r="M127" s="663"/>
      <c r="N127" s="41"/>
      <c r="O127" s="41"/>
      <c r="P127" s="1482"/>
      <c r="Q127" s="41"/>
      <c r="R127" s="41"/>
      <c r="S127" s="41"/>
      <c r="T127" s="41"/>
      <c r="U127" s="41"/>
      <c r="V127" s="41"/>
      <c r="W127" s="41"/>
      <c r="X127" s="41"/>
      <c r="Y127" s="41"/>
      <c r="Z127" s="41"/>
      <c r="AA127" s="41"/>
      <c r="AB127" s="41"/>
      <c r="AC127" s="41"/>
      <c r="AD127" s="41"/>
      <c r="AE127" s="41"/>
      <c r="AF127" s="41"/>
      <c r="AG127" s="41"/>
      <c r="AH127" s="41"/>
      <c r="AI127" s="41"/>
      <c r="AJ127" s="41"/>
      <c r="AK127" s="41"/>
      <c r="AL127" s="41"/>
      <c r="AM127" s="41"/>
      <c r="AN127" s="41"/>
      <c r="AO127" s="41"/>
      <c r="AP127" s="41"/>
      <c r="AQ127" s="41"/>
      <c r="AR127" s="41"/>
      <c r="AS127" s="41"/>
      <c r="AT127" s="41"/>
      <c r="AU127" s="41"/>
      <c r="AV127" s="41"/>
      <c r="AW127" s="41"/>
      <c r="AX127" s="41"/>
      <c r="AY127" s="41"/>
      <c r="AZ127" s="41"/>
      <c r="BA127" s="41"/>
    </row>
    <row r="128" spans="1:53">
      <c r="A128" s="539"/>
      <c r="B128" s="5" t="s">
        <v>655</v>
      </c>
      <c r="C128" s="5" t="s">
        <v>381</v>
      </c>
      <c r="D128" s="41"/>
      <c r="E128" s="89"/>
      <c r="F128" s="89"/>
      <c r="G128" s="89"/>
      <c r="H128" s="89"/>
      <c r="I128" s="90"/>
      <c r="J128" s="90"/>
      <c r="K128" s="90">
        <f>'Output-FR (show)'!K28</f>
        <v>463.0881713820001</v>
      </c>
      <c r="L128" s="90">
        <f>'Output-FR (show)'!L28</f>
        <v>716.5338043050001</v>
      </c>
      <c r="M128" s="90">
        <f>'Output-FR (show)'!M28</f>
        <v>1956.2699888410002</v>
      </c>
      <c r="N128" s="90">
        <f>'Output-FR (show)'!N28</f>
        <v>4596.312764843</v>
      </c>
      <c r="O128" s="90">
        <f>'Output-FR (show)'!O28</f>
        <v>1254.8095836400007</v>
      </c>
      <c r="P128" s="90">
        <f>'Output-FR (show)'!P28</f>
        <v>1522.0634881910007</v>
      </c>
      <c r="Q128" s="142">
        <f ca="1">'Output-FR (show)'!Q28</f>
        <v>2621.194422417625</v>
      </c>
      <c r="R128" s="984">
        <f ca="1">'Output-FR (show)'!R28</f>
        <v>2967.2561852613499</v>
      </c>
      <c r="S128" s="984">
        <f ca="1">'Output-FR (show)'!S28</f>
        <v>3473.5655174374656</v>
      </c>
      <c r="T128" s="984">
        <f ca="1">'Output-FR (show)'!T28</f>
        <v>5427.1488250286984</v>
      </c>
      <c r="U128" s="984">
        <f ca="1">'Output-FR (show)'!U28</f>
        <v>4640.1399346495109</v>
      </c>
      <c r="V128" s="984">
        <f ca="1">'Output-FR (show)'!V28</f>
        <v>4051.1800055393765</v>
      </c>
      <c r="W128" s="984">
        <f ca="1">'Output-FR (show)'!W28</f>
        <v>4054.9262293236438</v>
      </c>
      <c r="X128" s="984">
        <f ca="1">'Output-FR (show)'!X28</f>
        <v>4504.249594428502</v>
      </c>
      <c r="Y128" s="984">
        <f ca="1">'Output-FR (show)'!Y28</f>
        <v>5190.9821833409187</v>
      </c>
      <c r="Z128" s="984">
        <f ca="1">'Output-FR (show)'!Z28</f>
        <v>5147.9329437771667</v>
      </c>
      <c r="AA128" s="142"/>
      <c r="AB128" s="143"/>
      <c r="AC128" s="143"/>
      <c r="AD128" s="143"/>
      <c r="AE128" s="143"/>
      <c r="AF128" s="143"/>
      <c r="AG128" s="143"/>
      <c r="AH128" s="143"/>
      <c r="AI128" s="143"/>
      <c r="AJ128" s="143"/>
      <c r="AK128" s="143"/>
      <c r="AL128" s="143"/>
      <c r="AM128" s="143"/>
      <c r="AN128" s="143"/>
      <c r="AO128" s="143"/>
      <c r="AP128" s="143"/>
      <c r="AQ128" s="143"/>
      <c r="AR128" s="143"/>
      <c r="AS128" s="143"/>
      <c r="AT128" s="143"/>
      <c r="AU128" s="143"/>
      <c r="AV128" s="143"/>
      <c r="AW128" s="143"/>
      <c r="AX128" s="143"/>
      <c r="AY128" s="143"/>
      <c r="AZ128" s="143"/>
      <c r="BA128" s="143"/>
    </row>
    <row r="129" spans="1:55">
      <c r="A129" s="539"/>
      <c r="B129" s="5"/>
      <c r="C129" s="5"/>
      <c r="D129" s="41"/>
      <c r="E129" s="89"/>
      <c r="F129" s="89"/>
      <c r="G129" s="89"/>
      <c r="H129" s="89"/>
      <c r="I129" s="90"/>
      <c r="J129" s="90"/>
      <c r="K129" s="90"/>
      <c r="L129" s="90"/>
      <c r="M129" s="90"/>
      <c r="N129" s="90"/>
      <c r="O129" s="90"/>
      <c r="P129" s="90"/>
      <c r="Q129" s="984"/>
      <c r="R129" s="984"/>
      <c r="S129" s="984"/>
      <c r="T129" s="984"/>
      <c r="U129" s="984"/>
      <c r="V129" s="984"/>
      <c r="W129" s="984"/>
      <c r="X129" s="984"/>
      <c r="Y129" s="984"/>
      <c r="Z129" s="984"/>
      <c r="AA129" s="142"/>
      <c r="AB129" s="143"/>
      <c r="AC129" s="143"/>
      <c r="AD129" s="143"/>
      <c r="AE129" s="143"/>
      <c r="AF129" s="143"/>
      <c r="AG129" s="143"/>
      <c r="AH129" s="143"/>
      <c r="AI129" s="143"/>
      <c r="AJ129" s="143"/>
      <c r="AK129" s="143"/>
      <c r="AL129" s="143"/>
      <c r="AM129" s="143"/>
      <c r="AN129" s="143"/>
      <c r="AO129" s="143"/>
      <c r="AP129" s="143"/>
      <c r="AQ129" s="143"/>
      <c r="AR129" s="143"/>
      <c r="AS129" s="143"/>
      <c r="AT129" s="143"/>
      <c r="AU129" s="143"/>
      <c r="AV129" s="143"/>
      <c r="AW129" s="143"/>
      <c r="AX129" s="143"/>
      <c r="AY129" s="143"/>
      <c r="AZ129" s="143"/>
      <c r="BA129" s="143"/>
    </row>
    <row r="130" spans="1:55">
      <c r="A130" s="539"/>
      <c r="B130" s="5"/>
      <c r="C130" s="5"/>
      <c r="D130" s="41"/>
      <c r="E130" s="89"/>
      <c r="F130" s="89"/>
      <c r="G130" s="89"/>
      <c r="H130" s="89"/>
      <c r="I130" s="89"/>
      <c r="J130" s="90"/>
      <c r="K130" s="90"/>
      <c r="L130" s="90"/>
      <c r="M130" s="90"/>
      <c r="N130" s="90"/>
      <c r="O130" s="90"/>
      <c r="P130" s="568"/>
      <c r="Q130" s="142"/>
      <c r="R130" s="142"/>
      <c r="S130" s="142"/>
      <c r="T130" s="142"/>
      <c r="U130" s="142"/>
      <c r="V130" s="142"/>
      <c r="W130" s="142"/>
      <c r="X130" s="142"/>
      <c r="Y130" s="142"/>
      <c r="Z130" s="142"/>
      <c r="AA130" s="142"/>
      <c r="AB130" s="143"/>
      <c r="AC130" s="143"/>
      <c r="AD130" s="143"/>
      <c r="AE130" s="143"/>
      <c r="AF130" s="143"/>
      <c r="AG130" s="143"/>
      <c r="AH130" s="143"/>
      <c r="AI130" s="143"/>
      <c r="AJ130" s="143"/>
      <c r="AK130" s="143"/>
      <c r="AL130" s="143"/>
      <c r="AM130" s="143"/>
      <c r="AN130" s="143"/>
      <c r="AO130" s="143"/>
      <c r="AP130" s="143"/>
      <c r="AQ130" s="143"/>
      <c r="AR130" s="143"/>
      <c r="AS130" s="143"/>
      <c r="AT130" s="143"/>
      <c r="AU130" s="143"/>
      <c r="AV130" s="143"/>
      <c r="AW130" s="143"/>
      <c r="AX130" s="143"/>
      <c r="AY130" s="143"/>
      <c r="AZ130" s="143"/>
      <c r="BA130" s="143"/>
    </row>
    <row r="131" spans="1:55">
      <c r="A131" s="539"/>
      <c r="B131" s="665" t="s">
        <v>657</v>
      </c>
      <c r="C131" s="665" t="s">
        <v>658</v>
      </c>
      <c r="D131" s="41"/>
      <c r="E131" s="41"/>
      <c r="F131" s="41"/>
      <c r="G131" s="41"/>
      <c r="H131" s="41"/>
      <c r="I131" s="41"/>
      <c r="J131" s="41"/>
      <c r="K131" s="41"/>
      <c r="L131" s="41"/>
      <c r="M131" s="41"/>
      <c r="N131" s="41"/>
      <c r="O131" s="41"/>
      <c r="P131" s="268"/>
      <c r="Q131" s="178"/>
      <c r="R131" s="178"/>
      <c r="S131" s="178"/>
      <c r="T131" s="178"/>
      <c r="U131" s="178"/>
      <c r="V131" s="178"/>
      <c r="W131" s="178"/>
      <c r="X131" s="178"/>
      <c r="Y131" s="178"/>
      <c r="Z131" s="178"/>
      <c r="AA131" s="178"/>
      <c r="AB131" s="178"/>
      <c r="AC131" s="178"/>
      <c r="AD131" s="178"/>
      <c r="AE131" s="178"/>
      <c r="AF131" s="178"/>
      <c r="AG131" s="178"/>
      <c r="AH131" s="178"/>
      <c r="AI131" s="178"/>
      <c r="AJ131" s="178"/>
      <c r="AK131" s="178"/>
      <c r="AL131" s="178"/>
      <c r="AM131" s="178"/>
      <c r="AN131" s="178"/>
      <c r="AO131" s="178"/>
      <c r="AP131" s="178"/>
      <c r="AQ131" s="178"/>
      <c r="AR131" s="178"/>
      <c r="AS131" s="41"/>
      <c r="AT131" s="41"/>
      <c r="AU131" s="41"/>
      <c r="AV131" s="41"/>
      <c r="AW131" s="41"/>
      <c r="AX131" s="41"/>
      <c r="AY131" s="41"/>
      <c r="AZ131" s="41"/>
      <c r="BA131" s="41"/>
    </row>
    <row r="132" spans="1:55">
      <c r="A132" s="539"/>
      <c r="B132" s="664" t="s">
        <v>585</v>
      </c>
      <c r="C132" s="664" t="s">
        <v>659</v>
      </c>
      <c r="D132" s="41"/>
      <c r="E132" s="89"/>
      <c r="F132" s="89"/>
      <c r="G132" s="89"/>
      <c r="H132" s="89"/>
      <c r="I132" s="90"/>
      <c r="J132" s="90"/>
      <c r="K132" s="90">
        <f>IF(ISTEXT('CF Raw'!F11),'CF Raw'!F16+'CF Raw'!F17,'Output-FR (show)'!K15)</f>
        <v>1318.8406424909999</v>
      </c>
      <c r="L132" s="90">
        <f>IF(ISTEXT('CF Raw'!G11),'CF Raw'!G16+'CF Raw'!G17,'Output-FR (show)'!L15)</f>
        <v>1318.1524527060001</v>
      </c>
      <c r="M132" s="90">
        <f>IF(ISTEXT('CF Raw'!H11),'CF Raw'!H16+'CF Raw'!H17,'Output-FR (show)'!M15)</f>
        <v>1385.810943875</v>
      </c>
      <c r="N132" s="90">
        <f>IF(ISTEXT('CF Raw'!I11),'CF Raw'!I16+'CF Raw'!I17,'Output-FR (show)'!N15)</f>
        <v>1398.029397737</v>
      </c>
      <c r="O132" s="90">
        <f>IF(ISTEXT('CF Raw'!J11),'CF Raw'!J16+'CF Raw'!J17,'Output-FR (show)'!O15)</f>
        <v>1083.3806986520001</v>
      </c>
      <c r="P132" s="90">
        <f>IF(ISTEXT('CF Raw'!K11),'CF Raw'!K16+'CF Raw'!K17,'Output-FR (show)'!P15)</f>
        <v>268.08145841499999</v>
      </c>
      <c r="Q132" s="142">
        <f>IF(ISTEXT('CF Raw'!L11),'CF Raw'!L16+'CF Raw'!L17,'Output-FR (show)'!Q15)</f>
        <v>866.19597450905121</v>
      </c>
      <c r="R132" s="142">
        <f>IF(ISTEXT('CF Raw'!M11),'CF Raw'!M16+'CF Raw'!M17,'Output-FR (show)'!R15)</f>
        <v>958.07836251496497</v>
      </c>
      <c r="S132" s="142">
        <f>IF(ISTEXT('CF Raw'!N11),'CF Raw'!N16+'CF Raw'!N17,'Output-FR (show)'!S15)</f>
        <v>400.06569213431158</v>
      </c>
      <c r="T132" s="142">
        <f>IF(ISTEXT('CF Raw'!O11),'CF Raw'!O16+'CF Raw'!O17,'Output-FR (show)'!T15)</f>
        <v>404.65673999404856</v>
      </c>
      <c r="U132" s="142">
        <f>IF(ISTEXT('CF Raw'!P11),'CF Raw'!P16+'CF Raw'!P17,'Output-FR (show)'!U15)</f>
        <v>391.81912495422546</v>
      </c>
      <c r="V132" s="142">
        <f>IF(ISTEXT('CF Raw'!Q11),'CF Raw'!Q16+'CF Raw'!Q17,'Output-FR (show)'!V15)</f>
        <v>391.68502453039241</v>
      </c>
      <c r="W132" s="142">
        <f>IF(ISTEXT('CF Raw'!R11),'CF Raw'!R16+'CF Raw'!R17,'Output-FR (show)'!W15)</f>
        <v>351.67260372664737</v>
      </c>
      <c r="X132" s="142">
        <f>IF(ISTEXT('CF Raw'!S11),'CF Raw'!S16+'CF Raw'!S17,'Output-FR (show)'!X15)</f>
        <v>394.01552606931426</v>
      </c>
      <c r="Y132" s="142">
        <f>IF(ISTEXT('CF Raw'!T11),'CF Raw'!T16+'CF Raw'!T17,'Output-FR (show)'!Y15)</f>
        <v>419.30626490537486</v>
      </c>
      <c r="Z132" s="142">
        <f>IF(ISTEXT('CF Raw'!U11),'CF Raw'!U16+'CF Raw'!U17,'Output-FR (show)'!Z15)</f>
        <v>447.65035783578924</v>
      </c>
      <c r="AA132" s="142"/>
      <c r="AB132" s="143"/>
      <c r="AC132" s="143"/>
      <c r="AD132" s="143"/>
      <c r="AE132" s="143"/>
      <c r="AF132" s="143"/>
      <c r="AG132" s="143"/>
      <c r="AH132" s="143"/>
      <c r="AI132" s="143"/>
      <c r="AJ132" s="143"/>
      <c r="AK132" s="143"/>
      <c r="AL132" s="143"/>
      <c r="AM132" s="143"/>
      <c r="AN132" s="143"/>
      <c r="AO132" s="143"/>
      <c r="AP132" s="143"/>
      <c r="AQ132" s="143"/>
      <c r="AR132" s="143"/>
      <c r="AS132" s="143"/>
      <c r="AT132" s="143"/>
      <c r="AU132" s="143"/>
      <c r="AV132" s="143"/>
      <c r="AW132" s="143"/>
      <c r="AX132" s="143"/>
      <c r="AY132" s="143"/>
      <c r="AZ132" s="143"/>
      <c r="BA132" s="143"/>
      <c r="BC132" s="645"/>
    </row>
    <row r="133" spans="1:55">
      <c r="A133" s="539"/>
      <c r="B133" s="664" t="s">
        <v>656</v>
      </c>
      <c r="C133" s="664"/>
      <c r="D133" s="41"/>
      <c r="E133" s="89"/>
      <c r="F133" s="89"/>
      <c r="G133" s="89"/>
      <c r="H133" s="89"/>
      <c r="I133" s="90"/>
      <c r="J133" s="90"/>
      <c r="K133" s="90">
        <f>IF(ISTEXT('CF Raw'!F$11),'CF Raw'!F18/'Output-FR (show)'!$A$124,0)</f>
        <v>8.9182586940000004</v>
      </c>
      <c r="L133" s="90">
        <f>IF(ISTEXT('CF Raw'!G$11),'CF Raw'!G18/'Output-FR (show)'!$A$124,0)</f>
        <v>-8.4816782469999996</v>
      </c>
      <c r="M133" s="90">
        <f>IF(ISTEXT('CF Raw'!H$11),'CF Raw'!H18/'Output-FR (show)'!$A$124,0)</f>
        <v>37.053214320999999</v>
      </c>
      <c r="N133" s="90">
        <f>IF(ISTEXT('CF Raw'!I$11),'CF Raw'!I18/'Output-FR (show)'!$A$124,0)</f>
        <v>822.62005017000001</v>
      </c>
      <c r="O133" s="90">
        <f>IF(ISTEXT('CF Raw'!J$11),'CF Raw'!J18/'Output-FR (show)'!$A$124,0)</f>
        <v>-212.57577683100001</v>
      </c>
      <c r="P133" s="90">
        <f>IF(ISTEXT('CF Raw'!K$11),'CF Raw'!K18/'Output-FR (show)'!$A$124,0)</f>
        <v>9.4771194750000003</v>
      </c>
      <c r="Q133" s="142">
        <f>IF(ISTEXT('CF Raw'!L$11),'CF Raw'!L18/'Output-FR (show)'!$A$124,0)</f>
        <v>0</v>
      </c>
      <c r="R133" s="142">
        <f>IF(ISTEXT('CF Raw'!M$11),'CF Raw'!M18/'Output-FR (show)'!$A$124,0)</f>
        <v>0</v>
      </c>
      <c r="S133" s="142">
        <f>IF(ISTEXT('CF Raw'!N$11),'CF Raw'!N18/'Output-FR (show)'!$A$124,0)</f>
        <v>0</v>
      </c>
      <c r="T133" s="142">
        <f>IF(ISTEXT('CF Raw'!O$11),'CF Raw'!O18/'Output-FR (show)'!$A$124,0)</f>
        <v>0</v>
      </c>
      <c r="U133" s="142">
        <f>IF(ISTEXT('CF Raw'!P$11),'CF Raw'!P18/'Output-FR (show)'!$A$124,0)</f>
        <v>0</v>
      </c>
      <c r="V133" s="142">
        <f>IF(ISTEXT('CF Raw'!Q$11),'CF Raw'!Q18/'Output-FR (show)'!$A$124,0)</f>
        <v>0</v>
      </c>
      <c r="W133" s="142">
        <f>IF(ISTEXT('CF Raw'!R$11),'CF Raw'!R18/'Output-FR (show)'!$A$124,0)</f>
        <v>0</v>
      </c>
      <c r="X133" s="142">
        <f>IF(ISTEXT('CF Raw'!S$11),'CF Raw'!S18/'Output-FR (show)'!$A$124,0)</f>
        <v>0</v>
      </c>
      <c r="Y133" s="142">
        <f>IF(ISTEXT('CF Raw'!T$11),'CF Raw'!T18/'Output-FR (show)'!$A$124,0)</f>
        <v>0</v>
      </c>
      <c r="Z133" s="142">
        <f>IF(ISTEXT('CF Raw'!U$11),'CF Raw'!U18/'Output-FR (show)'!$A$124,0)</f>
        <v>0</v>
      </c>
      <c r="AA133" s="142"/>
      <c r="AB133" s="143"/>
      <c r="AC133" s="143"/>
      <c r="AD133" s="143"/>
      <c r="AE133" s="143"/>
      <c r="AF133" s="143"/>
      <c r="AG133" s="143"/>
      <c r="AH133" s="143"/>
      <c r="AI133" s="143"/>
      <c r="AJ133" s="143"/>
      <c r="AK133" s="143"/>
      <c r="AL133" s="143"/>
      <c r="AM133" s="143"/>
      <c r="AN133" s="143"/>
      <c r="AO133" s="143"/>
      <c r="AP133" s="143"/>
      <c r="AQ133" s="143"/>
      <c r="AR133" s="143"/>
      <c r="AS133" s="143"/>
      <c r="AT133" s="143"/>
      <c r="AU133" s="143"/>
      <c r="AV133" s="143"/>
      <c r="AW133" s="143"/>
      <c r="AX133" s="143"/>
      <c r="AY133" s="143"/>
      <c r="AZ133" s="143"/>
      <c r="BA133" s="143"/>
    </row>
    <row r="134" spans="1:55" s="2614" customFormat="1">
      <c r="B134" s="2615" t="s">
        <v>660</v>
      </c>
      <c r="C134" s="2615"/>
      <c r="D134" s="71"/>
      <c r="E134" s="2616"/>
      <c r="F134" s="2616"/>
      <c r="G134" s="2616"/>
      <c r="H134" s="2616"/>
      <c r="I134" s="2581"/>
      <c r="J134" s="2581"/>
      <c r="K134" s="2581">
        <f>IF(ISTEXT('CF Raw'!F$11),'CF Raw'!F19/$A$124,0)</f>
        <v>-2.4354729509999999</v>
      </c>
      <c r="L134" s="2581">
        <f>IF(ISTEXT('CF Raw'!G$11),'CF Raw'!G19/$A$124,0)</f>
        <v>-1.5350376999999999</v>
      </c>
      <c r="M134" s="2581">
        <f>IF(ISTEXT('CF Raw'!H$11),'CF Raw'!H19/$A$124,0)</f>
        <v>-7.0093267580000003</v>
      </c>
      <c r="N134" s="2581">
        <f>IF(ISTEXT('CF Raw'!I$11),'CF Raw'!I19/$A$124,0)</f>
        <v>9.3273664669999992</v>
      </c>
      <c r="O134" s="2581">
        <f>IF(ISTEXT('CF Raw'!J$11),'CF Raw'!J19/$A$124,0)</f>
        <v>-43.609637122000002</v>
      </c>
      <c r="P134" s="2581">
        <f>IF(ISTEXT('CF Raw'!K$11),'CF Raw'!K19/$A$124,0)</f>
        <v>2.9503121509999999</v>
      </c>
      <c r="Q134" s="2581">
        <f>IF(ISTEXT('CF Raw'!L$11),'CF Raw'!L19/$A$124,0)</f>
        <v>0</v>
      </c>
      <c r="R134" s="2581">
        <f>IF(ISTEXT('CF Raw'!M$11),'CF Raw'!M19/$A$124,0)</f>
        <v>0</v>
      </c>
      <c r="S134" s="2581">
        <f>IF(ISTEXT('CF Raw'!N$11),'CF Raw'!N19/$A$124,0)</f>
        <v>0</v>
      </c>
      <c r="T134" s="2581">
        <f>IF(ISTEXT('CF Raw'!O$11),'CF Raw'!O19/$A$124,0)</f>
        <v>0</v>
      </c>
      <c r="U134" s="2581">
        <f>IF(ISTEXT('CF Raw'!P$11),'CF Raw'!P19/$A$124,0)</f>
        <v>0</v>
      </c>
      <c r="V134" s="2581">
        <f>IF(ISTEXT('CF Raw'!Q$11),'CF Raw'!Q19/$A$124,0)</f>
        <v>0</v>
      </c>
      <c r="W134" s="2581">
        <f>IF(ISTEXT('CF Raw'!R$11),'CF Raw'!R19/$A$124,0)</f>
        <v>0</v>
      </c>
      <c r="X134" s="2581">
        <f>IF(ISTEXT('CF Raw'!S$11),'CF Raw'!S19/$A$124,0)</f>
        <v>0</v>
      </c>
      <c r="Y134" s="2581">
        <f>IF(ISTEXT('CF Raw'!T$11),'CF Raw'!T19/$A$124,0)</f>
        <v>0</v>
      </c>
      <c r="Z134" s="2581">
        <f>IF(ISTEXT('CF Raw'!U$11),'CF Raw'!U19/$A$124,0)</f>
        <v>0</v>
      </c>
      <c r="AA134" s="2581"/>
      <c r="AB134" s="2616"/>
      <c r="AC134" s="2616"/>
      <c r="AD134" s="2616"/>
      <c r="AE134" s="2616"/>
      <c r="AF134" s="2616"/>
      <c r="AG134" s="2616"/>
      <c r="AH134" s="2616"/>
      <c r="AI134" s="2616"/>
      <c r="AJ134" s="2616"/>
      <c r="AK134" s="2616"/>
      <c r="AL134" s="2616"/>
      <c r="AM134" s="2616"/>
      <c r="AN134" s="2616"/>
      <c r="AO134" s="2616"/>
      <c r="AP134" s="2616"/>
      <c r="AQ134" s="2616"/>
      <c r="AR134" s="2616"/>
      <c r="AS134" s="2616"/>
      <c r="AT134" s="2616"/>
      <c r="AU134" s="2616"/>
      <c r="AV134" s="2616"/>
      <c r="AW134" s="2616"/>
      <c r="AX134" s="2616"/>
      <c r="AY134" s="2616"/>
      <c r="AZ134" s="2616"/>
      <c r="BA134" s="2616"/>
    </row>
    <row r="135" spans="1:55">
      <c r="A135" s="539"/>
      <c r="B135" s="664" t="s">
        <v>661</v>
      </c>
      <c r="C135" s="664"/>
      <c r="D135" s="41"/>
      <c r="E135" s="89"/>
      <c r="F135" s="89"/>
      <c r="G135" s="89"/>
      <c r="H135" s="89"/>
      <c r="I135" s="90"/>
      <c r="J135" s="90"/>
      <c r="K135" s="90">
        <f>+K136+K137</f>
        <v>-117.699812006</v>
      </c>
      <c r="L135" s="90">
        <f t="shared" ref="L135:Z135" si="59">+L136+L137</f>
        <v>-111.927584745</v>
      </c>
      <c r="M135" s="90">
        <f t="shared" si="59"/>
        <v>-130.835723223</v>
      </c>
      <c r="N135" s="90">
        <f t="shared" si="59"/>
        <v>-265.29046088000001</v>
      </c>
      <c r="O135" s="90">
        <f t="shared" si="59"/>
        <v>-518.47532930399996</v>
      </c>
      <c r="P135" s="90">
        <f t="shared" si="59"/>
        <v>-451.85853166099997</v>
      </c>
      <c r="Q135" s="142">
        <f t="shared" ca="1" si="59"/>
        <v>-628.84749243855151</v>
      </c>
      <c r="R135" s="142">
        <f t="shared" ca="1" si="59"/>
        <v>-692.85894844772497</v>
      </c>
      <c r="S135" s="142">
        <f t="shared" ca="1" si="59"/>
        <v>-780.37590489551519</v>
      </c>
      <c r="T135" s="142">
        <f t="shared" ca="1" si="59"/>
        <v>-909.43262796584679</v>
      </c>
      <c r="U135" s="142">
        <f t="shared" ca="1" si="59"/>
        <v>-1034.8699417467117</v>
      </c>
      <c r="V135" s="142">
        <f t="shared" ca="1" si="59"/>
        <v>-1142.7056800480866</v>
      </c>
      <c r="W135" s="142">
        <f t="shared" ca="1" si="59"/>
        <v>-1225.4992514233529</v>
      </c>
      <c r="X135" s="142">
        <f t="shared" ca="1" si="59"/>
        <v>-1318.4699376175467</v>
      </c>
      <c r="Y135" s="142">
        <f t="shared" ca="1" si="59"/>
        <v>-1423.6529369135076</v>
      </c>
      <c r="Z135" s="142">
        <f t="shared" ca="1" si="59"/>
        <v>-1505.6260008797576</v>
      </c>
      <c r="AA135" s="142"/>
      <c r="AB135" s="143"/>
      <c r="AC135" s="143"/>
      <c r="AD135" s="143"/>
      <c r="AE135" s="143"/>
      <c r="AF135" s="143"/>
      <c r="AG135" s="143"/>
      <c r="AH135" s="143"/>
      <c r="AI135" s="143"/>
      <c r="AJ135" s="143"/>
      <c r="AK135" s="143"/>
      <c r="AL135" s="143"/>
      <c r="AM135" s="143"/>
      <c r="AN135" s="143"/>
      <c r="AO135" s="143"/>
      <c r="AP135" s="143"/>
      <c r="AQ135" s="143"/>
      <c r="AR135" s="143"/>
      <c r="AS135" s="143"/>
      <c r="AT135" s="143"/>
      <c r="AU135" s="143"/>
      <c r="AV135" s="143"/>
      <c r="AW135" s="143"/>
      <c r="AX135" s="143"/>
      <c r="AY135" s="143"/>
      <c r="AZ135" s="143"/>
      <c r="BA135" s="143"/>
    </row>
    <row r="136" spans="1:55">
      <c r="A136" s="574"/>
      <c r="B136" s="1470" t="s">
        <v>953</v>
      </c>
      <c r="C136" s="666" t="s">
        <v>662</v>
      </c>
      <c r="D136" s="576"/>
      <c r="E136" s="593"/>
      <c r="F136" s="593"/>
      <c r="G136" s="593"/>
      <c r="H136" s="593"/>
      <c r="I136" s="90"/>
      <c r="J136" s="90"/>
      <c r="K136" s="90">
        <f>IF(ISTEXT('CF Raw'!F$11),'CF Raw'!F20/'Output-FR (show)'!$A$124,-'Output-FR (show)'!K25)</f>
        <v>0</v>
      </c>
      <c r="L136" s="90">
        <f>IF(ISTEXT('CF Raw'!G$11),'CF Raw'!G20/'Output-FR (show)'!$A$124,-'Output-FR (show)'!L25)</f>
        <v>0</v>
      </c>
      <c r="M136" s="90">
        <f>IF(ISTEXT('CF Raw'!H$11),'CF Raw'!H20/'Output-FR (show)'!$A$124,-'Output-FR (show)'!M25)</f>
        <v>0</v>
      </c>
      <c r="N136" s="90">
        <f>IF(ISTEXT('CF Raw'!I$11),'CF Raw'!I20/'Output-FR (show)'!$A$124,-'Output-FR (show)'!N25)</f>
        <v>0</v>
      </c>
      <c r="O136" s="90">
        <f>IF(ISTEXT('CF Raw'!J$11),'CF Raw'!J20/'Output-FR (show)'!$A$124,-'Output-FR (show)'!O25)</f>
        <v>0</v>
      </c>
      <c r="P136" s="90">
        <f>IF(ISTEXT('CF Raw'!K$11),'CF Raw'!K20/'Output-FR (show)'!$A$124,-'Output-FR (show)'!P25)</f>
        <v>0</v>
      </c>
      <c r="Q136" s="142">
        <f>IF(ISTEXT('CF Raw'!L$11),'CF Raw'!L20/'Output-FR (show)'!$A$124,-'Output-FR (show)'!Q25)</f>
        <v>-16.230570724666709</v>
      </c>
      <c r="R136" s="142">
        <f>IF(ISTEXT('CF Raw'!M$11),'CF Raw'!M20/'Output-FR (show)'!$A$124,-'Output-FR (show)'!R25)</f>
        <v>-12.02804724916732</v>
      </c>
      <c r="S136" s="142">
        <f>IF(ISTEXT('CF Raw'!N$11),'CF Raw'!N20/'Output-FR (show)'!$A$124,-'Output-FR (show)'!S25)</f>
        <v>-13.186811817571449</v>
      </c>
      <c r="T136" s="142">
        <f>IF(ISTEXT('CF Raw'!O$11),'CF Raw'!O20/'Output-FR (show)'!$A$124,-'Output-FR (show)'!T25)</f>
        <v>-14.336535169178703</v>
      </c>
      <c r="U136" s="142">
        <f>IF(ISTEXT('CF Raw'!P$11),'CF Raw'!P20/'Output-FR (show)'!$A$124,-'Output-FR (show)'!U25)</f>
        <v>-17.219893467666864</v>
      </c>
      <c r="V136" s="142">
        <f>IF(ISTEXT('CF Raw'!Q$11),'CF Raw'!Q20/'Output-FR (show)'!$A$124,-'Output-FR (show)'!V25)</f>
        <v>-17.021552919137449</v>
      </c>
      <c r="W136" s="142">
        <f>IF(ISTEXT('CF Raw'!R$11),'CF Raw'!R20/'Output-FR (show)'!$A$124,-'Output-FR (show)'!W25)</f>
        <v>-14.683428161063702</v>
      </c>
      <c r="X136" s="142">
        <f>IF(ISTEXT('CF Raw'!S$11),'CF Raw'!S20/'Output-FR (show)'!$A$124,-'Output-FR (show)'!X25)</f>
        <v>-14.473290754976617</v>
      </c>
      <c r="Y136" s="142">
        <f>IF(ISTEXT('CF Raw'!T$11),'CF Raw'!T20/'Output-FR (show)'!$A$124,-'Output-FR (show)'!Y25)</f>
        <v>-14.694309641502553</v>
      </c>
      <c r="Z136" s="142">
        <f>IF(ISTEXT('CF Raw'!U$11),'CF Raw'!U20/'Output-FR (show)'!$A$124,-'Output-FR (show)'!Z25)</f>
        <v>-15.039807808198393</v>
      </c>
      <c r="AA136" s="596"/>
      <c r="AB136" s="597"/>
      <c r="AC136" s="597"/>
      <c r="AD136" s="597"/>
      <c r="AE136" s="597"/>
      <c r="AF136" s="597"/>
      <c r="AG136" s="597"/>
      <c r="AH136" s="597"/>
      <c r="AI136" s="597"/>
      <c r="AJ136" s="597"/>
      <c r="AK136" s="597"/>
      <c r="AL136" s="597"/>
      <c r="AM136" s="597"/>
      <c r="AN136" s="597"/>
      <c r="AO136" s="597"/>
      <c r="AP136" s="597"/>
      <c r="AQ136" s="597"/>
      <c r="AR136" s="597"/>
      <c r="AS136" s="597"/>
      <c r="AT136" s="597"/>
      <c r="AU136" s="597"/>
      <c r="AV136" s="597"/>
      <c r="AW136" s="597"/>
      <c r="AX136" s="597"/>
      <c r="AY136" s="597"/>
      <c r="AZ136" s="597"/>
      <c r="BA136" s="597"/>
    </row>
    <row r="137" spans="1:55">
      <c r="A137" s="574"/>
      <c r="B137" s="1470" t="s">
        <v>954</v>
      </c>
      <c r="C137" s="666"/>
      <c r="D137" s="576"/>
      <c r="E137" s="593"/>
      <c r="F137" s="593"/>
      <c r="G137" s="593"/>
      <c r="H137" s="593"/>
      <c r="I137" s="90"/>
      <c r="J137" s="90"/>
      <c r="K137" s="90">
        <f>IF(ISTEXT('CF Raw'!F$11),'CF Raw'!F21/'Output-FR (show)'!$A$124,-'Output-FR (show)'!K21)</f>
        <v>-117.699812006</v>
      </c>
      <c r="L137" s="90">
        <f>IF(ISTEXT('CF Raw'!G$11),'CF Raw'!G21/'Output-FR (show)'!$A$124,-'Output-FR (show)'!L21)</f>
        <v>-111.927584745</v>
      </c>
      <c r="M137" s="90">
        <f>IF(ISTEXT('CF Raw'!H$11),'CF Raw'!H21/'Output-FR (show)'!$A$124,-'Output-FR (show)'!M21)</f>
        <v>-130.835723223</v>
      </c>
      <c r="N137" s="90">
        <f>IF(ISTEXT('CF Raw'!I$11),'CF Raw'!I21/'Output-FR (show)'!$A$124,-'Output-FR (show)'!N21)</f>
        <v>-265.29046088000001</v>
      </c>
      <c r="O137" s="90">
        <f>IF(ISTEXT('CF Raw'!J$11),'CF Raw'!J21/'Output-FR (show)'!$A$124,-'Output-FR (show)'!O21)</f>
        <v>-518.47532930399996</v>
      </c>
      <c r="P137" s="90">
        <f>IF(ISTEXT('CF Raw'!K$11),'CF Raw'!K21/'Output-FR (show)'!$A$124,-'Output-FR (show)'!P21)</f>
        <v>-451.85853166099997</v>
      </c>
      <c r="Q137" s="142">
        <f ca="1">IF(ISTEXT('CF Raw'!L$11),'CF Raw'!L21/'Output-FR (show)'!$A$124,-'Output-FR (show)'!Q21)</f>
        <v>-612.61692171388484</v>
      </c>
      <c r="R137" s="142">
        <f ca="1">IF(ISTEXT('CF Raw'!M$11),'CF Raw'!M21/'Output-FR (show)'!$A$124,-'Output-FR (show)'!R21)</f>
        <v>-680.83090119855763</v>
      </c>
      <c r="S137" s="142">
        <f ca="1">IF(ISTEXT('CF Raw'!N$11),'CF Raw'!N21/'Output-FR (show)'!$A$124,-'Output-FR (show)'!S21)</f>
        <v>-767.18909307794377</v>
      </c>
      <c r="T137" s="142">
        <f ca="1">IF(ISTEXT('CF Raw'!O$11),'CF Raw'!O21/'Output-FR (show)'!$A$124,-'Output-FR (show)'!T21)</f>
        <v>-895.09609279666813</v>
      </c>
      <c r="U137" s="142">
        <f ca="1">IF(ISTEXT('CF Raw'!P$11),'CF Raw'!P21/'Output-FR (show)'!$A$124,-'Output-FR (show)'!U21)</f>
        <v>-1017.6500482790449</v>
      </c>
      <c r="V137" s="142">
        <f ca="1">IF(ISTEXT('CF Raw'!Q$11),'CF Raw'!Q21/'Output-FR (show)'!$A$124,-'Output-FR (show)'!V21)</f>
        <v>-1125.6841271289491</v>
      </c>
      <c r="W137" s="142">
        <f ca="1">IF(ISTEXT('CF Raw'!R$11),'CF Raw'!R21/'Output-FR (show)'!$A$124,-'Output-FR (show)'!W21)</f>
        <v>-1210.8158232622893</v>
      </c>
      <c r="X137" s="142">
        <f ca="1">IF(ISTEXT('CF Raw'!S$11),'CF Raw'!S21/'Output-FR (show)'!$A$124,-'Output-FR (show)'!X21)</f>
        <v>-1303.9966468625701</v>
      </c>
      <c r="Y137" s="142">
        <f ca="1">IF(ISTEXT('CF Raw'!T$11),'CF Raw'!T21/'Output-FR (show)'!$A$124,-'Output-FR (show)'!Y21)</f>
        <v>-1408.9586272720051</v>
      </c>
      <c r="Z137" s="142">
        <f ca="1">IF(ISTEXT('CF Raw'!U$11),'CF Raw'!U21/'Output-FR (show)'!$A$124,-'Output-FR (show)'!Z21)</f>
        <v>-1490.5861930715591</v>
      </c>
      <c r="AA137" s="596"/>
      <c r="AB137" s="597"/>
      <c r="AC137" s="597"/>
      <c r="AD137" s="597"/>
      <c r="AE137" s="597"/>
      <c r="AF137" s="597"/>
      <c r="AG137" s="597"/>
      <c r="AH137" s="597"/>
      <c r="AI137" s="597"/>
      <c r="AJ137" s="597"/>
      <c r="AK137" s="597"/>
      <c r="AL137" s="597"/>
      <c r="AM137" s="597"/>
      <c r="AN137" s="597"/>
      <c r="AO137" s="597"/>
      <c r="AP137" s="597"/>
      <c r="AQ137" s="597"/>
      <c r="AR137" s="597"/>
      <c r="AS137" s="597"/>
      <c r="AT137" s="597"/>
      <c r="AU137" s="597"/>
      <c r="AV137" s="597"/>
      <c r="AW137" s="597"/>
      <c r="AX137" s="597"/>
      <c r="AY137" s="597"/>
      <c r="AZ137" s="597"/>
      <c r="BA137" s="597"/>
    </row>
    <row r="138" spans="1:55" s="673" customFormat="1">
      <c r="A138" s="667"/>
      <c r="B138" s="1471" t="s">
        <v>955</v>
      </c>
      <c r="C138" s="668"/>
      <c r="D138" s="669"/>
      <c r="E138" s="670"/>
      <c r="F138" s="670"/>
      <c r="G138" s="670"/>
      <c r="H138" s="670"/>
      <c r="I138" s="670"/>
      <c r="J138" s="670"/>
      <c r="K138" s="1810">
        <f>-Input!K60</f>
        <v>0</v>
      </c>
      <c r="L138" s="1810">
        <f>-Input!L60</f>
        <v>0</v>
      </c>
      <c r="M138" s="1810">
        <f>-Input!M60</f>
        <v>0</v>
      </c>
      <c r="N138" s="1810">
        <f>-Input!N60</f>
        <v>0</v>
      </c>
      <c r="O138" s="1810">
        <f>-Input!O60</f>
        <v>0</v>
      </c>
      <c r="P138" s="1810">
        <f>-Input!P60</f>
        <v>0</v>
      </c>
      <c r="Q138" s="671">
        <f ca="1">-Input!Q60</f>
        <v>-2.5371452690944429E-2</v>
      </c>
      <c r="R138" s="671">
        <f ca="1">-Input!R60</f>
        <v>-8.7591255150297129E-2</v>
      </c>
      <c r="S138" s="671">
        <f ca="1">-Input!S60</f>
        <v>-9.2069872583320264E-2</v>
      </c>
      <c r="T138" s="671">
        <f ca="1">-Input!T60</f>
        <v>-6.6691363983486573E-2</v>
      </c>
      <c r="U138" s="671">
        <f ca="1">-Input!U60</f>
        <v>-0.13624507823653478</v>
      </c>
      <c r="V138" s="671">
        <f ca="1">-Input!V60</f>
        <v>-0.21662463254172398</v>
      </c>
      <c r="W138" s="671">
        <f ca="1">-Input!W60</f>
        <v>-0.26330702056865657</v>
      </c>
      <c r="X138" s="671">
        <f ca="1">-Input!X60</f>
        <v>-0.27322785146043432</v>
      </c>
      <c r="Y138" s="671">
        <f ca="1">-Input!Y60</f>
        <v>-0.1840830546276066</v>
      </c>
      <c r="Z138" s="671">
        <f ca="1">-Input!Z60</f>
        <v>-0.12633188719804878</v>
      </c>
      <c r="AA138" s="671"/>
      <c r="AB138" s="672"/>
      <c r="AC138" s="672"/>
      <c r="AD138" s="672"/>
      <c r="AE138" s="672"/>
      <c r="AF138" s="672"/>
      <c r="AG138" s="672"/>
      <c r="AH138" s="672"/>
      <c r="AI138" s="672"/>
      <c r="AJ138" s="672"/>
      <c r="AK138" s="672"/>
      <c r="AL138" s="672"/>
      <c r="AM138" s="672"/>
      <c r="AN138" s="672"/>
      <c r="AO138" s="672"/>
      <c r="AP138" s="672"/>
      <c r="AQ138" s="672"/>
      <c r="AR138" s="672"/>
      <c r="AS138" s="672"/>
      <c r="AT138" s="672"/>
      <c r="AU138" s="672"/>
      <c r="AV138" s="672"/>
      <c r="AW138" s="672"/>
      <c r="AX138" s="672"/>
      <c r="AY138" s="672"/>
      <c r="AZ138" s="672"/>
      <c r="BA138" s="672"/>
    </row>
    <row r="139" spans="1:55">
      <c r="A139" s="539"/>
      <c r="B139" s="664" t="s">
        <v>663</v>
      </c>
      <c r="C139" s="664"/>
      <c r="D139" s="41"/>
      <c r="E139" s="89"/>
      <c r="F139" s="89"/>
      <c r="G139" s="89"/>
      <c r="H139" s="89"/>
      <c r="I139" s="90"/>
      <c r="J139" s="90"/>
      <c r="K139" s="90">
        <f>IF(ISTEXT('CF Raw'!F$11),'CF Raw'!F22/'Output-FR (show)'!$A$124,'Output-FR (show)'!K23)</f>
        <v>87.172530234000007</v>
      </c>
      <c r="L139" s="90">
        <f>IF(ISTEXT('CF Raw'!G$11),'CF Raw'!G22/'Output-FR (show)'!$A$124,'Output-FR (show)'!L23)</f>
        <v>43.301059166000002</v>
      </c>
      <c r="M139" s="90">
        <f>IF(ISTEXT('CF Raw'!H$11),'CF Raw'!H22/'Output-FR (show)'!$A$124,'Output-FR (show)'!M23)</f>
        <v>18.580201013</v>
      </c>
      <c r="N139" s="90">
        <f>IF(ISTEXT('CF Raw'!I$11),'CF Raw'!I22/'Output-FR (show)'!$A$124,'Output-FR (show)'!N23)</f>
        <v>10.274784277</v>
      </c>
      <c r="O139" s="90">
        <f>IF(ISTEXT('CF Raw'!J$11),'CF Raw'!J22/'Output-FR (show)'!$A$124,'Output-FR (show)'!O23)</f>
        <v>10.155714106</v>
      </c>
      <c r="P139" s="90">
        <f>IF(ISTEXT('CF Raw'!K$11),'CF Raw'!K22/'Output-FR (show)'!$A$124,'Output-FR (show)'!P23)</f>
        <v>44.380805248999998</v>
      </c>
      <c r="Q139" s="142">
        <f ca="1">IF(ISTEXT('CF Raw'!L$11),'CF Raw'!L22/'Output-FR (show)'!$A$124,'Output-FR (show)'!Q23)</f>
        <v>74.699342046726755</v>
      </c>
      <c r="R139" s="142">
        <f ca="1">IF(ISTEXT('CF Raw'!M$11),'CF Raw'!M22/'Output-FR (show)'!$A$124,'Output-FR (show)'!R23)</f>
        <v>95.075078049127569</v>
      </c>
      <c r="S139" s="142">
        <f ca="1">IF(ISTEXT('CF Raw'!N$11),'CF Raw'!N22/'Output-FR (show)'!$A$124,'Output-FR (show)'!S23)</f>
        <v>101.60733791214767</v>
      </c>
      <c r="T139" s="142">
        <f ca="1">IF(ISTEXT('CF Raw'!O$11),'CF Raw'!O22/'Output-FR (show)'!$A$124,'Output-FR (show)'!T23)</f>
        <v>121.233125168139</v>
      </c>
      <c r="U139" s="142">
        <f ca="1">IF(ISTEXT('CF Raw'!P$11),'CF Raw'!P22/'Output-FR (show)'!$A$124,'Output-FR (show)'!U23)</f>
        <v>134.22264369569803</v>
      </c>
      <c r="V139" s="142">
        <f ca="1">IF(ISTEXT('CF Raw'!Q$11),'CF Raw'!Q22/'Output-FR (show)'!$A$124,'Output-FR (show)'!V23)</f>
        <v>125.78160668586584</v>
      </c>
      <c r="W139" s="142">
        <f ca="1">IF(ISTEXT('CF Raw'!R$11),'CF Raw'!R22/'Output-FR (show)'!$A$124,'Output-FR (show)'!W23)</f>
        <v>115.73305955399846</v>
      </c>
      <c r="X139" s="142">
        <f ca="1">IF(ISTEXT('CF Raw'!S$11),'CF Raw'!S22/'Output-FR (show)'!$A$124,'Output-FR (show)'!X23)</f>
        <v>112.09363874832491</v>
      </c>
      <c r="Y139" s="142">
        <f ca="1">IF(ISTEXT('CF Raw'!T$11),'CF Raw'!T22/'Output-FR (show)'!$A$124,'Output-FR (show)'!Y23)</f>
        <v>114.21263000439691</v>
      </c>
      <c r="Z139" s="142">
        <f ca="1">IF(ISTEXT('CF Raw'!U$11),'CF Raw'!U22/'Output-FR (show)'!$A$124,'Output-FR (show)'!Z23)</f>
        <v>119.26979793457255</v>
      </c>
      <c r="AA139" s="142"/>
      <c r="AB139" s="143"/>
      <c r="AC139" s="143"/>
      <c r="AD139" s="143"/>
      <c r="AE139" s="143"/>
      <c r="AF139" s="143"/>
      <c r="AG139" s="143"/>
      <c r="AH139" s="143"/>
      <c r="AI139" s="143"/>
      <c r="AJ139" s="143"/>
      <c r="AK139" s="143"/>
      <c r="AL139" s="143"/>
      <c r="AM139" s="143"/>
      <c r="AN139" s="143"/>
      <c r="AO139" s="143"/>
      <c r="AP139" s="143"/>
      <c r="AQ139" s="143"/>
      <c r="AR139" s="143"/>
      <c r="AS139" s="143"/>
      <c r="AT139" s="143"/>
      <c r="AU139" s="143"/>
      <c r="AV139" s="143"/>
      <c r="AW139" s="143"/>
      <c r="AX139" s="143"/>
      <c r="AY139" s="143"/>
      <c r="AZ139" s="143"/>
      <c r="BA139" s="143"/>
    </row>
    <row r="140" spans="1:55">
      <c r="A140" s="539"/>
      <c r="B140" s="664" t="s">
        <v>664</v>
      </c>
      <c r="C140" s="664"/>
      <c r="D140" s="41"/>
      <c r="E140" s="89"/>
      <c r="F140" s="89"/>
      <c r="G140" s="89"/>
      <c r="H140" s="89"/>
      <c r="I140" s="90"/>
      <c r="J140" s="90"/>
      <c r="K140" s="90">
        <f>IF(ISTEXT('CF Raw'!F$11),'CF Raw'!F24/'Output-FR (show)'!$A$124,0)</f>
        <v>0</v>
      </c>
      <c r="L140" s="90">
        <f>IF(ISTEXT('CF Raw'!G$11),'CF Raw'!G24/'Output-FR (show)'!$A$124,0)</f>
        <v>79.425415134000005</v>
      </c>
      <c r="M140" s="90">
        <f>IF(ISTEXT('CF Raw'!H$11),'CF Raw'!H24/'Output-FR (show)'!$A$124,0)</f>
        <v>216.72827549199999</v>
      </c>
      <c r="N140" s="90">
        <f>IF(ISTEXT('CF Raw'!I$11),'CF Raw'!I24/'Output-FR (show)'!$A$124,0)</f>
        <v>318.81692938700002</v>
      </c>
      <c r="O140" s="90">
        <f>IF(ISTEXT('CF Raw'!J$11),'CF Raw'!J24/'Output-FR (show)'!$A$124,0)</f>
        <v>108.885894155</v>
      </c>
      <c r="P140" s="90">
        <f>IF(ISTEXT('CF Raw'!K$11),'CF Raw'!K24/'Output-FR (show)'!$A$124,0)</f>
        <v>40.507658585000001</v>
      </c>
      <c r="Q140" s="142">
        <f>IF(ISTEXT('CF Raw'!L$11),'CF Raw'!L24/'Output-FR (show)'!$A$124,0)</f>
        <v>0</v>
      </c>
      <c r="R140" s="142">
        <f>IF(ISTEXT('CF Raw'!M$11),'CF Raw'!M24/'Output-FR (show)'!$A$124,0)</f>
        <v>0</v>
      </c>
      <c r="S140" s="142">
        <f>IF(ISTEXT('CF Raw'!N$11),'CF Raw'!N24/'Output-FR (show)'!$A$124,0)</f>
        <v>0</v>
      </c>
      <c r="T140" s="142">
        <f>IF(ISTEXT('CF Raw'!O$11),'CF Raw'!O24/'Output-FR (show)'!$A$124,0)</f>
        <v>0</v>
      </c>
      <c r="U140" s="142">
        <f>IF(ISTEXT('CF Raw'!P$11),'CF Raw'!P24/'Output-FR (show)'!$A$124,0)</f>
        <v>0</v>
      </c>
      <c r="V140" s="142">
        <f>IF(ISTEXT('CF Raw'!Q$11),'CF Raw'!Q24/'Output-FR (show)'!$A$124,0)</f>
        <v>0</v>
      </c>
      <c r="W140" s="142">
        <f>IF(ISTEXT('CF Raw'!R$11),'CF Raw'!R24/'Output-FR (show)'!$A$124,0)</f>
        <v>0</v>
      </c>
      <c r="X140" s="142">
        <f>IF(ISTEXT('CF Raw'!S$11),'CF Raw'!S24/'Output-FR (show)'!$A$124,0)</f>
        <v>0</v>
      </c>
      <c r="Y140" s="142">
        <f>IF(ISTEXT('CF Raw'!T$11),'CF Raw'!T24/'Output-FR (show)'!$A$124,0)</f>
        <v>0</v>
      </c>
      <c r="Z140" s="142">
        <f>IF(ISTEXT('CF Raw'!U$11),'CF Raw'!U24/'Output-FR (show)'!$A$124,0)</f>
        <v>0</v>
      </c>
      <c r="AA140" s="142"/>
      <c r="AB140" s="143"/>
      <c r="AC140" s="143"/>
      <c r="AD140" s="143"/>
      <c r="AE140" s="143"/>
      <c r="AF140" s="143"/>
      <c r="AG140" s="143"/>
      <c r="AH140" s="143"/>
      <c r="AI140" s="143"/>
      <c r="AJ140" s="143"/>
      <c r="AK140" s="143"/>
      <c r="AL140" s="143"/>
      <c r="AM140" s="143"/>
      <c r="AN140" s="143"/>
      <c r="AO140" s="143"/>
      <c r="AP140" s="143"/>
      <c r="AQ140" s="143"/>
      <c r="AR140" s="143"/>
      <c r="AS140" s="143"/>
      <c r="AT140" s="143"/>
      <c r="AU140" s="143"/>
      <c r="AV140" s="143"/>
      <c r="AW140" s="143"/>
      <c r="AX140" s="143"/>
      <c r="AY140" s="143"/>
      <c r="AZ140" s="143"/>
      <c r="BA140" s="143"/>
    </row>
    <row r="141" spans="1:55">
      <c r="A141" s="674"/>
      <c r="B141" s="665" t="s">
        <v>665</v>
      </c>
      <c r="C141" s="665" t="s">
        <v>666</v>
      </c>
      <c r="D141" s="20"/>
      <c r="E141" s="123"/>
      <c r="F141" s="123"/>
      <c r="G141" s="123"/>
      <c r="H141" s="123"/>
      <c r="I141" s="339"/>
      <c r="J141" s="339"/>
      <c r="K141" s="339">
        <f t="shared" ref="K141:Z141" si="60">+K128+K132+K133+K134+K135+K139+K140</f>
        <v>1757.8843178440002</v>
      </c>
      <c r="L141" s="339">
        <f t="shared" si="60"/>
        <v>2035.4684306190002</v>
      </c>
      <c r="M141" s="339">
        <f t="shared" si="60"/>
        <v>3476.5975735610004</v>
      </c>
      <c r="N141" s="339">
        <f t="shared" si="60"/>
        <v>6890.0908320010003</v>
      </c>
      <c r="O141" s="339">
        <f t="shared" si="60"/>
        <v>1682.5711472960011</v>
      </c>
      <c r="P141" s="339">
        <f t="shared" si="60"/>
        <v>1435.6023104050009</v>
      </c>
      <c r="Q141" s="340">
        <f t="shared" ca="1" si="60"/>
        <v>2933.2422465348513</v>
      </c>
      <c r="R141" s="340">
        <f t="shared" ca="1" si="60"/>
        <v>3327.5506773777174</v>
      </c>
      <c r="S141" s="340">
        <f t="shared" ca="1" si="60"/>
        <v>3194.8626425884095</v>
      </c>
      <c r="T141" s="340">
        <f t="shared" ca="1" si="60"/>
        <v>5043.6060622250388</v>
      </c>
      <c r="U141" s="340">
        <f t="shared" ca="1" si="60"/>
        <v>4131.3117615527226</v>
      </c>
      <c r="V141" s="340">
        <f t="shared" ca="1" si="60"/>
        <v>3425.9409567075481</v>
      </c>
      <c r="W141" s="340">
        <f t="shared" ca="1" si="60"/>
        <v>3296.8326411809371</v>
      </c>
      <c r="X141" s="340">
        <f t="shared" ca="1" si="60"/>
        <v>3691.8888216285945</v>
      </c>
      <c r="Y141" s="340">
        <f t="shared" ca="1" si="60"/>
        <v>4300.8481413371819</v>
      </c>
      <c r="Z141" s="340">
        <f t="shared" ca="1" si="60"/>
        <v>4209.2270986677713</v>
      </c>
      <c r="AA141" s="340"/>
      <c r="AB141" s="341"/>
      <c r="AC141" s="341"/>
      <c r="AD141" s="341"/>
      <c r="AE141" s="341"/>
      <c r="AF141" s="341"/>
      <c r="AG141" s="341"/>
      <c r="AH141" s="341"/>
      <c r="AI141" s="341"/>
      <c r="AJ141" s="341"/>
      <c r="AK141" s="341"/>
      <c r="AL141" s="341"/>
      <c r="AM141" s="341"/>
      <c r="AN141" s="341"/>
      <c r="AO141" s="341"/>
      <c r="AP141" s="341"/>
      <c r="AQ141" s="341"/>
      <c r="AR141" s="341"/>
      <c r="AS141" s="341"/>
      <c r="AT141" s="341"/>
      <c r="AU141" s="341"/>
      <c r="AV141" s="341"/>
      <c r="AW141" s="341"/>
      <c r="AX141" s="341"/>
      <c r="AY141" s="341"/>
      <c r="AZ141" s="341"/>
      <c r="BA141" s="341"/>
    </row>
    <row r="142" spans="1:55">
      <c r="A142" s="539"/>
      <c r="B142" s="1479"/>
      <c r="C142" s="1479"/>
      <c r="D142" s="484"/>
      <c r="E142" s="659"/>
      <c r="F142" s="659"/>
      <c r="G142" s="659"/>
      <c r="H142" s="659"/>
      <c r="I142" s="659"/>
      <c r="J142" s="659"/>
      <c r="K142" s="659"/>
      <c r="L142" s="659"/>
      <c r="M142" s="659"/>
      <c r="N142" s="659"/>
      <c r="O142" s="1480"/>
      <c r="P142" s="660"/>
      <c r="Q142" s="1481"/>
      <c r="R142" s="1481"/>
      <c r="S142" s="1481"/>
      <c r="T142" s="1481"/>
      <c r="U142" s="1481"/>
      <c r="V142" s="1481"/>
      <c r="W142" s="1481"/>
      <c r="X142" s="1481"/>
      <c r="Y142" s="1481"/>
      <c r="Z142" s="1481"/>
      <c r="AA142" s="143"/>
      <c r="AB142" s="143"/>
      <c r="AC142" s="143"/>
      <c r="AD142" s="143"/>
      <c r="AE142" s="143"/>
      <c r="AF142" s="143"/>
      <c r="AG142" s="143"/>
      <c r="AH142" s="143"/>
      <c r="AI142" s="143"/>
      <c r="AJ142" s="143"/>
      <c r="AK142" s="143"/>
      <c r="AL142" s="143"/>
      <c r="AM142" s="143"/>
      <c r="AN142" s="143"/>
      <c r="AO142" s="143"/>
      <c r="AP142" s="143"/>
      <c r="AQ142" s="143"/>
      <c r="AR142" s="143"/>
      <c r="AS142" s="89"/>
      <c r="AT142" s="89"/>
      <c r="AU142" s="89"/>
      <c r="AV142" s="89"/>
      <c r="AW142" s="89"/>
      <c r="AX142" s="89"/>
      <c r="AY142" s="89"/>
      <c r="AZ142" s="89"/>
      <c r="BA142" s="89"/>
    </row>
    <row r="143" spans="1:55">
      <c r="A143" s="539"/>
      <c r="B143" s="664" t="s">
        <v>667</v>
      </c>
      <c r="C143" s="664" t="s">
        <v>668</v>
      </c>
      <c r="D143" s="41"/>
      <c r="E143" s="89"/>
      <c r="F143" s="89"/>
      <c r="G143" s="89"/>
      <c r="H143" s="89"/>
      <c r="I143" s="90"/>
      <c r="J143" s="90"/>
      <c r="K143" s="90">
        <f>IF(ISTEXT('CF Raw'!F$11),'CF Raw'!F26/'Output-FR (show)'!$A$124,('Output-FR (show)'!J63-'Output-FR (show)'!K63)+('Output-FR (show)'!J69-'Output-FR (show)'!K69)+('Output-FR (show)'!J65-'Output-FR (show)'!K65)+('Output-FR (show)'!J76-'Output-FR (show)'!K76))</f>
        <v>55.144219745000001</v>
      </c>
      <c r="L143" s="90">
        <f>IF(ISTEXT('CF Raw'!G$11),'CF Raw'!G26/'Output-FR (show)'!$A$124,('Output-FR (show)'!K63-'Output-FR (show)'!L63)+('Output-FR (show)'!K69-'Output-FR (show)'!L69)+('Output-FR (show)'!K65-'Output-FR (show)'!L65)+('Output-FR (show)'!K76-'Output-FR (show)'!L76))</f>
        <v>135.339605619</v>
      </c>
      <c r="M143" s="90">
        <f>IF(ISTEXT('CF Raw'!H$11),'CF Raw'!H26/'Output-FR (show)'!$A$124,('Output-FR (show)'!L63-'Output-FR (show)'!M63)+('Output-FR (show)'!L69-'Output-FR (show)'!M69)+('Output-FR (show)'!L65-'Output-FR (show)'!M65)+('Output-FR (show)'!L76-'Output-FR (show)'!M76))</f>
        <v>30.360921225999999</v>
      </c>
      <c r="N143" s="90">
        <f>IF(ISTEXT('CF Raw'!I$11),'CF Raw'!I26/'Output-FR (show)'!$A$124,('Output-FR (show)'!M63-'Output-FR (show)'!N63)+('Output-FR (show)'!M69-'Output-FR (show)'!N69)+('Output-FR (show)'!M65-'Output-FR (show)'!N65)+('Output-FR (show)'!M76-'Output-FR (show)'!N76))</f>
        <v>-50.564994075999998</v>
      </c>
      <c r="O143" s="90">
        <f>IF(ISTEXT('CF Raw'!J$11),'CF Raw'!J26/'Output-FR (show)'!$A$124,('Output-FR (show)'!N63-'Output-FR (show)'!O63)+('Output-FR (show)'!N69-'Output-FR (show)'!O69)+('Output-FR (show)'!N65-'Output-FR (show)'!O65)+('Output-FR (show)'!N76-'Output-FR (show)'!O76))</f>
        <v>-140.25581156300001</v>
      </c>
      <c r="P143" s="90">
        <f>IF(ISTEXT('CF Raw'!K$11),'CF Raw'!K26/'Output-FR (show)'!$A$124,('Output-FR (show)'!O63-'Output-FR (show)'!P63)+('Output-FR (show)'!O69-'Output-FR (show)'!P69)+('Output-FR (show)'!O65-'Output-FR (show)'!P65)+('Output-FR (show)'!O76-'Output-FR (show)'!P76))</f>
        <v>-40.518051653000001</v>
      </c>
      <c r="Q143" s="142">
        <f>IF(ISTEXT('CF Raw'!L$11),'CF Raw'!L26/'Output-FR (show)'!$A$124,('Output-FR (show)'!P63-'Output-FR (show)'!Q63)+('Output-FR (show)'!P69-'Output-FR (show)'!Q69)+('Output-FR (show)'!P65-'Output-FR (show)'!Q65)+('Output-FR (show)'!P76-'Output-FR (show)'!Q76))</f>
        <v>-379.25972266107351</v>
      </c>
      <c r="R143" s="142">
        <f>IF(ISTEXT('CF Raw'!M$11),'CF Raw'!M26/'Output-FR (show)'!$A$124,('Output-FR (show)'!Q63-'Output-FR (show)'!R63)+('Output-FR (show)'!Q69-'Output-FR (show)'!R69)+('Output-FR (show)'!Q65-'Output-FR (show)'!R65)+('Output-FR (show)'!Q76-'Output-FR (show)'!R76))</f>
        <v>-227.98500802757113</v>
      </c>
      <c r="S143" s="142">
        <f>IF(ISTEXT('CF Raw'!N$11),'CF Raw'!N26/'Output-FR (show)'!$A$124,('Output-FR (show)'!R63-'Output-FR (show)'!S63)+('Output-FR (show)'!R69-'Output-FR (show)'!S69)+('Output-FR (show)'!R65-'Output-FR (show)'!S65)+('Output-FR (show)'!R76-'Output-FR (show)'!S76))</f>
        <v>-198.27410562548567</v>
      </c>
      <c r="T143" s="142">
        <f>IF(ISTEXT('CF Raw'!O$11),'CF Raw'!O26/'Output-FR (show)'!$A$124,('Output-FR (show)'!S63-'Output-FR (show)'!T63)+('Output-FR (show)'!S69-'Output-FR (show)'!T69)+('Output-FR (show)'!S65-'Output-FR (show)'!T65)+('Output-FR (show)'!S76-'Output-FR (show)'!T76))</f>
        <v>-620.12070563775126</v>
      </c>
      <c r="U143" s="142">
        <f>IF(ISTEXT('CF Raw'!P$11),'CF Raw'!P26/'Output-FR (show)'!$A$124,('Output-FR (show)'!T63-'Output-FR (show)'!U63)+('Output-FR (show)'!T69-'Output-FR (show)'!U69)+('Output-FR (show)'!T65-'Output-FR (show)'!U65)+('Output-FR (show)'!T76-'Output-FR (show)'!U76))</f>
        <v>-25.875131979138999</v>
      </c>
      <c r="V143" s="142">
        <f>IF(ISTEXT('CF Raw'!Q$11),'CF Raw'!Q26/'Output-FR (show)'!$A$124,('Output-FR (show)'!U63-'Output-FR (show)'!V63)+('Output-FR (show)'!U69-'Output-FR (show)'!V69)+('Output-FR (show)'!U65-'Output-FR (show)'!V65)+('Output-FR (show)'!U76-'Output-FR (show)'!V76))</f>
        <v>-6.6015496287541993</v>
      </c>
      <c r="W143" s="142">
        <f>IF(ISTEXT('CF Raw'!R$11),'CF Raw'!R26/'Output-FR (show)'!$A$124,('Output-FR (show)'!V63-'Output-FR (show)'!W63)+('Output-FR (show)'!V69-'Output-FR (show)'!W69)+('Output-FR (show)'!V65-'Output-FR (show)'!W65)+('Output-FR (show)'!V76-'Output-FR (show)'!W76))</f>
        <v>-152.57681939162271</v>
      </c>
      <c r="X143" s="142">
        <f>IF(ISTEXT('CF Raw'!S$11),'CF Raw'!S26/'Output-FR (show)'!$A$124,('Output-FR (show)'!W63-'Output-FR (show)'!X63)+('Output-FR (show)'!W69-'Output-FR (show)'!X69)+('Output-FR (show)'!W65-'Output-FR (show)'!X65)+('Output-FR (show)'!W76-'Output-FR (show)'!X76))</f>
        <v>-201.13776760822029</v>
      </c>
      <c r="Y143" s="142">
        <f>IF(ISTEXT('CF Raw'!T$11),'CF Raw'!T26/'Output-FR (show)'!$A$124,('Output-FR (show)'!X63-'Output-FR (show)'!Y63)+('Output-FR (show)'!X69-'Output-FR (show)'!Y69)+('Output-FR (show)'!X65-'Output-FR (show)'!Y65)+('Output-FR (show)'!X76-'Output-FR (show)'!Y76))</f>
        <v>-299.20974128733508</v>
      </c>
      <c r="Z143" s="142">
        <f>IF(ISTEXT('CF Raw'!U$11),'CF Raw'!U26/'Output-FR (show)'!$A$124,('Output-FR (show)'!Y63-'Output-FR (show)'!Z63)+('Output-FR (show)'!Y69-'Output-FR (show)'!Z69)+('Output-FR (show)'!Y65-'Output-FR (show)'!Z65)+('Output-FR (show)'!Y76-'Output-FR (show)'!Z76))</f>
        <v>-187.67034510777856</v>
      </c>
      <c r="AA143" s="142"/>
      <c r="AB143" s="143"/>
      <c r="AC143" s="143"/>
      <c r="AD143" s="143"/>
      <c r="AE143" s="143"/>
      <c r="AF143" s="143"/>
      <c r="AG143" s="143"/>
      <c r="AH143" s="143"/>
      <c r="AI143" s="143"/>
      <c r="AJ143" s="143"/>
      <c r="AK143" s="143"/>
      <c r="AL143" s="143"/>
      <c r="AM143" s="143"/>
      <c r="AN143" s="143"/>
      <c r="AO143" s="143"/>
      <c r="AP143" s="143"/>
      <c r="AQ143" s="143"/>
      <c r="AR143" s="143"/>
      <c r="AS143" s="143"/>
      <c r="AT143" s="143"/>
      <c r="AU143" s="143"/>
      <c r="AV143" s="143"/>
      <c r="AW143" s="143"/>
      <c r="AX143" s="143"/>
      <c r="AY143" s="143"/>
      <c r="AZ143" s="143"/>
      <c r="BA143" s="143"/>
    </row>
    <row r="144" spans="1:55">
      <c r="A144" s="539"/>
      <c r="B144" s="664" t="s">
        <v>669</v>
      </c>
      <c r="C144" s="664" t="s">
        <v>670</v>
      </c>
      <c r="D144" s="41"/>
      <c r="E144" s="89"/>
      <c r="F144" s="89"/>
      <c r="G144" s="89"/>
      <c r="H144" s="89"/>
      <c r="I144" s="90"/>
      <c r="J144" s="90"/>
      <c r="K144" s="90">
        <f>IF(ISTEXT('CF Raw'!F$11),'CF Raw'!F27/'Output-FR (show)'!$A$124,'Output-FR (show)'!J64-'Output-FR (show)'!K64)</f>
        <v>-327.196044841</v>
      </c>
      <c r="L144" s="90">
        <f>IF(ISTEXT('CF Raw'!G$11),'CF Raw'!G27/'Output-FR (show)'!$A$124,'Output-FR (show)'!K64-'Output-FR (show)'!L64)</f>
        <v>475.40686354600001</v>
      </c>
      <c r="M144" s="90">
        <f>IF(ISTEXT('CF Raw'!H$11),'CF Raw'!H27/'Output-FR (show)'!$A$124,'Output-FR (show)'!L64-'Output-FR (show)'!M64)</f>
        <v>-1369.6472347389999</v>
      </c>
      <c r="N144" s="90">
        <f>IF(ISTEXT('CF Raw'!I$11),'CF Raw'!I27/'Output-FR (show)'!$A$124,'Output-FR (show)'!M64-'Output-FR (show)'!N64)</f>
        <v>-217.76526951599999</v>
      </c>
      <c r="O144" s="90">
        <f>IF(ISTEXT('CF Raw'!J$11),'CF Raw'!J27/'Output-FR (show)'!$A$124,'Output-FR (show)'!N64-'Output-FR (show)'!O64)</f>
        <v>229.64831252499999</v>
      </c>
      <c r="P144" s="90">
        <f>IF(ISTEXT('CF Raw'!K$11),'CF Raw'!K27/'Output-FR (show)'!$A$124,'Output-FR (show)'!O64-'Output-FR (show)'!P64)</f>
        <v>-616.69132462899995</v>
      </c>
      <c r="Q144" s="142">
        <f>IF(ISTEXT('CF Raw'!L$11),'CF Raw'!L27/'Output-FR (show)'!$A$124,'Output-FR (show)'!P64-'Output-FR (show)'!Q64)</f>
        <v>-982.55645167768034</v>
      </c>
      <c r="R144" s="142">
        <f>IF(ISTEXT('CF Raw'!M$11),'CF Raw'!M27/'Output-FR (show)'!$A$124,'Output-FR (show)'!Q64-'Output-FR (show)'!R64)</f>
        <v>-166.55698718771146</v>
      </c>
      <c r="S144" s="142">
        <f>IF(ISTEXT('CF Raw'!N$11),'CF Raw'!N27/'Output-FR (show)'!$A$124,'Output-FR (show)'!R64-'Output-FR (show)'!S64)</f>
        <v>110.82829431056098</v>
      </c>
      <c r="T144" s="142">
        <f>IF(ISTEXT('CF Raw'!O$11),'CF Raw'!O27/'Output-FR (show)'!$A$124,'Output-FR (show)'!S64-'Output-FR (show)'!T64)</f>
        <v>-930.9306126442948</v>
      </c>
      <c r="U144" s="142">
        <f>IF(ISTEXT('CF Raw'!P$11),'CF Raw'!P27/'Output-FR (show)'!$A$124,'Output-FR (show)'!T64-'Output-FR (show)'!U64)</f>
        <v>297.01375146143891</v>
      </c>
      <c r="V144" s="142">
        <f>IF(ISTEXT('CF Raw'!Q$11),'CF Raw'!Q27/'Output-FR (show)'!$A$124,'Output-FR (show)'!U64-'Output-FR (show)'!V64)</f>
        <v>145.2139608931484</v>
      </c>
      <c r="W144" s="142">
        <f>IF(ISTEXT('CF Raw'!R$11),'CF Raw'!R27/'Output-FR (show)'!$A$124,'Output-FR (show)'!V64-'Output-FR (show)'!W64)</f>
        <v>-238.57586059273308</v>
      </c>
      <c r="X144" s="142">
        <f>IF(ISTEXT('CF Raw'!S$11),'CF Raw'!S27/'Output-FR (show)'!$A$124,'Output-FR (show)'!W64-'Output-FR (show)'!X64)</f>
        <v>-54.215989054090642</v>
      </c>
      <c r="Y144" s="142">
        <f>IF(ISTEXT('CF Raw'!T$11),'CF Raw'!T27/'Output-FR (show)'!$A$124,'Output-FR (show)'!X64-'Output-FR (show)'!Y64)</f>
        <v>-159.42250961829905</v>
      </c>
      <c r="Z144" s="142">
        <f>IF(ISTEXT('CF Raw'!U$11),'CF Raw'!U27/'Output-FR (show)'!$A$124,'Output-FR (show)'!Y64-'Output-FR (show)'!Z64)</f>
        <v>-183.98396432622303</v>
      </c>
      <c r="AA144" s="142"/>
      <c r="AB144" s="143"/>
      <c r="AC144" s="143"/>
      <c r="AD144" s="143"/>
      <c r="AE144" s="143"/>
      <c r="AF144" s="143"/>
      <c r="AG144" s="143"/>
      <c r="AH144" s="143"/>
      <c r="AI144" s="143"/>
      <c r="AJ144" s="143"/>
      <c r="AK144" s="143"/>
      <c r="AL144" s="143"/>
      <c r="AM144" s="143"/>
      <c r="AN144" s="143"/>
      <c r="AO144" s="143"/>
      <c r="AP144" s="143"/>
      <c r="AQ144" s="143"/>
      <c r="AR144" s="143"/>
      <c r="AS144" s="143"/>
      <c r="AT144" s="143"/>
      <c r="AU144" s="143"/>
      <c r="AV144" s="143"/>
      <c r="AW144" s="143"/>
      <c r="AX144" s="143"/>
      <c r="AY144" s="143"/>
      <c r="AZ144" s="143"/>
      <c r="BA144" s="143"/>
    </row>
    <row r="145" spans="1:62">
      <c r="A145" s="539"/>
      <c r="B145" s="664" t="s">
        <v>671</v>
      </c>
      <c r="C145" s="664" t="s">
        <v>672</v>
      </c>
      <c r="D145" s="41"/>
      <c r="E145" s="89"/>
      <c r="F145" s="89"/>
      <c r="G145" s="89"/>
      <c r="H145" s="89"/>
      <c r="I145" s="90"/>
      <c r="J145" s="90"/>
      <c r="K145" s="90">
        <f>IF(ISTEXT('CF Raw'!F$11),'CF Raw'!F28/'Output-FR (show)'!$A$124,('Output-FR (show)'!K85-'Output-FR (show)'!J85)+('Output-FR (show)'!K86-'Output-FR (show)'!J86)+('Output-FR (show)'!K87-'Output-FR (show)'!J87)+('Output-FR (show)'!K91-'Output-FR (show)'!J91)+('Output-FR (show)'!K97-'Output-FR (show)'!J97))</f>
        <v>93.620644615000003</v>
      </c>
      <c r="L145" s="90">
        <f>IF(ISTEXT('CF Raw'!G$11),'CF Raw'!G28/'Output-FR (show)'!$A$124,('Output-FR (show)'!L85-'Output-FR (show)'!K85)+('Output-FR (show)'!L86-'Output-FR (show)'!K86)+('Output-FR (show)'!L87-'Output-FR (show)'!K87)+('Output-FR (show)'!L91-'Output-FR (show)'!K91)+('Output-FR (show)'!L97-'Output-FR (show)'!K97))</f>
        <v>-702.52530344299998</v>
      </c>
      <c r="M145" s="90">
        <f>IF(ISTEXT('CF Raw'!H$11),'CF Raw'!H28/'Output-FR (show)'!$A$124,('Output-FR (show)'!M85-'Output-FR (show)'!L85)+('Output-FR (show)'!M86-'Output-FR (show)'!L86)+('Output-FR (show)'!M87-'Output-FR (show)'!L87)+('Output-FR (show)'!M91-'Output-FR (show)'!L91)+('Output-FR (show)'!M97-'Output-FR (show)'!L97))</f>
        <v>988.21737829899996</v>
      </c>
      <c r="N145" s="90">
        <f>IF(ISTEXT('CF Raw'!I$11),'CF Raw'!I28/'Output-FR (show)'!$A$124,('Output-FR (show)'!N85-'Output-FR (show)'!M85)+('Output-FR (show)'!N86-'Output-FR (show)'!M86)+('Output-FR (show)'!N87-'Output-FR (show)'!M87)+('Output-FR (show)'!N91-'Output-FR (show)'!M91)+('Output-FR (show)'!N97-'Output-FR (show)'!M97))</f>
        <v>-413.86470790999999</v>
      </c>
      <c r="O145" s="90">
        <f>IF(ISTEXT('CF Raw'!J$11),'CF Raw'!J28/'Output-FR (show)'!$A$124,('Output-FR (show)'!O85-'Output-FR (show)'!N85)+('Output-FR (show)'!O86-'Output-FR (show)'!N86)+('Output-FR (show)'!O87-'Output-FR (show)'!N87)+('Output-FR (show)'!O91-'Output-FR (show)'!N91)+('Output-FR (show)'!O97-'Output-FR (show)'!N97))</f>
        <v>875.34577306100005</v>
      </c>
      <c r="P145" s="90">
        <f>IF(ISTEXT('CF Raw'!K$11),'CF Raw'!K28/'Output-FR (show)'!$A$124,('Output-FR (show)'!P85-'Output-FR (show)'!O85)+('Output-FR (show)'!P86-'Output-FR (show)'!O86)+('Output-FR (show)'!P87-'Output-FR (show)'!O87)+('Output-FR (show)'!P91-'Output-FR (show)'!O91)+('Output-FR (show)'!P97-'Output-FR (show)'!O97))</f>
        <v>-233.409692525</v>
      </c>
      <c r="Q145" s="142">
        <f>IF(ISTEXT('CF Raw'!L$11),'CF Raw'!L28/'Output-FR (show)'!$A$124,('Output-FR (show)'!Q85-'Output-FR (show)'!P85)+('Output-FR (show)'!Q86-'Output-FR (show)'!P86)+('Output-FR (show)'!Q87-'Output-FR (show)'!P87)+('Output-FR (show)'!Q91-'Output-FR (show)'!P91)+('Output-FR (show)'!Q97-'Output-FR (show)'!P97))</f>
        <v>482.36860966225692</v>
      </c>
      <c r="R145" s="142">
        <f>IF(ISTEXT('CF Raw'!M$11),'CF Raw'!M28/'Output-FR (show)'!$A$124,('Output-FR (show)'!R85-'Output-FR (show)'!Q85)+('Output-FR (show)'!R86-'Output-FR (show)'!Q86)+('Output-FR (show)'!R87-'Output-FR (show)'!Q87)+('Output-FR (show)'!R91-'Output-FR (show)'!Q91)+('Output-FR (show)'!R97-'Output-FR (show)'!Q97))</f>
        <v>64.408924761375062</v>
      </c>
      <c r="S145" s="142">
        <f>IF(ISTEXT('CF Raw'!N$11),'CF Raw'!N28/'Output-FR (show)'!$A$124,('Output-FR (show)'!S85-'Output-FR (show)'!R85)+('Output-FR (show)'!S86-'Output-FR (show)'!R86)+('Output-FR (show)'!S87-'Output-FR (show)'!R87)+('Output-FR (show)'!S91-'Output-FR (show)'!R91)+('Output-FR (show)'!S97-'Output-FR (show)'!R97))</f>
        <v>296.05492278757657</v>
      </c>
      <c r="T145" s="142">
        <f>IF(ISTEXT('CF Raw'!O$11),'CF Raw'!O28/'Output-FR (show)'!$A$124,('Output-FR (show)'!T85-'Output-FR (show)'!S85)+('Output-FR (show)'!T86-'Output-FR (show)'!S86)+('Output-FR (show)'!T87-'Output-FR (show)'!S87)+('Output-FR (show)'!T91-'Output-FR (show)'!S91)+('Output-FR (show)'!T97-'Output-FR (show)'!S97))</f>
        <v>789.37036399789122</v>
      </c>
      <c r="U145" s="142">
        <f>IF(ISTEXT('CF Raw'!P$11),'CF Raw'!P28/'Output-FR (show)'!$A$124,('Output-FR (show)'!U85-'Output-FR (show)'!T85)+('Output-FR (show)'!U86-'Output-FR (show)'!T86)+('Output-FR (show)'!U87-'Output-FR (show)'!T87)+('Output-FR (show)'!U91-'Output-FR (show)'!T91)+('Output-FR (show)'!U97-'Output-FR (show)'!T97))</f>
        <v>48.596936166157008</v>
      </c>
      <c r="V145" s="142">
        <f>IF(ISTEXT('CF Raw'!Q$11),'CF Raw'!Q28/'Output-FR (show)'!$A$124,('Output-FR (show)'!V85-'Output-FR (show)'!U85)+('Output-FR (show)'!V86-'Output-FR (show)'!U86)+('Output-FR (show)'!V87-'Output-FR (show)'!U87)+('Output-FR (show)'!V91-'Output-FR (show)'!U91)+('Output-FR (show)'!V97-'Output-FR (show)'!U97))</f>
        <v>-711.48948001288272</v>
      </c>
      <c r="W145" s="142">
        <f>IF(ISTEXT('CF Raw'!R$11),'CF Raw'!R28/'Output-FR (show)'!$A$124,('Output-FR (show)'!W85-'Output-FR (show)'!V85)+('Output-FR (show)'!W86-'Output-FR (show)'!V86)+('Output-FR (show)'!W87-'Output-FR (show)'!V87)+('Output-FR (show)'!W91-'Output-FR (show)'!V91)+('Output-FR (show)'!W97-'Output-FR (show)'!V97))</f>
        <v>-38.899512969616239</v>
      </c>
      <c r="X145" s="142">
        <f>IF(ISTEXT('CF Raw'!S$11),'CF Raw'!S28/'Output-FR (show)'!$A$124,('Output-FR (show)'!X85-'Output-FR (show)'!W85)+('Output-FR (show)'!X86-'Output-FR (show)'!W86)+('Output-FR (show)'!X87-'Output-FR (show)'!W87)+('Output-FR (show)'!X91-'Output-FR (show)'!W91)+('Output-FR (show)'!X97-'Output-FR (show)'!W97))</f>
        <v>59.352169282884176</v>
      </c>
      <c r="Y145" s="142">
        <f>IF(ISTEXT('CF Raw'!T$11),'CF Raw'!T28/'Output-FR (show)'!$A$124,('Output-FR (show)'!Y85-'Output-FR (show)'!X85)+('Output-FR (show)'!Y86-'Output-FR (show)'!X86)+('Output-FR (show)'!Y87-'Output-FR (show)'!X87)+('Output-FR (show)'!Y91-'Output-FR (show)'!X91)+('Output-FR (show)'!Y97-'Output-FR (show)'!X97))</f>
        <v>234.94094778740873</v>
      </c>
      <c r="Z145" s="142">
        <f>IF(ISTEXT('CF Raw'!U$11),'CF Raw'!U28/'Output-FR (show)'!$A$124,('Output-FR (show)'!Z85-'Output-FR (show)'!Y85)+('Output-FR (show)'!Z86-'Output-FR (show)'!Y86)+('Output-FR (show)'!Z87-'Output-FR (show)'!Y87)+('Output-FR (show)'!Z91-'Output-FR (show)'!Y91)+('Output-FR (show)'!Z97-'Output-FR (show)'!Y97))</f>
        <v>0.90822980208957915</v>
      </c>
      <c r="AA145" s="142"/>
      <c r="AB145" s="143"/>
      <c r="AC145" s="143"/>
      <c r="AD145" s="143"/>
      <c r="AE145" s="143"/>
      <c r="AF145" s="143"/>
      <c r="AG145" s="143"/>
      <c r="AH145" s="143"/>
      <c r="AI145" s="143"/>
      <c r="AJ145" s="143"/>
      <c r="AK145" s="143"/>
      <c r="AL145" s="143"/>
      <c r="AM145" s="143"/>
      <c r="AN145" s="143"/>
      <c r="AO145" s="143"/>
      <c r="AP145" s="143"/>
      <c r="AQ145" s="143"/>
      <c r="AR145" s="143"/>
      <c r="AS145" s="143"/>
      <c r="AT145" s="143"/>
      <c r="AU145" s="143"/>
      <c r="AV145" s="143"/>
      <c r="AW145" s="143"/>
      <c r="AX145" s="143"/>
      <c r="AY145" s="143"/>
      <c r="AZ145" s="143"/>
      <c r="BA145" s="143"/>
    </row>
    <row r="146" spans="1:62">
      <c r="A146" s="539"/>
      <c r="B146" s="664" t="s">
        <v>673</v>
      </c>
      <c r="C146" s="1476" t="s">
        <v>674</v>
      </c>
      <c r="D146" s="1477"/>
      <c r="E146" s="1478"/>
      <c r="F146" s="1478"/>
      <c r="G146" s="1478"/>
      <c r="H146" s="1478"/>
      <c r="I146" s="90"/>
      <c r="J146" s="90"/>
      <c r="K146" s="90">
        <f>IF(ISTEXT('CF Raw'!F$11),'CF Raw'!F29/'Output-FR (show)'!$A$124,0)</f>
        <v>8.9429047260000001</v>
      </c>
      <c r="L146" s="90">
        <f>IF(ISTEXT('CF Raw'!G$11),'CF Raw'!G29/'Output-FR (show)'!$A$124,0)</f>
        <v>20.815133774</v>
      </c>
      <c r="M146" s="90">
        <f>IF(ISTEXT('CF Raw'!H$11),'CF Raw'!H29/'Output-FR (show)'!$A$124,0)</f>
        <v>-283.79099489800001</v>
      </c>
      <c r="N146" s="90">
        <f>IF(ISTEXT('CF Raw'!I$11),'CF Raw'!I29/'Output-FR (show)'!$A$124,0)</f>
        <v>-5.6261660320000004</v>
      </c>
      <c r="O146" s="90">
        <f>IF(ISTEXT('CF Raw'!J$11),'CF Raw'!J29/'Output-FR (show)'!$A$124,0)</f>
        <v>-1.7162262699999999</v>
      </c>
      <c r="P146" s="90">
        <f>IF(ISTEXT('CF Raw'!K$11),'CF Raw'!K29/'Output-FR (show)'!$A$124,0)</f>
        <v>-20.966287787999999</v>
      </c>
      <c r="Q146" s="142">
        <f>IF(ISTEXT('CF Raw'!L$11),'CF Raw'!L29/'Output-FR (show)'!$A$124,0)</f>
        <v>0</v>
      </c>
      <c r="R146" s="142">
        <f>IF(ISTEXT('CF Raw'!M$11),'CF Raw'!M29/'Output-FR (show)'!$A$124,0)</f>
        <v>0</v>
      </c>
      <c r="S146" s="142">
        <f>IF(ISTEXT('CF Raw'!N$11),'CF Raw'!N29/'Output-FR (show)'!$A$124,0)</f>
        <v>0</v>
      </c>
      <c r="T146" s="142">
        <f>IF(ISTEXT('CF Raw'!O$11),'CF Raw'!O29/'Output-FR (show)'!$A$124,0)</f>
        <v>0</v>
      </c>
      <c r="U146" s="142">
        <f>IF(ISTEXT('CF Raw'!P$11),'CF Raw'!P29/'Output-FR (show)'!$A$124,0)</f>
        <v>0</v>
      </c>
      <c r="V146" s="142">
        <f>IF(ISTEXT('CF Raw'!Q$11),'CF Raw'!Q29/'Output-FR (show)'!$A$124,0)</f>
        <v>0</v>
      </c>
      <c r="W146" s="142">
        <f>IF(ISTEXT('CF Raw'!R$11),'CF Raw'!R29/'Output-FR (show)'!$A$124,0)</f>
        <v>0</v>
      </c>
      <c r="X146" s="142">
        <f>IF(ISTEXT('CF Raw'!S$11),'CF Raw'!S29/'Output-FR (show)'!$A$124,0)</f>
        <v>0</v>
      </c>
      <c r="Y146" s="142">
        <f>IF(ISTEXT('CF Raw'!T$11),'CF Raw'!T29/'Output-FR (show)'!$A$124,0)</f>
        <v>0</v>
      </c>
      <c r="Z146" s="142">
        <f>IF(ISTEXT('CF Raw'!U$11),'CF Raw'!U29/'Output-FR (show)'!$A$124,0)</f>
        <v>0</v>
      </c>
      <c r="AA146" s="1469"/>
      <c r="AB146" s="143"/>
      <c r="AC146" s="143"/>
      <c r="AD146" s="143"/>
      <c r="AE146" s="143"/>
      <c r="AF146" s="143"/>
      <c r="AG146" s="143"/>
      <c r="AH146" s="143"/>
      <c r="AI146" s="143"/>
      <c r="AJ146" s="143"/>
      <c r="AK146" s="143"/>
      <c r="AL146" s="143"/>
      <c r="AM146" s="143"/>
      <c r="AN146" s="143"/>
      <c r="AO146" s="143"/>
      <c r="AP146" s="143"/>
      <c r="AQ146" s="143"/>
      <c r="AR146" s="143"/>
      <c r="AS146" s="143"/>
      <c r="AT146" s="143"/>
      <c r="AU146" s="143"/>
      <c r="AV146" s="143"/>
      <c r="AW146" s="143"/>
      <c r="AX146" s="143"/>
      <c r="AY146" s="143"/>
      <c r="AZ146" s="143"/>
      <c r="BA146" s="143"/>
    </row>
    <row r="147" spans="1:62">
      <c r="A147" s="539"/>
      <c r="B147" s="664" t="s">
        <v>675</v>
      </c>
      <c r="C147" s="1474" t="s">
        <v>676</v>
      </c>
      <c r="D147" s="1475"/>
      <c r="E147" s="996"/>
      <c r="F147" s="996"/>
      <c r="G147" s="996"/>
      <c r="H147" s="996"/>
      <c r="I147" s="90"/>
      <c r="J147" s="90"/>
      <c r="K147" s="90">
        <f>IF(ISTEXT('CF Raw'!F$11),'CF Raw'!F31/'Output-FR (show)'!$A$124,-K139)</f>
        <v>-100.441507397</v>
      </c>
      <c r="L147" s="90">
        <f>IF(ISTEXT('CF Raw'!G$11),'CF Raw'!G31/'Output-FR (show)'!$A$124,-L139)</f>
        <v>-57.259768946999998</v>
      </c>
      <c r="M147" s="90">
        <f>IF(ISTEXT('CF Raw'!H$11),'CF Raw'!H31/'Output-FR (show)'!$A$124,-M139)</f>
        <v>-22.321007371</v>
      </c>
      <c r="N147" s="90">
        <f>IF(ISTEXT('CF Raw'!I$11),'CF Raw'!I31/'Output-FR (show)'!$A$124,-N139)</f>
        <v>-11.563726807</v>
      </c>
      <c r="O147" s="90">
        <f>IF(ISTEXT('CF Raw'!J$11),'CF Raw'!J31/'Output-FR (show)'!$A$124,-O139)</f>
        <v>-9.7552347840000007</v>
      </c>
      <c r="P147" s="90">
        <f>IF(ISTEXT('CF Raw'!K$11),'CF Raw'!K31/'Output-FR (show)'!$A$124,-P139)</f>
        <v>-40.666671831999999</v>
      </c>
      <c r="Q147" s="142">
        <f ca="1">IF(ISTEXT('CF Raw'!L$11),'CF Raw'!L31/'Output-FR (show)'!$A$124,-Q139)</f>
        <v>-74.699342046726755</v>
      </c>
      <c r="R147" s="142">
        <f ca="1">IF(ISTEXT('CF Raw'!M$11),'CF Raw'!M31/'Output-FR (show)'!$A$124,-R139)</f>
        <v>-95.075078049127569</v>
      </c>
      <c r="S147" s="142">
        <f ca="1">IF(ISTEXT('CF Raw'!N$11),'CF Raw'!N31/'Output-FR (show)'!$A$124,-S139)</f>
        <v>-101.60733791214767</v>
      </c>
      <c r="T147" s="142">
        <f ca="1">IF(ISTEXT('CF Raw'!O$11),'CF Raw'!O31/'Output-FR (show)'!$A$124,-T139)</f>
        <v>-121.233125168139</v>
      </c>
      <c r="U147" s="142">
        <f ca="1">IF(ISTEXT('CF Raw'!P$11),'CF Raw'!P31/'Output-FR (show)'!$A$124,-U139)</f>
        <v>-134.22264369569803</v>
      </c>
      <c r="V147" s="142">
        <f ca="1">IF(ISTEXT('CF Raw'!Q$11),'CF Raw'!Q31/'Output-FR (show)'!$A$124,-V139)</f>
        <v>-125.78160668586584</v>
      </c>
      <c r="W147" s="142">
        <f ca="1">IF(ISTEXT('CF Raw'!R$11),'CF Raw'!R31/'Output-FR (show)'!$A$124,-W139)</f>
        <v>-115.73305955399846</v>
      </c>
      <c r="X147" s="142">
        <f ca="1">IF(ISTEXT('CF Raw'!S$11),'CF Raw'!S31/'Output-FR (show)'!$A$124,-X139)</f>
        <v>-112.09363874832491</v>
      </c>
      <c r="Y147" s="142">
        <f ca="1">IF(ISTEXT('CF Raw'!T$11),'CF Raw'!T31/'Output-FR (show)'!$A$124,-Y139)</f>
        <v>-114.21263000439691</v>
      </c>
      <c r="Z147" s="142">
        <f ca="1">IF(ISTEXT('CF Raw'!U$11),'CF Raw'!U31/'Output-FR (show)'!$A$124,-Z139)</f>
        <v>-119.26979793457255</v>
      </c>
      <c r="AA147" s="142"/>
      <c r="AB147" s="143"/>
      <c r="AC147" s="143"/>
      <c r="AD147" s="143"/>
      <c r="AE147" s="143"/>
      <c r="AF147" s="143"/>
      <c r="AG147" s="143"/>
      <c r="AH147" s="143"/>
      <c r="AI147" s="143"/>
      <c r="AJ147" s="143"/>
      <c r="AK147" s="143"/>
      <c r="AL147" s="143"/>
      <c r="AM147" s="143"/>
      <c r="AN147" s="143"/>
      <c r="AO147" s="143"/>
      <c r="AP147" s="143"/>
      <c r="AQ147" s="143"/>
      <c r="AR147" s="143"/>
      <c r="AS147" s="143"/>
      <c r="AT147" s="143"/>
      <c r="AU147" s="143"/>
      <c r="AV147" s="143"/>
      <c r="AW147" s="143"/>
      <c r="AX147" s="143"/>
      <c r="AY147" s="143"/>
      <c r="AZ147" s="143"/>
      <c r="BA147" s="143"/>
    </row>
    <row r="148" spans="1:62">
      <c r="A148" s="539"/>
      <c r="B148" s="664" t="s">
        <v>677</v>
      </c>
      <c r="C148" s="1474"/>
      <c r="D148" s="1475"/>
      <c r="E148" s="996"/>
      <c r="F148" s="996"/>
      <c r="G148" s="996"/>
      <c r="H148" s="996"/>
      <c r="I148" s="90"/>
      <c r="J148" s="90"/>
      <c r="K148" s="90">
        <f>IF(ISTEXT('CF Raw'!F$11),'CF Raw'!F32/'Output-FR (show)'!$A$124,-'Output-FR (show)'!K31)</f>
        <v>-52.400707339999997</v>
      </c>
      <c r="L148" s="90">
        <f>IF(ISTEXT('CF Raw'!G$11),'CF Raw'!G32/'Output-FR (show)'!$A$124,-'Output-FR (show)'!L31)</f>
        <v>-42.053571587999997</v>
      </c>
      <c r="M148" s="90">
        <f>IF(ISTEXT('CF Raw'!H$11),'CF Raw'!H32/'Output-FR (show)'!$A$124,-'Output-FR (show)'!M31)</f>
        <v>-78.860458511999994</v>
      </c>
      <c r="N148" s="90">
        <f>IF(ISTEXT('CF Raw'!I$11),'CF Raw'!I32/'Output-FR (show)'!$A$124,-'Output-FR (show)'!N31)</f>
        <v>-294.531395503</v>
      </c>
      <c r="O148" s="90">
        <f>IF(ISTEXT('CF Raw'!J$11),'CF Raw'!J32/'Output-FR (show)'!$A$124,-'Output-FR (show)'!O31)</f>
        <v>-153.897688305</v>
      </c>
      <c r="P148" s="90">
        <f>IF(ISTEXT('CF Raw'!K$11),'CF Raw'!K32/'Output-FR (show)'!$A$124,-'Output-FR (show)'!P31)</f>
        <v>-118.199727784</v>
      </c>
      <c r="Q148" s="142">
        <f ca="1">IF(ISTEXT('CF Raw'!L$11),'CF Raw'!L32/'Output-FR (show)'!$A$124,-'Output-FR (show)'!Q31)</f>
        <v>-410.29239504579402</v>
      </c>
      <c r="R148" s="142">
        <f ca="1">IF(ISTEXT('CF Raw'!M$11),'CF Raw'!M32/'Output-FR (show)'!$A$124,-'Output-FR (show)'!R31)</f>
        <v>-464.46102454408219</v>
      </c>
      <c r="S148" s="142">
        <f ca="1">IF(ISTEXT('CF Raw'!N$11),'CF Raw'!N32/'Output-FR (show)'!$A$124,-'Output-FR (show)'!S31)</f>
        <v>-543.71301239966942</v>
      </c>
      <c r="T148" s="142">
        <f ca="1">IF(ISTEXT('CF Raw'!O$11),'CF Raw'!O32/'Output-FR (show)'!$A$124,-'Output-FR (show)'!T31)</f>
        <v>-849.50504649601839</v>
      </c>
      <c r="U148" s="142">
        <f ca="1">IF(ISTEXT('CF Raw'!P$11),'CF Raw'!P32/'Output-FR (show)'!$A$124,-'Output-FR (show)'!U31)</f>
        <v>-726.31549603978658</v>
      </c>
      <c r="V148" s="142">
        <f ca="1">IF(ISTEXT('CF Raw'!Q$11),'CF Raw'!Q32/'Output-FR (show)'!$A$124,-'Output-FR (show)'!V31)</f>
        <v>-634.12631013509588</v>
      </c>
      <c r="W148" s="142">
        <f ca="1">IF(ISTEXT('CF Raw'!R$11),'CF Raw'!R32/'Output-FR (show)'!$A$124,-'Output-FR (show)'!W31)</f>
        <v>-634.71270201647599</v>
      </c>
      <c r="X148" s="142">
        <f ca="1">IF(ISTEXT('CF Raw'!S$11),'CF Raw'!S32/'Output-FR (show)'!$A$124,-'Output-FR (show)'!X31)</f>
        <v>-705.04474531789219</v>
      </c>
      <c r="Y148" s="142">
        <f ca="1">IF(ISTEXT('CF Raw'!T$11),'CF Raw'!T32/'Output-FR (show)'!$A$124,-'Output-FR (show)'!Y31)</f>
        <v>-812.53816749639418</v>
      </c>
      <c r="Z148" s="142">
        <f ca="1">IF(ISTEXT('CF Raw'!U$11),'CF Raw'!U32/'Output-FR (show)'!$A$124,-'Output-FR (show)'!Z31)</f>
        <v>-805.79972205547199</v>
      </c>
      <c r="AA148" s="142"/>
      <c r="AB148" s="143"/>
      <c r="AC148" s="143"/>
      <c r="AD148" s="143"/>
      <c r="AE148" s="143"/>
      <c r="AF148" s="143"/>
      <c r="AG148" s="143"/>
      <c r="AH148" s="143"/>
      <c r="AI148" s="143"/>
      <c r="AJ148" s="143"/>
      <c r="AK148" s="143"/>
      <c r="AL148" s="143"/>
      <c r="AM148" s="143"/>
      <c r="AN148" s="143"/>
      <c r="AO148" s="143"/>
      <c r="AP148" s="143"/>
      <c r="AQ148" s="143"/>
      <c r="AR148" s="143"/>
      <c r="AS148" s="143"/>
      <c r="AT148" s="143"/>
      <c r="AU148" s="143"/>
      <c r="AV148" s="143"/>
      <c r="AW148" s="143"/>
      <c r="AX148" s="143"/>
      <c r="AY148" s="143"/>
      <c r="AZ148" s="143"/>
      <c r="BA148" s="143"/>
    </row>
    <row r="149" spans="1:62" s="676" customFormat="1">
      <c r="A149" s="675"/>
      <c r="B149" s="664" t="s">
        <v>678</v>
      </c>
      <c r="C149" s="1472" t="s">
        <v>679</v>
      </c>
      <c r="D149" s="1473"/>
      <c r="E149" s="995"/>
      <c r="F149" s="995"/>
      <c r="G149" s="90"/>
      <c r="H149" s="90"/>
      <c r="I149" s="90"/>
      <c r="J149" s="90"/>
      <c r="K149" s="90">
        <f>IF(ISTEXT('CF Raw'!F$11),'CF Raw'!F34/'Output-FR (show)'!$A$124,0)</f>
        <v>-64.794211118000007</v>
      </c>
      <c r="L149" s="90">
        <f>IF(ISTEXT('CF Raw'!G$11),'CF Raw'!G34/'Output-FR (show)'!$A$124,0)</f>
        <v>-84.561387710000005</v>
      </c>
      <c r="M149" s="90">
        <f>IF(ISTEXT('CF Raw'!H$11),'CF Raw'!H34/'Output-FR (show)'!$A$124,0)</f>
        <v>-171.728350922</v>
      </c>
      <c r="N149" s="90">
        <f>IF(ISTEXT('CF Raw'!I$11),'CF Raw'!I34/'Output-FR (show)'!$A$124,0)</f>
        <v>-164.564878859</v>
      </c>
      <c r="O149" s="90">
        <f>IF(ISTEXT('CF Raw'!J$11),'CF Raw'!J34/'Output-FR (show)'!$A$124,0)</f>
        <v>-168.98997993500001</v>
      </c>
      <c r="P149" s="90">
        <f>IF(ISTEXT('CF Raw'!K$11),'CF Raw'!K34/'Output-FR (show)'!$A$124,0)</f>
        <v>-287.60123430300001</v>
      </c>
      <c r="Q149" s="142">
        <f>IF(ISTEXT('CF Raw'!L$11),'CF Raw'!L34/'Output-FR (show)'!$A$124,0)</f>
        <v>0</v>
      </c>
      <c r="R149" s="142">
        <f>IF(ISTEXT('CF Raw'!M$11),'CF Raw'!M34/'Output-FR (show)'!$A$124,0)</f>
        <v>0</v>
      </c>
      <c r="S149" s="142">
        <f>IF(ISTEXT('CF Raw'!N$11),'CF Raw'!N34/'Output-FR (show)'!$A$124,0)</f>
        <v>0</v>
      </c>
      <c r="T149" s="142">
        <f>IF(ISTEXT('CF Raw'!O$11),'CF Raw'!O34/'Output-FR (show)'!$A$124,0)</f>
        <v>0</v>
      </c>
      <c r="U149" s="142">
        <f>IF(ISTEXT('CF Raw'!P$11),'CF Raw'!P34/'Output-FR (show)'!$A$124,0)</f>
        <v>0</v>
      </c>
      <c r="V149" s="142">
        <f>IF(ISTEXT('CF Raw'!Q$11),'CF Raw'!Q34/'Output-FR (show)'!$A$124,0)</f>
        <v>0</v>
      </c>
      <c r="W149" s="142">
        <f>IF(ISTEXT('CF Raw'!R$11),'CF Raw'!R34/'Output-FR (show)'!$A$124,0)</f>
        <v>0</v>
      </c>
      <c r="X149" s="142">
        <f>IF(ISTEXT('CF Raw'!S$11),'CF Raw'!S34/'Output-FR (show)'!$A$124,0)</f>
        <v>0</v>
      </c>
      <c r="Y149" s="142">
        <f>IF(ISTEXT('CF Raw'!T$11),'CF Raw'!T34/'Output-FR (show)'!$A$124,0)</f>
        <v>0</v>
      </c>
      <c r="Z149" s="142">
        <f>IF(ISTEXT('CF Raw'!U$11),'CF Raw'!U34/'Output-FR (show)'!$A$124,0)</f>
        <v>0</v>
      </c>
      <c r="AA149" s="1469"/>
      <c r="AB149" s="1483"/>
      <c r="AC149" s="1483"/>
      <c r="AD149" s="1483"/>
      <c r="AE149" s="1483"/>
      <c r="AF149" s="1483"/>
      <c r="AG149" s="1483"/>
      <c r="AH149" s="1483"/>
      <c r="AI149" s="1483"/>
      <c r="AJ149" s="1483"/>
      <c r="AK149" s="1483"/>
      <c r="AL149" s="1483"/>
      <c r="AM149" s="1483"/>
      <c r="AN149" s="1483"/>
      <c r="AO149" s="1483"/>
      <c r="AP149" s="1483"/>
      <c r="AQ149" s="1483"/>
      <c r="AR149" s="1483"/>
      <c r="AS149" s="995"/>
      <c r="AT149" s="995"/>
      <c r="AU149" s="995"/>
      <c r="AV149" s="995"/>
      <c r="AW149" s="995"/>
      <c r="AX149" s="995"/>
      <c r="AY149" s="995"/>
      <c r="AZ149" s="995"/>
      <c r="BA149" s="995"/>
      <c r="BB149" s="675"/>
      <c r="BC149" s="675"/>
      <c r="BD149" s="675"/>
      <c r="BE149" s="675"/>
      <c r="BF149" s="675"/>
      <c r="BG149" s="675"/>
      <c r="BH149" s="675"/>
      <c r="BI149" s="675"/>
      <c r="BJ149" s="675"/>
    </row>
    <row r="150" spans="1:62" s="676" customFormat="1">
      <c r="A150" s="675"/>
      <c r="B150" s="664" t="s">
        <v>680</v>
      </c>
      <c r="C150" s="1472" t="s">
        <v>681</v>
      </c>
      <c r="D150" s="1473"/>
      <c r="E150" s="995"/>
      <c r="F150" s="995"/>
      <c r="G150" s="995"/>
      <c r="H150" s="995"/>
      <c r="I150" s="90"/>
      <c r="J150" s="90"/>
      <c r="K150" s="90">
        <f>IF(ISTEXT('CF Raw'!F$11),'CF Raw'!F33/'Output-FR (show)'!$A$124,0)</f>
        <v>3.2437299999999998E-3</v>
      </c>
      <c r="L150" s="90">
        <f>IF(ISTEXT('CF Raw'!G$11),'CF Raw'!G33/'Output-FR (show)'!$A$124,0)</f>
        <v>0</v>
      </c>
      <c r="M150" s="90">
        <f>IF(ISTEXT('CF Raw'!H$11),'CF Raw'!H33/'Output-FR (show)'!$A$124,0)</f>
        <v>0</v>
      </c>
      <c r="N150" s="90">
        <f>IF(ISTEXT('CF Raw'!I$11),'CF Raw'!I33/'Output-FR (show)'!$A$124,0)</f>
        <v>0</v>
      </c>
      <c r="O150" s="90">
        <f>IF(ISTEXT('CF Raw'!J$11),'CF Raw'!J33/'Output-FR (show)'!$A$124,0)</f>
        <v>0</v>
      </c>
      <c r="P150" s="90">
        <f>IF(ISTEXT('CF Raw'!K$11),'CF Raw'!K33/'Output-FR (show)'!$A$124,0)</f>
        <v>0</v>
      </c>
      <c r="Q150" s="142">
        <f>IF(ISTEXT('CF Raw'!L$11),'CF Raw'!L33/'Output-FR (show)'!$A$124,0)</f>
        <v>0</v>
      </c>
      <c r="R150" s="142">
        <f>IF(ISTEXT('CF Raw'!M$11),'CF Raw'!M33/'Output-FR (show)'!$A$124,0)</f>
        <v>0</v>
      </c>
      <c r="S150" s="142">
        <f>IF(ISTEXT('CF Raw'!N$11),'CF Raw'!N33/'Output-FR (show)'!$A$124,0)</f>
        <v>0</v>
      </c>
      <c r="T150" s="142">
        <f>IF(ISTEXT('CF Raw'!O$11),'CF Raw'!O33/'Output-FR (show)'!$A$124,0)</f>
        <v>0</v>
      </c>
      <c r="U150" s="142">
        <f>IF(ISTEXT('CF Raw'!P$11),'CF Raw'!P33/'Output-FR (show)'!$A$124,0)</f>
        <v>0</v>
      </c>
      <c r="V150" s="142">
        <f>IF(ISTEXT('CF Raw'!Q$11),'CF Raw'!Q33/'Output-FR (show)'!$A$124,0)</f>
        <v>0</v>
      </c>
      <c r="W150" s="142">
        <f>IF(ISTEXT('CF Raw'!R$11),'CF Raw'!R33/'Output-FR (show)'!$A$124,0)</f>
        <v>0</v>
      </c>
      <c r="X150" s="142">
        <f>IF(ISTEXT('CF Raw'!S$11),'CF Raw'!S33/'Output-FR (show)'!$A$124,0)</f>
        <v>0</v>
      </c>
      <c r="Y150" s="142">
        <f>IF(ISTEXT('CF Raw'!T$11),'CF Raw'!T33/'Output-FR (show)'!$A$124,0)</f>
        <v>0</v>
      </c>
      <c r="Z150" s="142">
        <f>IF(ISTEXT('CF Raw'!U$11),'CF Raw'!U33/'Output-FR (show)'!$A$124,0)</f>
        <v>0</v>
      </c>
      <c r="AA150" s="1469"/>
      <c r="AB150" s="1483"/>
      <c r="AC150" s="1483"/>
      <c r="AD150" s="1483"/>
      <c r="AE150" s="1483"/>
      <c r="AF150" s="1483"/>
      <c r="AG150" s="1483"/>
      <c r="AH150" s="1483"/>
      <c r="AI150" s="1483"/>
      <c r="AJ150" s="1483"/>
      <c r="AK150" s="1483"/>
      <c r="AL150" s="1483"/>
      <c r="AM150" s="1483"/>
      <c r="AN150" s="1483"/>
      <c r="AO150" s="1483"/>
      <c r="AP150" s="1483"/>
      <c r="AQ150" s="1483"/>
      <c r="AR150" s="1483"/>
      <c r="AS150" s="995"/>
      <c r="AT150" s="995"/>
      <c r="AU150" s="995"/>
      <c r="AV150" s="995"/>
      <c r="AW150" s="995"/>
      <c r="AX150" s="995"/>
      <c r="AY150" s="995"/>
      <c r="AZ150" s="995"/>
      <c r="BA150" s="995"/>
      <c r="BB150" s="675"/>
      <c r="BC150" s="675"/>
      <c r="BD150" s="675"/>
      <c r="BE150" s="675"/>
      <c r="BF150" s="675"/>
      <c r="BG150" s="675"/>
      <c r="BH150" s="675"/>
      <c r="BI150" s="675"/>
      <c r="BJ150" s="675"/>
    </row>
    <row r="151" spans="1:62" s="676" customFormat="1">
      <c r="A151" s="675"/>
      <c r="B151" s="664" t="s">
        <v>429</v>
      </c>
      <c r="C151" s="1472"/>
      <c r="D151" s="1473"/>
      <c r="E151" s="995"/>
      <c r="F151" s="995"/>
      <c r="G151" s="995"/>
      <c r="H151" s="995"/>
      <c r="I151" s="90"/>
      <c r="J151" s="90"/>
      <c r="K151" s="90">
        <f>IF(ISTEXT('CF Raw'!F$11),'CF Raw'!F30/'Output-FR (show)'!$A$124,0)</f>
        <v>0</v>
      </c>
      <c r="L151" s="90">
        <f>IF(ISTEXT('CF Raw'!G$11),'CF Raw'!G30/'Output-FR (show)'!$A$124,0)</f>
        <v>0</v>
      </c>
      <c r="M151" s="90">
        <f>IF(ISTEXT('CF Raw'!H$11),'CF Raw'!H30/'Output-FR (show)'!$A$124,0)</f>
        <v>0</v>
      </c>
      <c r="N151" s="90">
        <f>IF(ISTEXT('CF Raw'!I$11),'CF Raw'!I30/'Output-FR (show)'!$A$124,0)</f>
        <v>0</v>
      </c>
      <c r="O151" s="90">
        <f>IF(ISTEXT('CF Raw'!J$11),'CF Raw'!J30/'Output-FR (show)'!$A$124,0)</f>
        <v>0</v>
      </c>
      <c r="P151" s="90">
        <f>IF(ISTEXT('CF Raw'!K$11),'CF Raw'!K30/'Output-FR (show)'!$A$124,0)</f>
        <v>0</v>
      </c>
      <c r="Q151" s="142">
        <f>IF(ISTEXT('CF Raw'!L$11),'CF Raw'!L30/'Output-FR (show)'!$A$124,0)</f>
        <v>0</v>
      </c>
      <c r="R151" s="142">
        <f>IF(ISTEXT('CF Raw'!M$11),'CF Raw'!M30/'Output-FR (show)'!$A$124,0)</f>
        <v>0</v>
      </c>
      <c r="S151" s="142">
        <f>IF(ISTEXT('CF Raw'!N$11),'CF Raw'!N30/'Output-FR (show)'!$A$124,0)</f>
        <v>0</v>
      </c>
      <c r="T151" s="142">
        <f>IF(ISTEXT('CF Raw'!O$11),'CF Raw'!O30/'Output-FR (show)'!$A$124,0)</f>
        <v>0</v>
      </c>
      <c r="U151" s="142">
        <f>IF(ISTEXT('CF Raw'!P$11),'CF Raw'!P30/'Output-FR (show)'!$A$124,0)</f>
        <v>0</v>
      </c>
      <c r="V151" s="142">
        <f>IF(ISTEXT('CF Raw'!Q$11),'CF Raw'!Q30/'Output-FR (show)'!$A$124,0)</f>
        <v>0</v>
      </c>
      <c r="W151" s="142">
        <f>IF(ISTEXT('CF Raw'!R$11),'CF Raw'!R30/'Output-FR (show)'!$A$124,0)</f>
        <v>0</v>
      </c>
      <c r="X151" s="142">
        <f>IF(ISTEXT('CF Raw'!S$11),'CF Raw'!S30/'Output-FR (show)'!$A$124,0)</f>
        <v>0</v>
      </c>
      <c r="Y151" s="142">
        <f>IF(ISTEXT('CF Raw'!T$11),'CF Raw'!T30/'Output-FR (show)'!$A$124,0)</f>
        <v>0</v>
      </c>
      <c r="Z151" s="142">
        <f>IF(ISTEXT('CF Raw'!U$11),'CF Raw'!U30/'Output-FR (show)'!$A$124,0)</f>
        <v>0</v>
      </c>
      <c r="AA151" s="1469"/>
      <c r="AB151" s="1483"/>
      <c r="AC151" s="1483"/>
      <c r="AD151" s="1483"/>
      <c r="AE151" s="1483"/>
      <c r="AF151" s="1483"/>
      <c r="AG151" s="1483"/>
      <c r="AH151" s="1483"/>
      <c r="AI151" s="1483"/>
      <c r="AJ151" s="1483"/>
      <c r="AK151" s="1483"/>
      <c r="AL151" s="1483"/>
      <c r="AM151" s="1483"/>
      <c r="AN151" s="1483"/>
      <c r="AO151" s="1483"/>
      <c r="AP151" s="1483"/>
      <c r="AQ151" s="1483"/>
      <c r="AR151" s="1483"/>
      <c r="AS151" s="995"/>
      <c r="AT151" s="995"/>
      <c r="AU151" s="995"/>
      <c r="AV151" s="995"/>
      <c r="AW151" s="995"/>
      <c r="AX151" s="995"/>
      <c r="AY151" s="995"/>
      <c r="AZ151" s="995"/>
      <c r="BA151" s="995"/>
      <c r="BB151" s="675"/>
      <c r="BC151" s="675"/>
      <c r="BD151" s="675"/>
      <c r="BE151" s="675"/>
      <c r="BF151" s="675"/>
      <c r="BG151" s="675"/>
      <c r="BH151" s="675"/>
      <c r="BI151" s="675"/>
      <c r="BJ151" s="675"/>
    </row>
    <row r="152" spans="1:62">
      <c r="A152" s="539"/>
      <c r="B152" s="664" t="s">
        <v>597</v>
      </c>
      <c r="C152" s="664"/>
      <c r="D152" s="41"/>
      <c r="E152" s="89"/>
      <c r="F152" s="89"/>
      <c r="G152" s="89"/>
      <c r="H152" s="89"/>
      <c r="I152" s="90"/>
      <c r="J152" s="90"/>
      <c r="K152" s="90">
        <f>IF(ISTEXT('CF Raw'!F$11),0,-'Output-FR (show)'!K37)</f>
        <v>0</v>
      </c>
      <c r="L152" s="90">
        <f>IF(ISTEXT('CF Raw'!G$11),0,-'Output-FR (show)'!L37)</f>
        <v>0</v>
      </c>
      <c r="M152" s="90">
        <f>IF(ISTEXT('CF Raw'!H$11),0,-'Output-FR (show)'!M37)</f>
        <v>0</v>
      </c>
      <c r="N152" s="90">
        <f>IF(ISTEXT('CF Raw'!I$11),0,-'Output-FR (show)'!N37)</f>
        <v>0</v>
      </c>
      <c r="O152" s="90">
        <f>IF(ISTEXT('CF Raw'!J$11),0,-'Output-FR (show)'!O37)</f>
        <v>0</v>
      </c>
      <c r="P152" s="90">
        <f>IF(ISTEXT('CF Raw'!K$11),0,-'Output-FR (show)'!P37)</f>
        <v>0</v>
      </c>
      <c r="Q152" s="142">
        <f>IF(ISTEXT('CF Raw'!L$11),0,-'Output-FR (show)'!Q37)</f>
        <v>-188.90934246431667</v>
      </c>
      <c r="R152" s="142">
        <f>IF(ISTEXT('CF Raw'!M$11),0,-'Output-FR (show)'!R37)</f>
        <v>-192.2692655115911</v>
      </c>
      <c r="S152" s="142">
        <f>IF(ISTEXT('CF Raw'!N$11),0,-'Output-FR (show)'!S37)</f>
        <v>-240.53831705014494</v>
      </c>
      <c r="T152" s="142">
        <f>IF(ISTEXT('CF Raw'!O$11),0,-'Output-FR (show)'!T37)</f>
        <v>-416.97928201955125</v>
      </c>
      <c r="U152" s="142">
        <f>IF(ISTEXT('CF Raw'!P$11),0,-'Output-FR (show)'!U37)</f>
        <v>-319.00355568091612</v>
      </c>
      <c r="V152" s="142">
        <f>IF(ISTEXT('CF Raw'!Q$11),0,-'Output-FR (show)'!V37)</f>
        <v>-280.19111300813086</v>
      </c>
      <c r="W152" s="142">
        <f>IF(ISTEXT('CF Raw'!R$11),0,-'Output-FR (show)'!W37)</f>
        <v>-285.05992434408267</v>
      </c>
      <c r="X152" s="142">
        <f>IF(ISTEXT('CF Raw'!S$11),0,-'Output-FR (show)'!X37)</f>
        <v>-329.67447852104692</v>
      </c>
      <c r="Y152" s="142">
        <f>IF(ISTEXT('CF Raw'!T$11),0,-'Output-FR (show)'!Y37)</f>
        <v>-388.25893317829536</v>
      </c>
      <c r="Z152" s="142">
        <f>IF(ISTEXT('CF Raw'!U$11),0,-'Output-FR (show)'!Z37)</f>
        <v>-340.64146945037083</v>
      </c>
      <c r="AA152" s="142"/>
      <c r="AB152" s="143"/>
      <c r="AC152" s="143"/>
      <c r="AD152" s="143"/>
      <c r="AE152" s="143"/>
      <c r="AF152" s="143"/>
      <c r="AG152" s="143"/>
      <c r="AH152" s="143"/>
      <c r="AI152" s="143"/>
      <c r="AJ152" s="143"/>
      <c r="AK152" s="143"/>
      <c r="AL152" s="143"/>
      <c r="AM152" s="143"/>
      <c r="AN152" s="143"/>
      <c r="AO152" s="143"/>
      <c r="AP152" s="143"/>
      <c r="AQ152" s="143"/>
      <c r="AR152" s="143"/>
      <c r="AS152" s="143"/>
      <c r="AT152" s="143"/>
      <c r="AU152" s="143"/>
      <c r="AV152" s="143"/>
      <c r="AW152" s="143"/>
      <c r="AX152" s="143"/>
      <c r="AY152" s="143"/>
      <c r="AZ152" s="143"/>
      <c r="BA152" s="143"/>
    </row>
    <row r="153" spans="1:62">
      <c r="A153" s="539"/>
      <c r="B153" s="664"/>
      <c r="C153" s="664"/>
      <c r="D153" s="41"/>
      <c r="E153" s="89"/>
      <c r="F153" s="89"/>
      <c r="G153" s="89"/>
      <c r="H153" s="89"/>
      <c r="I153" s="89"/>
      <c r="J153" s="89"/>
      <c r="K153" s="89"/>
      <c r="L153" s="89"/>
      <c r="M153" s="89"/>
      <c r="N153" s="89"/>
      <c r="O153" s="89"/>
      <c r="P153" s="89"/>
      <c r="Q153" s="143"/>
      <c r="R153" s="143"/>
      <c r="S153" s="143"/>
      <c r="T153" s="143"/>
      <c r="U153" s="143"/>
      <c r="V153" s="143"/>
      <c r="W153" s="143"/>
      <c r="X153" s="143"/>
      <c r="Y153" s="143"/>
      <c r="Z153" s="143"/>
      <c r="AA153" s="143"/>
      <c r="AB153" s="143"/>
      <c r="AC153" s="143"/>
      <c r="AD153" s="143"/>
      <c r="AE153" s="143"/>
      <c r="AF153" s="143"/>
      <c r="AG153" s="143"/>
      <c r="AH153" s="143"/>
      <c r="AI153" s="143"/>
      <c r="AJ153" s="143"/>
      <c r="AK153" s="143"/>
      <c r="AL153" s="143"/>
      <c r="AM153" s="143"/>
      <c r="AN153" s="143"/>
      <c r="AO153" s="143"/>
      <c r="AP153" s="143"/>
      <c r="AQ153" s="143"/>
      <c r="AR153" s="143"/>
      <c r="AS153" s="89"/>
      <c r="AT153" s="89"/>
      <c r="AU153" s="89"/>
      <c r="AV153" s="89"/>
      <c r="AW153" s="89"/>
      <c r="AX153" s="89"/>
      <c r="AY153" s="89"/>
      <c r="AZ153" s="89"/>
      <c r="BA153" s="89"/>
    </row>
    <row r="154" spans="1:62">
      <c r="A154" s="674"/>
      <c r="B154" s="665" t="s">
        <v>682</v>
      </c>
      <c r="C154" s="665"/>
      <c r="D154" s="20"/>
      <c r="E154" s="123"/>
      <c r="F154" s="123"/>
      <c r="G154" s="123"/>
      <c r="H154" s="123"/>
      <c r="I154" s="339"/>
      <c r="J154" s="339"/>
      <c r="K154" s="339">
        <f>+SUM(K143:K151)</f>
        <v>-387.12145788000004</v>
      </c>
      <c r="L154" s="339">
        <f t="shared" ref="L154:Z154" si="61">+SUM(L143:L151)</f>
        <v>-254.838428749</v>
      </c>
      <c r="M154" s="339">
        <f t="shared" si="61"/>
        <v>-907.76974691699991</v>
      </c>
      <c r="N154" s="339">
        <f t="shared" si="61"/>
        <v>-1158.4811387029999</v>
      </c>
      <c r="O154" s="339">
        <f t="shared" si="61"/>
        <v>630.37914472900002</v>
      </c>
      <c r="P154" s="339">
        <f t="shared" si="61"/>
        <v>-1358.0529905139999</v>
      </c>
      <c r="Q154" s="340">
        <f t="shared" ca="1" si="61"/>
        <v>-1364.4393017690177</v>
      </c>
      <c r="R154" s="340">
        <f t="shared" ca="1" si="61"/>
        <v>-889.66917304711728</v>
      </c>
      <c r="S154" s="340">
        <f t="shared" ca="1" si="61"/>
        <v>-436.71123883916522</v>
      </c>
      <c r="T154" s="340">
        <f t="shared" ca="1" si="61"/>
        <v>-1732.4191259483121</v>
      </c>
      <c r="U154" s="340">
        <f t="shared" ca="1" si="61"/>
        <v>-540.80258408702764</v>
      </c>
      <c r="V154" s="340">
        <f t="shared" ca="1" si="61"/>
        <v>-1332.7849855694503</v>
      </c>
      <c r="W154" s="340">
        <f t="shared" ca="1" si="61"/>
        <v>-1180.4979545244464</v>
      </c>
      <c r="X154" s="340">
        <f t="shared" ca="1" si="61"/>
        <v>-1013.1399714456438</v>
      </c>
      <c r="Y154" s="340">
        <f t="shared" ca="1" si="61"/>
        <v>-1150.4421006190164</v>
      </c>
      <c r="Z154" s="340">
        <f t="shared" ca="1" si="61"/>
        <v>-1295.8155996219566</v>
      </c>
      <c r="AA154" s="340"/>
      <c r="AB154" s="341"/>
      <c r="AC154" s="341"/>
      <c r="AD154" s="341"/>
      <c r="AE154" s="341"/>
      <c r="AF154" s="341"/>
      <c r="AG154" s="341"/>
      <c r="AH154" s="341"/>
      <c r="AI154" s="341"/>
      <c r="AJ154" s="341"/>
      <c r="AK154" s="341"/>
      <c r="AL154" s="341"/>
      <c r="AM154" s="341"/>
      <c r="AN154" s="341"/>
      <c r="AO154" s="341"/>
      <c r="AP154" s="341"/>
      <c r="AQ154" s="341"/>
      <c r="AR154" s="341"/>
      <c r="AS154" s="341"/>
      <c r="AT154" s="341"/>
      <c r="AU154" s="341"/>
      <c r="AV154" s="341"/>
      <c r="AW154" s="341"/>
      <c r="AX154" s="341"/>
      <c r="AY154" s="341"/>
      <c r="AZ154" s="341"/>
      <c r="BA154" s="341"/>
    </row>
    <row r="155" spans="1:62">
      <c r="A155" s="674"/>
      <c r="B155" s="677" t="s">
        <v>683</v>
      </c>
      <c r="C155" s="677" t="s">
        <v>684</v>
      </c>
      <c r="D155" s="678"/>
      <c r="E155" s="653"/>
      <c r="F155" s="653"/>
      <c r="G155" s="653"/>
      <c r="H155" s="653"/>
      <c r="I155" s="654"/>
      <c r="J155" s="654"/>
      <c r="K155" s="654">
        <f>K141+K152+K154</f>
        <v>1370.7628599640002</v>
      </c>
      <c r="L155" s="654">
        <f t="shared" ref="L155:Z155" si="62">L141+L152+L154</f>
        <v>1780.6300018700001</v>
      </c>
      <c r="M155" s="654">
        <f t="shared" si="62"/>
        <v>2568.8278266440007</v>
      </c>
      <c r="N155" s="654">
        <f t="shared" si="62"/>
        <v>5731.6096932979999</v>
      </c>
      <c r="O155" s="654">
        <f t="shared" si="62"/>
        <v>2312.9502920250011</v>
      </c>
      <c r="P155" s="654">
        <f t="shared" si="62"/>
        <v>77.549319891001005</v>
      </c>
      <c r="Q155" s="656">
        <f t="shared" ca="1" si="62"/>
        <v>1379.8936023015171</v>
      </c>
      <c r="R155" s="656">
        <f t="shared" ca="1" si="62"/>
        <v>2245.6122388190088</v>
      </c>
      <c r="S155" s="656">
        <f t="shared" ca="1" si="62"/>
        <v>2517.6130866990993</v>
      </c>
      <c r="T155" s="656">
        <f t="shared" ca="1" si="62"/>
        <v>2894.2076542571749</v>
      </c>
      <c r="U155" s="656">
        <f t="shared" ca="1" si="62"/>
        <v>3271.5056217847787</v>
      </c>
      <c r="V155" s="656">
        <f t="shared" ca="1" si="62"/>
        <v>1812.9648581299671</v>
      </c>
      <c r="W155" s="656">
        <f t="shared" ca="1" si="62"/>
        <v>1831.2747623124083</v>
      </c>
      <c r="X155" s="656">
        <f t="shared" ca="1" si="62"/>
        <v>2349.0743716619036</v>
      </c>
      <c r="Y155" s="656">
        <f t="shared" ca="1" si="62"/>
        <v>2762.1471075398699</v>
      </c>
      <c r="Z155" s="656">
        <f t="shared" ca="1" si="62"/>
        <v>2572.7700295954437</v>
      </c>
      <c r="AA155" s="656"/>
      <c r="AB155" s="657"/>
      <c r="AC155" s="657"/>
      <c r="AD155" s="657"/>
      <c r="AE155" s="657"/>
      <c r="AF155" s="657"/>
      <c r="AG155" s="657"/>
      <c r="AH155" s="657"/>
      <c r="AI155" s="657"/>
      <c r="AJ155" s="657"/>
      <c r="AK155" s="657"/>
      <c r="AL155" s="657"/>
      <c r="AM155" s="657"/>
      <c r="AN155" s="657"/>
      <c r="AO155" s="657"/>
      <c r="AP155" s="657"/>
      <c r="AQ155" s="657"/>
      <c r="AR155" s="657"/>
      <c r="AS155" s="657"/>
      <c r="AT155" s="657"/>
      <c r="AU155" s="657"/>
      <c r="AV155" s="657"/>
      <c r="AW155" s="657"/>
      <c r="AX155" s="657"/>
      <c r="AY155" s="657"/>
      <c r="AZ155" s="657"/>
      <c r="BA155" s="657"/>
    </row>
    <row r="156" spans="1:62">
      <c r="A156" s="384"/>
      <c r="B156" s="679" t="s">
        <v>383</v>
      </c>
      <c r="C156" s="679"/>
      <c r="D156" s="386"/>
      <c r="E156" s="386"/>
      <c r="F156" s="386"/>
      <c r="G156" s="386"/>
      <c r="H156" s="386"/>
      <c r="I156" s="387"/>
      <c r="J156" s="387"/>
      <c r="K156" s="387">
        <f>IF(ISTEXT('CF Raw'!F$11),K155-'CF Raw'!F35/'Output-FR (show)'!$A$124,"Chưa có BCTC")</f>
        <v>2.2737367544323206E-13</v>
      </c>
      <c r="L156" s="387">
        <f>IF(ISTEXT('CF Raw'!G$11),L155-'CF Raw'!G35/'Output-FR (show)'!$A$124,"Chưa có BCTC")</f>
        <v>2.2737367544323206E-13</v>
      </c>
      <c r="M156" s="387">
        <f>IF(ISTEXT('CF Raw'!H$11),M155-'CF Raw'!H35/'Output-FR (show)'!$A$124,"Chưa có BCTC")</f>
        <v>4.5474735088646412E-13</v>
      </c>
      <c r="N156" s="387">
        <f>IF(ISTEXT('CF Raw'!I$11),N155-'CF Raw'!I35/'Output-FR (show)'!$A$124,"Chưa có BCTC")</f>
        <v>0</v>
      </c>
      <c r="O156" s="387">
        <f>IF(ISTEXT('CF Raw'!J$11),O155-'CF Raw'!J35/'Output-FR (show)'!$A$124,"Chưa có BCTC")</f>
        <v>9.0949470177292824E-13</v>
      </c>
      <c r="P156" s="387">
        <f>IF(ISTEXT('CF Raw'!K$11),P155-'CF Raw'!K35/'Output-FR (show)'!$A$124,"Chưa có BCTC")</f>
        <v>1.0089706847793423E-12</v>
      </c>
      <c r="Q156" s="1484" t="str">
        <f>IF(ISTEXT('CF Raw'!L$11),Q155-'CF Raw'!L35/'Output-FR (show)'!$A$124,"Chưa có BCTC")</f>
        <v>Chưa có BCTC</v>
      </c>
      <c r="R156" s="1484" t="str">
        <f>IF(ISTEXT('CF Raw'!M$11),R155-'CF Raw'!M35/'Output-FR (show)'!$A$124,"Chưa có BCTC")</f>
        <v>Chưa có BCTC</v>
      </c>
      <c r="S156" s="1484" t="str">
        <f>IF(ISTEXT('CF Raw'!N$11),S155-'CF Raw'!N35/'Output-FR (show)'!$A$124,"Chưa có BCTC")</f>
        <v>Chưa có BCTC</v>
      </c>
      <c r="T156" s="1484" t="str">
        <f>IF(ISTEXT('CF Raw'!O$11),T155-'CF Raw'!O35/'Output-FR (show)'!$A$124,"Chưa có BCTC")</f>
        <v>Chưa có BCTC</v>
      </c>
      <c r="U156" s="1484" t="str">
        <f>IF(ISTEXT('CF Raw'!P$11),U155-'CF Raw'!P35/'Output-FR (show)'!$A$124,"Chưa có BCTC")</f>
        <v>Chưa có BCTC</v>
      </c>
      <c r="V156" s="1484" t="str">
        <f>IF(ISTEXT('CF Raw'!Q$11),V155-'CF Raw'!Q35/'Output-FR (show)'!$A$124,"Chưa có BCTC")</f>
        <v>Chưa có BCTC</v>
      </c>
      <c r="W156" s="1484" t="str">
        <f>IF(ISTEXT('CF Raw'!R$11),W155-'CF Raw'!R35/'Output-FR (show)'!$A$124,"Chưa có BCTC")</f>
        <v>Chưa có BCTC</v>
      </c>
      <c r="X156" s="1484" t="str">
        <f>IF(ISTEXT('CF Raw'!S$11),X155-'CF Raw'!S35/'Output-FR (show)'!$A$124,"Chưa có BCTC")</f>
        <v>Chưa có BCTC</v>
      </c>
      <c r="Y156" s="1484" t="str">
        <f>IF(ISTEXT('CF Raw'!T$11),Y155-'CF Raw'!T35/'Output-FR (show)'!$A$124,"Chưa có BCTC")</f>
        <v>Chưa có BCTC</v>
      </c>
      <c r="Z156" s="1484" t="str">
        <f>IF(ISTEXT('CF Raw'!U$11),Z155-'CF Raw'!U35/'Output-FR (show)'!$A$124,"Chưa có BCTC")</f>
        <v>Chưa có BCTC</v>
      </c>
      <c r="AA156" s="1484"/>
      <c r="AB156" s="1485"/>
      <c r="AC156" s="1485"/>
      <c r="AD156" s="1485"/>
      <c r="AE156" s="1485"/>
      <c r="AF156" s="1485"/>
      <c r="AG156" s="1485"/>
      <c r="AH156" s="1485"/>
      <c r="AI156" s="1485"/>
      <c r="AJ156" s="1485"/>
      <c r="AK156" s="1485"/>
      <c r="AL156" s="1485"/>
      <c r="AM156" s="1485"/>
      <c r="AN156" s="1485"/>
      <c r="AO156" s="1485"/>
      <c r="AP156" s="1485"/>
      <c r="AQ156" s="1485"/>
      <c r="AR156" s="1485"/>
      <c r="AS156" s="681"/>
      <c r="AT156" s="681"/>
      <c r="AU156" s="681"/>
      <c r="AV156" s="681"/>
      <c r="AW156" s="681"/>
      <c r="AX156" s="681"/>
      <c r="AY156" s="681"/>
      <c r="AZ156" s="681"/>
      <c r="BA156" s="681"/>
    </row>
    <row r="157" spans="1:62">
      <c r="A157" s="539"/>
      <c r="B157" s="664"/>
      <c r="C157" s="664"/>
      <c r="D157" s="41"/>
      <c r="E157" s="41"/>
      <c r="F157" s="41"/>
      <c r="G157" s="41"/>
      <c r="H157" s="41"/>
      <c r="I157" s="41"/>
      <c r="J157" s="41"/>
      <c r="K157" s="41"/>
      <c r="L157" s="41"/>
      <c r="M157" s="41"/>
      <c r="N157" s="89"/>
      <c r="O157" s="89"/>
      <c r="P157" s="188"/>
      <c r="Q157" s="89"/>
      <c r="R157" s="89"/>
      <c r="S157" s="89"/>
      <c r="T157" s="89"/>
      <c r="U157" s="89"/>
      <c r="V157" s="89"/>
      <c r="W157" s="89"/>
      <c r="X157" s="89"/>
      <c r="Y157" s="89"/>
      <c r="Z157" s="89"/>
      <c r="AA157" s="143"/>
      <c r="AB157" s="143"/>
      <c r="AC157" s="143"/>
      <c r="AD157" s="143"/>
      <c r="AE157" s="143"/>
      <c r="AF157" s="143"/>
      <c r="AG157" s="143"/>
      <c r="AH157" s="143"/>
      <c r="AI157" s="143"/>
      <c r="AJ157" s="143"/>
      <c r="AK157" s="143"/>
      <c r="AL157" s="143"/>
      <c r="AM157" s="143"/>
      <c r="AN157" s="143"/>
      <c r="AO157" s="143"/>
      <c r="AP157" s="143"/>
      <c r="AQ157" s="143"/>
      <c r="AR157" s="143"/>
      <c r="AS157" s="89"/>
      <c r="AT157" s="89"/>
      <c r="AU157" s="89"/>
      <c r="AV157" s="89"/>
      <c r="AW157" s="89"/>
      <c r="AX157" s="89"/>
      <c r="AY157" s="89"/>
      <c r="AZ157" s="89"/>
      <c r="BA157" s="89"/>
    </row>
    <row r="158" spans="1:62">
      <c r="A158" s="539"/>
      <c r="B158" s="664" t="s">
        <v>685</v>
      </c>
      <c r="C158" s="664" t="s">
        <v>686</v>
      </c>
      <c r="D158" s="41"/>
      <c r="E158" s="89"/>
      <c r="F158" s="89"/>
      <c r="G158" s="89"/>
      <c r="H158" s="89"/>
      <c r="I158" s="90"/>
      <c r="J158" s="90"/>
      <c r="K158" s="90">
        <f>IF(ISTEXT('CF Raw'!F$11),('CF Raw'!F37+'CF Raw'!F38)/'Output-FR (show)'!$A$124,-'LT. Asset'!K9)</f>
        <v>-414.76276050299998</v>
      </c>
      <c r="L158" s="90">
        <f>IF(ISTEXT('CF Raw'!G$11),('CF Raw'!G37+'CF Raw'!G38)/'Output-FR (show)'!$A$124,-'LT. Asset'!L9)</f>
        <v>-272.86203394299997</v>
      </c>
      <c r="M158" s="90">
        <f>IF(ISTEXT('CF Raw'!H$11),('CF Raw'!H37+'CF Raw'!H38)/'Output-FR (show)'!$A$124,-'LT. Asset'!M9)</f>
        <v>-156.94816908799999</v>
      </c>
      <c r="N158" s="90">
        <f>IF(ISTEXT('CF Raw'!I$11),('CF Raw'!I37+'CF Raw'!I38)/'Output-FR (show)'!$A$124,-'LT. Asset'!N9)</f>
        <v>-143.78998269599998</v>
      </c>
      <c r="O158" s="90">
        <f>IF(ISTEXT('CF Raw'!J$11),('CF Raw'!J37+'CF Raw'!J38)/'Output-FR (show)'!$A$124,-'LT. Asset'!O9)</f>
        <v>-544.06761910399996</v>
      </c>
      <c r="P158" s="90">
        <f>IF(ISTEXT('CF Raw'!K$11),('CF Raw'!K37+'CF Raw'!K38)/'Output-FR (show)'!$A$124,-'LT. Asset'!P9)</f>
        <v>-787.05758273100002</v>
      </c>
      <c r="Q158" s="142">
        <f>IF(ISTEXT('CF Raw'!L$11),('CF Raw'!L37+'CF Raw'!L38)/'Output-FR (show)'!$A$124,-'LT. Asset'!Q9)</f>
        <v>-793.61444847162204</v>
      </c>
      <c r="R158" s="142">
        <f>IF(ISTEXT('CF Raw'!M$11),('CF Raw'!M37+'CF Raw'!M38)/'Output-FR (show)'!$A$124,-'LT. Asset'!R9)</f>
        <v>-719.4857840413008</v>
      </c>
      <c r="S158" s="142">
        <f>IF(ISTEXT('CF Raw'!N$11),('CF Raw'!N37+'CF Raw'!N38)/'Output-FR (show)'!$A$124,-'LT. Asset'!S9)</f>
        <v>-706.27265251081963</v>
      </c>
      <c r="T158" s="142">
        <f>IF(ISTEXT('CF Raw'!O$11),('CF Raw'!O37+'CF Raw'!O38)/'Output-FR (show)'!$A$124,-'LT. Asset'!T9)</f>
        <v>-1167.4691175791336</v>
      </c>
      <c r="U158" s="142">
        <f>IF(ISTEXT('CF Raw'!P$11),('CF Raw'!P37+'CF Raw'!P38)/'Output-FR (show)'!$A$124,-'LT. Asset'!U9)</f>
        <v>-452.06637167829581</v>
      </c>
      <c r="V158" s="142">
        <f>IF(ISTEXT('CF Raw'!Q$11),('CF Raw'!Q37+'CF Raw'!Q38)/'Output-FR (show)'!$A$124,-'LT. Asset'!V9)</f>
        <v>-367.64817422706108</v>
      </c>
      <c r="W158" s="142">
        <f>IF(ISTEXT('CF Raw'!R$11),('CF Raw'!R37+'CF Raw'!R38)/'Output-FR (show)'!$A$124,-'LT. Asset'!W9)</f>
        <v>-297.41873156308685</v>
      </c>
      <c r="X158" s="142">
        <f>IF(ISTEXT('CF Raw'!S$11),('CF Raw'!S37+'CF Raw'!S38)/'Output-FR (show)'!$A$124,-'LT. Asset'!X9)</f>
        <v>-332.72512452640376</v>
      </c>
      <c r="Y158" s="142">
        <f>IF(ISTEXT('CF Raw'!T$11),('CF Raw'!T37+'CF Raw'!T38)/'Output-FR (show)'!$A$124,-'LT. Asset'!Y9)</f>
        <v>-391.10138790970905</v>
      </c>
      <c r="Z158" s="142">
        <f>IF(ISTEXT('CF Raw'!U$11),('CF Raw'!U37+'CF Raw'!U38)/'Output-FR (show)'!$A$124,-'LT. Asset'!Z9)</f>
        <v>-379.0911800676617</v>
      </c>
      <c r="AA158" s="142"/>
      <c r="AB158" s="143"/>
      <c r="AC158" s="143"/>
      <c r="AD158" s="143"/>
      <c r="AE158" s="143"/>
      <c r="AF158" s="143"/>
      <c r="AG158" s="143"/>
      <c r="AH158" s="143"/>
      <c r="AI158" s="143"/>
      <c r="AJ158" s="143"/>
      <c r="AK158" s="143"/>
      <c r="AL158" s="143"/>
      <c r="AM158" s="143"/>
      <c r="AN158" s="143"/>
      <c r="AO158" s="143"/>
      <c r="AP158" s="143"/>
      <c r="AQ158" s="143"/>
      <c r="AR158" s="143"/>
      <c r="AS158" s="143"/>
      <c r="AT158" s="143"/>
      <c r="AU158" s="143"/>
      <c r="AV158" s="143"/>
      <c r="AW158" s="143"/>
      <c r="AX158" s="143"/>
      <c r="AY158" s="143"/>
      <c r="AZ158" s="143"/>
      <c r="BA158" s="143"/>
    </row>
    <row r="159" spans="1:62">
      <c r="A159" s="539"/>
      <c r="B159" s="664" t="s">
        <v>687</v>
      </c>
      <c r="C159" s="664" t="s">
        <v>688</v>
      </c>
      <c r="D159" s="41"/>
      <c r="E159" s="89"/>
      <c r="F159" s="89"/>
      <c r="G159" s="89"/>
      <c r="H159" s="89"/>
      <c r="I159" s="90"/>
      <c r="J159" s="90"/>
      <c r="K159" s="90">
        <f>IF(ISTEXT('CF Raw'!F$11),0,-K136)</f>
        <v>0</v>
      </c>
      <c r="L159" s="90">
        <f>IF(ISTEXT('CF Raw'!G$11),0,-L136)</f>
        <v>0</v>
      </c>
      <c r="M159" s="90">
        <f>IF(ISTEXT('CF Raw'!H$11),0,-M136)</f>
        <v>0</v>
      </c>
      <c r="N159" s="90">
        <f>IF(ISTEXT('CF Raw'!I$11),0,-N136)</f>
        <v>0</v>
      </c>
      <c r="O159" s="90">
        <f>IF(ISTEXT('CF Raw'!J$11),0,-O136)</f>
        <v>0</v>
      </c>
      <c r="P159" s="90">
        <f>IF(ISTEXT('CF Raw'!K$11),0,-P136)</f>
        <v>0</v>
      </c>
      <c r="Q159" s="142">
        <f>IF(ISTEXT('CF Raw'!L$11),0,-Q136)</f>
        <v>16.230570724666709</v>
      </c>
      <c r="R159" s="142">
        <f>IF(ISTEXT('CF Raw'!M$11),0,-R136)</f>
        <v>12.02804724916732</v>
      </c>
      <c r="S159" s="142">
        <f>IF(ISTEXT('CF Raw'!N$11),0,-S136)</f>
        <v>13.186811817571449</v>
      </c>
      <c r="T159" s="142">
        <f>IF(ISTEXT('CF Raw'!O$11),0,-T136)</f>
        <v>14.336535169178703</v>
      </c>
      <c r="U159" s="142">
        <f>IF(ISTEXT('CF Raw'!P$11),0,-U136)</f>
        <v>17.219893467666864</v>
      </c>
      <c r="V159" s="142">
        <f>IF(ISTEXT('CF Raw'!Q$11),0,-V136)</f>
        <v>17.021552919137449</v>
      </c>
      <c r="W159" s="142">
        <f>IF(ISTEXT('CF Raw'!R$11),0,-W136)</f>
        <v>14.683428161063702</v>
      </c>
      <c r="X159" s="142">
        <f>IF(ISTEXT('CF Raw'!S$11),0,-X136)</f>
        <v>14.473290754976617</v>
      </c>
      <c r="Y159" s="142">
        <f>IF(ISTEXT('CF Raw'!T$11),0,-Y136)</f>
        <v>14.694309641502553</v>
      </c>
      <c r="Z159" s="142">
        <f>IF(ISTEXT('CF Raw'!U$11),0,-Z136)</f>
        <v>15.039807808198393</v>
      </c>
      <c r="AA159" s="142"/>
      <c r="AB159" s="143"/>
      <c r="AC159" s="143"/>
      <c r="AD159" s="143"/>
      <c r="AE159" s="143"/>
      <c r="AF159" s="143"/>
      <c r="AG159" s="143"/>
      <c r="AH159" s="143"/>
      <c r="AI159" s="143"/>
      <c r="AJ159" s="143"/>
      <c r="AK159" s="143"/>
      <c r="AL159" s="143"/>
      <c r="AM159" s="143"/>
      <c r="AN159" s="143"/>
      <c r="AO159" s="143"/>
      <c r="AP159" s="143"/>
      <c r="AQ159" s="143"/>
      <c r="AR159" s="143"/>
      <c r="AS159" s="143"/>
      <c r="AT159" s="143"/>
      <c r="AU159" s="143"/>
      <c r="AV159" s="143"/>
      <c r="AW159" s="143"/>
      <c r="AX159" s="143"/>
      <c r="AY159" s="143"/>
      <c r="AZ159" s="143"/>
      <c r="BA159" s="143"/>
    </row>
    <row r="160" spans="1:62">
      <c r="A160" s="539"/>
      <c r="B160" s="664" t="s">
        <v>689</v>
      </c>
      <c r="C160" s="664"/>
      <c r="D160" s="41"/>
      <c r="E160" s="89"/>
      <c r="F160" s="89"/>
      <c r="G160" s="89"/>
      <c r="H160" s="89"/>
      <c r="I160" s="90"/>
      <c r="J160" s="90"/>
      <c r="K160" s="90">
        <f>IF(ISTEXT('CF Raw'!F$11),'CF Raw'!F43/'Output-FR (show)'!$A$124,-K137)</f>
        <v>124.404903886</v>
      </c>
      <c r="L160" s="90">
        <f>IF(ISTEXT('CF Raw'!G$11),'CF Raw'!G43/'Output-FR (show)'!$A$124,-L137)</f>
        <v>111.38555735</v>
      </c>
      <c r="M160" s="90">
        <f>IF(ISTEXT('CF Raw'!H$11),'CF Raw'!H43/'Output-FR (show)'!$A$124,-M137)</f>
        <v>114.722479389</v>
      </c>
      <c r="N160" s="90">
        <f>IF(ISTEXT('CF Raw'!I$11),'CF Raw'!I43/'Output-FR (show)'!$A$124,-N137)</f>
        <v>209.034334199</v>
      </c>
      <c r="O160" s="90">
        <f>IF(ISTEXT('CF Raw'!J$11),'CF Raw'!J43/'Output-FR (show)'!$A$124,-O137)</f>
        <v>504.958995061</v>
      </c>
      <c r="P160" s="90">
        <f>IF(ISTEXT('CF Raw'!K$11),'CF Raw'!K43/'Output-FR (show)'!$A$124,-P137)</f>
        <v>323.80295769000003</v>
      </c>
      <c r="Q160" s="142">
        <f ca="1">IF(ISTEXT('CF Raw'!L$11),'CF Raw'!L43/'Output-FR (show)'!$A$124,-Q137)</f>
        <v>612.61692171388484</v>
      </c>
      <c r="R160" s="142">
        <f ca="1">IF(ISTEXT('CF Raw'!M$11),'CF Raw'!M43/'Output-FR (show)'!$A$124,-R137)</f>
        <v>680.83090119855763</v>
      </c>
      <c r="S160" s="142">
        <f ca="1">IF(ISTEXT('CF Raw'!N$11),'CF Raw'!N43/'Output-FR (show)'!$A$124,-S137)</f>
        <v>767.18909307794377</v>
      </c>
      <c r="T160" s="142">
        <f ca="1">IF(ISTEXT('CF Raw'!O$11),'CF Raw'!O43/'Output-FR (show)'!$A$124,-T137)</f>
        <v>895.09609279666813</v>
      </c>
      <c r="U160" s="142">
        <f ca="1">IF(ISTEXT('CF Raw'!P$11),'CF Raw'!P43/'Output-FR (show)'!$A$124,-U137)</f>
        <v>1017.6500482790449</v>
      </c>
      <c r="V160" s="142">
        <f ca="1">IF(ISTEXT('CF Raw'!Q$11),'CF Raw'!Q43/'Output-FR (show)'!$A$124,-V137)</f>
        <v>1125.6841271289491</v>
      </c>
      <c r="W160" s="142">
        <f ca="1">IF(ISTEXT('CF Raw'!R$11),'CF Raw'!R43/'Output-FR (show)'!$A$124,-W137)</f>
        <v>1210.8158232622893</v>
      </c>
      <c r="X160" s="142">
        <f ca="1">IF(ISTEXT('CF Raw'!S$11),'CF Raw'!S43/'Output-FR (show)'!$A$124,-X137)</f>
        <v>1303.9966468625701</v>
      </c>
      <c r="Y160" s="142">
        <f ca="1">IF(ISTEXT('CF Raw'!T$11),'CF Raw'!T43/'Output-FR (show)'!$A$124,-Y137)</f>
        <v>1408.9586272720051</v>
      </c>
      <c r="Z160" s="142">
        <f ca="1">IF(ISTEXT('CF Raw'!U$11),'CF Raw'!U43/'Output-FR (show)'!$A$124,-Z137)</f>
        <v>1490.5861930715591</v>
      </c>
      <c r="AA160" s="142"/>
      <c r="AB160" s="143"/>
      <c r="AC160" s="143"/>
      <c r="AD160" s="143"/>
      <c r="AE160" s="143"/>
      <c r="AF160" s="143"/>
      <c r="AG160" s="143"/>
      <c r="AH160" s="143"/>
      <c r="AI160" s="143"/>
      <c r="AJ160" s="143"/>
      <c r="AK160" s="143"/>
      <c r="AL160" s="143"/>
      <c r="AM160" s="143"/>
      <c r="AN160" s="143"/>
      <c r="AO160" s="143"/>
      <c r="AP160" s="143"/>
      <c r="AQ160" s="143"/>
      <c r="AR160" s="143"/>
      <c r="AS160" s="143"/>
      <c r="AT160" s="143"/>
      <c r="AU160" s="143"/>
      <c r="AV160" s="143"/>
      <c r="AW160" s="143"/>
      <c r="AX160" s="143"/>
      <c r="AY160" s="143"/>
      <c r="AZ160" s="143"/>
      <c r="BA160" s="143"/>
    </row>
    <row r="161" spans="1:53">
      <c r="A161" s="539"/>
      <c r="B161" s="664" t="s">
        <v>690</v>
      </c>
      <c r="C161" s="664" t="s">
        <v>691</v>
      </c>
      <c r="D161" s="41"/>
      <c r="E161" s="89"/>
      <c r="F161" s="89"/>
      <c r="G161" s="89"/>
      <c r="H161" s="89"/>
      <c r="I161" s="90"/>
      <c r="J161" s="90"/>
      <c r="K161" s="90">
        <f>IF(ISTEXT('CF Raw'!F$11),('CF Raw'!F39+'CF Raw'!F40)/'Output-FR (show)'!$A$124,'Output-FR (show)'!J62-'Output-FR (show)'!K62)</f>
        <v>500</v>
      </c>
      <c r="L161" s="90">
        <f>IF(ISTEXT('CF Raw'!G$11),('CF Raw'!G39+'CF Raw'!G40)/'Output-FR (show)'!$A$124,'Output-FR (show)'!K62-'Output-FR (show)'!L62)</f>
        <v>-300</v>
      </c>
      <c r="M161" s="90">
        <f>IF(ISTEXT('CF Raw'!H$11),('CF Raw'!H39+'CF Raw'!H40)/'Output-FR (show)'!$A$124,'Output-FR (show)'!L62-'Output-FR (show)'!M62)</f>
        <v>-2060</v>
      </c>
      <c r="N161" s="90">
        <f>IF(ISTEXT('CF Raw'!I$11),('CF Raw'!I39+'CF Raw'!I40)/'Output-FR (show)'!$A$124,'Output-FR (show)'!M62-'Output-FR (show)'!N62)</f>
        <v>-2450</v>
      </c>
      <c r="O161" s="90">
        <f>IF(ISTEXT('CF Raw'!J$11),('CF Raw'!J39+'CF Raw'!J40)/'Output-FR (show)'!$A$124,'Output-FR (show)'!N62-'Output-FR (show)'!O62)</f>
        <v>-1430</v>
      </c>
      <c r="P161" s="90">
        <f>IF(ISTEXT('CF Raw'!K$11),('CF Raw'!K39+'CF Raw'!K40)/'Output-FR (show)'!$A$124,'Output-FR (show)'!O62-'Output-FR (show)'!P62)</f>
        <v>1202.9487671229999</v>
      </c>
      <c r="Q161" s="142">
        <f>IF(ISTEXT('CF Raw'!L$11),('CF Raw'!L39+'CF Raw'!L40)/'Output-FR (show)'!$A$124,'Output-FR (show)'!P62-'Output-FR (show)'!Q62)</f>
        <v>-201.47574057754446</v>
      </c>
      <c r="R161" s="142">
        <f>IF(ISTEXT('CF Raw'!M$11),('CF Raw'!M39+'CF Raw'!M40)/'Output-FR (show)'!$A$124,'Output-FR (show)'!Q62-'Output-FR (show)'!R62)</f>
        <v>-1128.5192823577718</v>
      </c>
      <c r="S161" s="142">
        <f>IF(ISTEXT('CF Raw'!N$11),('CF Raw'!N39+'CF Raw'!N40)/'Output-FR (show)'!$A$124,'Output-FR (show)'!R62-'Output-FR (show)'!S62)</f>
        <v>-1497.9486792330263</v>
      </c>
      <c r="T161" s="142">
        <f>IF(ISTEXT('CF Raw'!O$11),('CF Raw'!O39+'CF Raw'!O40)/'Output-FR (show)'!$A$124,'Output-FR (show)'!S62-'Output-FR (show)'!T62)</f>
        <v>-1960.5228992108932</v>
      </c>
      <c r="U161" s="142">
        <f>IF(ISTEXT('CF Raw'!P$11),('CF Raw'!P39+'CF Raw'!P40)/'Output-FR (show)'!$A$124,'Output-FR (show)'!T62-'Output-FR (show)'!U62)</f>
        <v>-1874.403452794224</v>
      </c>
      <c r="V161" s="142">
        <f>IF(ISTEXT('CF Raw'!Q$11),('CF Raw'!Q39+'CF Raw'!Q40)/'Output-FR (show)'!$A$124,'Output-FR (show)'!U62-'Output-FR (show)'!V62)</f>
        <v>-1440.7719844626208</v>
      </c>
      <c r="W161" s="142">
        <f>IF(ISTEXT('CF Raw'!R$11),('CF Raw'!R39+'CF Raw'!R40)/'Output-FR (show)'!$A$124,'Output-FR (show)'!V62-'Output-FR (show)'!W62)</f>
        <v>-1061.078300688805</v>
      </c>
      <c r="X161" s="142">
        <f>IF(ISTEXT('CF Raw'!S$11),('CF Raw'!S39+'CF Raw'!S40)/'Output-FR (show)'!$A$124,'Output-FR (show)'!W62-'Output-FR (show)'!X62)</f>
        <v>-1256.3873888528815</v>
      </c>
      <c r="Y161" s="142">
        <f>IF(ISTEXT('CF Raw'!T$11),('CF Raw'!T39+'CF Raw'!T40)/'Output-FR (show)'!$A$124,'Output-FR (show)'!X62-'Output-FR (show)'!Y62)</f>
        <v>-1235.7910114571532</v>
      </c>
      <c r="Z161" s="142">
        <f>IF(ISTEXT('CF Raw'!U$11),('CF Raw'!U39+'CF Raw'!U40)/'Output-FR (show)'!$A$124,'Output-FR (show)'!Y62-'Output-FR (show)'!Z62)</f>
        <v>-708.16834368365744</v>
      </c>
      <c r="AA161" s="142"/>
      <c r="AB161" s="143"/>
      <c r="AC161" s="143"/>
      <c r="AD161" s="143"/>
      <c r="AE161" s="143"/>
      <c r="AF161" s="143"/>
      <c r="AG161" s="143"/>
      <c r="AH161" s="143"/>
      <c r="AI161" s="143"/>
      <c r="AJ161" s="143"/>
      <c r="AK161" s="143"/>
      <c r="AL161" s="143"/>
      <c r="AM161" s="143"/>
      <c r="AN161" s="143"/>
      <c r="AO161" s="143"/>
      <c r="AP161" s="143"/>
      <c r="AQ161" s="143"/>
      <c r="AR161" s="143"/>
      <c r="AS161" s="143"/>
      <c r="AT161" s="143"/>
      <c r="AU161" s="143"/>
      <c r="AV161" s="143"/>
      <c r="AW161" s="143"/>
      <c r="AX161" s="143"/>
      <c r="AY161" s="143"/>
      <c r="AZ161" s="143"/>
      <c r="BA161" s="143"/>
    </row>
    <row r="162" spans="1:53">
      <c r="A162" s="539"/>
      <c r="B162" s="664" t="s">
        <v>692</v>
      </c>
      <c r="C162" s="664" t="s">
        <v>693</v>
      </c>
      <c r="D162" s="41"/>
      <c r="E162" s="89"/>
      <c r="F162" s="89"/>
      <c r="G162" s="89"/>
      <c r="H162" s="89"/>
      <c r="I162" s="90"/>
      <c r="J162" s="90"/>
      <c r="K162" s="90">
        <f>IF(ISTEXT('CF Raw'!F$11),('CF Raw'!F41+'CF Raw'!F42)/'Output-FR (show)'!$A$124,'Output-FR (show)'!J75-'Output-FR (show)'!K75)</f>
        <v>0</v>
      </c>
      <c r="L162" s="90">
        <f>IF(ISTEXT('CF Raw'!G$11),('CF Raw'!G41+'CF Raw'!G42)/'Output-FR (show)'!$A$124,'Output-FR (show)'!K75-'Output-FR (show)'!L75)</f>
        <v>0</v>
      </c>
      <c r="M162" s="90">
        <f>IF(ISTEXT('CF Raw'!H$11),('CF Raw'!H41+'CF Raw'!H42)/'Output-FR (show)'!$A$124,'Output-FR (show)'!L75-'Output-FR (show)'!M75)</f>
        <v>0</v>
      </c>
      <c r="N162" s="90">
        <f>IF(ISTEXT('CF Raw'!I$11),('CF Raw'!I41+'CF Raw'!I42)/'Output-FR (show)'!$A$124,'Output-FR (show)'!M75-'Output-FR (show)'!N75)</f>
        <v>0</v>
      </c>
      <c r="O162" s="90">
        <f>IF(ISTEXT('CF Raw'!J$11),('CF Raw'!J41+'CF Raw'!J42)/'Output-FR (show)'!$A$124,'Output-FR (show)'!N75-'Output-FR (show)'!O75)</f>
        <v>0</v>
      </c>
      <c r="P162" s="90">
        <f>IF(ISTEXT('CF Raw'!K$11),('CF Raw'!K41+'CF Raw'!K42)/'Output-FR (show)'!$A$124,'Output-FR (show)'!O75-'Output-FR (show)'!P75)</f>
        <v>-598.58379782099996</v>
      </c>
      <c r="Q162" s="142">
        <f>IF(ISTEXT('CF Raw'!L$11),('CF Raw'!L41+'CF Raw'!L42)/'Output-FR (show)'!$A$124,'Output-FR (show)'!P75-'Output-FR (show)'!Q75)</f>
        <v>0</v>
      </c>
      <c r="R162" s="142">
        <f>IF(ISTEXT('CF Raw'!M$11),('CF Raw'!M41+'CF Raw'!M42)/'Output-FR (show)'!$A$124,'Output-FR (show)'!Q75-'Output-FR (show)'!R75)</f>
        <v>0</v>
      </c>
      <c r="S162" s="142">
        <f>IF(ISTEXT('CF Raw'!N$11),('CF Raw'!N41+'CF Raw'!N42)/'Output-FR (show)'!$A$124,'Output-FR (show)'!R75-'Output-FR (show)'!S75)</f>
        <v>0</v>
      </c>
      <c r="T162" s="142">
        <f>IF(ISTEXT('CF Raw'!O$11),('CF Raw'!O41+'CF Raw'!O42)/'Output-FR (show)'!$A$124,'Output-FR (show)'!S75-'Output-FR (show)'!T75)</f>
        <v>0</v>
      </c>
      <c r="U162" s="142">
        <f>IF(ISTEXT('CF Raw'!P$11),('CF Raw'!P41+'CF Raw'!P42)/'Output-FR (show)'!$A$124,'Output-FR (show)'!T75-'Output-FR (show)'!U75)</f>
        <v>0</v>
      </c>
      <c r="V162" s="142">
        <f>IF(ISTEXT('CF Raw'!Q$11),('CF Raw'!Q41+'CF Raw'!Q42)/'Output-FR (show)'!$A$124,'Output-FR (show)'!U75-'Output-FR (show)'!V75)</f>
        <v>0</v>
      </c>
      <c r="W162" s="142">
        <f>IF(ISTEXT('CF Raw'!R$11),('CF Raw'!R41+'CF Raw'!R42)/'Output-FR (show)'!$A$124,'Output-FR (show)'!V75-'Output-FR (show)'!W75)</f>
        <v>0</v>
      </c>
      <c r="X162" s="142">
        <f>IF(ISTEXT('CF Raw'!S$11),('CF Raw'!S41+'CF Raw'!S42)/'Output-FR (show)'!$A$124,'Output-FR (show)'!W75-'Output-FR (show)'!X75)</f>
        <v>0</v>
      </c>
      <c r="Y162" s="142">
        <f>IF(ISTEXT('CF Raw'!T$11),('CF Raw'!T41+'CF Raw'!T42)/'Output-FR (show)'!$A$124,'Output-FR (show)'!X75-'Output-FR (show)'!Y75)</f>
        <v>0</v>
      </c>
      <c r="Z162" s="142">
        <f>IF(ISTEXT('CF Raw'!U$11),('CF Raw'!U41+'CF Raw'!U42)/'Output-FR (show)'!$A$124,'Output-FR (show)'!Y75-'Output-FR (show)'!Z75)</f>
        <v>0</v>
      </c>
      <c r="AA162" s="142"/>
      <c r="AB162" s="143"/>
      <c r="AC162" s="143"/>
      <c r="AD162" s="143"/>
      <c r="AE162" s="143"/>
      <c r="AF162" s="143"/>
      <c r="AG162" s="143"/>
      <c r="AH162" s="143"/>
      <c r="AI162" s="143"/>
      <c r="AJ162" s="143"/>
      <c r="AK162" s="143"/>
      <c r="AL162" s="143"/>
      <c r="AM162" s="143"/>
      <c r="AN162" s="143"/>
      <c r="AO162" s="143"/>
      <c r="AP162" s="143"/>
      <c r="AQ162" s="143"/>
      <c r="AR162" s="143"/>
      <c r="AS162" s="143"/>
      <c r="AT162" s="143"/>
      <c r="AU162" s="143"/>
      <c r="AV162" s="143"/>
      <c r="AW162" s="143"/>
      <c r="AX162" s="143"/>
      <c r="AY162" s="143"/>
      <c r="AZ162" s="143"/>
      <c r="BA162" s="143"/>
    </row>
    <row r="163" spans="1:53">
      <c r="A163" s="674"/>
      <c r="B163" s="677" t="s">
        <v>694</v>
      </c>
      <c r="C163" s="677" t="s">
        <v>695</v>
      </c>
      <c r="D163" s="678"/>
      <c r="E163" s="653"/>
      <c r="F163" s="653"/>
      <c r="G163" s="653"/>
      <c r="H163" s="653"/>
      <c r="I163" s="654"/>
      <c r="J163" s="654"/>
      <c r="K163" s="654">
        <f>SUM(K158:K162)</f>
        <v>209.64214338300002</v>
      </c>
      <c r="L163" s="654">
        <f t="shared" ref="L163:Z163" si="63">SUM(L158:L162)</f>
        <v>-461.47647659299997</v>
      </c>
      <c r="M163" s="654">
        <f t="shared" si="63"/>
        <v>-2102.2256896990002</v>
      </c>
      <c r="N163" s="654">
        <f t="shared" si="63"/>
        <v>-2384.755648497</v>
      </c>
      <c r="O163" s="654">
        <f t="shared" si="63"/>
        <v>-1469.108624043</v>
      </c>
      <c r="P163" s="654">
        <f t="shared" si="63"/>
        <v>141.11034426099991</v>
      </c>
      <c r="Q163" s="656">
        <f t="shared" ca="1" si="63"/>
        <v>-366.24269661061498</v>
      </c>
      <c r="R163" s="656">
        <f t="shared" ca="1" si="63"/>
        <v>-1155.1461179513476</v>
      </c>
      <c r="S163" s="656">
        <f t="shared" ca="1" si="63"/>
        <v>-1423.8454268483306</v>
      </c>
      <c r="T163" s="656">
        <f t="shared" ca="1" si="63"/>
        <v>-2218.5593888241801</v>
      </c>
      <c r="U163" s="656">
        <f t="shared" ca="1" si="63"/>
        <v>-1291.5998827258081</v>
      </c>
      <c r="V163" s="656">
        <f t="shared" ca="1" si="63"/>
        <v>-665.71447864159541</v>
      </c>
      <c r="W163" s="656">
        <f t="shared" ca="1" si="63"/>
        <v>-132.99778082853891</v>
      </c>
      <c r="X163" s="656">
        <f t="shared" ca="1" si="63"/>
        <v>-270.6425757617385</v>
      </c>
      <c r="Y163" s="656">
        <f t="shared" ca="1" si="63"/>
        <v>-203.23946245335469</v>
      </c>
      <c r="Z163" s="656">
        <f t="shared" ca="1" si="63"/>
        <v>418.36647712843842</v>
      </c>
      <c r="AA163" s="656"/>
      <c r="AB163" s="657"/>
      <c r="AC163" s="657"/>
      <c r="AD163" s="657"/>
      <c r="AE163" s="657"/>
      <c r="AF163" s="657"/>
      <c r="AG163" s="657"/>
      <c r="AH163" s="657"/>
      <c r="AI163" s="657"/>
      <c r="AJ163" s="657"/>
      <c r="AK163" s="657"/>
      <c r="AL163" s="657"/>
      <c r="AM163" s="657"/>
      <c r="AN163" s="657"/>
      <c r="AO163" s="657"/>
      <c r="AP163" s="657"/>
      <c r="AQ163" s="657"/>
      <c r="AR163" s="657"/>
      <c r="AS163" s="657"/>
      <c r="AT163" s="657"/>
      <c r="AU163" s="657"/>
      <c r="AV163" s="657"/>
      <c r="AW163" s="657"/>
      <c r="AX163" s="657"/>
      <c r="AY163" s="657"/>
      <c r="AZ163" s="657"/>
      <c r="BA163" s="657"/>
    </row>
    <row r="164" spans="1:53">
      <c r="A164" s="539"/>
      <c r="B164" s="679" t="s">
        <v>383</v>
      </c>
      <c r="C164" s="664"/>
      <c r="D164" s="41"/>
      <c r="E164" s="386"/>
      <c r="F164" s="386"/>
      <c r="G164" s="386"/>
      <c r="H164" s="386"/>
      <c r="I164" s="387"/>
      <c r="J164" s="387"/>
      <c r="K164" s="387">
        <f>IF(ISTEXT('CF Raw'!F$11),K163-'CF Raw'!F36/'Output-FR (show)'!$A$124,"Chưa có BCTC")</f>
        <v>2.8421709430404007E-14</v>
      </c>
      <c r="L164" s="387">
        <f>IF(ISTEXT('CF Raw'!G$11),L163-'CF Raw'!G36/'Output-FR (show)'!$A$124,"Chưa có BCTC")</f>
        <v>0</v>
      </c>
      <c r="M164" s="387">
        <f>IF(ISTEXT('CF Raw'!H$11),M163-'CF Raw'!H36/'Output-FR (show)'!$A$124,"Chưa có BCTC")</f>
        <v>0</v>
      </c>
      <c r="N164" s="387">
        <f>IF(ISTEXT('CF Raw'!I$11),N163-'CF Raw'!I36/'Output-FR (show)'!$A$124,"Chưa có BCTC")</f>
        <v>0</v>
      </c>
      <c r="O164" s="387">
        <f>IF(ISTEXT('CF Raw'!J$11),O163-'CF Raw'!J36/'Output-FR (show)'!$A$124,"Chưa có BCTC")</f>
        <v>0</v>
      </c>
      <c r="P164" s="387">
        <f>IF(ISTEXT('CF Raw'!K$11),P163-'CF Raw'!K36/'Output-FR (show)'!$A$124,"Chưa có BCTC")</f>
        <v>-8.5265128291212022E-14</v>
      </c>
      <c r="Q164" s="1484" t="str">
        <f>IF(ISTEXT('CF Raw'!L$11),Q163-'CF Raw'!L36/'Output-FR (show)'!$A$124,"Chưa có BCTC")</f>
        <v>Chưa có BCTC</v>
      </c>
      <c r="R164" s="1484" t="str">
        <f>IF(ISTEXT('CF Raw'!M$11),R163-'CF Raw'!M36/'Output-FR (show)'!$A$124,"Chưa có BCTC")</f>
        <v>Chưa có BCTC</v>
      </c>
      <c r="S164" s="1484" t="str">
        <f>IF(ISTEXT('CF Raw'!N$11),S163-'CF Raw'!N36/'Output-FR (show)'!$A$124,"Chưa có BCTC")</f>
        <v>Chưa có BCTC</v>
      </c>
      <c r="T164" s="1484" t="str">
        <f>IF(ISTEXT('CF Raw'!O$11),T163-'CF Raw'!O36/'Output-FR (show)'!$A$124,"Chưa có BCTC")</f>
        <v>Chưa có BCTC</v>
      </c>
      <c r="U164" s="1484" t="str">
        <f>IF(ISTEXT('CF Raw'!P$11),U163-'CF Raw'!P36/'Output-FR (show)'!$A$124,"Chưa có BCTC")</f>
        <v>Chưa có BCTC</v>
      </c>
      <c r="V164" s="1484" t="str">
        <f>IF(ISTEXT('CF Raw'!Q$11),V163-'CF Raw'!Q36/'Output-FR (show)'!$A$124,"Chưa có BCTC")</f>
        <v>Chưa có BCTC</v>
      </c>
      <c r="W164" s="1484" t="str">
        <f>IF(ISTEXT('CF Raw'!R$11),W163-'CF Raw'!R36/'Output-FR (show)'!$A$124,"Chưa có BCTC")</f>
        <v>Chưa có BCTC</v>
      </c>
      <c r="X164" s="1484" t="str">
        <f>IF(ISTEXT('CF Raw'!S$11),X163-'CF Raw'!S36/'Output-FR (show)'!$A$124,"Chưa có BCTC")</f>
        <v>Chưa có BCTC</v>
      </c>
      <c r="Y164" s="1484" t="str">
        <f>IF(ISTEXT('CF Raw'!T$11),Y163-'CF Raw'!T36/'Output-FR (show)'!$A$124,"Chưa có BCTC")</f>
        <v>Chưa có BCTC</v>
      </c>
      <c r="Z164" s="1484" t="str">
        <f>IF(ISTEXT('CF Raw'!U$11),Z163-'CF Raw'!U36/'Output-FR (show)'!$A$124,"Chưa có BCTC")</f>
        <v>Chưa có BCTC</v>
      </c>
      <c r="AA164" s="1484"/>
      <c r="AB164" s="1485"/>
      <c r="AC164" s="1485"/>
      <c r="AD164" s="1485"/>
      <c r="AE164" s="1485"/>
      <c r="AF164" s="1485"/>
      <c r="AG164" s="1485"/>
      <c r="AH164" s="1485"/>
      <c r="AI164" s="1485"/>
      <c r="AJ164" s="1485"/>
      <c r="AK164" s="1485"/>
      <c r="AL164" s="1485"/>
      <c r="AM164" s="1485"/>
      <c r="AN164" s="1485"/>
      <c r="AO164" s="1485"/>
      <c r="AP164" s="1485"/>
      <c r="AQ164" s="1485"/>
      <c r="AR164" s="1485"/>
      <c r="AS164" s="681"/>
      <c r="AT164" s="681"/>
      <c r="AU164" s="681"/>
      <c r="AV164" s="681"/>
      <c r="AW164" s="681"/>
      <c r="AX164" s="681"/>
      <c r="AY164" s="681"/>
      <c r="AZ164" s="681"/>
      <c r="BA164" s="681"/>
    </row>
    <row r="165" spans="1:53">
      <c r="A165" s="539"/>
      <c r="B165" s="664"/>
      <c r="C165" s="664"/>
      <c r="D165" s="41"/>
      <c r="E165" s="89"/>
      <c r="F165" s="89"/>
      <c r="G165" s="89"/>
      <c r="H165" s="89"/>
      <c r="I165" s="89"/>
      <c r="J165" s="89"/>
      <c r="K165" s="89"/>
      <c r="L165" s="89"/>
      <c r="M165" s="89"/>
      <c r="N165" s="89"/>
      <c r="O165" s="89"/>
      <c r="P165" s="188"/>
      <c r="Q165" s="89"/>
      <c r="R165" s="89"/>
      <c r="S165" s="89"/>
      <c r="T165" s="89"/>
      <c r="U165" s="89"/>
      <c r="V165" s="89"/>
      <c r="W165" s="89"/>
      <c r="X165" s="89"/>
      <c r="Y165" s="89"/>
      <c r="Z165" s="89"/>
      <c r="AA165" s="143"/>
      <c r="AB165" s="143"/>
      <c r="AC165" s="143"/>
      <c r="AD165" s="143"/>
      <c r="AE165" s="143"/>
      <c r="AF165" s="143"/>
      <c r="AG165" s="143"/>
      <c r="AH165" s="143"/>
      <c r="AI165" s="143"/>
      <c r="AJ165" s="143"/>
      <c r="AK165" s="143"/>
      <c r="AL165" s="143"/>
      <c r="AM165" s="143"/>
      <c r="AN165" s="143"/>
      <c r="AO165" s="143"/>
      <c r="AP165" s="143"/>
      <c r="AQ165" s="143"/>
      <c r="AR165" s="143"/>
      <c r="AS165" s="89"/>
      <c r="AT165" s="89"/>
      <c r="AU165" s="89"/>
      <c r="AV165" s="89"/>
      <c r="AW165" s="89"/>
      <c r="AX165" s="89"/>
      <c r="AY165" s="89"/>
      <c r="AZ165" s="89"/>
      <c r="BA165" s="89"/>
    </row>
    <row r="166" spans="1:53">
      <c r="A166" s="539"/>
      <c r="B166" s="664" t="s">
        <v>696</v>
      </c>
      <c r="C166" s="664" t="s">
        <v>697</v>
      </c>
      <c r="D166" s="41"/>
      <c r="E166" s="89"/>
      <c r="F166" s="89"/>
      <c r="G166" s="89"/>
      <c r="H166" s="89"/>
      <c r="I166" s="90"/>
      <c r="J166" s="90"/>
      <c r="K166" s="90">
        <f>IF(ISTEXT('CF Raw'!F$11),('CF Raw'!F47+'CF Raw'!F48)/'Output-FR (show)'!$A$124,'Output-FR (show)'!K82-'Output-FR (show)'!J82)</f>
        <v>-916.70386144000008</v>
      </c>
      <c r="L166" s="90">
        <f>IF(ISTEXT('CF Raw'!G$11),('CF Raw'!G47+'CF Raw'!G48)/'Output-FR (show)'!$A$124,'Output-FR (show)'!L82-'Output-FR (show)'!K82)</f>
        <v>-960.55125682999983</v>
      </c>
      <c r="M166" s="90">
        <f>IF(ISTEXT('CF Raw'!H$11),('CF Raw'!H47+'CF Raw'!H48)/'Output-FR (show)'!$A$124,'Output-FR (show)'!M82-'Output-FR (show)'!L82)</f>
        <v>-123.6687409719998</v>
      </c>
      <c r="N166" s="90">
        <f>IF(ISTEXT('CF Raw'!I$11),('CF Raw'!I47+'CF Raw'!I48)/'Output-FR (show)'!$A$124,'Output-FR (show)'!N82-'Output-FR (show)'!M82)</f>
        <v>-682.80508751799994</v>
      </c>
      <c r="O166" s="90">
        <f>IF(ISTEXT('CF Raw'!J$11),('CF Raw'!J47+'CF Raw'!J48)/'Output-FR (show)'!$A$124,'Output-FR (show)'!O82-'Output-FR (show)'!N82)</f>
        <v>835.86052247400005</v>
      </c>
      <c r="P166" s="90">
        <f>IF(ISTEXT('CF Raw'!K$11),('CF Raw'!K47+'CF Raw'!K48)/'Output-FR (show)'!$A$124,'Output-FR (show)'!P82-'Output-FR (show)'!O82)</f>
        <v>437.05549722299997</v>
      </c>
      <c r="Q166" s="142">
        <f ca="1">IF(ISTEXT('CF Raw'!L$11),('CF Raw'!L47+'CF Raw'!L48)/'Output-FR (show)'!$A$124,'Output-FR (show)'!Q82-'Output-FR (show)'!P82)</f>
        <v>398.49558594556515</v>
      </c>
      <c r="R166" s="142">
        <f ca="1">IF(ISTEXT('CF Raw'!M$11),('CF Raw'!M47+'CF Raw'!M48)/'Output-FR (show)'!$A$124,'Output-FR (show)'!R82-'Output-FR (show)'!Q82)</f>
        <v>57.724395594605767</v>
      </c>
      <c r="S166" s="142">
        <f ca="1">IF(ISTEXT('CF Raw'!N$11),('CF Raw'!N47+'CF Raw'!N48)/'Output-FR (show)'!$A$124,'Output-FR (show)'!S82-'Output-FR (show)'!R82)</f>
        <v>-134.89971096615523</v>
      </c>
      <c r="T166" s="142">
        <f ca="1">IF(ISTEXT('CF Raw'!O$11),('CF Raw'!O47+'CF Raw'!O48)/'Output-FR (show)'!$A$124,'Output-FR (show)'!T82-'Output-FR (show)'!S82)</f>
        <v>586.31089380324329</v>
      </c>
      <c r="U166" s="142">
        <f ca="1">IF(ISTEXT('CF Raw'!P$11),('CF Raw'!P47+'CF Raw'!P48)/'Output-FR (show)'!$A$124,'Output-FR (show)'!U82-'Output-FR (show)'!T82)</f>
        <v>17.308467150686738</v>
      </c>
      <c r="V166" s="142">
        <f ca="1">IF(ISTEXT('CF Raw'!Q$11),('CF Raw'!Q47+'CF Raw'!Q48)/'Output-FR (show)'!$A$124,'Output-FR (show)'!V82-'Output-FR (show)'!U82)</f>
        <v>-109.00223054083585</v>
      </c>
      <c r="W166" s="142">
        <f ca="1">IF(ISTEXT('CF Raw'!R$11),('CF Raw'!R47+'CF Raw'!R48)/'Output-FR (show)'!$A$124,'Output-FR (show)'!W82-'Output-FR (show)'!V82)</f>
        <v>60.978228296258521</v>
      </c>
      <c r="X166" s="142">
        <f ca="1">IF(ISTEXT('CF Raw'!S$11),('CF Raw'!S47+'CF Raw'!S48)/'Output-FR (show)'!$A$124,'Output-FR (show)'!X82-'Output-FR (show)'!W82)</f>
        <v>142.47875379971902</v>
      </c>
      <c r="Y166" s="142">
        <f ca="1">IF(ISTEXT('CF Raw'!T$11),('CF Raw'!T47+'CF Raw'!T48)/'Output-FR (show)'!$A$124,'Output-FR (show)'!Y82-'Output-FR (show)'!X82)</f>
        <v>119.09067642800301</v>
      </c>
      <c r="Z166" s="142">
        <f ca="1">IF(ISTEXT('CF Raw'!U$11),('CF Raw'!U47+'CF Raw'!U48)/'Output-FR (show)'!$A$124,'Output-FR (show)'!Z82-'Output-FR (show)'!Y82)</f>
        <v>125.26455396504434</v>
      </c>
      <c r="AA166" s="142"/>
      <c r="AB166" s="143"/>
      <c r="AC166" s="143"/>
      <c r="AD166" s="143"/>
      <c r="AE166" s="143"/>
      <c r="AF166" s="143"/>
      <c r="AG166" s="143"/>
      <c r="AH166" s="143"/>
      <c r="AI166" s="143"/>
      <c r="AJ166" s="143"/>
      <c r="AK166" s="143"/>
      <c r="AL166" s="143"/>
      <c r="AM166" s="143"/>
      <c r="AN166" s="143"/>
      <c r="AO166" s="143"/>
      <c r="AP166" s="143"/>
      <c r="AQ166" s="143"/>
      <c r="AR166" s="143"/>
      <c r="AS166" s="143"/>
      <c r="AT166" s="143"/>
      <c r="AU166" s="143"/>
      <c r="AV166" s="143"/>
      <c r="AW166" s="143"/>
      <c r="AX166" s="143"/>
      <c r="AY166" s="143"/>
      <c r="AZ166" s="143"/>
      <c r="BA166" s="143"/>
    </row>
    <row r="167" spans="1:53">
      <c r="A167" s="539"/>
      <c r="B167" s="664" t="s">
        <v>698</v>
      </c>
      <c r="C167" s="664" t="s">
        <v>699</v>
      </c>
      <c r="D167" s="41"/>
      <c r="E167" s="89"/>
      <c r="F167" s="89"/>
      <c r="G167" s="89"/>
      <c r="H167" s="89"/>
      <c r="I167" s="89"/>
      <c r="J167" s="89"/>
      <c r="K167" s="89"/>
      <c r="L167" s="89"/>
      <c r="M167" s="89"/>
      <c r="N167" s="90"/>
      <c r="O167" s="90"/>
      <c r="P167" s="568"/>
      <c r="Q167" s="142">
        <f>+'Output-FR (show)'!Q92-'Output-FR (show)'!P92</f>
        <v>231.57364269362807</v>
      </c>
      <c r="R167" s="142">
        <f>+'Output-FR (show)'!R92-'Output-FR (show)'!Q92</f>
        <v>145.90694137461492</v>
      </c>
      <c r="S167" s="142">
        <f>+'Output-FR (show)'!S92-'Output-FR (show)'!R92</f>
        <v>86.707130804051531</v>
      </c>
      <c r="T167" s="142">
        <f>+'Output-FR (show)'!T92-'Output-FR (show)'!S92</f>
        <v>230.60209895025935</v>
      </c>
      <c r="U167" s="142">
        <f>+'Output-FR (show)'!U92-'Output-FR (show)'!T92</f>
        <v>-102.79329308384149</v>
      </c>
      <c r="V167" s="142">
        <f>+'Output-FR (show)'!V92-'Output-FR (show)'!U92</f>
        <v>-135.86401181779252</v>
      </c>
      <c r="W167" s="142">
        <f>+'Output-FR (show)'!W92-'Output-FR (show)'!V92</f>
        <v>-130.32593361463728</v>
      </c>
      <c r="X167" s="142">
        <f>+'Output-FR (show)'!X92-'Output-FR (show)'!W92</f>
        <v>-86.676150230996882</v>
      </c>
      <c r="Y167" s="142">
        <f>+'Output-FR (show)'!Y92-'Output-FR (show)'!X92</f>
        <v>-20.796390354495088</v>
      </c>
      <c r="Z167" s="142">
        <f>+'Output-FR (show)'!Z92-'Output-FR (show)'!Y92</f>
        <v>6.9147616741691991</v>
      </c>
      <c r="AA167" s="142"/>
      <c r="AB167" s="143"/>
      <c r="AC167" s="143"/>
      <c r="AD167" s="143"/>
      <c r="AE167" s="143"/>
      <c r="AF167" s="143"/>
      <c r="AG167" s="143"/>
      <c r="AH167" s="143"/>
      <c r="AI167" s="143"/>
      <c r="AJ167" s="143"/>
      <c r="AK167" s="143"/>
      <c r="AL167" s="143"/>
      <c r="AM167" s="143"/>
      <c r="AN167" s="143"/>
      <c r="AO167" s="143"/>
      <c r="AP167" s="143"/>
      <c r="AQ167" s="143"/>
      <c r="AR167" s="143"/>
      <c r="AS167" s="143"/>
      <c r="AT167" s="143"/>
      <c r="AU167" s="143"/>
      <c r="AV167" s="143"/>
      <c r="AW167" s="143"/>
      <c r="AX167" s="143"/>
      <c r="AY167" s="143"/>
      <c r="AZ167" s="143"/>
      <c r="BA167" s="143"/>
    </row>
    <row r="168" spans="1:53">
      <c r="A168" s="574"/>
      <c r="B168" s="682" t="s">
        <v>700</v>
      </c>
      <c r="C168" s="682" t="s">
        <v>701</v>
      </c>
      <c r="D168" s="576"/>
      <c r="E168" s="593"/>
      <c r="F168" s="593"/>
      <c r="G168" s="593"/>
      <c r="H168" s="593"/>
      <c r="I168" s="593"/>
      <c r="J168" s="593"/>
      <c r="K168" s="593"/>
      <c r="L168" s="593"/>
      <c r="M168" s="593"/>
      <c r="N168" s="593"/>
      <c r="O168" s="593"/>
      <c r="P168" s="649"/>
      <c r="Q168" s="597"/>
      <c r="R168" s="597"/>
      <c r="S168" s="597"/>
      <c r="T168" s="597"/>
      <c r="U168" s="597"/>
      <c r="V168" s="597"/>
      <c r="W168" s="597"/>
      <c r="X168" s="597"/>
      <c r="Y168" s="597"/>
      <c r="Z168" s="597"/>
      <c r="AA168" s="597"/>
      <c r="AB168" s="597"/>
      <c r="AC168" s="597"/>
      <c r="AD168" s="597"/>
      <c r="AE168" s="597"/>
      <c r="AF168" s="597"/>
      <c r="AG168" s="597"/>
      <c r="AH168" s="597"/>
      <c r="AI168" s="597"/>
      <c r="AJ168" s="597"/>
      <c r="AK168" s="597"/>
      <c r="AL168" s="597"/>
      <c r="AM168" s="597"/>
      <c r="AN168" s="597"/>
      <c r="AO168" s="597"/>
      <c r="AP168" s="597"/>
      <c r="AQ168" s="597"/>
      <c r="AR168" s="597"/>
      <c r="AS168" s="597"/>
      <c r="AT168" s="597"/>
      <c r="AU168" s="597"/>
      <c r="AV168" s="597"/>
      <c r="AW168" s="597"/>
      <c r="AX168" s="597"/>
      <c r="AY168" s="597"/>
      <c r="AZ168" s="597"/>
      <c r="BA168" s="597"/>
    </row>
    <row r="169" spans="1:53">
      <c r="A169" s="574"/>
      <c r="B169" s="682" t="s">
        <v>702</v>
      </c>
      <c r="C169" s="682" t="s">
        <v>703</v>
      </c>
      <c r="D169" s="576"/>
      <c r="E169" s="593"/>
      <c r="F169" s="593"/>
      <c r="G169" s="593"/>
      <c r="H169" s="593"/>
      <c r="I169" s="593"/>
      <c r="J169" s="593"/>
      <c r="K169" s="593"/>
      <c r="L169" s="593"/>
      <c r="M169" s="593"/>
      <c r="N169" s="593"/>
      <c r="O169" s="593"/>
      <c r="P169" s="649"/>
      <c r="Q169" s="597"/>
      <c r="R169" s="597"/>
      <c r="S169" s="597"/>
      <c r="T169" s="597"/>
      <c r="U169" s="597"/>
      <c r="V169" s="597"/>
      <c r="W169" s="597"/>
      <c r="X169" s="597"/>
      <c r="Y169" s="597"/>
      <c r="Z169" s="597"/>
      <c r="AA169" s="597"/>
      <c r="AB169" s="597"/>
      <c r="AC169" s="597"/>
      <c r="AD169" s="597"/>
      <c r="AE169" s="597"/>
      <c r="AF169" s="597"/>
      <c r="AG169" s="597"/>
      <c r="AH169" s="597"/>
      <c r="AI169" s="597"/>
      <c r="AJ169" s="597"/>
      <c r="AK169" s="597"/>
      <c r="AL169" s="597"/>
      <c r="AM169" s="597"/>
      <c r="AN169" s="597"/>
      <c r="AO169" s="597"/>
      <c r="AP169" s="597"/>
      <c r="AQ169" s="597"/>
      <c r="AR169" s="597"/>
      <c r="AS169" s="597"/>
      <c r="AT169" s="597"/>
      <c r="AU169" s="597"/>
      <c r="AV169" s="597"/>
      <c r="AW169" s="597"/>
      <c r="AX169" s="597"/>
      <c r="AY169" s="597"/>
      <c r="AZ169" s="597"/>
      <c r="BA169" s="597"/>
    </row>
    <row r="170" spans="1:53">
      <c r="A170" s="574"/>
      <c r="B170" s="682" t="s">
        <v>704</v>
      </c>
      <c r="C170" s="682" t="s">
        <v>705</v>
      </c>
      <c r="D170" s="576"/>
      <c r="E170" s="593"/>
      <c r="F170" s="593"/>
      <c r="G170" s="593"/>
      <c r="H170" s="593"/>
      <c r="I170" s="593"/>
      <c r="J170" s="593"/>
      <c r="K170" s="593"/>
      <c r="L170" s="593"/>
      <c r="M170" s="593"/>
      <c r="N170" s="593"/>
      <c r="O170" s="593"/>
      <c r="P170" s="649"/>
      <c r="Q170" s="597"/>
      <c r="R170" s="597"/>
      <c r="S170" s="597"/>
      <c r="T170" s="597"/>
      <c r="U170" s="597"/>
      <c r="V170" s="597"/>
      <c r="W170" s="597"/>
      <c r="X170" s="597"/>
      <c r="Y170" s="597"/>
      <c r="Z170" s="597"/>
      <c r="AA170" s="597"/>
      <c r="AB170" s="597"/>
      <c r="AC170" s="597"/>
      <c r="AD170" s="597"/>
      <c r="AE170" s="597"/>
      <c r="AF170" s="597"/>
      <c r="AG170" s="597"/>
      <c r="AH170" s="597"/>
      <c r="AI170" s="597"/>
      <c r="AJ170" s="597"/>
      <c r="AK170" s="597"/>
      <c r="AL170" s="597"/>
      <c r="AM170" s="597"/>
      <c r="AN170" s="597"/>
      <c r="AO170" s="597"/>
      <c r="AP170" s="597"/>
      <c r="AQ170" s="597"/>
      <c r="AR170" s="597"/>
      <c r="AS170" s="597"/>
      <c r="AT170" s="597"/>
      <c r="AU170" s="597"/>
      <c r="AV170" s="597"/>
      <c r="AW170" s="597"/>
      <c r="AX170" s="597"/>
      <c r="AY170" s="597"/>
      <c r="AZ170" s="597"/>
      <c r="BA170" s="597"/>
    </row>
    <row r="171" spans="1:53">
      <c r="A171" s="476"/>
      <c r="B171" s="664" t="s">
        <v>706</v>
      </c>
      <c r="C171" s="664" t="s">
        <v>707</v>
      </c>
      <c r="D171" s="41"/>
      <c r="E171" s="89"/>
      <c r="F171" s="89"/>
      <c r="G171" s="89"/>
      <c r="H171" s="89"/>
      <c r="I171" s="90"/>
      <c r="J171" s="90"/>
      <c r="K171" s="90">
        <f>'Output-FR (show)'!K96-'Output-FR (show)'!J96</f>
        <v>0</v>
      </c>
      <c r="L171" s="90">
        <f>'Output-FR (show)'!L96-'Output-FR (show)'!K96</f>
        <v>0</v>
      </c>
      <c r="M171" s="90">
        <f>'Output-FR (show)'!M96-'Output-FR (show)'!L96</f>
        <v>0</v>
      </c>
      <c r="N171" s="90">
        <f>'Output-FR (show)'!N96-'Output-FR (show)'!M96</f>
        <v>0</v>
      </c>
      <c r="O171" s="90">
        <f>'Output-FR (show)'!O96-'Output-FR (show)'!N96</f>
        <v>0</v>
      </c>
      <c r="P171" s="90">
        <f>'Output-FR (show)'!P96-'Output-FR (show)'!O96</f>
        <v>0</v>
      </c>
      <c r="Q171" s="142">
        <f>'Output-FR (show)'!Q96-'Output-FR (show)'!P96</f>
        <v>0</v>
      </c>
      <c r="R171" s="142">
        <f>'Output-FR (show)'!R96-'Output-FR (show)'!Q96</f>
        <v>0</v>
      </c>
      <c r="S171" s="142">
        <f>'Output-FR (show)'!S96-'Output-FR (show)'!R96</f>
        <v>0</v>
      </c>
      <c r="T171" s="142">
        <f>'Output-FR (show)'!T96-'Output-FR (show)'!S96</f>
        <v>0</v>
      </c>
      <c r="U171" s="142">
        <f>'Output-FR (show)'!U96-'Output-FR (show)'!T96</f>
        <v>0</v>
      </c>
      <c r="V171" s="142">
        <f>'Output-FR (show)'!V96-'Output-FR (show)'!U96</f>
        <v>0</v>
      </c>
      <c r="W171" s="142">
        <f>'Output-FR (show)'!W96-'Output-FR (show)'!V96</f>
        <v>0</v>
      </c>
      <c r="X171" s="142">
        <f>'Output-FR (show)'!X96-'Output-FR (show)'!W96</f>
        <v>0</v>
      </c>
      <c r="Y171" s="142">
        <f>'Output-FR (show)'!Y96-'Output-FR (show)'!X96</f>
        <v>0</v>
      </c>
      <c r="Z171" s="142">
        <f>'Output-FR (show)'!Z96-'Output-FR (show)'!Y96</f>
        <v>0</v>
      </c>
      <c r="AA171" s="142"/>
      <c r="AB171" s="143"/>
      <c r="AC171" s="143"/>
      <c r="AD171" s="143"/>
      <c r="AE171" s="143"/>
      <c r="AF171" s="143"/>
      <c r="AG171" s="143"/>
      <c r="AH171" s="143"/>
      <c r="AI171" s="143"/>
      <c r="AJ171" s="143"/>
      <c r="AK171" s="143"/>
      <c r="AL171" s="143"/>
      <c r="AM171" s="143"/>
      <c r="AN171" s="143"/>
      <c r="AO171" s="143"/>
      <c r="AP171" s="143"/>
      <c r="AQ171" s="143"/>
      <c r="AR171" s="143"/>
      <c r="AS171" s="143"/>
      <c r="AT171" s="143"/>
      <c r="AU171" s="143"/>
      <c r="AV171" s="143"/>
      <c r="AW171" s="143"/>
      <c r="AX171" s="143"/>
      <c r="AY171" s="143"/>
      <c r="AZ171" s="143"/>
      <c r="BA171" s="143"/>
    </row>
    <row r="172" spans="1:53">
      <c r="A172" s="539"/>
      <c r="B172" s="5" t="s">
        <v>602</v>
      </c>
      <c r="C172" s="5" t="s">
        <v>708</v>
      </c>
      <c r="D172" s="41"/>
      <c r="E172" s="89"/>
      <c r="F172" s="89"/>
      <c r="G172" s="89"/>
      <c r="H172" s="89"/>
      <c r="I172" s="90"/>
      <c r="J172" s="90"/>
      <c r="K172" s="90">
        <f>IF(ISTEXT('CF Raw'!F$11),'CF Raw'!F50/'Output-FR (show)'!$A$124,K173+K174)</f>
        <v>-478.08180879999998</v>
      </c>
      <c r="L172" s="90">
        <f>IF(ISTEXT('CF Raw'!G$11),'CF Raw'!G50/'Output-FR (show)'!$A$124,L173+L174)</f>
        <v>-319.48562320000002</v>
      </c>
      <c r="M172" s="90">
        <f>IF(ISTEXT('CF Raw'!H$11),'CF Raw'!H50/'Output-FR (show)'!$A$124,M173+M174)</f>
        <v>-425.32459269999998</v>
      </c>
      <c r="N172" s="90">
        <f>IF(ISTEXT('CF Raw'!I$11),'CF Raw'!I50/'Output-FR (show)'!$A$124,N173+N174)</f>
        <v>-948.28119816000003</v>
      </c>
      <c r="O172" s="90">
        <f>IF(ISTEXT('CF Raw'!J$11),'CF Raw'!J50/'Output-FR (show)'!$A$124,O173+O174)</f>
        <v>-1589.8829951499999</v>
      </c>
      <c r="P172" s="90">
        <f>IF(ISTEXT('CF Raw'!K$11),'CF Raw'!K50/'Output-FR (show)'!$A$124,P173+P174)</f>
        <v>-1058.905716</v>
      </c>
      <c r="Q172" s="142">
        <f>IF(ISTEXT('CF Raw'!L$11),'CF Raw'!L50/'Output-FR (show)'!$A$124,Q173+Q174)</f>
        <v>-1058.8</v>
      </c>
      <c r="R172" s="142">
        <f>IF(ISTEXT('CF Raw'!M$11),'CF Raw'!M50/'Output-FR (show)'!$A$124,R173+R174)</f>
        <v>-1323.5</v>
      </c>
      <c r="S172" s="142">
        <f>IF(ISTEXT('CF Raw'!N$11),'CF Raw'!N50/'Output-FR (show)'!$A$124,S173+S174)</f>
        <v>-1588.1999999999998</v>
      </c>
      <c r="T172" s="142">
        <f>IF(ISTEXT('CF Raw'!O$11),'CF Raw'!O50/'Output-FR (show)'!$A$124,T173+T174)</f>
        <v>-1588.1999999999998</v>
      </c>
      <c r="U172" s="142">
        <f>IF(ISTEXT('CF Raw'!P$11),'CF Raw'!P50/'Output-FR (show)'!$A$124,U173+U174)</f>
        <v>-1852.8999999999999</v>
      </c>
      <c r="V172" s="142">
        <f>IF(ISTEXT('CF Raw'!Q$11),'CF Raw'!Q50/'Output-FR (show)'!$A$124,V173+V174)</f>
        <v>-1852.8999999999999</v>
      </c>
      <c r="W172" s="142">
        <f>IF(ISTEXT('CF Raw'!R$11),'CF Raw'!R50/'Output-FR (show)'!$A$124,W173+W174)</f>
        <v>-1588.1999999999998</v>
      </c>
      <c r="X172" s="142">
        <f>IF(ISTEXT('CF Raw'!S$11),'CF Raw'!S50/'Output-FR (show)'!$A$124,X173+X174)</f>
        <v>-2117.6</v>
      </c>
      <c r="Y172" s="142">
        <f>IF(ISTEXT('CF Raw'!T$11),'CF Raw'!T50/'Output-FR (show)'!$A$124,Y173+Y174)</f>
        <v>-2647</v>
      </c>
      <c r="Z172" s="142">
        <f>IF(ISTEXT('CF Raw'!U$11),'CF Raw'!U50/'Output-FR (show)'!$A$124,Z173+Z174)</f>
        <v>-3176.3999999999996</v>
      </c>
      <c r="AA172" s="142"/>
      <c r="AB172" s="143"/>
      <c r="AC172" s="143"/>
      <c r="AD172" s="143"/>
      <c r="AE172" s="143"/>
      <c r="AF172" s="143"/>
      <c r="AG172" s="143"/>
      <c r="AH172" s="143"/>
      <c r="AI172" s="143"/>
      <c r="AJ172" s="143"/>
      <c r="AK172" s="143"/>
      <c r="AL172" s="143"/>
      <c r="AM172" s="143"/>
      <c r="AN172" s="143"/>
      <c r="AO172" s="143"/>
      <c r="AP172" s="143"/>
      <c r="AQ172" s="143"/>
      <c r="AR172" s="143"/>
      <c r="AS172" s="143"/>
      <c r="AT172" s="143"/>
      <c r="AU172" s="143"/>
      <c r="AV172" s="143"/>
      <c r="AW172" s="143"/>
      <c r="AX172" s="143"/>
      <c r="AY172" s="143"/>
      <c r="AZ172" s="143"/>
      <c r="BA172" s="143"/>
    </row>
    <row r="173" spans="1:53">
      <c r="A173" s="574"/>
      <c r="B173" s="682" t="s">
        <v>600</v>
      </c>
      <c r="C173" s="682" t="s">
        <v>404</v>
      </c>
      <c r="D173" s="576"/>
      <c r="E173" s="593"/>
      <c r="F173" s="593"/>
      <c r="G173" s="593"/>
      <c r="H173" s="593"/>
      <c r="I173" s="594"/>
      <c r="J173" s="594"/>
      <c r="K173" s="594">
        <f>-'Output-FR (show)'!K39</f>
        <v>0</v>
      </c>
      <c r="L173" s="594">
        <f>-'Output-FR (show)'!L39</f>
        <v>0</v>
      </c>
      <c r="M173" s="594">
        <f>-'Output-FR (show)'!M39</f>
        <v>0</v>
      </c>
      <c r="N173" s="594">
        <f>-'Output-FR (show)'!N39</f>
        <v>0</v>
      </c>
      <c r="O173" s="594">
        <f>-'Output-FR (show)'!O39</f>
        <v>0</v>
      </c>
      <c r="P173" s="594">
        <f>-'Output-FR (show)'!P39</f>
        <v>0</v>
      </c>
      <c r="Q173" s="596">
        <f>-'Output-FR (show)'!Q39</f>
        <v>0</v>
      </c>
      <c r="R173" s="596">
        <f>-'Output-FR (show)'!R39</f>
        <v>0</v>
      </c>
      <c r="S173" s="596">
        <f>-'Output-FR (show)'!S39</f>
        <v>0</v>
      </c>
      <c r="T173" s="596">
        <f>-'Output-FR (show)'!T39</f>
        <v>0</v>
      </c>
      <c r="U173" s="596">
        <f>-'Output-FR (show)'!U39</f>
        <v>0</v>
      </c>
      <c r="V173" s="596">
        <f>-'Output-FR (show)'!V39</f>
        <v>0</v>
      </c>
      <c r="W173" s="596">
        <f>-'Output-FR (show)'!W39</f>
        <v>0</v>
      </c>
      <c r="X173" s="596">
        <f>-'Output-FR (show)'!X39</f>
        <v>0</v>
      </c>
      <c r="Y173" s="596">
        <f>-'Output-FR (show)'!Y39</f>
        <v>0</v>
      </c>
      <c r="Z173" s="596">
        <f>-'Output-FR (show)'!Z39</f>
        <v>0</v>
      </c>
      <c r="AA173" s="596"/>
      <c r="AB173" s="597"/>
      <c r="AC173" s="597"/>
      <c r="AD173" s="597"/>
      <c r="AE173" s="597"/>
      <c r="AF173" s="597"/>
      <c r="AG173" s="597"/>
      <c r="AH173" s="597"/>
      <c r="AI173" s="597"/>
      <c r="AJ173" s="597"/>
      <c r="AK173" s="597"/>
      <c r="AL173" s="597"/>
      <c r="AM173" s="597"/>
      <c r="AN173" s="597"/>
      <c r="AO173" s="597"/>
      <c r="AP173" s="597"/>
      <c r="AQ173" s="597"/>
      <c r="AR173" s="597"/>
      <c r="AS173" s="597"/>
      <c r="AT173" s="597"/>
      <c r="AU173" s="597"/>
      <c r="AV173" s="597"/>
      <c r="AW173" s="597"/>
      <c r="AX173" s="597"/>
      <c r="AY173" s="597"/>
      <c r="AZ173" s="597"/>
      <c r="BA173" s="597"/>
    </row>
    <row r="174" spans="1:53">
      <c r="A174" s="574"/>
      <c r="B174" s="682" t="s">
        <v>709</v>
      </c>
      <c r="C174" s="682" t="s">
        <v>410</v>
      </c>
      <c r="D174" s="576"/>
      <c r="E174" s="593"/>
      <c r="F174" s="593"/>
      <c r="G174" s="593"/>
      <c r="H174" s="593"/>
      <c r="I174" s="594"/>
      <c r="J174" s="594"/>
      <c r="K174" s="594">
        <f>-'Output-FR (show)'!K42</f>
        <v>-317.64</v>
      </c>
      <c r="L174" s="594">
        <f>-'Output-FR (show)'!L42</f>
        <v>-423.52</v>
      </c>
      <c r="M174" s="594">
        <f>-'Output-FR (show)'!M42</f>
        <v>-952.92</v>
      </c>
      <c r="N174" s="594">
        <f>-'Output-FR (show)'!N42</f>
        <v>-1588.2</v>
      </c>
      <c r="O174" s="594">
        <f>-'Output-FR (show)'!O42</f>
        <v>-1058.8</v>
      </c>
      <c r="P174" s="594">
        <f>-'Output-FR (show)'!P42</f>
        <v>-1058.8</v>
      </c>
      <c r="Q174" s="596">
        <f>-'Output-FR (show)'!Q42</f>
        <v>-1058.8</v>
      </c>
      <c r="R174" s="596">
        <f>-'Output-FR (show)'!R42</f>
        <v>-1323.5</v>
      </c>
      <c r="S174" s="596">
        <f>-'Output-FR (show)'!S42</f>
        <v>-1588.1999999999998</v>
      </c>
      <c r="T174" s="596">
        <f>-'Output-FR (show)'!T42</f>
        <v>-1588.1999999999998</v>
      </c>
      <c r="U174" s="596">
        <f>-'Output-FR (show)'!U42</f>
        <v>-1852.8999999999999</v>
      </c>
      <c r="V174" s="596">
        <f>-'Output-FR (show)'!V42</f>
        <v>-1852.8999999999999</v>
      </c>
      <c r="W174" s="596">
        <f>-'Output-FR (show)'!W42</f>
        <v>-1588.1999999999998</v>
      </c>
      <c r="X174" s="596">
        <f>-'Output-FR (show)'!X42</f>
        <v>-2117.6</v>
      </c>
      <c r="Y174" s="596">
        <f>-'Output-FR (show)'!Y42</f>
        <v>-2647</v>
      </c>
      <c r="Z174" s="596">
        <f>-'Output-FR (show)'!Z42</f>
        <v>-3176.3999999999996</v>
      </c>
      <c r="AA174" s="596"/>
      <c r="AB174" s="597"/>
      <c r="AC174" s="597"/>
      <c r="AD174" s="597"/>
      <c r="AE174" s="597"/>
      <c r="AF174" s="597"/>
      <c r="AG174" s="597"/>
      <c r="AH174" s="597"/>
      <c r="AI174" s="597"/>
      <c r="AJ174" s="597"/>
      <c r="AK174" s="597"/>
      <c r="AL174" s="597"/>
      <c r="AM174" s="597"/>
      <c r="AN174" s="597"/>
      <c r="AO174" s="597"/>
      <c r="AP174" s="597"/>
      <c r="AQ174" s="597"/>
      <c r="AR174" s="597"/>
      <c r="AS174" s="597"/>
      <c r="AT174" s="597"/>
      <c r="AU174" s="597"/>
      <c r="AV174" s="597"/>
      <c r="AW174" s="597"/>
      <c r="AX174" s="597"/>
      <c r="AY174" s="597"/>
      <c r="AZ174" s="597"/>
      <c r="BA174" s="597"/>
    </row>
    <row r="175" spans="1:53">
      <c r="A175" s="539"/>
      <c r="B175" s="5" t="s">
        <v>710</v>
      </c>
      <c r="C175" s="5" t="s">
        <v>711</v>
      </c>
      <c r="D175" s="41"/>
      <c r="E175" s="89"/>
      <c r="F175" s="89"/>
      <c r="G175" s="89"/>
      <c r="H175" s="89"/>
      <c r="I175" s="90"/>
      <c r="J175" s="90"/>
      <c r="K175" s="90">
        <f>IF(ISTEXT('CF Raw'!F$11),('CF Raw'!F45+'CF Raw'!F46)/'Output-FR (show)'!$A$124,SUM(K176:K178))</f>
        <v>0</v>
      </c>
      <c r="L175" s="90">
        <f>IF(ISTEXT('CF Raw'!G$11),('CF Raw'!G45+'CF Raw'!G46)/'Output-FR (show)'!$A$124,SUM(L176:L178))</f>
        <v>0</v>
      </c>
      <c r="M175" s="90">
        <f>IF(ISTEXT('CF Raw'!H$11),('CF Raw'!H45+'CF Raw'!H46)/'Output-FR (show)'!$A$124,SUM(M176:M178))</f>
        <v>0</v>
      </c>
      <c r="N175" s="90">
        <f>IF(ISTEXT('CF Raw'!I$11),('CF Raw'!I45+'CF Raw'!I46)/'Output-FR (show)'!$A$124,SUM(N176:N178))</f>
        <v>0</v>
      </c>
      <c r="O175" s="90">
        <f>IF(ISTEXT('CF Raw'!J$11),('CF Raw'!J45+'CF Raw'!J46)/'Output-FR (show)'!$A$124,SUM(O176:O178))</f>
        <v>0</v>
      </c>
      <c r="P175" s="90">
        <f>IF(ISTEXT('CF Raw'!K$11),('CF Raw'!K45+'CF Raw'!K46)/'Output-FR (show)'!$A$124,SUM(P176:P178))</f>
        <v>0</v>
      </c>
      <c r="Q175" s="142">
        <f>IF(ISTEXT('CF Raw'!L$11),('CF Raw'!L45+'CF Raw'!L46)/'Output-FR (show)'!$A$124,SUM(Q176:Q178))</f>
        <v>203.29959586357472</v>
      </c>
      <c r="R175" s="142">
        <f>IF(ISTEXT('CF Raw'!M$11),('CF Raw'!M45+'CF Raw'!M46)/'Output-FR (show)'!$A$124,SUM(R176:R178))</f>
        <v>471.93698393082104</v>
      </c>
      <c r="S175" s="142">
        <f>IF(ISTEXT('CF Raw'!N$11),('CF Raw'!N45+'CF Raw'!N46)/'Output-FR (show)'!$A$124,SUM(S176:S178))</f>
        <v>542.17100848431346</v>
      </c>
      <c r="T175" s="142">
        <f>IF(ISTEXT('CF Raw'!O$11),('CF Raw'!O45+'CF Raw'!O46)/'Output-FR (show)'!$A$124,SUM(T176:T178))</f>
        <v>795.20413102958446</v>
      </c>
      <c r="U175" s="142">
        <f>IF(ISTEXT('CF Raw'!P$11),('CF Raw'!P45+'CF Raw'!P46)/'Output-FR (show)'!$A$124,SUM(U176:U178))</f>
        <v>448.24401280667644</v>
      </c>
      <c r="V175" s="142">
        <f>IF(ISTEXT('CF Raw'!Q$11),('CF Raw'!Q45+'CF Raw'!Q46)/'Output-FR (show)'!$A$124,SUM(V176:V178))</f>
        <v>488.58597395927791</v>
      </c>
      <c r="W175" s="142">
        <f>IF(ISTEXT('CF Raw'!R$11),('CF Raw'!R45+'CF Raw'!R46)/'Output-FR (show)'!$A$124,SUM(W176:W178))</f>
        <v>236.69276071805052</v>
      </c>
      <c r="X175" s="142">
        <f>IF(ISTEXT('CF Raw'!S$11),('CF Raw'!S45+'CF Raw'!S46)/'Output-FR (show)'!$A$124,SUM(X176:X178))</f>
        <v>246.16047114677258</v>
      </c>
      <c r="Y175" s="142">
        <f>IF(ISTEXT('CF Raw'!T$11),('CF Raw'!T45+'CF Raw'!T46)/'Output-FR (show)'!$A$124,SUM(Y176:Y178))</f>
        <v>256.00688999264275</v>
      </c>
      <c r="Z175" s="142">
        <f>IF(ISTEXT('CF Raw'!U$11),('CF Raw'!U45+'CF Raw'!U46)/'Output-FR (show)'!$A$124,SUM(Z176:Z178))</f>
        <v>266.24716559234912</v>
      </c>
      <c r="AA175" s="142"/>
      <c r="AB175" s="143"/>
      <c r="AC175" s="143"/>
      <c r="AD175" s="143"/>
      <c r="AE175" s="143"/>
      <c r="AF175" s="143"/>
      <c r="AG175" s="143"/>
      <c r="AH175" s="143"/>
      <c r="AI175" s="143"/>
      <c r="AJ175" s="143"/>
      <c r="AK175" s="143"/>
      <c r="AL175" s="143"/>
      <c r="AM175" s="143"/>
      <c r="AN175" s="143"/>
      <c r="AO175" s="143"/>
      <c r="AP175" s="143"/>
      <c r="AQ175" s="143"/>
      <c r="AR175" s="143"/>
      <c r="AS175" s="143"/>
      <c r="AT175" s="143"/>
      <c r="AU175" s="143"/>
      <c r="AV175" s="143"/>
      <c r="AW175" s="143"/>
      <c r="AX175" s="143"/>
      <c r="AY175" s="143"/>
      <c r="AZ175" s="143"/>
      <c r="BA175" s="143"/>
    </row>
    <row r="176" spans="1:53">
      <c r="A176" s="574"/>
      <c r="B176" s="682" t="s">
        <v>712</v>
      </c>
      <c r="C176" s="682" t="s">
        <v>713</v>
      </c>
      <c r="D176" s="576"/>
      <c r="E176" s="593"/>
      <c r="F176" s="593"/>
      <c r="G176" s="593"/>
      <c r="H176" s="593"/>
      <c r="I176" s="594"/>
      <c r="J176" s="594"/>
      <c r="K176" s="594">
        <f>+'Output-FR (show)'!K106-'Output-FR (show)'!J106</f>
        <v>0</v>
      </c>
      <c r="L176" s="594">
        <f>+'Output-FR (show)'!L106-'Output-FR (show)'!K106</f>
        <v>0</v>
      </c>
      <c r="M176" s="594">
        <f>+'Output-FR (show)'!M106-'Output-FR (show)'!L106</f>
        <v>0</v>
      </c>
      <c r="N176" s="594">
        <f>+'Output-FR (show)'!N106-'Output-FR (show)'!M106</f>
        <v>0</v>
      </c>
      <c r="O176" s="594">
        <f>+'Output-FR (show)'!O106-'Output-FR (show)'!N106</f>
        <v>0</v>
      </c>
      <c r="P176" s="594">
        <f>+'Output-FR (show)'!P106-'Output-FR (show)'!O106</f>
        <v>0</v>
      </c>
      <c r="Q176" s="596">
        <f>+'Output-FR (show)'!Q106-'Output-FR (show)'!P106</f>
        <v>0</v>
      </c>
      <c r="R176" s="596">
        <f>+'Output-FR (show)'!R106-'Output-FR (show)'!Q106</f>
        <v>0</v>
      </c>
      <c r="S176" s="596">
        <f>+'Output-FR (show)'!S106-'Output-FR (show)'!R106</f>
        <v>0</v>
      </c>
      <c r="T176" s="596">
        <f>+'Output-FR (show)'!T106-'Output-FR (show)'!S106</f>
        <v>0</v>
      </c>
      <c r="U176" s="596">
        <f>+'Output-FR (show)'!U106-'Output-FR (show)'!T106</f>
        <v>0</v>
      </c>
      <c r="V176" s="596">
        <f>+'Output-FR (show)'!V106-'Output-FR (show)'!U106</f>
        <v>0</v>
      </c>
      <c r="W176" s="596">
        <f>+'Output-FR (show)'!W106-'Output-FR (show)'!V106</f>
        <v>0</v>
      </c>
      <c r="X176" s="596">
        <f>+'Output-FR (show)'!X106-'Output-FR (show)'!W106</f>
        <v>0</v>
      </c>
      <c r="Y176" s="596">
        <f>+'Output-FR (show)'!Y106-'Output-FR (show)'!X106</f>
        <v>0</v>
      </c>
      <c r="Z176" s="596">
        <f>+'Output-FR (show)'!Z106-'Output-FR (show)'!Y106</f>
        <v>0</v>
      </c>
      <c r="AA176" s="596"/>
      <c r="AB176" s="597"/>
      <c r="AC176" s="597"/>
      <c r="AD176" s="597"/>
      <c r="AE176" s="597"/>
      <c r="AF176" s="597"/>
      <c r="AG176" s="597"/>
      <c r="AH176" s="597"/>
      <c r="AI176" s="597"/>
      <c r="AJ176" s="597"/>
      <c r="AK176" s="597"/>
      <c r="AL176" s="597"/>
      <c r="AM176" s="597"/>
      <c r="AN176" s="597"/>
      <c r="AO176" s="597"/>
      <c r="AP176" s="597"/>
      <c r="AQ176" s="597"/>
      <c r="AR176" s="597"/>
      <c r="AS176" s="597"/>
      <c r="AT176" s="597"/>
      <c r="AU176" s="597"/>
      <c r="AV176" s="597"/>
      <c r="AW176" s="597"/>
      <c r="AX176" s="597"/>
      <c r="AY176" s="597"/>
      <c r="AZ176" s="597"/>
      <c r="BA176" s="597"/>
    </row>
    <row r="177" spans="1:53">
      <c r="A177" s="574"/>
      <c r="B177" s="682" t="s">
        <v>714</v>
      </c>
      <c r="C177" s="682" t="s">
        <v>715</v>
      </c>
      <c r="D177" s="576"/>
      <c r="E177" s="593"/>
      <c r="F177" s="593"/>
      <c r="G177" s="593"/>
      <c r="H177" s="593"/>
      <c r="I177" s="594"/>
      <c r="J177" s="594"/>
      <c r="K177" s="594">
        <f>('Output-FR (show)'!K107-'Output-FR (show)'!J107)</f>
        <v>5294</v>
      </c>
      <c r="L177" s="594">
        <f>('Output-FR (show)'!L107-'Output-FR (show)'!K107)</f>
        <v>0</v>
      </c>
      <c r="M177" s="594">
        <f>('Output-FR (show)'!M107-'Output-FR (show)'!L107)</f>
        <v>0</v>
      </c>
      <c r="N177" s="594">
        <f>('Output-FR (show)'!N107-'Output-FR (show)'!M107)</f>
        <v>0</v>
      </c>
      <c r="O177" s="594">
        <f>('Output-FR (show)'!O107-'Output-FR (show)'!N107)</f>
        <v>0</v>
      </c>
      <c r="P177" s="594">
        <f>('Output-FR (show)'!P107-'Output-FR (show)'!O107)</f>
        <v>0</v>
      </c>
      <c r="Q177" s="596">
        <f>('Output-FR (show)'!Q107-'Output-FR (show)'!P107)</f>
        <v>0</v>
      </c>
      <c r="R177" s="596">
        <f>('Output-FR (show)'!R107-'Output-FR (show)'!Q107)</f>
        <v>0</v>
      </c>
      <c r="S177" s="596">
        <f>('Output-FR (show)'!S107-'Output-FR (show)'!R107)</f>
        <v>0</v>
      </c>
      <c r="T177" s="596">
        <f>('Output-FR (show)'!T107-'Output-FR (show)'!S107)</f>
        <v>0</v>
      </c>
      <c r="U177" s="596">
        <f>('Output-FR (show)'!U107-'Output-FR (show)'!T107)</f>
        <v>0</v>
      </c>
      <c r="V177" s="596">
        <f>('Output-FR (show)'!V107-'Output-FR (show)'!U107)</f>
        <v>0</v>
      </c>
      <c r="W177" s="596">
        <f>('Output-FR (show)'!W107-'Output-FR (show)'!V107)</f>
        <v>0</v>
      </c>
      <c r="X177" s="596">
        <f>('Output-FR (show)'!X107-'Output-FR (show)'!W107)</f>
        <v>0</v>
      </c>
      <c r="Y177" s="596">
        <f>('Output-FR (show)'!Y107-'Output-FR (show)'!X107)</f>
        <v>0</v>
      </c>
      <c r="Z177" s="596">
        <f>('Output-FR (show)'!Z107-'Output-FR (show)'!Y107)</f>
        <v>0</v>
      </c>
      <c r="AA177" s="596"/>
      <c r="AB177" s="597"/>
      <c r="AC177" s="597"/>
      <c r="AD177" s="597"/>
      <c r="AE177" s="597"/>
      <c r="AF177" s="597"/>
      <c r="AG177" s="597"/>
      <c r="AH177" s="597"/>
      <c r="AI177" s="597"/>
      <c r="AJ177" s="597"/>
      <c r="AK177" s="597"/>
      <c r="AL177" s="597"/>
      <c r="AM177" s="597"/>
      <c r="AN177" s="597"/>
      <c r="AO177" s="597"/>
      <c r="AP177" s="597"/>
      <c r="AQ177" s="597"/>
      <c r="AR177" s="597"/>
      <c r="AS177" s="597"/>
      <c r="AT177" s="597"/>
      <c r="AU177" s="597"/>
      <c r="AV177" s="597"/>
      <c r="AW177" s="597"/>
      <c r="AX177" s="597"/>
      <c r="AY177" s="597"/>
      <c r="AZ177" s="597"/>
      <c r="BA177" s="597"/>
    </row>
    <row r="178" spans="1:53">
      <c r="A178" s="574"/>
      <c r="B178" s="682" t="s">
        <v>716</v>
      </c>
      <c r="C178" s="682" t="s">
        <v>717</v>
      </c>
      <c r="D178" s="576"/>
      <c r="E178" s="593"/>
      <c r="F178" s="593"/>
      <c r="G178" s="593"/>
      <c r="H178" s="593"/>
      <c r="I178" s="594"/>
      <c r="J178" s="594"/>
      <c r="K178" s="594">
        <f>+('Output-FR (show)'!K108-'Output-FR (show)'!J108)+('Output-FR (show)'!K110-'Output-FR (show)'!J110)/Input!$B$1</f>
        <v>356.20372633699986</v>
      </c>
      <c r="L178" s="594">
        <f>+('Output-FR (show)'!L108-'Output-FR (show)'!K108)+('Output-FR (show)'!L110-'Output-FR (show)'!K110)/Input!$B$1</f>
        <v>66.429112258000259</v>
      </c>
      <c r="M178" s="594">
        <f>+('Output-FR (show)'!M108-'Output-FR (show)'!L108)+('Output-FR (show)'!M110-'Output-FR (show)'!L110)/Input!$B$1</f>
        <v>546.89085463699962</v>
      </c>
      <c r="N178" s="594">
        <f>+('Output-FR (show)'!N108-'Output-FR (show)'!M108)+('Output-FR (show)'!N110-'Output-FR (show)'!M110)/Input!$B$1</f>
        <v>1294.3267297470004</v>
      </c>
      <c r="O178" s="594">
        <f>+('Output-FR (show)'!O108-'Output-FR (show)'!N108)+('Output-FR (show)'!O110-'Output-FR (show)'!N110)/Input!$B$1</f>
        <v>333.0904002909997</v>
      </c>
      <c r="P178" s="594">
        <f>+('Output-FR (show)'!P108-'Output-FR (show)'!O108)+('Output-FR (show)'!P110-'Output-FR (show)'!O110)/Input!$B$1</f>
        <v>370.93648860700068</v>
      </c>
      <c r="Q178" s="596">
        <f>+('Output-FR (show)'!Q108-'Output-FR (show)'!P108)+('Output-FR (show)'!Q110-'Output-FR (show)'!P110)/Input!$B$1</f>
        <v>203.29959586357472</v>
      </c>
      <c r="R178" s="596">
        <f>+('Output-FR (show)'!R108-'Output-FR (show)'!Q108)+('Output-FR (show)'!R110-'Output-FR (show)'!Q110)/Input!$B$1</f>
        <v>471.93698393082104</v>
      </c>
      <c r="S178" s="596">
        <f>+('Output-FR (show)'!S108-'Output-FR (show)'!R108)+('Output-FR (show)'!S110-'Output-FR (show)'!R110)/Input!$B$1</f>
        <v>542.17100848431346</v>
      </c>
      <c r="T178" s="596">
        <f>+('Output-FR (show)'!T108-'Output-FR (show)'!S108)+('Output-FR (show)'!T110-'Output-FR (show)'!S110)/Input!$B$1</f>
        <v>795.20413102958446</v>
      </c>
      <c r="U178" s="596">
        <f>+('Output-FR (show)'!U108-'Output-FR (show)'!T108)+('Output-FR (show)'!U110-'Output-FR (show)'!T110)/Input!$B$1</f>
        <v>448.24401280667644</v>
      </c>
      <c r="V178" s="596">
        <f>+('Output-FR (show)'!V108-'Output-FR (show)'!U108)+('Output-FR (show)'!V110-'Output-FR (show)'!U110)/Input!$B$1</f>
        <v>488.58597395927791</v>
      </c>
      <c r="W178" s="596">
        <f>+('Output-FR (show)'!W108-'Output-FR (show)'!V108)+('Output-FR (show)'!W110-'Output-FR (show)'!V110)/Input!$B$1</f>
        <v>236.69276071805052</v>
      </c>
      <c r="X178" s="596">
        <f>+('Output-FR (show)'!X108-'Output-FR (show)'!W108)+('Output-FR (show)'!X110-'Output-FR (show)'!W110)/Input!$B$1</f>
        <v>246.16047114677258</v>
      </c>
      <c r="Y178" s="596">
        <f>+('Output-FR (show)'!Y108-'Output-FR (show)'!X108)+('Output-FR (show)'!Y110-'Output-FR (show)'!X110)/Input!$B$1</f>
        <v>256.00688999264275</v>
      </c>
      <c r="Z178" s="596">
        <f>+('Output-FR (show)'!Z108-'Output-FR (show)'!Y108)+('Output-FR (show)'!Z110-'Output-FR (show)'!Y110)/Input!$B$1</f>
        <v>266.24716559234912</v>
      </c>
      <c r="AA178" s="596"/>
      <c r="AB178" s="597"/>
      <c r="AC178" s="597"/>
      <c r="AD178" s="597"/>
      <c r="AE178" s="597"/>
      <c r="AF178" s="597"/>
      <c r="AG178" s="597"/>
      <c r="AH178" s="597"/>
      <c r="AI178" s="597"/>
      <c r="AJ178" s="597"/>
      <c r="AK178" s="597"/>
      <c r="AL178" s="597"/>
      <c r="AM178" s="597"/>
      <c r="AN178" s="597"/>
      <c r="AO178" s="597"/>
      <c r="AP178" s="597"/>
      <c r="AQ178" s="597"/>
      <c r="AR178" s="597"/>
      <c r="AS178" s="597"/>
      <c r="AT178" s="597"/>
      <c r="AU178" s="597"/>
      <c r="AV178" s="597"/>
      <c r="AW178" s="597"/>
      <c r="AX178" s="597"/>
      <c r="AY178" s="597"/>
      <c r="AZ178" s="597"/>
      <c r="BA178" s="597"/>
    </row>
    <row r="179" spans="1:53">
      <c r="A179" s="574"/>
      <c r="B179" s="5" t="s">
        <v>718</v>
      </c>
      <c r="C179" s="682"/>
      <c r="D179" s="576"/>
      <c r="E179" s="593"/>
      <c r="F179" s="593"/>
      <c r="G179" s="593"/>
      <c r="H179" s="593"/>
      <c r="I179" s="90"/>
      <c r="J179" s="90"/>
      <c r="K179" s="90">
        <f>IF(ISTEXT('CF Raw'!F11),'CF Raw'!F49,0)</f>
        <v>0</v>
      </c>
      <c r="L179" s="90">
        <f>IF(ISTEXT('CF Raw'!G11),'CF Raw'!G49,0)</f>
        <v>0</v>
      </c>
      <c r="M179" s="90">
        <f>IF(ISTEXT('CF Raw'!H11),'CF Raw'!H49,0)</f>
        <v>0</v>
      </c>
      <c r="N179" s="90">
        <f>IF(ISTEXT('CF Raw'!I11),'CF Raw'!I49,0)</f>
        <v>0</v>
      </c>
      <c r="O179" s="90">
        <f>IF(ISTEXT('CF Raw'!J11),'CF Raw'!J49,0)</f>
        <v>0</v>
      </c>
      <c r="P179" s="90">
        <f>IF(ISTEXT('CF Raw'!K11),'CF Raw'!K49,0)</f>
        <v>-2.911059244</v>
      </c>
      <c r="Q179" s="142">
        <f>IF(ISTEXT('CF Raw'!L11),'CF Raw'!L49,0)</f>
        <v>0</v>
      </c>
      <c r="R179" s="142">
        <f>IF(ISTEXT('CF Raw'!M11),'CF Raw'!M49,0)</f>
        <v>0</v>
      </c>
      <c r="S179" s="142">
        <f>IF(ISTEXT('CF Raw'!N11),'CF Raw'!N49,0)</f>
        <v>0</v>
      </c>
      <c r="T179" s="142">
        <f>IF(ISTEXT('CF Raw'!O11),'CF Raw'!O49,0)</f>
        <v>0</v>
      </c>
      <c r="U179" s="142">
        <f>IF(ISTEXT('CF Raw'!P11),'CF Raw'!P49,0)</f>
        <v>0</v>
      </c>
      <c r="V179" s="142">
        <f>IF(ISTEXT('CF Raw'!Q11),'CF Raw'!Q49,0)</f>
        <v>0</v>
      </c>
      <c r="W179" s="142">
        <f>IF(ISTEXT('CF Raw'!R11),'CF Raw'!R49,0)</f>
        <v>0</v>
      </c>
      <c r="X179" s="142">
        <f>IF(ISTEXT('CF Raw'!S11),'CF Raw'!S49,0)</f>
        <v>0</v>
      </c>
      <c r="Y179" s="142">
        <f>IF(ISTEXT('CF Raw'!T11),'CF Raw'!T49,0)</f>
        <v>0</v>
      </c>
      <c r="Z179" s="142">
        <f>IF(ISTEXT('CF Raw'!U11),'CF Raw'!U49,0)</f>
        <v>0</v>
      </c>
      <c r="AA179" s="142"/>
      <c r="AB179" s="597"/>
      <c r="AC179" s="597"/>
      <c r="AD179" s="597"/>
      <c r="AE179" s="597"/>
      <c r="AF179" s="597"/>
      <c r="AG179" s="597"/>
      <c r="AH179" s="597"/>
      <c r="AI179" s="597"/>
      <c r="AJ179" s="597"/>
      <c r="AK179" s="597"/>
      <c r="AL179" s="597"/>
      <c r="AM179" s="597"/>
      <c r="AN179" s="597"/>
      <c r="AO179" s="597"/>
      <c r="AP179" s="597"/>
      <c r="AQ179" s="597"/>
      <c r="AR179" s="597"/>
      <c r="AS179" s="597"/>
      <c r="AT179" s="597"/>
      <c r="AU179" s="597"/>
      <c r="AV179" s="597"/>
      <c r="AW179" s="597"/>
      <c r="AX179" s="597"/>
      <c r="AY179" s="597"/>
      <c r="AZ179" s="597"/>
      <c r="BA179" s="597"/>
    </row>
    <row r="180" spans="1:53">
      <c r="A180" s="674"/>
      <c r="B180" s="683" t="s">
        <v>719</v>
      </c>
      <c r="C180" s="683" t="s">
        <v>720</v>
      </c>
      <c r="D180" s="678"/>
      <c r="E180" s="653"/>
      <c r="F180" s="653"/>
      <c r="G180" s="653"/>
      <c r="H180" s="653"/>
      <c r="I180" s="654"/>
      <c r="J180" s="654"/>
      <c r="K180" s="654">
        <f>+K166+K167+K171+K172+K175+K179</f>
        <v>-1394.7856702399999</v>
      </c>
      <c r="L180" s="654">
        <f t="shared" ref="L180:Z180" si="64">+L166+L167+L171+L172+L175+L179</f>
        <v>-1280.0368800299998</v>
      </c>
      <c r="M180" s="654">
        <f t="shared" si="64"/>
        <v>-548.99333367199984</v>
      </c>
      <c r="N180" s="654">
        <f t="shared" si="64"/>
        <v>-1631.086285678</v>
      </c>
      <c r="O180" s="654">
        <f t="shared" si="64"/>
        <v>-754.02247267599989</v>
      </c>
      <c r="P180" s="654">
        <f t="shared" si="64"/>
        <v>-624.76127802099995</v>
      </c>
      <c r="Q180" s="656">
        <f ca="1">+Q166+Q167+Q171+Q172+Q175+Q179</f>
        <v>-225.43117549723206</v>
      </c>
      <c r="R180" s="656">
        <f t="shared" ca="1" si="64"/>
        <v>-647.93167909995827</v>
      </c>
      <c r="S180" s="656">
        <f t="shared" ca="1" si="64"/>
        <v>-1094.2215716777901</v>
      </c>
      <c r="T180" s="656">
        <f t="shared" ca="1" si="64"/>
        <v>23.917123783087277</v>
      </c>
      <c r="U180" s="656">
        <f t="shared" ca="1" si="64"/>
        <v>-1490.1408131264782</v>
      </c>
      <c r="V180" s="656">
        <f t="shared" ca="1" si="64"/>
        <v>-1609.1802683993501</v>
      </c>
      <c r="W180" s="656">
        <f t="shared" ca="1" si="64"/>
        <v>-1420.8549446003281</v>
      </c>
      <c r="X180" s="656">
        <f t="shared" ca="1" si="64"/>
        <v>-1815.6369252845052</v>
      </c>
      <c r="Y180" s="656">
        <f t="shared" ca="1" si="64"/>
        <v>-2292.6988239338493</v>
      </c>
      <c r="Z180" s="656">
        <f t="shared" ca="1" si="64"/>
        <v>-2777.9735187684369</v>
      </c>
      <c r="AA180" s="656"/>
      <c r="AB180" s="657"/>
      <c r="AC180" s="657"/>
      <c r="AD180" s="657"/>
      <c r="AE180" s="657"/>
      <c r="AF180" s="657"/>
      <c r="AG180" s="657"/>
      <c r="AH180" s="657"/>
      <c r="AI180" s="657"/>
      <c r="AJ180" s="657"/>
      <c r="AK180" s="657"/>
      <c r="AL180" s="657"/>
      <c r="AM180" s="657"/>
      <c r="AN180" s="657"/>
      <c r="AO180" s="657"/>
      <c r="AP180" s="657"/>
      <c r="AQ180" s="657"/>
      <c r="AR180" s="657"/>
      <c r="AS180" s="657"/>
      <c r="AT180" s="657"/>
      <c r="AU180" s="657"/>
      <c r="AV180" s="657"/>
      <c r="AW180" s="657"/>
      <c r="AX180" s="657"/>
      <c r="AY180" s="657"/>
      <c r="AZ180" s="657"/>
      <c r="BA180" s="657"/>
    </row>
    <row r="181" spans="1:53">
      <c r="A181" s="684"/>
      <c r="B181" s="679" t="s">
        <v>383</v>
      </c>
      <c r="C181" s="664"/>
      <c r="D181" s="41"/>
      <c r="E181" s="386"/>
      <c r="F181" s="386"/>
      <c r="G181" s="386"/>
      <c r="H181" s="386"/>
      <c r="I181" s="387"/>
      <c r="J181" s="387"/>
      <c r="K181" s="387">
        <f>IF(ISTEXT('CF Raw'!F$11),K180-'CF Raw'!F44/'Output-FR (show)'!$A$124,"Chưa có BCTC")</f>
        <v>0</v>
      </c>
      <c r="L181" s="387">
        <f>IF(ISTEXT('CF Raw'!G$11),L180-'CF Raw'!G44/'Output-FR (show)'!$A$124,"Chưa có BCTC")</f>
        <v>2.2737367544323206E-13</v>
      </c>
      <c r="M181" s="387">
        <f>IF(ISTEXT('CF Raw'!H$11),M180-'CF Raw'!H44/'Output-FR (show)'!$A$124,"Chưa có BCTC")</f>
        <v>1.1368683772161603E-13</v>
      </c>
      <c r="N181" s="387">
        <f>IF(ISTEXT('CF Raw'!I$11),N180-'CF Raw'!I44/'Output-FR (show)'!$A$124,"Chưa có BCTC")</f>
        <v>0</v>
      </c>
      <c r="O181" s="387">
        <f>IF(ISTEXT('CF Raw'!J$11),O180-'CF Raw'!J44/'Output-FR (show)'!$A$124,"Chưa có BCTC")</f>
        <v>1.1368683772161603E-13</v>
      </c>
      <c r="P181" s="387">
        <f>IF(ISTEXT('CF Raw'!K$11),P180-'CF Raw'!K44/'Output-FR (show)'!$A$124,"Chưa có BCTC")</f>
        <v>0</v>
      </c>
      <c r="Q181" s="1484" t="str">
        <f>IF(ISTEXT('CF Raw'!L$11),Q180-'CF Raw'!L44/'Output-FR (show)'!$A$124,"Chưa có BCTC")</f>
        <v>Chưa có BCTC</v>
      </c>
      <c r="R181" s="1484" t="str">
        <f>IF(ISTEXT('CF Raw'!M$11),R180-'CF Raw'!M44/'Output-FR (show)'!$A$124,"Chưa có BCTC")</f>
        <v>Chưa có BCTC</v>
      </c>
      <c r="S181" s="1484" t="str">
        <f>IF(ISTEXT('CF Raw'!N$11),S180-'CF Raw'!N44/'Output-FR (show)'!$A$124,"Chưa có BCTC")</f>
        <v>Chưa có BCTC</v>
      </c>
      <c r="T181" s="1484" t="str">
        <f>IF(ISTEXT('CF Raw'!O$11),T180-'CF Raw'!O44/'Output-FR (show)'!$A$124,"Chưa có BCTC")</f>
        <v>Chưa có BCTC</v>
      </c>
      <c r="U181" s="1484" t="str">
        <f>IF(ISTEXT('CF Raw'!P$11),U180-'CF Raw'!P44/'Output-FR (show)'!$A$124,"Chưa có BCTC")</f>
        <v>Chưa có BCTC</v>
      </c>
      <c r="V181" s="1484" t="str">
        <f>IF(ISTEXT('CF Raw'!Q$11),V180-'CF Raw'!Q44/'Output-FR (show)'!$A$124,"Chưa có BCTC")</f>
        <v>Chưa có BCTC</v>
      </c>
      <c r="W181" s="1484" t="str">
        <f>IF(ISTEXT('CF Raw'!R$11),W180-'CF Raw'!R44/'Output-FR (show)'!$A$124,"Chưa có BCTC")</f>
        <v>Chưa có BCTC</v>
      </c>
      <c r="X181" s="1484" t="str">
        <f>IF(ISTEXT('CF Raw'!S$11),X180-'CF Raw'!S44/'Output-FR (show)'!$A$124,"Chưa có BCTC")</f>
        <v>Chưa có BCTC</v>
      </c>
      <c r="Y181" s="1484" t="str">
        <f>IF(ISTEXT('CF Raw'!T$11),Y180-'CF Raw'!T44/'Output-FR (show)'!$A$124,"Chưa có BCTC")</f>
        <v>Chưa có BCTC</v>
      </c>
      <c r="Z181" s="1484" t="str">
        <f>IF(ISTEXT('CF Raw'!U$11),Z180-'CF Raw'!U44/'Output-FR (show)'!$A$124,"Chưa có BCTC")</f>
        <v>Chưa có BCTC</v>
      </c>
      <c r="AA181" s="1484"/>
      <c r="AB181" s="1485"/>
      <c r="AC181" s="1485"/>
      <c r="AD181" s="1485"/>
      <c r="AE181" s="1485"/>
      <c r="AF181" s="1485"/>
      <c r="AG181" s="1485"/>
      <c r="AH181" s="1485"/>
      <c r="AI181" s="1485"/>
      <c r="AJ181" s="1485"/>
      <c r="AK181" s="1485"/>
      <c r="AL181" s="1485"/>
      <c r="AM181" s="1485"/>
      <c r="AN181" s="1485"/>
      <c r="AO181" s="1485"/>
      <c r="AP181" s="1485"/>
      <c r="AQ181" s="1485"/>
      <c r="AR181" s="1485"/>
      <c r="AS181" s="681"/>
      <c r="AT181" s="681"/>
      <c r="AU181" s="681"/>
      <c r="AV181" s="681"/>
      <c r="AW181" s="681"/>
      <c r="AX181" s="681"/>
      <c r="AY181" s="681"/>
      <c r="AZ181" s="681"/>
      <c r="BA181" s="681"/>
    </row>
    <row r="182" spans="1:53">
      <c r="A182" s="539"/>
      <c r="B182" s="5"/>
      <c r="C182" s="5"/>
      <c r="D182" s="41"/>
      <c r="E182" s="89"/>
      <c r="F182" s="89"/>
      <c r="G182" s="89"/>
      <c r="H182" s="89"/>
      <c r="I182" s="89"/>
      <c r="J182" s="89"/>
      <c r="K182" s="89"/>
      <c r="L182" s="89"/>
      <c r="M182" s="89"/>
      <c r="N182" s="89"/>
      <c r="O182" s="89"/>
      <c r="P182" s="188"/>
      <c r="Q182" s="143"/>
      <c r="R182" s="143"/>
      <c r="S182" s="143"/>
      <c r="T182" s="143"/>
      <c r="U182" s="143"/>
      <c r="V182" s="143"/>
      <c r="W182" s="143"/>
      <c r="X182" s="143"/>
      <c r="Y182" s="143"/>
      <c r="Z182" s="143"/>
      <c r="AA182" s="143"/>
      <c r="AB182" s="143"/>
      <c r="AC182" s="143"/>
      <c r="AD182" s="143"/>
      <c r="AE182" s="143"/>
      <c r="AF182" s="143"/>
      <c r="AG182" s="143"/>
      <c r="AH182" s="143"/>
      <c r="AI182" s="143"/>
      <c r="AJ182" s="143"/>
      <c r="AK182" s="143"/>
      <c r="AL182" s="143"/>
      <c r="AM182" s="143"/>
      <c r="AN182" s="143"/>
      <c r="AO182" s="143"/>
      <c r="AP182" s="143"/>
      <c r="AQ182" s="143"/>
      <c r="AR182" s="143"/>
      <c r="AS182" s="89"/>
      <c r="AT182" s="89"/>
      <c r="AU182" s="89"/>
      <c r="AV182" s="89"/>
      <c r="AW182" s="89"/>
      <c r="AX182" s="89"/>
      <c r="AY182" s="89"/>
      <c r="AZ182" s="89"/>
      <c r="BA182" s="89"/>
    </row>
    <row r="183" spans="1:53">
      <c r="A183" s="539"/>
      <c r="B183" s="5" t="s">
        <v>721</v>
      </c>
      <c r="C183" s="5" t="s">
        <v>722</v>
      </c>
      <c r="D183" s="41"/>
      <c r="E183" s="89"/>
      <c r="F183" s="89"/>
      <c r="G183" s="89"/>
      <c r="H183" s="89"/>
      <c r="I183" s="90"/>
      <c r="J183" s="90"/>
      <c r="K183" s="90">
        <f>+K155+K163+K180</f>
        <v>185.61933310700033</v>
      </c>
      <c r="L183" s="90">
        <f t="shared" ref="L183:Z183" si="65">+L155+L163+L180</f>
        <v>39.116645247000406</v>
      </c>
      <c r="M183" s="90">
        <f t="shared" si="65"/>
        <v>-82.391196726999397</v>
      </c>
      <c r="N183" s="90">
        <f t="shared" si="65"/>
        <v>1715.7677591229999</v>
      </c>
      <c r="O183" s="90">
        <f t="shared" si="65"/>
        <v>89.819195306001234</v>
      </c>
      <c r="P183" s="90">
        <f t="shared" si="65"/>
        <v>-406.10161386899904</v>
      </c>
      <c r="Q183" s="142">
        <f t="shared" ca="1" si="65"/>
        <v>788.2197301936701</v>
      </c>
      <c r="R183" s="142">
        <f t="shared" ca="1" si="65"/>
        <v>442.5344417677029</v>
      </c>
      <c r="S183" s="142">
        <f t="shared" ca="1" si="65"/>
        <v>-0.45391182702132937</v>
      </c>
      <c r="T183" s="142">
        <f t="shared" ca="1" si="65"/>
        <v>699.56538921608205</v>
      </c>
      <c r="U183" s="142">
        <f t="shared" ca="1" si="65"/>
        <v>489.76492593249236</v>
      </c>
      <c r="V183" s="142">
        <f t="shared" ca="1" si="65"/>
        <v>-461.92988891097843</v>
      </c>
      <c r="W183" s="142">
        <f t="shared" ca="1" si="65"/>
        <v>277.4220368835413</v>
      </c>
      <c r="X183" s="142">
        <f t="shared" ca="1" si="65"/>
        <v>262.79487061565987</v>
      </c>
      <c r="Y183" s="142">
        <f t="shared" ca="1" si="65"/>
        <v>266.20882115266568</v>
      </c>
      <c r="Z183" s="142">
        <f t="shared" ca="1" si="65"/>
        <v>213.16298795544526</v>
      </c>
      <c r="AA183" s="142"/>
      <c r="AB183" s="143"/>
      <c r="AC183" s="143"/>
      <c r="AD183" s="143"/>
      <c r="AE183" s="143"/>
      <c r="AF183" s="143"/>
      <c r="AG183" s="143"/>
      <c r="AH183" s="143"/>
      <c r="AI183" s="143"/>
      <c r="AJ183" s="143"/>
      <c r="AK183" s="143"/>
      <c r="AL183" s="143"/>
      <c r="AM183" s="143"/>
      <c r="AN183" s="143"/>
      <c r="AO183" s="143"/>
      <c r="AP183" s="143"/>
      <c r="AQ183" s="143"/>
      <c r="AR183" s="143"/>
      <c r="AS183" s="143"/>
      <c r="AT183" s="143"/>
      <c r="AU183" s="143"/>
      <c r="AV183" s="143"/>
      <c r="AW183" s="143"/>
      <c r="AX183" s="143"/>
      <c r="AY183" s="143"/>
      <c r="AZ183" s="143"/>
      <c r="BA183" s="143"/>
    </row>
    <row r="184" spans="1:53">
      <c r="A184" s="539"/>
      <c r="B184" s="5" t="s">
        <v>723</v>
      </c>
      <c r="C184" s="5" t="s">
        <v>724</v>
      </c>
      <c r="D184" s="41"/>
      <c r="E184" s="89"/>
      <c r="F184" s="89"/>
      <c r="G184" s="89"/>
      <c r="H184" s="89"/>
      <c r="I184" s="90"/>
      <c r="J184" s="90"/>
      <c r="K184" s="90">
        <f>IF(ISTEXT('CF Raw'!F$11),'CF Raw'!F53/'Output-FR (show)'!$A$124,'Output-FR (show)'!J59)</f>
        <v>285.77246315500003</v>
      </c>
      <c r="L184" s="90">
        <f>IF(ISTEXT('CF Raw'!G$11),'CF Raw'!G53/'Output-FR (show)'!$A$124,'Output-FR (show)'!K59)</f>
        <v>471.173323541</v>
      </c>
      <c r="M184" s="90">
        <f>IF(ISTEXT('CF Raw'!H$11),'CF Raw'!H53/'Output-FR (show)'!$A$124,'Output-FR (show)'!L59)</f>
        <v>509.99535087300001</v>
      </c>
      <c r="N184" s="90">
        <f>IF(ISTEXT('CF Raw'!I$11),'CF Raw'!I53/'Output-FR (show)'!$A$124,'Output-FR (show)'!M59)</f>
        <v>427.65273090400001</v>
      </c>
      <c r="O184" s="90">
        <f>IF(ISTEXT('CF Raw'!J$11),'CF Raw'!J53/'Output-FR (show)'!$A$124,'Output-FR (show)'!N59)</f>
        <v>2125.6252915599998</v>
      </c>
      <c r="P184" s="90">
        <f>IF(ISTEXT('CF Raw'!K$11),'CF Raw'!K53/'Output-FR (show)'!$A$124,'Output-FR (show)'!O59)</f>
        <v>2284.3997887720002</v>
      </c>
      <c r="Q184" s="142">
        <f>IF(ISTEXT('CF Raw'!L$11),'CF Raw'!L53/'Output-FR (show)'!$A$124,'Output-FR (show)'!P59)</f>
        <v>1903.248325989</v>
      </c>
      <c r="R184" s="142">
        <f ca="1">IF(ISTEXT('CF Raw'!M$11),'CF Raw'!M53/'Output-FR (show)'!$A$124,'Output-FR (show)'!Q59)</f>
        <v>2701.1738918776446</v>
      </c>
      <c r="S184" s="142">
        <f ca="1">IF(ISTEXT('CF Raw'!N$11),'CF Raw'!N53/'Output-FR (show)'!$A$124,'Output-FR (show)'!R59)</f>
        <v>3135.0965236377901</v>
      </c>
      <c r="T184" s="142">
        <f ca="1">IF(ISTEXT('CF Raw'!O$11),'CF Raw'!O53/'Output-FR (show)'!$A$124,'Output-FR (show)'!S59)</f>
        <v>3137.4176211543613</v>
      </c>
      <c r="U184" s="142">
        <f ca="1">IF(ISTEXT('CF Raw'!P$11),'CF Raw'!P53/'Output-FR (show)'!$A$124,'Output-FR (show)'!T59)</f>
        <v>3867.4171858535392</v>
      </c>
      <c r="V184" s="142">
        <f ca="1">IF(ISTEXT('CF Raw'!Q$11),'CF Raw'!Q53/'Output-FR (show)'!$A$124,'Output-FR (show)'!U59)</f>
        <v>4329.2237196818278</v>
      </c>
      <c r="W184" s="142">
        <f ca="1">IF(ISTEXT('CF Raw'!R$11),'CF Raw'!R53/'Output-FR (show)'!$A$124,'Output-FR (show)'!V59)</f>
        <v>3844.848142300692</v>
      </c>
      <c r="X184" s="142">
        <f ca="1">IF(ISTEXT('CF Raw'!S$11),'CF Raw'!S53/'Output-FR (show)'!$A$124,'Output-FR (show)'!W59)</f>
        <v>4112.178659523629</v>
      </c>
      <c r="Y184" s="142">
        <f ca="1">IF(ISTEXT('CF Raw'!T$11),'CF Raw'!T53/'Output-FR (show)'!$A$124,'Output-FR (show)'!X59)</f>
        <v>4373.6470410809279</v>
      </c>
      <c r="Z184" s="142">
        <f ca="1">IF(ISTEXT('CF Raw'!U$11),'CF Raw'!U53/'Output-FR (show)'!$A$124,'Output-FR (show)'!Y59)</f>
        <v>4640.8002786566958</v>
      </c>
      <c r="AA184" s="142"/>
      <c r="AB184" s="143"/>
      <c r="AC184" s="143"/>
      <c r="AD184" s="143"/>
      <c r="AE184" s="143"/>
      <c r="AF184" s="143"/>
      <c r="AG184" s="143"/>
      <c r="AH184" s="143"/>
      <c r="AI184" s="143"/>
      <c r="AJ184" s="143"/>
      <c r="AK184" s="143"/>
      <c r="AL184" s="143"/>
      <c r="AM184" s="143"/>
      <c r="AN184" s="143"/>
      <c r="AO184" s="143"/>
      <c r="AP184" s="143"/>
      <c r="AQ184" s="143"/>
      <c r="AR184" s="143"/>
      <c r="AS184" s="143"/>
      <c r="AT184" s="143"/>
      <c r="AU184" s="143"/>
      <c r="AV184" s="143"/>
      <c r="AW184" s="143"/>
      <c r="AX184" s="143"/>
      <c r="AY184" s="143"/>
      <c r="AZ184" s="143"/>
      <c r="BA184" s="143"/>
    </row>
    <row r="185" spans="1:53">
      <c r="A185" s="539"/>
      <c r="B185" s="5" t="s">
        <v>725</v>
      </c>
      <c r="C185" s="5"/>
      <c r="D185" s="41"/>
      <c r="E185" s="89"/>
      <c r="F185" s="89"/>
      <c r="G185" s="89"/>
      <c r="H185" s="89"/>
      <c r="I185" s="90"/>
      <c r="J185" s="90"/>
      <c r="K185" s="90">
        <f>IF(ISTEXT('CF Raw'!F$11),'CF Raw'!F54/'Output-FR (show)'!$A$124,0)</f>
        <v>-0.21847272100000001</v>
      </c>
      <c r="L185" s="90">
        <f>IF(ISTEXT('CF Raw'!G$11),'CF Raw'!G54/'Output-FR (show)'!$A$124,0)</f>
        <v>-0.29461791500000001</v>
      </c>
      <c r="M185" s="90">
        <f>IF(ISTEXT('CF Raw'!H$11),'CF Raw'!H54/'Output-FR (show)'!$A$124,0)</f>
        <v>4.8576757999999998E-2</v>
      </c>
      <c r="N185" s="90">
        <f>IF(ISTEXT('CF Raw'!I$11),'CF Raw'!I54/'Output-FR (show)'!$A$124,0)</f>
        <v>-17.795198466999999</v>
      </c>
      <c r="O185" s="90">
        <f>IF(ISTEXT('CF Raw'!J$11),'CF Raw'!J54/'Output-FR (show)'!$A$124,0)</f>
        <v>68.955301906000003</v>
      </c>
      <c r="P185" s="90">
        <f>IF(ISTEXT('CF Raw'!K$11),'CF Raw'!K54/'Output-FR (show)'!$A$124,0)</f>
        <v>24.950151086000002</v>
      </c>
      <c r="Q185" s="142">
        <f ca="1">IF(ISTEXT('CF Raw'!L$11),'CF Raw'!L54/'Output-FR (show)'!$A$124,Q59-Q183-Q184)</f>
        <v>9.7058356949744393</v>
      </c>
      <c r="R185" s="142">
        <f ca="1">IF(ISTEXT('CF Raw'!M$11),'CF Raw'!M54/'Output-FR (show)'!$A$124,R59-R183-R184)</f>
        <v>-8.6118100075573238</v>
      </c>
      <c r="S185" s="142">
        <f ca="1">IF(ISTEXT('CF Raw'!N$11),'CF Raw'!N54/'Output-FR (show)'!$A$124,S59-S183-S184)</f>
        <v>2.775009343592501</v>
      </c>
      <c r="T185" s="142">
        <f ca="1">IF(ISTEXT('CF Raw'!O$11),'CF Raw'!O54/'Output-FR (show)'!$A$124,T59-T183-T184)</f>
        <v>30.434175483095714</v>
      </c>
      <c r="U185" s="142">
        <f ca="1">IF(ISTEXT('CF Raw'!P$11),'CF Raw'!P54/'Output-FR (show)'!$A$124,U59-U183-U184)</f>
        <v>-27.958392104203995</v>
      </c>
      <c r="V185" s="142">
        <f ca="1">IF(ISTEXT('CF Raw'!Q$11),'CF Raw'!Q54/'Output-FR (show)'!$A$124,V59-V183-V184)</f>
        <v>-22.44568847015762</v>
      </c>
      <c r="W185" s="142">
        <f ca="1">IF(ISTEXT('CF Raw'!R$11),'CF Raw'!R54/'Output-FR (show)'!$A$124,W59-W183-W184)</f>
        <v>-10.091519660604263</v>
      </c>
      <c r="X185" s="142">
        <f ca="1">IF(ISTEXT('CF Raw'!S$11),'CF Raw'!S54/'Output-FR (show)'!$A$124,X59-X183-X184)</f>
        <v>-1.3264890583604938</v>
      </c>
      <c r="Y185" s="142">
        <f ca="1">IF(ISTEXT('CF Raw'!T$11),'CF Raw'!T54/'Output-FR (show)'!$A$124,Y59-Y183-Y184)</f>
        <v>0.94441642310175666</v>
      </c>
      <c r="Z185" s="142">
        <f ca="1">IF(ISTEXT('CF Raw'!U$11),'CF Raw'!U54/'Output-FR (show)'!$A$124,Z59-Z183-Z184)</f>
        <v>-13.488943174370434</v>
      </c>
      <c r="AA185" s="142"/>
      <c r="AB185" s="143"/>
      <c r="AC185" s="143"/>
      <c r="AD185" s="143"/>
      <c r="AE185" s="143"/>
      <c r="AF185" s="143"/>
      <c r="AG185" s="143"/>
      <c r="AH185" s="143"/>
      <c r="AI185" s="143"/>
      <c r="AJ185" s="143"/>
      <c r="AK185" s="143"/>
      <c r="AL185" s="143"/>
      <c r="AM185" s="143"/>
      <c r="AN185" s="143"/>
      <c r="AO185" s="143"/>
      <c r="AP185" s="143"/>
      <c r="AQ185" s="143"/>
      <c r="AR185" s="143"/>
      <c r="AS185" s="143"/>
      <c r="AT185" s="143"/>
      <c r="AU185" s="143"/>
      <c r="AV185" s="143"/>
      <c r="AW185" s="143"/>
      <c r="AX185" s="143"/>
      <c r="AY185" s="143"/>
      <c r="AZ185" s="143"/>
      <c r="BA185" s="143"/>
    </row>
    <row r="186" spans="1:53" ht="13.8" thickBot="1">
      <c r="A186" s="674"/>
      <c r="B186" s="685" t="s">
        <v>726</v>
      </c>
      <c r="C186" s="685" t="s">
        <v>727</v>
      </c>
      <c r="D186" s="686"/>
      <c r="E186" s="687"/>
      <c r="F186" s="687"/>
      <c r="G186" s="687"/>
      <c r="H186" s="687"/>
      <c r="I186" s="688"/>
      <c r="J186" s="688"/>
      <c r="K186" s="688">
        <f>+K183+K184+K185</f>
        <v>471.17332354100034</v>
      </c>
      <c r="L186" s="688">
        <f t="shared" ref="L186:Z186" si="66">+L183+L184+L185</f>
        <v>509.9953508730004</v>
      </c>
      <c r="M186" s="688">
        <f t="shared" si="66"/>
        <v>427.65273090400063</v>
      </c>
      <c r="N186" s="688">
        <f t="shared" si="66"/>
        <v>2125.6252915599998</v>
      </c>
      <c r="O186" s="688">
        <f t="shared" si="66"/>
        <v>2284.3997887720011</v>
      </c>
      <c r="P186" s="688">
        <f t="shared" si="66"/>
        <v>1903.2483259890012</v>
      </c>
      <c r="Q186" s="689">
        <f t="shared" ca="1" si="66"/>
        <v>2701.1738918776446</v>
      </c>
      <c r="R186" s="689">
        <f t="shared" ca="1" si="66"/>
        <v>3135.0965236377901</v>
      </c>
      <c r="S186" s="689">
        <f t="shared" ca="1" si="66"/>
        <v>3137.4176211543613</v>
      </c>
      <c r="T186" s="689">
        <f t="shared" ca="1" si="66"/>
        <v>3867.4171858535392</v>
      </c>
      <c r="U186" s="689">
        <f t="shared" ca="1" si="66"/>
        <v>4329.2237196818278</v>
      </c>
      <c r="V186" s="689">
        <f t="shared" ca="1" si="66"/>
        <v>3844.8481423006915</v>
      </c>
      <c r="W186" s="689">
        <f t="shared" ca="1" si="66"/>
        <v>4112.1786595236299</v>
      </c>
      <c r="X186" s="689">
        <f t="shared" ca="1" si="66"/>
        <v>4373.6470410809279</v>
      </c>
      <c r="Y186" s="689">
        <f t="shared" ca="1" si="66"/>
        <v>4640.8002786566949</v>
      </c>
      <c r="Z186" s="689">
        <f t="shared" ca="1" si="66"/>
        <v>4840.4743234377711</v>
      </c>
      <c r="AA186" s="689"/>
      <c r="AB186" s="341"/>
      <c r="AC186" s="341"/>
      <c r="AD186" s="341"/>
      <c r="AE186" s="341"/>
      <c r="AF186" s="341"/>
      <c r="AG186" s="341"/>
      <c r="AH186" s="341"/>
      <c r="AI186" s="341"/>
      <c r="AJ186" s="341"/>
      <c r="AK186" s="341"/>
      <c r="AL186" s="341"/>
      <c r="AM186" s="341"/>
      <c r="AN186" s="341"/>
      <c r="AO186" s="341"/>
      <c r="AP186" s="341"/>
      <c r="AQ186" s="341"/>
      <c r="AR186" s="341"/>
      <c r="AS186" s="341"/>
      <c r="AT186" s="341"/>
      <c r="AU186" s="341"/>
      <c r="AV186" s="341"/>
      <c r="AW186" s="341"/>
      <c r="AX186" s="341"/>
      <c r="AY186" s="341"/>
      <c r="AZ186" s="341"/>
      <c r="BA186" s="341"/>
    </row>
    <row r="187" spans="1:53" ht="13.8" thickTop="1">
      <c r="A187" s="384"/>
      <c r="B187" s="679" t="s">
        <v>383</v>
      </c>
      <c r="C187" s="690"/>
      <c r="D187" s="386"/>
      <c r="E187" s="500"/>
      <c r="F187" s="500"/>
      <c r="G187" s="500"/>
      <c r="H187" s="500"/>
      <c r="I187" s="501"/>
      <c r="J187" s="501"/>
      <c r="K187" s="501">
        <f>+K186-'Output-FR (show)'!K59</f>
        <v>0</v>
      </c>
      <c r="L187" s="501">
        <f>+L186-'Output-FR (show)'!L59</f>
        <v>0</v>
      </c>
      <c r="M187" s="501">
        <f>+M186-'Output-FR (show)'!M59</f>
        <v>6.2527760746888816E-13</v>
      </c>
      <c r="N187" s="501">
        <f>+N186-'Output-FR (show)'!N59</f>
        <v>0</v>
      </c>
      <c r="O187" s="501">
        <f>+O186-'Output-FR (show)'!O59</f>
        <v>0</v>
      </c>
      <c r="P187" s="501">
        <f>+P186-'Output-FR (show)'!P59</f>
        <v>0</v>
      </c>
      <c r="Q187" s="1468">
        <f ca="1">+Q186-'Output-FR (show)'!Q59</f>
        <v>0</v>
      </c>
      <c r="R187" s="1468">
        <f ca="1">+R186-'Output-FR (show)'!R59</f>
        <v>0</v>
      </c>
      <c r="S187" s="1468">
        <f ca="1">+S186-'Output-FR (show)'!S59</f>
        <v>0</v>
      </c>
      <c r="T187" s="1468">
        <f ca="1">+T186-'Output-FR (show)'!T59</f>
        <v>0</v>
      </c>
      <c r="U187" s="1468">
        <f ca="1">+U186-'Output-FR (show)'!U59</f>
        <v>0</v>
      </c>
      <c r="V187" s="1468">
        <f ca="1">+V186-'Output-FR (show)'!V59</f>
        <v>0</v>
      </c>
      <c r="W187" s="1468">
        <f ca="1">+W186-'Output-FR (show)'!W59</f>
        <v>0</v>
      </c>
      <c r="X187" s="1468">
        <f ca="1">+X186-'Output-FR (show)'!X59</f>
        <v>0</v>
      </c>
      <c r="Y187" s="1468">
        <f ca="1">+Y186-'Output-FR (show)'!Y59</f>
        <v>0</v>
      </c>
      <c r="Z187" s="1468">
        <f ca="1">+Z186-'Output-FR (show)'!Z59</f>
        <v>0</v>
      </c>
      <c r="AA187" s="1468"/>
      <c r="AB187" s="1487"/>
      <c r="AC187" s="1487"/>
      <c r="AD187" s="1487"/>
      <c r="AE187" s="1487"/>
      <c r="AF187" s="1487"/>
      <c r="AG187" s="1487"/>
      <c r="AH187" s="1487"/>
      <c r="AI187" s="1487"/>
      <c r="AJ187" s="1487"/>
      <c r="AK187" s="1487"/>
      <c r="AL187" s="1487"/>
      <c r="AM187" s="1487"/>
      <c r="AN187" s="1487"/>
      <c r="AO187" s="1487"/>
      <c r="AP187" s="1487"/>
      <c r="AQ187" s="1487"/>
      <c r="AR187" s="1487"/>
      <c r="AS187" s="691"/>
      <c r="AT187" s="691"/>
      <c r="AU187" s="691"/>
      <c r="AV187" s="691"/>
      <c r="AW187" s="691"/>
      <c r="AX187" s="691"/>
      <c r="AY187" s="691"/>
      <c r="AZ187" s="691"/>
      <c r="BA187" s="691"/>
    </row>
    <row r="188" spans="1:53">
      <c r="M188" s="539"/>
      <c r="P188" s="634"/>
      <c r="Q188" s="2612"/>
      <c r="R188" s="2612"/>
      <c r="S188" s="2612"/>
      <c r="T188" s="2612"/>
      <c r="U188" s="2612"/>
      <c r="V188" s="2612"/>
      <c r="W188" s="2612"/>
      <c r="X188" s="2612"/>
      <c r="Y188" s="2612"/>
      <c r="Z188" s="2612"/>
    </row>
    <row r="189" spans="1:53">
      <c r="M189" s="539"/>
      <c r="P189" s="634"/>
    </row>
    <row r="190" spans="1:53">
      <c r="M190" s="539"/>
      <c r="Q190" s="2613"/>
    </row>
    <row r="191" spans="1:53">
      <c r="M191" s="539"/>
    </row>
    <row r="192" spans="1:53">
      <c r="M192" s="539"/>
    </row>
    <row r="193" spans="13:13">
      <c r="M193" s="539"/>
    </row>
    <row r="194" spans="13:13">
      <c r="M194" s="539"/>
    </row>
    <row r="195" spans="13:13">
      <c r="M195" s="539"/>
    </row>
    <row r="196" spans="13:13">
      <c r="M196" s="539"/>
    </row>
    <row r="197" spans="13:13">
      <c r="M197" s="539"/>
    </row>
    <row r="198" spans="13:13">
      <c r="M198" s="539"/>
    </row>
    <row r="199" spans="13:13">
      <c r="M199" s="539"/>
    </row>
    <row r="200" spans="13:13">
      <c r="M200" s="539"/>
    </row>
    <row r="201" spans="13:13">
      <c r="M201" s="539"/>
    </row>
    <row r="202" spans="13:13">
      <c r="M202" s="539"/>
    </row>
    <row r="203" spans="13:13">
      <c r="M203" s="539"/>
    </row>
    <row r="204" spans="13:13">
      <c r="M204" s="539"/>
    </row>
    <row r="205" spans="13:13">
      <c r="M205" s="539"/>
    </row>
    <row r="206" spans="13:13">
      <c r="M206" s="539"/>
    </row>
    <row r="207" spans="13:13">
      <c r="M207" s="539"/>
    </row>
    <row r="208" spans="13:13">
      <c r="M208" s="539"/>
    </row>
    <row r="209" spans="13:13">
      <c r="M209" s="539"/>
    </row>
    <row r="210" spans="13:13">
      <c r="M210" s="539"/>
    </row>
    <row r="211" spans="13:13">
      <c r="M211" s="539"/>
    </row>
    <row r="212" spans="13:13">
      <c r="M212" s="539"/>
    </row>
    <row r="213" spans="13:13">
      <c r="M213" s="539"/>
    </row>
    <row r="214" spans="13:13">
      <c r="M214" s="539"/>
    </row>
    <row r="215" spans="13:13">
      <c r="M215" s="539"/>
    </row>
    <row r="216" spans="13:13">
      <c r="M216" s="539"/>
    </row>
    <row r="217" spans="13:13">
      <c r="M217" s="539"/>
    </row>
    <row r="218" spans="13:13">
      <c r="M218" s="539"/>
    </row>
    <row r="219" spans="13:13">
      <c r="M219" s="539"/>
    </row>
    <row r="220" spans="13:13">
      <c r="M220" s="539"/>
    </row>
    <row r="221" spans="13:13">
      <c r="M221" s="539"/>
    </row>
    <row r="222" spans="13:13">
      <c r="M222" s="539"/>
    </row>
    <row r="223" spans="13:13">
      <c r="M223" s="539"/>
    </row>
    <row r="224" spans="13:13">
      <c r="M224" s="539"/>
    </row>
    <row r="225" spans="13:13">
      <c r="M225" s="539"/>
    </row>
    <row r="226" spans="13:13">
      <c r="M226" s="539"/>
    </row>
    <row r="227" spans="13:13">
      <c r="M227" s="539"/>
    </row>
    <row r="228" spans="13:13">
      <c r="M228" s="539"/>
    </row>
    <row r="229" spans="13:13">
      <c r="M229" s="539"/>
    </row>
    <row r="230" spans="13:13">
      <c r="M230" s="539"/>
    </row>
    <row r="231" spans="13:13">
      <c r="M231" s="539"/>
    </row>
    <row r="232" spans="13:13">
      <c r="M232" s="539"/>
    </row>
    <row r="233" spans="13:13">
      <c r="M233" s="539"/>
    </row>
    <row r="234" spans="13:13">
      <c r="M234" s="539"/>
    </row>
    <row r="235" spans="13:13">
      <c r="M235" s="539"/>
    </row>
    <row r="236" spans="13:13">
      <c r="M236" s="539"/>
    </row>
    <row r="237" spans="13:13">
      <c r="M237" s="539"/>
    </row>
    <row r="238" spans="13:13">
      <c r="M238" s="539"/>
    </row>
    <row r="239" spans="13:13">
      <c r="M239" s="539"/>
    </row>
    <row r="240" spans="13:13">
      <c r="M240" s="539"/>
    </row>
    <row r="241" spans="13:13">
      <c r="M241" s="539"/>
    </row>
    <row r="242" spans="13:13">
      <c r="M242" s="539"/>
    </row>
    <row r="243" spans="13:13">
      <c r="M243" s="539"/>
    </row>
    <row r="244" spans="13:13">
      <c r="M244" s="539"/>
    </row>
    <row r="245" spans="13:13">
      <c r="M245" s="539"/>
    </row>
    <row r="246" spans="13:13">
      <c r="M246" s="539"/>
    </row>
    <row r="247" spans="13:13">
      <c r="M247" s="539"/>
    </row>
    <row r="248" spans="13:13">
      <c r="M248" s="539"/>
    </row>
    <row r="249" spans="13:13">
      <c r="M249" s="539"/>
    </row>
    <row r="250" spans="13:13">
      <c r="M250" s="539"/>
    </row>
    <row r="251" spans="13:13">
      <c r="M251" s="539"/>
    </row>
    <row r="252" spans="13:13">
      <c r="M252" s="539"/>
    </row>
    <row r="253" spans="13:13">
      <c r="M253" s="539"/>
    </row>
    <row r="254" spans="13:13">
      <c r="M254" s="539"/>
    </row>
    <row r="255" spans="13:13">
      <c r="M255" s="539"/>
    </row>
    <row r="256" spans="13:13">
      <c r="M256" s="539"/>
    </row>
    <row r="257" spans="13:13">
      <c r="M257" s="539"/>
    </row>
    <row r="258" spans="13:13">
      <c r="M258" s="539"/>
    </row>
    <row r="259" spans="13:13">
      <c r="M259" s="539"/>
    </row>
    <row r="260" spans="13:13">
      <c r="M260" s="539"/>
    </row>
    <row r="261" spans="13:13">
      <c r="M261" s="539"/>
    </row>
    <row r="262" spans="13:13">
      <c r="M262" s="539"/>
    </row>
    <row r="263" spans="13:13">
      <c r="M263" s="539"/>
    </row>
    <row r="264" spans="13:13">
      <c r="M264" s="539"/>
    </row>
    <row r="265" spans="13:13">
      <c r="M265" s="539"/>
    </row>
    <row r="266" spans="13:13">
      <c r="M266" s="539"/>
    </row>
    <row r="267" spans="13:13">
      <c r="M267" s="539"/>
    </row>
    <row r="268" spans="13:13">
      <c r="M268" s="539"/>
    </row>
    <row r="269" spans="13:13">
      <c r="M269" s="539"/>
    </row>
    <row r="270" spans="13:13">
      <c r="M270" s="539"/>
    </row>
    <row r="271" spans="13:13">
      <c r="M271" s="539"/>
    </row>
    <row r="272" spans="13:13">
      <c r="M272" s="539"/>
    </row>
    <row r="273" spans="13:13">
      <c r="M273" s="539"/>
    </row>
    <row r="274" spans="13:13">
      <c r="M274" s="539"/>
    </row>
    <row r="275" spans="13:13">
      <c r="M275" s="539"/>
    </row>
    <row r="276" spans="13:13">
      <c r="M276" s="539"/>
    </row>
    <row r="277" spans="13:13">
      <c r="M277" s="539"/>
    </row>
    <row r="278" spans="13:13">
      <c r="M278" s="539"/>
    </row>
    <row r="279" spans="13:13">
      <c r="M279" s="539"/>
    </row>
    <row r="280" spans="13:13">
      <c r="M280" s="539"/>
    </row>
    <row r="281" spans="13:13">
      <c r="M281" s="539"/>
    </row>
    <row r="282" spans="13:13">
      <c r="M282" s="539"/>
    </row>
    <row r="283" spans="13:13">
      <c r="M283" s="539"/>
    </row>
    <row r="284" spans="13:13">
      <c r="M284" s="539"/>
    </row>
    <row r="285" spans="13:13">
      <c r="M285" s="539"/>
    </row>
  </sheetData>
  <mergeCells count="6">
    <mergeCell ref="B2:B3"/>
    <mergeCell ref="C2:C3"/>
    <mergeCell ref="B56:B57"/>
    <mergeCell ref="C56:C57"/>
    <mergeCell ref="B125:B126"/>
    <mergeCell ref="C125:C126"/>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F04B-6E91-4AC7-AD09-5B1DB92BEB8A}">
  <dimension ref="A1:BC369"/>
  <sheetViews>
    <sheetView topLeftCell="F166" zoomScale="80" zoomScaleNormal="80" workbookViewId="0">
      <selection activeCell="BC175" sqref="BC175"/>
    </sheetView>
  </sheetViews>
  <sheetFormatPr defaultColWidth="9.109375" defaultRowHeight="13.2"/>
  <cols>
    <col min="1" max="1" width="7.5546875" style="232" customWidth="1"/>
    <col min="2" max="2" width="31.33203125" style="476" customWidth="1"/>
    <col min="3" max="3" width="39.88671875" style="476" customWidth="1"/>
    <col min="4" max="4" width="15.44140625" style="539" customWidth="1"/>
    <col min="5" max="5" width="15.109375" style="539" customWidth="1"/>
    <col min="6" max="6" width="11.109375" style="539" customWidth="1"/>
    <col min="7" max="7" width="10.33203125" style="539" customWidth="1"/>
    <col min="8" max="8" width="9.21875" style="539" customWidth="1"/>
    <col min="9" max="9" width="9.33203125" style="539" customWidth="1"/>
    <col min="10" max="12" width="10.44140625" style="539" customWidth="1"/>
    <col min="13" max="13" width="10.44140625" style="634" customWidth="1"/>
    <col min="14" max="15" width="10.44140625" style="539" customWidth="1"/>
    <col min="16" max="16" width="9.109375" style="539"/>
    <col min="17" max="17" width="11.88671875" style="539" customWidth="1"/>
    <col min="18" max="24" width="9.109375" style="539"/>
    <col min="25" max="25" width="12" style="539" customWidth="1"/>
    <col min="26" max="26" width="17.21875" style="539" customWidth="1"/>
    <col min="27" max="29" width="12.109375" style="2628" hidden="1" customWidth="1"/>
    <col min="30" max="30" width="0.109375" style="2628" hidden="1" customWidth="1"/>
    <col min="31" max="32" width="12.109375" style="2628" hidden="1" customWidth="1"/>
    <col min="33" max="35" width="0.109375" style="2628" hidden="1" customWidth="1"/>
    <col min="36" max="36" width="12.109375" style="2628" hidden="1" customWidth="1"/>
    <col min="37" max="38" width="0.109375" style="2628" hidden="1" customWidth="1"/>
    <col min="39" max="39" width="12.109375" style="2628" hidden="1" customWidth="1"/>
    <col min="40" max="40" width="0.33203125" style="2628" hidden="1" customWidth="1"/>
    <col min="41" max="43" width="12.109375" style="2628" hidden="1" customWidth="1"/>
    <col min="44" max="44" width="0.44140625" style="2628" hidden="1" customWidth="1"/>
    <col min="45" max="45" width="12.109375" style="2628" hidden="1" customWidth="1"/>
    <col min="46" max="46" width="0.109375" style="2628" hidden="1" customWidth="1"/>
    <col min="47" max="48" width="12.109375" style="2628" hidden="1" customWidth="1"/>
    <col min="49" max="50" width="0.44140625" style="2628" customWidth="1"/>
    <col min="51" max="51" width="0.109375" style="2628" customWidth="1"/>
    <col min="52" max="52" width="17.77734375" style="2628" hidden="1" customWidth="1"/>
    <col min="53" max="53" width="29.77734375" style="2628" hidden="1" customWidth="1"/>
    <col min="54" max="54" width="24.21875" style="539" customWidth="1"/>
    <col min="55" max="55" width="59" style="539" customWidth="1"/>
    <col min="56" max="16384" width="9.109375" style="539"/>
  </cols>
  <sheetData>
    <row r="1" spans="1:55">
      <c r="D1" s="5"/>
      <c r="E1" s="5"/>
      <c r="F1" s="75"/>
      <c r="G1" s="75"/>
      <c r="H1" s="75"/>
      <c r="I1" s="75"/>
      <c r="J1" s="75"/>
      <c r="K1" s="75"/>
      <c r="L1" s="75"/>
      <c r="M1" s="75"/>
      <c r="N1" s="536"/>
      <c r="O1" s="536"/>
      <c r="P1" s="537"/>
      <c r="Q1" s="538">
        <v>1</v>
      </c>
      <c r="R1" s="538">
        <v>2</v>
      </c>
      <c r="S1" s="538">
        <v>3</v>
      </c>
      <c r="T1" s="538">
        <v>4</v>
      </c>
      <c r="U1" s="538">
        <v>5</v>
      </c>
      <c r="V1" s="538">
        <v>6</v>
      </c>
      <c r="W1" s="538">
        <v>7</v>
      </c>
      <c r="X1" s="538">
        <v>8</v>
      </c>
      <c r="Y1" s="538">
        <v>9</v>
      </c>
      <c r="Z1" s="538">
        <v>10</v>
      </c>
      <c r="AA1" s="538">
        <v>11</v>
      </c>
      <c r="AB1" s="538">
        <v>15</v>
      </c>
      <c r="AC1" s="538">
        <v>16</v>
      </c>
      <c r="AD1" s="538">
        <v>17</v>
      </c>
      <c r="AE1" s="538">
        <v>18</v>
      </c>
      <c r="AF1" s="538">
        <v>19</v>
      </c>
      <c r="AG1" s="538">
        <v>20</v>
      </c>
      <c r="AH1" s="538">
        <v>21</v>
      </c>
      <c r="AI1" s="538">
        <v>22</v>
      </c>
      <c r="AJ1" s="538">
        <v>23</v>
      </c>
      <c r="AK1" s="538">
        <v>24</v>
      </c>
      <c r="AL1" s="538">
        <v>25</v>
      </c>
      <c r="AM1" s="538">
        <v>26</v>
      </c>
      <c r="AN1" s="538">
        <v>27</v>
      </c>
      <c r="AO1" s="538">
        <v>28</v>
      </c>
      <c r="AP1" s="538">
        <v>29</v>
      </c>
      <c r="AQ1" s="538">
        <v>30</v>
      </c>
      <c r="AR1" s="538">
        <v>31</v>
      </c>
      <c r="AS1" s="538">
        <v>32</v>
      </c>
      <c r="AT1" s="538">
        <v>33</v>
      </c>
      <c r="AU1" s="538">
        <v>34</v>
      </c>
      <c r="AV1" s="538">
        <v>35</v>
      </c>
      <c r="AW1" s="538">
        <v>36</v>
      </c>
      <c r="AX1" s="538">
        <v>37</v>
      </c>
      <c r="AY1" s="538">
        <v>38</v>
      </c>
      <c r="AZ1" s="538">
        <v>39</v>
      </c>
      <c r="BA1" s="538">
        <v>40</v>
      </c>
      <c r="BB1" s="75"/>
      <c r="BC1" s="75"/>
    </row>
    <row r="2" spans="1:55" ht="15" customHeight="1">
      <c r="B2" s="2739" t="s">
        <v>581</v>
      </c>
      <c r="C2" s="2741" t="s">
        <v>313</v>
      </c>
      <c r="D2" s="18"/>
      <c r="E2" s="18"/>
      <c r="F2" s="540" t="str">
        <f t="shared" ref="F2:I2" ca="1" si="0">IF(TODAY()&lt;F3,"Proj","")</f>
        <v/>
      </c>
      <c r="G2" s="540" t="str">
        <f t="shared" ca="1" si="0"/>
        <v/>
      </c>
      <c r="H2" s="540" t="str">
        <f t="shared" ca="1" si="0"/>
        <v/>
      </c>
      <c r="I2" s="540" t="str">
        <f t="shared" ca="1" si="0"/>
        <v/>
      </c>
      <c r="J2" s="540" t="str">
        <f ca="1">IF(TODAY()&lt;J3,"Proj","")</f>
        <v/>
      </c>
      <c r="K2" s="540" t="str">
        <f t="shared" ref="K2:BA2" ca="1" si="1">IF(TODAY()&lt;K3,"Proj","")</f>
        <v/>
      </c>
      <c r="L2" s="540" t="str">
        <f t="shared" ca="1" si="1"/>
        <v/>
      </c>
      <c r="M2" s="540" t="str">
        <f t="shared" ca="1" si="1"/>
        <v/>
      </c>
      <c r="N2" s="540" t="str">
        <f t="shared" ca="1" si="1"/>
        <v/>
      </c>
      <c r="O2" s="540" t="str">
        <f t="shared" ca="1" si="1"/>
        <v/>
      </c>
      <c r="P2" s="541" t="str">
        <f t="shared" ca="1" si="1"/>
        <v/>
      </c>
      <c r="Q2" s="542" t="str">
        <f t="shared" ca="1" si="1"/>
        <v>Proj</v>
      </c>
      <c r="R2" s="542" t="str">
        <f t="shared" ca="1" si="1"/>
        <v>Proj</v>
      </c>
      <c r="S2" s="542" t="str">
        <f t="shared" ca="1" si="1"/>
        <v>Proj</v>
      </c>
      <c r="T2" s="542" t="str">
        <f t="shared" ca="1" si="1"/>
        <v>Proj</v>
      </c>
      <c r="U2" s="542" t="str">
        <f t="shared" ca="1" si="1"/>
        <v>Proj</v>
      </c>
      <c r="V2" s="542" t="str">
        <f t="shared" ca="1" si="1"/>
        <v>Proj</v>
      </c>
      <c r="W2" s="542" t="str">
        <f t="shared" ca="1" si="1"/>
        <v>Proj</v>
      </c>
      <c r="X2" s="542" t="str">
        <f t="shared" ca="1" si="1"/>
        <v>Proj</v>
      </c>
      <c r="Y2" s="542" t="str">
        <f t="shared" ca="1" si="1"/>
        <v>Proj</v>
      </c>
      <c r="Z2" s="542" t="str">
        <f t="shared" ca="1" si="1"/>
        <v>Proj</v>
      </c>
      <c r="AA2" s="542" t="str">
        <f t="shared" ca="1" si="1"/>
        <v>Proj</v>
      </c>
      <c r="AB2" s="542" t="str">
        <f t="shared" ca="1" si="1"/>
        <v>Proj</v>
      </c>
      <c r="AC2" s="542" t="str">
        <f t="shared" ca="1" si="1"/>
        <v>Proj</v>
      </c>
      <c r="AD2" s="542" t="str">
        <f t="shared" ca="1" si="1"/>
        <v>Proj</v>
      </c>
      <c r="AE2" s="542" t="str">
        <f t="shared" ca="1" si="1"/>
        <v>Proj</v>
      </c>
      <c r="AF2" s="542" t="str">
        <f t="shared" ca="1" si="1"/>
        <v>Proj</v>
      </c>
      <c r="AG2" s="542" t="str">
        <f t="shared" ca="1" si="1"/>
        <v>Proj</v>
      </c>
      <c r="AH2" s="542" t="str">
        <f t="shared" ca="1" si="1"/>
        <v>Proj</v>
      </c>
      <c r="AI2" s="542" t="str">
        <f t="shared" ca="1" si="1"/>
        <v>Proj</v>
      </c>
      <c r="AJ2" s="542" t="str">
        <f t="shared" ca="1" si="1"/>
        <v>Proj</v>
      </c>
      <c r="AK2" s="542" t="str">
        <f t="shared" ca="1" si="1"/>
        <v>Proj</v>
      </c>
      <c r="AL2" s="542" t="str">
        <f t="shared" ca="1" si="1"/>
        <v>Proj</v>
      </c>
      <c r="AM2" s="542" t="str">
        <f t="shared" ca="1" si="1"/>
        <v>Proj</v>
      </c>
      <c r="AN2" s="542" t="str">
        <f t="shared" ca="1" si="1"/>
        <v>Proj</v>
      </c>
      <c r="AO2" s="542" t="str">
        <f t="shared" ca="1" si="1"/>
        <v>Proj</v>
      </c>
      <c r="AP2" s="542" t="str">
        <f t="shared" ca="1" si="1"/>
        <v>Proj</v>
      </c>
      <c r="AQ2" s="542" t="str">
        <f t="shared" ca="1" si="1"/>
        <v>Proj</v>
      </c>
      <c r="AR2" s="542" t="str">
        <f t="shared" ca="1" si="1"/>
        <v>Proj</v>
      </c>
      <c r="AS2" s="542" t="str">
        <f t="shared" ca="1" si="1"/>
        <v>Proj</v>
      </c>
      <c r="AT2" s="542" t="str">
        <f t="shared" ca="1" si="1"/>
        <v>Proj</v>
      </c>
      <c r="AU2" s="542" t="str">
        <f t="shared" ca="1" si="1"/>
        <v>Proj</v>
      </c>
      <c r="AV2" s="542" t="str">
        <f t="shared" ca="1" si="1"/>
        <v>Proj</v>
      </c>
      <c r="AW2" s="542" t="str">
        <f t="shared" ca="1" si="1"/>
        <v>Proj</v>
      </c>
      <c r="AX2" s="542" t="str">
        <f t="shared" ca="1" si="1"/>
        <v>Proj</v>
      </c>
      <c r="AY2" s="542" t="str">
        <f t="shared" ca="1" si="1"/>
        <v>Proj</v>
      </c>
      <c r="AZ2" s="542" t="str">
        <f t="shared" ca="1" si="1"/>
        <v>Proj</v>
      </c>
      <c r="BA2" s="542" t="str">
        <f t="shared" ca="1" si="1"/>
        <v>Proj</v>
      </c>
      <c r="BB2" s="540"/>
      <c r="BC2" s="543"/>
    </row>
    <row r="3" spans="1:55" ht="13.8" thickBot="1">
      <c r="B3" s="2740"/>
      <c r="C3" s="2742"/>
      <c r="D3" s="1019">
        <v>41274</v>
      </c>
      <c r="E3" s="545">
        <f t="shared" ref="E3:BA3" si="2">DATE(YEAR(D3),MONTH(D3)+13,0)</f>
        <v>41639</v>
      </c>
      <c r="F3" s="545">
        <f t="shared" si="2"/>
        <v>42004</v>
      </c>
      <c r="G3" s="545">
        <f t="shared" si="2"/>
        <v>42369</v>
      </c>
      <c r="H3" s="545">
        <f t="shared" si="2"/>
        <v>42735</v>
      </c>
      <c r="I3" s="545">
        <f t="shared" si="2"/>
        <v>43100</v>
      </c>
      <c r="J3" s="545">
        <f t="shared" si="2"/>
        <v>43465</v>
      </c>
      <c r="K3" s="545">
        <f t="shared" si="2"/>
        <v>43830</v>
      </c>
      <c r="L3" s="545">
        <f t="shared" si="2"/>
        <v>44196</v>
      </c>
      <c r="M3" s="545">
        <f t="shared" si="2"/>
        <v>44561</v>
      </c>
      <c r="N3" s="545">
        <f t="shared" si="2"/>
        <v>44926</v>
      </c>
      <c r="O3" s="545">
        <f t="shared" si="2"/>
        <v>45291</v>
      </c>
      <c r="P3" s="546">
        <f t="shared" si="2"/>
        <v>45657</v>
      </c>
      <c r="Q3" s="547">
        <f t="shared" si="2"/>
        <v>46022</v>
      </c>
      <c r="R3" s="547">
        <f t="shared" si="2"/>
        <v>46387</v>
      </c>
      <c r="S3" s="547">
        <f t="shared" si="2"/>
        <v>46752</v>
      </c>
      <c r="T3" s="547">
        <f t="shared" si="2"/>
        <v>47118</v>
      </c>
      <c r="U3" s="547">
        <f t="shared" si="2"/>
        <v>47483</v>
      </c>
      <c r="V3" s="547">
        <f t="shared" si="2"/>
        <v>47848</v>
      </c>
      <c r="W3" s="547">
        <f t="shared" si="2"/>
        <v>48213</v>
      </c>
      <c r="X3" s="547">
        <f t="shared" si="2"/>
        <v>48579</v>
      </c>
      <c r="Y3" s="547">
        <f t="shared" si="2"/>
        <v>48944</v>
      </c>
      <c r="Z3" s="547">
        <f t="shared" si="2"/>
        <v>49309</v>
      </c>
      <c r="AA3" s="547">
        <f t="shared" si="2"/>
        <v>49674</v>
      </c>
      <c r="AB3" s="547">
        <f t="shared" si="2"/>
        <v>50040</v>
      </c>
      <c r="AC3" s="547">
        <f t="shared" si="2"/>
        <v>50405</v>
      </c>
      <c r="AD3" s="547">
        <f t="shared" si="2"/>
        <v>50770</v>
      </c>
      <c r="AE3" s="547">
        <f t="shared" si="2"/>
        <v>51135</v>
      </c>
      <c r="AF3" s="547">
        <f t="shared" si="2"/>
        <v>51501</v>
      </c>
      <c r="AG3" s="547">
        <f t="shared" si="2"/>
        <v>51866</v>
      </c>
      <c r="AH3" s="547">
        <f t="shared" si="2"/>
        <v>52231</v>
      </c>
      <c r="AI3" s="547">
        <f t="shared" si="2"/>
        <v>52596</v>
      </c>
      <c r="AJ3" s="547">
        <f t="shared" si="2"/>
        <v>52962</v>
      </c>
      <c r="AK3" s="547">
        <f t="shared" si="2"/>
        <v>53327</v>
      </c>
      <c r="AL3" s="547">
        <f t="shared" si="2"/>
        <v>53692</v>
      </c>
      <c r="AM3" s="547">
        <f t="shared" si="2"/>
        <v>54057</v>
      </c>
      <c r="AN3" s="547">
        <f t="shared" si="2"/>
        <v>54423</v>
      </c>
      <c r="AO3" s="547">
        <f t="shared" si="2"/>
        <v>54788</v>
      </c>
      <c r="AP3" s="547">
        <f t="shared" si="2"/>
        <v>55153</v>
      </c>
      <c r="AQ3" s="547">
        <f t="shared" si="2"/>
        <v>55518</v>
      </c>
      <c r="AR3" s="547">
        <f t="shared" si="2"/>
        <v>55884</v>
      </c>
      <c r="AS3" s="547">
        <f t="shared" si="2"/>
        <v>56249</v>
      </c>
      <c r="AT3" s="547">
        <f t="shared" si="2"/>
        <v>56614</v>
      </c>
      <c r="AU3" s="547">
        <f t="shared" si="2"/>
        <v>56979</v>
      </c>
      <c r="AV3" s="547">
        <f t="shared" si="2"/>
        <v>57345</v>
      </c>
      <c r="AW3" s="547">
        <f t="shared" si="2"/>
        <v>57710</v>
      </c>
      <c r="AX3" s="547">
        <f t="shared" si="2"/>
        <v>58075</v>
      </c>
      <c r="AY3" s="547">
        <f t="shared" si="2"/>
        <v>58440</v>
      </c>
      <c r="AZ3" s="547">
        <f t="shared" si="2"/>
        <v>58806</v>
      </c>
      <c r="BA3" s="547">
        <f t="shared" si="2"/>
        <v>59171</v>
      </c>
      <c r="BB3" s="548"/>
      <c r="BC3" s="549"/>
    </row>
    <row r="4" spans="1:55" ht="13.8" thickTop="1">
      <c r="B4" s="550"/>
      <c r="C4" s="550"/>
      <c r="D4" s="551"/>
      <c r="E4" s="329"/>
      <c r="F4" s="329"/>
      <c r="G4" s="329"/>
      <c r="H4" s="329"/>
      <c r="I4" s="329"/>
      <c r="J4" s="329"/>
      <c r="K4" s="329"/>
      <c r="L4" s="329"/>
      <c r="M4" s="329"/>
      <c r="N4" s="329"/>
      <c r="O4" s="329"/>
      <c r="P4" s="637"/>
      <c r="Q4" s="329"/>
      <c r="R4" s="329"/>
      <c r="S4" s="329"/>
      <c r="T4" s="329"/>
      <c r="U4" s="329"/>
      <c r="V4" s="329"/>
      <c r="W4" s="329"/>
      <c r="X4" s="329"/>
      <c r="Y4" s="329"/>
      <c r="Z4" s="329"/>
      <c r="AA4" s="1807"/>
      <c r="AB4" s="1807"/>
      <c r="AC4" s="1807"/>
      <c r="AD4" s="1807"/>
      <c r="AE4" s="1807"/>
      <c r="AF4" s="1807"/>
      <c r="AG4" s="1807"/>
      <c r="AH4" s="1807"/>
      <c r="AI4" s="1807"/>
      <c r="AJ4" s="1807"/>
      <c r="AK4" s="1807"/>
      <c r="AL4" s="1807"/>
      <c r="AM4" s="1807"/>
      <c r="AN4" s="1807"/>
      <c r="AO4" s="1807"/>
      <c r="AP4" s="1807"/>
      <c r="AQ4" s="1807"/>
      <c r="AR4" s="1807"/>
      <c r="AS4" s="1807"/>
      <c r="AT4" s="1807"/>
      <c r="AU4" s="1807"/>
      <c r="AV4" s="1807"/>
      <c r="AW4" s="1807"/>
      <c r="AX4" s="1807"/>
      <c r="AY4" s="1807"/>
      <c r="AZ4" s="1807"/>
      <c r="BA4" s="1807"/>
      <c r="BB4" s="329"/>
      <c r="BC4" s="329"/>
    </row>
    <row r="5" spans="1:55" s="95" customFormat="1">
      <c r="A5" s="86">
        <v>1</v>
      </c>
      <c r="B5" s="94" t="s">
        <v>244</v>
      </c>
      <c r="C5" s="94" t="s">
        <v>317</v>
      </c>
      <c r="D5" s="89"/>
      <c r="E5" s="89"/>
      <c r="F5" s="89"/>
      <c r="G5" s="89"/>
      <c r="H5" s="89"/>
      <c r="I5" s="89"/>
      <c r="J5" s="90"/>
      <c r="K5" s="90">
        <f>Input!N7</f>
        <v>15924.526874399</v>
      </c>
      <c r="L5" s="90">
        <f>Input!O7</f>
        <v>12570.542089828001</v>
      </c>
      <c r="M5" s="90">
        <f>Input!P7</f>
        <v>13455.585149639999</v>
      </c>
      <c r="N5" s="90">
        <f>Input!Q7</f>
        <v>17736.964394084247</v>
      </c>
      <c r="O5" s="90">
        <f>Input!R7</f>
        <v>18589.767949026176</v>
      </c>
      <c r="P5" s="568">
        <f>Input!S7</f>
        <v>19115.742512480145</v>
      </c>
      <c r="Q5" s="142">
        <f>Input!Q7</f>
        <v>17736.964394084247</v>
      </c>
      <c r="R5" s="142">
        <f>Input!R7</f>
        <v>18589.767949026176</v>
      </c>
      <c r="S5" s="142">
        <f>Input!S7</f>
        <v>19115.742512480145</v>
      </c>
      <c r="T5" s="142">
        <f>Input!T7</f>
        <v>22528.626786304212</v>
      </c>
      <c r="U5" s="142">
        <f>Input!U7</f>
        <v>21832.704154820331</v>
      </c>
      <c r="V5" s="142">
        <f>Input!V7</f>
        <v>20430.772302231144</v>
      </c>
      <c r="W5" s="142">
        <f>Input!W7</f>
        <v>20957.485887710031</v>
      </c>
      <c r="X5" s="142">
        <f>Input!X7</f>
        <v>21416.211179616723</v>
      </c>
      <c r="Y5" s="142">
        <f>Input!Y7</f>
        <v>22526.684294601619</v>
      </c>
      <c r="Z5" s="142">
        <f>Input!Z7</f>
        <v>22829.839724003705</v>
      </c>
      <c r="AA5" s="142"/>
      <c r="AB5" s="143"/>
      <c r="AC5" s="143"/>
      <c r="AD5" s="143"/>
      <c r="AE5" s="143"/>
      <c r="AF5" s="143"/>
      <c r="AG5" s="143"/>
      <c r="AH5" s="143"/>
      <c r="AI5" s="143"/>
      <c r="AJ5" s="143"/>
      <c r="AK5" s="143"/>
      <c r="AL5" s="143"/>
      <c r="AM5" s="143"/>
      <c r="AN5" s="143"/>
      <c r="AO5" s="143"/>
      <c r="AP5" s="143"/>
      <c r="AQ5" s="143"/>
      <c r="AR5" s="143"/>
      <c r="AS5" s="143"/>
      <c r="AT5" s="143"/>
      <c r="AU5" s="143"/>
      <c r="AV5" s="143"/>
      <c r="AW5" s="143"/>
      <c r="AX5" s="143"/>
      <c r="AY5" s="143"/>
      <c r="AZ5" s="143"/>
      <c r="BA5" s="143"/>
    </row>
    <row r="6" spans="1:55" s="95" customFormat="1">
      <c r="A6" s="86">
        <v>2</v>
      </c>
      <c r="B6" s="94" t="s">
        <v>15</v>
      </c>
      <c r="C6" s="94" t="s">
        <v>320</v>
      </c>
      <c r="D6" s="89"/>
      <c r="E6" s="89"/>
      <c r="F6" s="89"/>
      <c r="G6" s="89"/>
      <c r="H6" s="89"/>
      <c r="I6" s="89"/>
      <c r="J6" s="90"/>
      <c r="K6" s="90">
        <f>+Input!K11</f>
        <v>6083.7747332669996</v>
      </c>
      <c r="L6" s="90">
        <f>+Input!L11</f>
        <v>6244.4273005289997</v>
      </c>
      <c r="M6" s="90">
        <f>+Input!M11</f>
        <v>7088.8259803250003</v>
      </c>
      <c r="N6" s="90">
        <f>+Input!N11</f>
        <v>10221.097432230999</v>
      </c>
      <c r="O6" s="90">
        <f>+Input!O11</f>
        <v>10538.742407968</v>
      </c>
      <c r="P6" s="568">
        <f>+Input!P11</f>
        <v>10942.100894030998</v>
      </c>
      <c r="Q6" s="142">
        <f>+Input!Q11</f>
        <v>13918.243617704722</v>
      </c>
      <c r="R6" s="142">
        <f>+Input!R11</f>
        <v>14383.611091165716</v>
      </c>
      <c r="S6" s="142">
        <f>+Input!S11</f>
        <v>14457.705791708804</v>
      </c>
      <c r="T6" s="142">
        <f>+Input!T11</f>
        <v>15696.22576356595</v>
      </c>
      <c r="U6" s="142">
        <f>+Input!U11</f>
        <v>15887.412317123406</v>
      </c>
      <c r="V6" s="142">
        <f>+Input!V11</f>
        <v>15334.882212559625</v>
      </c>
      <c r="W6" s="142">
        <f>+Input!W11</f>
        <v>15944.619188827761</v>
      </c>
      <c r="X6" s="142">
        <f>+Input!X11</f>
        <v>16006.513359806648</v>
      </c>
      <c r="Y6" s="142">
        <f>+Input!Y11</f>
        <v>16419.679663426454</v>
      </c>
      <c r="Z6" s="142">
        <f>+Input!Z11</f>
        <v>16800.954631290278</v>
      </c>
      <c r="AA6" s="142"/>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89"/>
    </row>
    <row r="7" spans="1:55" s="95" customFormat="1">
      <c r="A7" s="86"/>
      <c r="B7" s="111" t="s">
        <v>582</v>
      </c>
      <c r="C7" s="111" t="s">
        <v>323</v>
      </c>
      <c r="D7" s="237"/>
      <c r="E7" s="237"/>
      <c r="F7" s="237"/>
      <c r="G7" s="237"/>
      <c r="H7" s="237"/>
      <c r="I7" s="237"/>
      <c r="J7" s="553"/>
      <c r="K7" s="553">
        <f>Input!K15</f>
        <v>959.19219685000007</v>
      </c>
      <c r="L7" s="553">
        <f>Input!L15</f>
        <v>1316.8477998890003</v>
      </c>
      <c r="M7" s="553">
        <f>Input!M15</f>
        <v>2780.936924312</v>
      </c>
      <c r="N7" s="553">
        <f>Input!N15</f>
        <v>5703.4294421680006</v>
      </c>
      <c r="O7" s="553">
        <f>Input!O15</f>
        <v>2031.7996818600004</v>
      </c>
      <c r="P7" s="581">
        <f>Input!P15</f>
        <v>2513.4842556090007</v>
      </c>
      <c r="Q7" s="554">
        <f>Input!Q15</f>
        <v>3818.720776379525</v>
      </c>
      <c r="R7" s="554">
        <f>Input!R15</f>
        <v>4206.1568578604601</v>
      </c>
      <c r="S7" s="554">
        <f>Input!S15</f>
        <v>4658.0367207713407</v>
      </c>
      <c r="T7" s="554">
        <f>Input!T15</f>
        <v>6832.4010227382623</v>
      </c>
      <c r="U7" s="554">
        <f>Input!U15</f>
        <v>5945.2918376969246</v>
      </c>
      <c r="V7" s="554">
        <f>Input!V15</f>
        <v>5095.8900896715186</v>
      </c>
      <c r="W7" s="554">
        <f>Input!W15</f>
        <v>5012.8666988822697</v>
      </c>
      <c r="X7" s="554">
        <f>Input!X15</f>
        <v>5409.6978198100751</v>
      </c>
      <c r="Y7" s="554">
        <f>Input!Y15</f>
        <v>6107.0046311751648</v>
      </c>
      <c r="Z7" s="554">
        <f>Input!Z15</f>
        <v>6028.8850927134263</v>
      </c>
      <c r="AA7" s="554"/>
      <c r="AB7" s="238"/>
      <c r="AC7" s="238"/>
      <c r="AD7" s="238"/>
      <c r="AE7" s="238"/>
      <c r="AF7" s="238"/>
      <c r="AG7" s="238"/>
      <c r="AH7" s="238"/>
      <c r="AI7" s="238"/>
      <c r="AJ7" s="238"/>
      <c r="AK7" s="238"/>
      <c r="AL7" s="238"/>
      <c r="AM7" s="238"/>
      <c r="AN7" s="238"/>
      <c r="AO7" s="238"/>
      <c r="AP7" s="238"/>
      <c r="AQ7" s="238"/>
      <c r="AR7" s="238"/>
      <c r="AS7" s="238"/>
      <c r="AT7" s="238"/>
      <c r="AU7" s="238"/>
      <c r="AV7" s="238"/>
      <c r="AW7" s="238"/>
      <c r="AX7" s="238"/>
      <c r="AY7" s="238"/>
      <c r="AZ7" s="238"/>
      <c r="BA7" s="238"/>
    </row>
    <row r="8" spans="1:55" s="562" customFormat="1">
      <c r="A8" s="555"/>
      <c r="B8" s="556" t="s">
        <v>583</v>
      </c>
      <c r="C8" s="556" t="s">
        <v>322</v>
      </c>
      <c r="D8" s="557"/>
      <c r="E8" s="557"/>
      <c r="F8" s="557"/>
      <c r="G8" s="557"/>
      <c r="H8" s="557"/>
      <c r="I8" s="557"/>
      <c r="J8" s="558"/>
      <c r="K8" s="558">
        <f>K7/K$5</f>
        <v>6.0233638613907042E-2</v>
      </c>
      <c r="L8" s="558">
        <f t="shared" ref="L8:P8" si="3">L7/L$5</f>
        <v>0.10475664378504287</v>
      </c>
      <c r="M8" s="558">
        <f t="shared" si="3"/>
        <v>0.20667528713059374</v>
      </c>
      <c r="N8" s="558">
        <f t="shared" si="3"/>
        <v>0.32155611949417046</v>
      </c>
      <c r="O8" s="558">
        <f t="shared" si="3"/>
        <v>0.10929666725433418</v>
      </c>
      <c r="P8" s="571">
        <f t="shared" si="3"/>
        <v>0.13148766018207325</v>
      </c>
      <c r="Q8" s="559">
        <f>Q7/Q$5</f>
        <v>0.21529731308775535</v>
      </c>
      <c r="R8" s="559">
        <f t="shared" ref="R8:Z8" si="4">R7/R$5</f>
        <v>0.22626193448965562</v>
      </c>
      <c r="S8" s="559">
        <f t="shared" si="4"/>
        <v>0.24367542708478293</v>
      </c>
      <c r="T8" s="559">
        <f t="shared" si="4"/>
        <v>0.30327640861323479</v>
      </c>
      <c r="U8" s="559">
        <f t="shared" si="4"/>
        <v>0.27231129023402695</v>
      </c>
      <c r="V8" s="559">
        <f t="shared" si="4"/>
        <v>0.24942229369934399</v>
      </c>
      <c r="W8" s="559">
        <f t="shared" si="4"/>
        <v>0.23919217819070246</v>
      </c>
      <c r="X8" s="559">
        <f t="shared" si="4"/>
        <v>0.25259826653926798</v>
      </c>
      <c r="Y8" s="559">
        <f t="shared" si="4"/>
        <v>0.27110091087123156</v>
      </c>
      <c r="Z8" s="559">
        <f t="shared" si="4"/>
        <v>0.2640791685617726</v>
      </c>
      <c r="AA8" s="559"/>
      <c r="AB8" s="560"/>
      <c r="AC8" s="560"/>
      <c r="AD8" s="560"/>
      <c r="AE8" s="560"/>
      <c r="AF8" s="560"/>
      <c r="AG8" s="560"/>
      <c r="AH8" s="560"/>
      <c r="AI8" s="560"/>
      <c r="AJ8" s="560"/>
      <c r="AK8" s="560"/>
      <c r="AL8" s="560"/>
      <c r="AM8" s="560"/>
      <c r="AN8" s="560"/>
      <c r="AO8" s="560"/>
      <c r="AP8" s="560"/>
      <c r="AQ8" s="560"/>
      <c r="AR8" s="560"/>
      <c r="AS8" s="560"/>
      <c r="AT8" s="560"/>
      <c r="AU8" s="560"/>
      <c r="AV8" s="560"/>
      <c r="AW8" s="560"/>
      <c r="AX8" s="560"/>
      <c r="AY8" s="560"/>
      <c r="AZ8" s="560"/>
      <c r="BA8" s="560"/>
      <c r="BB8" s="561"/>
      <c r="BC8" s="561"/>
    </row>
    <row r="9" spans="1:55" s="5" customFormat="1">
      <c r="A9" s="86"/>
      <c r="B9" s="75"/>
      <c r="C9" s="75"/>
      <c r="D9" s="41"/>
      <c r="E9" s="41"/>
      <c r="F9" s="41"/>
      <c r="G9" s="41"/>
      <c r="H9" s="41"/>
      <c r="I9" s="41"/>
      <c r="J9" s="41"/>
      <c r="K9" s="41"/>
      <c r="L9" s="41"/>
      <c r="M9" s="41"/>
      <c r="N9" s="41"/>
      <c r="O9" s="41"/>
      <c r="P9" s="26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84"/>
      <c r="BC9" s="84"/>
    </row>
    <row r="10" spans="1:55" s="95" customFormat="1">
      <c r="A10" s="86"/>
      <c r="B10" s="94" t="s">
        <v>584</v>
      </c>
      <c r="C10" s="563" t="s">
        <v>325</v>
      </c>
      <c r="D10" s="427"/>
      <c r="E10" s="427"/>
      <c r="F10" s="427"/>
      <c r="G10" s="427"/>
      <c r="H10" s="427"/>
      <c r="I10" s="427"/>
      <c r="J10" s="564"/>
      <c r="K10" s="564">
        <f>Input!K19</f>
        <v>565.37789901099995</v>
      </c>
      <c r="L10" s="564">
        <f>Input!L19</f>
        <v>673.40697816300008</v>
      </c>
      <c r="M10" s="564">
        <f>Input!M19</f>
        <v>948.89299045899998</v>
      </c>
      <c r="N10" s="564">
        <f>Input!N19</f>
        <v>1350.889132605</v>
      </c>
      <c r="O10" s="564">
        <f>Input!O19</f>
        <v>1349.1883473359999</v>
      </c>
      <c r="P10" s="590">
        <f>Input!P19</f>
        <v>1495.4168026570001</v>
      </c>
      <c r="Q10" s="565">
        <f>Input!Q19</f>
        <v>1724.7512553462252</v>
      </c>
      <c r="R10" s="565">
        <f>Input!R19</f>
        <v>1807.870911056124</v>
      </c>
      <c r="S10" s="565">
        <f>Input!S19</f>
        <v>1832.946110728062</v>
      </c>
      <c r="T10" s="565">
        <f>Input!T19</f>
        <v>2162.524552421728</v>
      </c>
      <c r="U10" s="565">
        <f>Input!U19</f>
        <v>2178.072073711126</v>
      </c>
      <c r="V10" s="565">
        <f>Input!V19</f>
        <v>2032.1553044460118</v>
      </c>
      <c r="W10" s="565">
        <f>Input!W19</f>
        <v>2038.6793832514034</v>
      </c>
      <c r="X10" s="565">
        <f>Input!X19</f>
        <v>2082.4465745460379</v>
      </c>
      <c r="Y10" s="565">
        <f>Input!Y19</f>
        <v>2195.9907520780707</v>
      </c>
      <c r="Z10" s="565">
        <f>Input!Z19</f>
        <v>2237.9732920368097</v>
      </c>
      <c r="AA10" s="565"/>
      <c r="AB10" s="428"/>
      <c r="AC10" s="428"/>
      <c r="AD10" s="428"/>
      <c r="AE10" s="428"/>
      <c r="AF10" s="428"/>
      <c r="AG10" s="428"/>
      <c r="AH10" s="428"/>
      <c r="AI10" s="428"/>
      <c r="AJ10" s="428"/>
      <c r="AK10" s="428"/>
      <c r="AL10" s="428"/>
      <c r="AM10" s="428"/>
      <c r="AN10" s="428"/>
      <c r="AO10" s="428"/>
      <c r="AP10" s="428"/>
      <c r="AQ10" s="428"/>
      <c r="AR10" s="428"/>
      <c r="AS10" s="428"/>
      <c r="AT10" s="428"/>
      <c r="AU10" s="428"/>
      <c r="AV10" s="428"/>
      <c r="AW10" s="428"/>
      <c r="AX10" s="428"/>
      <c r="AY10" s="428"/>
      <c r="AZ10" s="428"/>
      <c r="BA10" s="428"/>
    </row>
    <row r="11" spans="1:55" s="95" customFormat="1">
      <c r="A11" s="86"/>
      <c r="B11" s="94"/>
      <c r="C11" s="566" t="s">
        <v>331</v>
      </c>
      <c r="D11" s="427"/>
      <c r="E11" s="427"/>
      <c r="F11" s="427"/>
      <c r="G11" s="427"/>
      <c r="H11" s="427"/>
      <c r="I11" s="427"/>
      <c r="J11" s="427"/>
      <c r="K11" s="427"/>
      <c r="L11" s="427"/>
      <c r="M11" s="427"/>
      <c r="N11" s="427"/>
      <c r="O11" s="427"/>
      <c r="P11" s="567"/>
      <c r="Q11" s="428"/>
      <c r="R11" s="428"/>
      <c r="S11" s="428"/>
      <c r="T11" s="428"/>
      <c r="U11" s="428"/>
      <c r="V11" s="428"/>
      <c r="W11" s="428"/>
      <c r="X11" s="428"/>
      <c r="Y11" s="428"/>
      <c r="Z11" s="428"/>
      <c r="AA11" s="428"/>
      <c r="AB11" s="428"/>
      <c r="AC11" s="428"/>
      <c r="AD11" s="428"/>
      <c r="AE11" s="428"/>
      <c r="AF11" s="428"/>
      <c r="AG11" s="428"/>
      <c r="AH11" s="428"/>
      <c r="AI11" s="428"/>
      <c r="AJ11" s="428"/>
      <c r="AK11" s="428"/>
      <c r="AL11" s="428"/>
      <c r="AM11" s="428"/>
      <c r="AN11" s="428"/>
      <c r="AO11" s="428"/>
      <c r="AP11" s="428"/>
      <c r="AQ11" s="428"/>
      <c r="AR11" s="428"/>
      <c r="AS11" s="428"/>
      <c r="AT11" s="428"/>
      <c r="AU11" s="428"/>
      <c r="AV11" s="428"/>
      <c r="AW11" s="428"/>
      <c r="AX11" s="428"/>
      <c r="AY11" s="428"/>
      <c r="AZ11" s="428"/>
      <c r="BA11" s="428"/>
    </row>
    <row r="12" spans="1:55" s="95" customFormat="1">
      <c r="A12" s="86"/>
      <c r="B12" s="111" t="s">
        <v>334</v>
      </c>
      <c r="C12" s="94" t="s">
        <v>334</v>
      </c>
      <c r="D12" s="89"/>
      <c r="E12" s="89"/>
      <c r="F12" s="89"/>
      <c r="G12" s="89"/>
      <c r="H12" s="89"/>
      <c r="I12" s="89"/>
      <c r="J12" s="90"/>
      <c r="K12" s="90">
        <f>Input!K35</f>
        <v>1712.65494033</v>
      </c>
      <c r="L12" s="90">
        <f>Input!L35</f>
        <v>1961.5932744320003</v>
      </c>
      <c r="M12" s="90">
        <f>Input!M35</f>
        <v>3217.8548777280002</v>
      </c>
      <c r="N12" s="90">
        <f>Input!N35</f>
        <v>5750.569707300001</v>
      </c>
      <c r="O12" s="90">
        <f>Input!O35</f>
        <v>1765.9920331760006</v>
      </c>
      <c r="P12" s="568">
        <f>Input!P35</f>
        <v>1286.1489113670007</v>
      </c>
      <c r="Q12" s="142">
        <f>Input!Q35</f>
        <v>2960.165495542351</v>
      </c>
      <c r="R12" s="142">
        <f>Input!R35</f>
        <v>3356.3643093193014</v>
      </c>
      <c r="S12" s="142">
        <f>Input!S35</f>
        <v>3225.1563021775901</v>
      </c>
      <c r="T12" s="142">
        <f>Input!T35</f>
        <v>5074.5332103105829</v>
      </c>
      <c r="U12" s="142">
        <f>Input!U35</f>
        <v>4159.0388889400238</v>
      </c>
      <c r="V12" s="142">
        <f>Input!V35</f>
        <v>3455.4198097558992</v>
      </c>
      <c r="W12" s="142">
        <f>Input!W35</f>
        <v>3325.8599193575137</v>
      </c>
      <c r="X12" s="142">
        <f>Input!X35</f>
        <v>3721.2667713333512</v>
      </c>
      <c r="Y12" s="142">
        <f>Input!Y35</f>
        <v>4330.3201440024686</v>
      </c>
      <c r="Z12" s="142">
        <f>Input!Z35</f>
        <v>4238.5621585124063</v>
      </c>
      <c r="AA12" s="142"/>
      <c r="AB12" s="143"/>
      <c r="AC12" s="143"/>
      <c r="AD12" s="143"/>
      <c r="AE12" s="143"/>
      <c r="AF12" s="143"/>
      <c r="AG12" s="143"/>
      <c r="AH12" s="143"/>
      <c r="AI12" s="143"/>
      <c r="AJ12" s="143"/>
      <c r="AK12" s="143"/>
      <c r="AL12" s="143"/>
      <c r="AM12" s="143"/>
      <c r="AN12" s="143"/>
      <c r="AO12" s="143"/>
      <c r="AP12" s="143"/>
      <c r="AQ12" s="143"/>
      <c r="AR12" s="143"/>
      <c r="AS12" s="143"/>
      <c r="AT12" s="143"/>
      <c r="AU12" s="143"/>
      <c r="AV12" s="143"/>
      <c r="AW12" s="143"/>
      <c r="AX12" s="143"/>
      <c r="AY12" s="143"/>
      <c r="AZ12" s="143"/>
      <c r="BA12" s="143"/>
    </row>
    <row r="13" spans="1:55" s="572" customFormat="1">
      <c r="A13" s="555"/>
      <c r="B13" s="569"/>
      <c r="C13" s="569" t="s">
        <v>333</v>
      </c>
      <c r="D13" s="570"/>
      <c r="E13" s="570"/>
      <c r="F13" s="570"/>
      <c r="G13" s="570"/>
      <c r="H13" s="570"/>
      <c r="I13" s="570"/>
      <c r="J13" s="558"/>
      <c r="K13" s="558">
        <f>K12/K$5</f>
        <v>0.10754824641499038</v>
      </c>
      <c r="L13" s="558">
        <f t="shared" ref="L13:Q13" si="5">L12/L$5</f>
        <v>0.15604683238118336</v>
      </c>
      <c r="M13" s="558">
        <f t="shared" si="5"/>
        <v>0.23914640960925382</v>
      </c>
      <c r="N13" s="558">
        <f t="shared" si="5"/>
        <v>0.32421386092526466</v>
      </c>
      <c r="O13" s="558">
        <f t="shared" si="5"/>
        <v>9.4998067647665926E-2</v>
      </c>
      <c r="P13" s="571">
        <f t="shared" si="5"/>
        <v>6.7282184331961439E-2</v>
      </c>
      <c r="Q13" s="559">
        <f t="shared" si="5"/>
        <v>0.16689245294587418</v>
      </c>
      <c r="R13" s="559">
        <f t="shared" ref="R13:Z13" si="6">R12/R$5</f>
        <v>0.18054901591685141</v>
      </c>
      <c r="S13" s="559">
        <f t="shared" si="6"/>
        <v>0.16871729152409193</v>
      </c>
      <c r="T13" s="559">
        <f t="shared" si="6"/>
        <v>0.2252482256661793</v>
      </c>
      <c r="U13" s="559">
        <f t="shared" si="6"/>
        <v>0.1904958203732986</v>
      </c>
      <c r="V13" s="559">
        <f t="shared" si="6"/>
        <v>0.16912820321425392</v>
      </c>
      <c r="W13" s="559">
        <f t="shared" si="6"/>
        <v>0.15869555810164601</v>
      </c>
      <c r="X13" s="559">
        <f t="shared" si="6"/>
        <v>0.1737593424029707</v>
      </c>
      <c r="Y13" s="559">
        <f t="shared" si="6"/>
        <v>0.19223069349092814</v>
      </c>
      <c r="Z13" s="559">
        <f t="shared" si="6"/>
        <v>0.18565886619238531</v>
      </c>
      <c r="AA13" s="559"/>
      <c r="AB13" s="560"/>
      <c r="AC13" s="560"/>
      <c r="AD13" s="560"/>
      <c r="AE13" s="560"/>
      <c r="AF13" s="560"/>
      <c r="AG13" s="560"/>
      <c r="AH13" s="560"/>
      <c r="AI13" s="560"/>
      <c r="AJ13" s="560"/>
      <c r="AK13" s="560"/>
      <c r="AL13" s="560"/>
      <c r="AM13" s="560"/>
      <c r="AN13" s="560"/>
      <c r="AO13" s="560"/>
      <c r="AP13" s="560"/>
      <c r="AQ13" s="560"/>
      <c r="AR13" s="560"/>
      <c r="AS13" s="560"/>
      <c r="AT13" s="560"/>
      <c r="AU13" s="560"/>
      <c r="AV13" s="560"/>
      <c r="AW13" s="560"/>
      <c r="AX13" s="560"/>
      <c r="AY13" s="560"/>
      <c r="AZ13" s="560"/>
      <c r="BA13" s="560"/>
    </row>
    <row r="14" spans="1:55" s="5" customFormat="1">
      <c r="A14" s="86"/>
      <c r="B14" s="75"/>
      <c r="C14" s="75"/>
      <c r="D14" s="41"/>
      <c r="E14" s="41"/>
      <c r="F14" s="41"/>
      <c r="G14" s="41"/>
      <c r="H14" s="41"/>
      <c r="I14" s="41"/>
      <c r="J14" s="41"/>
      <c r="K14" s="41"/>
      <c r="L14" s="41"/>
      <c r="M14" s="41"/>
      <c r="N14" s="41"/>
      <c r="O14" s="41"/>
      <c r="P14" s="26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84"/>
      <c r="BC14" s="84"/>
    </row>
    <row r="15" spans="1:55" s="95" customFormat="1">
      <c r="A15" s="86">
        <v>5</v>
      </c>
      <c r="B15" s="94" t="s">
        <v>585</v>
      </c>
      <c r="C15" s="94" t="s">
        <v>337</v>
      </c>
      <c r="D15" s="89"/>
      <c r="E15" s="89"/>
      <c r="F15" s="89"/>
      <c r="G15" s="89"/>
      <c r="H15" s="89"/>
      <c r="I15" s="89"/>
      <c r="J15" s="90"/>
      <c r="K15" s="90">
        <f>+Input!K40</f>
        <v>1318.8406424909999</v>
      </c>
      <c r="L15" s="90">
        <f>+Input!L40</f>
        <v>1318.1524527060001</v>
      </c>
      <c r="M15" s="90">
        <f>+Input!M40</f>
        <v>1385.810943875</v>
      </c>
      <c r="N15" s="90">
        <f>+Input!N40</f>
        <v>1398.029397737</v>
      </c>
      <c r="O15" s="90">
        <f>+Input!O40</f>
        <v>1083.3806986520001</v>
      </c>
      <c r="P15" s="568">
        <f>+Input!P40</f>
        <v>268.08145841499999</v>
      </c>
      <c r="Q15" s="142">
        <f>+Input!Q40</f>
        <v>866.19597450905121</v>
      </c>
      <c r="R15" s="142">
        <f>+Input!R40</f>
        <v>958.07836251496497</v>
      </c>
      <c r="S15" s="142">
        <f>+Input!S40</f>
        <v>400.06569213431158</v>
      </c>
      <c r="T15" s="142">
        <f>+Input!T40</f>
        <v>404.65673999404856</v>
      </c>
      <c r="U15" s="142">
        <f>+Input!U40</f>
        <v>391.81912495422546</v>
      </c>
      <c r="V15" s="142">
        <f>+Input!V40</f>
        <v>391.68502453039241</v>
      </c>
      <c r="W15" s="142">
        <f>+Input!W40</f>
        <v>351.67260372664737</v>
      </c>
      <c r="X15" s="142">
        <f>+Input!X40</f>
        <v>394.01552606931426</v>
      </c>
      <c r="Y15" s="142">
        <f>+Input!Y40</f>
        <v>419.30626490537486</v>
      </c>
      <c r="Z15" s="142">
        <f>+Input!Z40</f>
        <v>447.65035783578924</v>
      </c>
      <c r="AA15" s="142"/>
      <c r="AB15" s="143"/>
      <c r="AC15" s="143"/>
      <c r="AD15" s="143"/>
      <c r="AE15" s="143"/>
      <c r="AF15" s="143"/>
      <c r="AG15" s="143"/>
      <c r="AH15" s="143"/>
      <c r="AI15" s="143"/>
      <c r="AJ15" s="143"/>
      <c r="AK15" s="143"/>
      <c r="AL15" s="143"/>
      <c r="AM15" s="143"/>
      <c r="AN15" s="143"/>
      <c r="AO15" s="143"/>
      <c r="AP15" s="143"/>
      <c r="AQ15" s="143"/>
      <c r="AR15" s="143"/>
      <c r="AS15" s="143"/>
      <c r="AT15" s="143"/>
      <c r="AU15" s="143"/>
      <c r="AV15" s="143"/>
      <c r="AW15" s="143"/>
      <c r="AX15" s="143"/>
      <c r="AY15" s="143"/>
      <c r="AZ15" s="143"/>
      <c r="BA15" s="143"/>
    </row>
    <row r="16" spans="1:55" s="574" customFormat="1">
      <c r="A16" s="573"/>
      <c r="C16" s="575" t="s">
        <v>338</v>
      </c>
      <c r="D16" s="576"/>
      <c r="E16" s="576"/>
      <c r="F16" s="576"/>
      <c r="G16" s="576"/>
      <c r="H16" s="576"/>
      <c r="I16" s="576"/>
      <c r="J16" s="576"/>
      <c r="K16" s="576"/>
      <c r="L16" s="576"/>
      <c r="M16" s="576"/>
      <c r="N16" s="576"/>
      <c r="O16" s="576"/>
      <c r="P16" s="577"/>
      <c r="Q16" s="578"/>
      <c r="R16" s="578"/>
      <c r="S16" s="578"/>
      <c r="T16" s="578"/>
      <c r="U16" s="578"/>
      <c r="V16" s="578"/>
      <c r="W16" s="578"/>
      <c r="X16" s="578"/>
      <c r="Y16" s="578"/>
      <c r="Z16" s="578"/>
      <c r="AA16" s="578"/>
      <c r="AB16" s="578"/>
      <c r="AC16" s="578"/>
      <c r="AD16" s="578"/>
      <c r="AE16" s="578"/>
      <c r="AF16" s="578"/>
      <c r="AG16" s="578"/>
      <c r="AH16" s="578"/>
      <c r="AI16" s="578"/>
      <c r="AJ16" s="578"/>
      <c r="AK16" s="578"/>
      <c r="AL16" s="578"/>
      <c r="AM16" s="578"/>
      <c r="AN16" s="578"/>
      <c r="AO16" s="578"/>
      <c r="AP16" s="578"/>
      <c r="AQ16" s="578"/>
      <c r="AR16" s="578"/>
      <c r="AS16" s="578"/>
      <c r="AT16" s="578"/>
      <c r="AU16" s="578"/>
      <c r="AV16" s="578"/>
      <c r="AW16" s="578"/>
      <c r="AX16" s="578"/>
      <c r="AY16" s="578"/>
      <c r="AZ16" s="578"/>
      <c r="BA16" s="578"/>
      <c r="BB16" s="579"/>
      <c r="BC16" s="579"/>
    </row>
    <row r="17" spans="1:55" s="574" customFormat="1">
      <c r="A17" s="573"/>
      <c r="B17" s="580"/>
      <c r="C17" s="575" t="s">
        <v>339</v>
      </c>
      <c r="D17" s="576"/>
      <c r="E17" s="576"/>
      <c r="F17" s="576"/>
      <c r="G17" s="576"/>
      <c r="H17" s="576"/>
      <c r="I17" s="576"/>
      <c r="J17" s="576"/>
      <c r="K17" s="576"/>
      <c r="L17" s="576"/>
      <c r="M17" s="576"/>
      <c r="N17" s="576"/>
      <c r="O17" s="576"/>
      <c r="P17" s="577"/>
      <c r="Q17" s="578"/>
      <c r="R17" s="578"/>
      <c r="S17" s="578"/>
      <c r="T17" s="578"/>
      <c r="U17" s="578"/>
      <c r="V17" s="578"/>
      <c r="W17" s="578"/>
      <c r="X17" s="578"/>
      <c r="Y17" s="578"/>
      <c r="Z17" s="578"/>
      <c r="AA17" s="578"/>
      <c r="AB17" s="578"/>
      <c r="AC17" s="578"/>
      <c r="AD17" s="578"/>
      <c r="AE17" s="578"/>
      <c r="AF17" s="578"/>
      <c r="AG17" s="578"/>
      <c r="AH17" s="578"/>
      <c r="AI17" s="578"/>
      <c r="AJ17" s="578"/>
      <c r="AK17" s="578"/>
      <c r="AL17" s="578"/>
      <c r="AM17" s="578"/>
      <c r="AN17" s="578"/>
      <c r="AO17" s="578"/>
      <c r="AP17" s="578"/>
      <c r="AQ17" s="578"/>
      <c r="AR17" s="578"/>
      <c r="AS17" s="578"/>
      <c r="AT17" s="578"/>
      <c r="AU17" s="578"/>
      <c r="AV17" s="578"/>
      <c r="AW17" s="578"/>
      <c r="AX17" s="578"/>
      <c r="AY17" s="578"/>
      <c r="AZ17" s="578"/>
      <c r="BA17" s="578"/>
      <c r="BB17" s="579"/>
      <c r="BC17" s="579"/>
    </row>
    <row r="18" spans="1:55" s="95" customFormat="1">
      <c r="A18" s="86"/>
      <c r="B18" s="111" t="s">
        <v>342</v>
      </c>
      <c r="C18" s="111" t="s">
        <v>342</v>
      </c>
      <c r="D18" s="237"/>
      <c r="E18" s="237"/>
      <c r="F18" s="237"/>
      <c r="G18" s="237"/>
      <c r="H18" s="237"/>
      <c r="I18" s="237"/>
      <c r="J18" s="553"/>
      <c r="K18" s="553">
        <f>Input!K47</f>
        <v>393.81429783900012</v>
      </c>
      <c r="L18" s="553">
        <f>Input!L47</f>
        <v>643.44082172600019</v>
      </c>
      <c r="M18" s="553">
        <f>Input!M47</f>
        <v>1832.0439338530002</v>
      </c>
      <c r="N18" s="553">
        <f>Input!N47</f>
        <v>4352.5403095630008</v>
      </c>
      <c r="O18" s="553">
        <f>Input!O47</f>
        <v>682.61133452400054</v>
      </c>
      <c r="P18" s="581">
        <f>Input!P47</f>
        <v>1018.0674529520006</v>
      </c>
      <c r="Q18" s="554">
        <f>Input!Q47</f>
        <v>2093.9695210332998</v>
      </c>
      <c r="R18" s="554">
        <f>Input!R47</f>
        <v>2398.2859468043362</v>
      </c>
      <c r="S18" s="554">
        <f>Input!S47</f>
        <v>2825.0906100432785</v>
      </c>
      <c r="T18" s="554">
        <f>Input!T47</f>
        <v>4669.8764703165343</v>
      </c>
      <c r="U18" s="554">
        <f>Input!U47</f>
        <v>3767.2197639857982</v>
      </c>
      <c r="V18" s="554">
        <f>Input!V47</f>
        <v>3063.734785225507</v>
      </c>
      <c r="W18" s="554">
        <f>Input!W47</f>
        <v>2974.1873156308666</v>
      </c>
      <c r="X18" s="554">
        <f>Input!X47</f>
        <v>3327.2512452640372</v>
      </c>
      <c r="Y18" s="554">
        <f>Input!Y47</f>
        <v>3911.0138790970936</v>
      </c>
      <c r="Z18" s="554">
        <f>Input!Z47</f>
        <v>3790.9118006766171</v>
      </c>
      <c r="AA18" s="554"/>
      <c r="AB18" s="238"/>
      <c r="AC18" s="238"/>
      <c r="AD18" s="238"/>
      <c r="AE18" s="238"/>
      <c r="AF18" s="238"/>
      <c r="AG18" s="238"/>
      <c r="AH18" s="238"/>
      <c r="AI18" s="238"/>
      <c r="AJ18" s="238"/>
      <c r="AK18" s="238"/>
      <c r="AL18" s="238"/>
      <c r="AM18" s="238"/>
      <c r="AN18" s="238"/>
      <c r="AO18" s="238"/>
      <c r="AP18" s="238"/>
      <c r="AQ18" s="238"/>
      <c r="AR18" s="238"/>
      <c r="AS18" s="238"/>
      <c r="AT18" s="238"/>
      <c r="AU18" s="238"/>
      <c r="AV18" s="238"/>
      <c r="AW18" s="238"/>
      <c r="AX18" s="238"/>
      <c r="AY18" s="238"/>
      <c r="AZ18" s="238"/>
      <c r="BA18" s="238"/>
    </row>
    <row r="19" spans="1:55" s="562" customFormat="1">
      <c r="A19" s="555"/>
      <c r="B19" s="582"/>
      <c r="C19" s="582" t="s">
        <v>341</v>
      </c>
      <c r="D19" s="583"/>
      <c r="E19" s="583"/>
      <c r="F19" s="583"/>
      <c r="G19" s="583"/>
      <c r="H19" s="583"/>
      <c r="I19" s="583"/>
      <c r="J19" s="558"/>
      <c r="K19" s="558">
        <f>K18/K$5</f>
        <v>2.4730046986332389E-2</v>
      </c>
      <c r="L19" s="558">
        <f t="shared" ref="L19:Q19" si="7">L18/L$5</f>
        <v>5.1186402076221375E-2</v>
      </c>
      <c r="M19" s="558">
        <f t="shared" si="7"/>
        <v>0.13615490619536647</v>
      </c>
      <c r="N19" s="558">
        <f t="shared" si="7"/>
        <v>0.24539375582299131</v>
      </c>
      <c r="O19" s="558">
        <f t="shared" si="7"/>
        <v>3.6719734016892831E-2</v>
      </c>
      <c r="P19" s="571">
        <f t="shared" si="7"/>
        <v>5.3258064775005852E-2</v>
      </c>
      <c r="Q19" s="559">
        <f t="shared" si="7"/>
        <v>0.11805681482518478</v>
      </c>
      <c r="R19" s="559">
        <f t="shared" ref="R19:Z19" si="8">R18/R$5</f>
        <v>0.129011074983858</v>
      </c>
      <c r="S19" s="559">
        <f t="shared" si="8"/>
        <v>0.14778869343939185</v>
      </c>
      <c r="T19" s="559">
        <f t="shared" si="8"/>
        <v>0.2072863346094172</v>
      </c>
      <c r="U19" s="559">
        <f t="shared" si="8"/>
        <v>0.1725493890849088</v>
      </c>
      <c r="V19" s="559">
        <f t="shared" si="8"/>
        <v>0.14995687582945319</v>
      </c>
      <c r="W19" s="559">
        <f t="shared" si="8"/>
        <v>0.14191527225958916</v>
      </c>
      <c r="X19" s="559">
        <f t="shared" si="8"/>
        <v>0.15536133900429644</v>
      </c>
      <c r="Y19" s="559">
        <f t="shared" si="8"/>
        <v>0.17361693482934565</v>
      </c>
      <c r="Z19" s="559">
        <f t="shared" si="8"/>
        <v>0.16605074089463642</v>
      </c>
      <c r="AA19" s="559"/>
      <c r="AB19" s="560"/>
      <c r="AC19" s="560"/>
      <c r="AD19" s="560"/>
      <c r="AE19" s="560"/>
      <c r="AF19" s="560"/>
      <c r="AG19" s="560"/>
      <c r="AH19" s="560"/>
      <c r="AI19" s="560"/>
      <c r="AJ19" s="560"/>
      <c r="AK19" s="560"/>
      <c r="AL19" s="560"/>
      <c r="AM19" s="560"/>
      <c r="AN19" s="560"/>
      <c r="AO19" s="560"/>
      <c r="AP19" s="560"/>
      <c r="AQ19" s="560"/>
      <c r="AR19" s="560"/>
      <c r="AS19" s="560"/>
      <c r="AT19" s="560"/>
      <c r="AU19" s="560"/>
      <c r="AV19" s="560"/>
      <c r="AW19" s="560"/>
      <c r="AX19" s="560"/>
      <c r="AY19" s="560"/>
      <c r="AZ19" s="560"/>
      <c r="BA19" s="560"/>
    </row>
    <row r="20" spans="1:55" s="95" customFormat="1">
      <c r="A20" s="86"/>
      <c r="B20" s="94"/>
      <c r="C20" s="94"/>
      <c r="D20" s="89"/>
      <c r="E20" s="89"/>
      <c r="F20" s="89"/>
      <c r="G20" s="89"/>
      <c r="H20" s="89"/>
      <c r="I20" s="89"/>
      <c r="J20" s="89"/>
      <c r="K20" s="89"/>
      <c r="L20" s="89"/>
      <c r="M20" s="89"/>
      <c r="N20" s="89"/>
      <c r="O20" s="89"/>
      <c r="P20" s="188"/>
      <c r="Q20" s="143"/>
      <c r="R20" s="143"/>
      <c r="S20" s="143"/>
      <c r="T20" s="143"/>
      <c r="U20" s="143"/>
      <c r="V20" s="143"/>
      <c r="W20" s="143"/>
      <c r="X20" s="143"/>
      <c r="Y20" s="143"/>
      <c r="Z20" s="143"/>
      <c r="AA20" s="143"/>
      <c r="AB20" s="143"/>
      <c r="AC20" s="143"/>
      <c r="AD20" s="143"/>
      <c r="AE20" s="143"/>
      <c r="AF20" s="143"/>
      <c r="AG20" s="143"/>
      <c r="AH20" s="143"/>
      <c r="AI20" s="143"/>
      <c r="AJ20" s="143"/>
      <c r="AK20" s="143"/>
      <c r="AL20" s="143"/>
      <c r="AM20" s="143"/>
      <c r="AN20" s="143"/>
      <c r="AO20" s="143"/>
      <c r="AP20" s="143"/>
      <c r="AQ20" s="143"/>
      <c r="AR20" s="143"/>
      <c r="AS20" s="143"/>
      <c r="AT20" s="143"/>
      <c r="AU20" s="143"/>
      <c r="AV20" s="143"/>
      <c r="AW20" s="143"/>
      <c r="AX20" s="143"/>
      <c r="AY20" s="143"/>
      <c r="AZ20" s="143"/>
      <c r="BA20" s="143"/>
    </row>
    <row r="21" spans="1:55" s="95" customFormat="1">
      <c r="A21" s="86">
        <v>6</v>
      </c>
      <c r="B21" s="94" t="s">
        <v>264</v>
      </c>
      <c r="C21" s="94" t="s">
        <v>356</v>
      </c>
      <c r="D21" s="89"/>
      <c r="E21" s="89"/>
      <c r="F21" s="89"/>
      <c r="G21" s="89"/>
      <c r="H21" s="89"/>
      <c r="I21" s="89"/>
      <c r="J21" s="90"/>
      <c r="K21" s="90">
        <f>Input!K66</f>
        <v>127.016141703</v>
      </c>
      <c r="L21" s="90">
        <f>Input!L66</f>
        <v>128.316681426</v>
      </c>
      <c r="M21" s="90">
        <f>Input!M66</f>
        <v>167.53190780400001</v>
      </c>
      <c r="N21" s="90">
        <f>Input!N66</f>
        <v>301.00806331699999</v>
      </c>
      <c r="O21" s="90">
        <f>Input!O66</f>
        <v>577.08849076199999</v>
      </c>
      <c r="P21" s="568">
        <f>Input!P66</f>
        <v>381.80389825200001</v>
      </c>
      <c r="Q21" s="142">
        <f ca="1">Input!Q66</f>
        <v>612.61692171388484</v>
      </c>
      <c r="R21" s="142">
        <f ca="1">Input!R66</f>
        <v>680.83090119855763</v>
      </c>
      <c r="S21" s="142">
        <f ca="1">Input!S66</f>
        <v>767.18909307794377</v>
      </c>
      <c r="T21" s="142">
        <f ca="1">Input!T66</f>
        <v>895.09609279666813</v>
      </c>
      <c r="U21" s="142">
        <f ca="1">Input!U66</f>
        <v>1017.6500482790449</v>
      </c>
      <c r="V21" s="142">
        <f ca="1">Input!V66</f>
        <v>1125.6841271289491</v>
      </c>
      <c r="W21" s="142">
        <f ca="1">Input!W66</f>
        <v>1210.8158232622893</v>
      </c>
      <c r="X21" s="142">
        <f ca="1">Input!X66</f>
        <v>1303.9966468625701</v>
      </c>
      <c r="Y21" s="142">
        <f ca="1">Input!Y66</f>
        <v>1408.9586272720051</v>
      </c>
      <c r="Z21" s="142">
        <f ca="1">Input!Z66</f>
        <v>1490.5861930715591</v>
      </c>
      <c r="AA21" s="142"/>
      <c r="AB21" s="143"/>
      <c r="AC21" s="143"/>
      <c r="AD21" s="143"/>
      <c r="AE21" s="143"/>
      <c r="AF21" s="143"/>
      <c r="AG21" s="143"/>
      <c r="AH21" s="143"/>
      <c r="AI21" s="143"/>
      <c r="AJ21" s="143"/>
      <c r="AK21" s="143"/>
      <c r="AL21" s="143"/>
      <c r="AM21" s="143"/>
      <c r="AN21" s="143"/>
      <c r="AO21" s="143"/>
      <c r="AP21" s="143"/>
      <c r="AQ21" s="143"/>
      <c r="AR21" s="143"/>
      <c r="AS21" s="143"/>
      <c r="AT21" s="143"/>
      <c r="AU21" s="143"/>
      <c r="AV21" s="143"/>
      <c r="AW21" s="143"/>
      <c r="AX21" s="143"/>
      <c r="AY21" s="143"/>
      <c r="AZ21" s="143"/>
      <c r="BA21" s="143"/>
    </row>
    <row r="22" spans="1:55" s="95" customFormat="1">
      <c r="A22" s="86">
        <v>7</v>
      </c>
      <c r="B22" s="94" t="s">
        <v>16</v>
      </c>
      <c r="C22" s="94" t="s">
        <v>369</v>
      </c>
      <c r="D22" s="89"/>
      <c r="E22" s="89"/>
      <c r="F22" s="89"/>
      <c r="G22" s="89"/>
      <c r="H22" s="89"/>
      <c r="I22" s="89"/>
      <c r="J22" s="90"/>
      <c r="K22" s="90">
        <f>Input!K77</f>
        <v>102.75348163699999</v>
      </c>
      <c r="L22" s="90">
        <f>Input!L77</f>
        <v>63.234525222000002</v>
      </c>
      <c r="M22" s="90">
        <f>Input!M77</f>
        <v>45.072929623999997</v>
      </c>
      <c r="N22" s="90">
        <f>Input!N77</f>
        <v>60.402056551999998</v>
      </c>
      <c r="O22" s="90">
        <f>Input!O77</f>
        <v>27.372487527000001</v>
      </c>
      <c r="P22" s="568">
        <f>Input!P77</f>
        <v>76.569107528000004</v>
      </c>
      <c r="Q22" s="142">
        <f ca="1">Input!Q77</f>
        <v>101.62259105422676</v>
      </c>
      <c r="R22" s="142">
        <f ca="1">Input!R77</f>
        <v>123.88870999071091</v>
      </c>
      <c r="S22" s="142">
        <f ca="1">Input!S77</f>
        <v>131.90099750132822</v>
      </c>
      <c r="T22" s="142">
        <f ca="1">Input!T77</f>
        <v>152.16027325368296</v>
      </c>
      <c r="U22" s="142">
        <f ca="1">Input!U77</f>
        <v>161.94977108299932</v>
      </c>
      <c r="V22" s="142">
        <f ca="1">Input!V77</f>
        <v>155.26045973421736</v>
      </c>
      <c r="W22" s="142">
        <f ca="1">Input!W77</f>
        <v>144.76033773057523</v>
      </c>
      <c r="X22" s="142">
        <f ca="1">Input!X77</f>
        <v>141.47158845308115</v>
      </c>
      <c r="Y22" s="142">
        <f ca="1">Input!Y77</f>
        <v>143.684632669682</v>
      </c>
      <c r="Z22" s="142">
        <f ca="1">Input!Z77</f>
        <v>148.60485777920837</v>
      </c>
      <c r="AA22" s="142"/>
      <c r="AB22" s="143"/>
      <c r="AC22" s="143"/>
      <c r="AD22" s="143"/>
      <c r="AE22" s="143"/>
      <c r="AF22" s="143"/>
      <c r="AG22" s="143"/>
      <c r="AH22" s="143"/>
      <c r="AI22" s="143"/>
      <c r="AJ22" s="143"/>
      <c r="AK22" s="143"/>
      <c r="AL22" s="143"/>
      <c r="AM22" s="143"/>
      <c r="AN22" s="143"/>
      <c r="AO22" s="143"/>
      <c r="AP22" s="143"/>
      <c r="AQ22" s="143"/>
      <c r="AR22" s="143"/>
      <c r="AS22" s="143"/>
      <c r="AT22" s="143"/>
      <c r="AU22" s="143"/>
      <c r="AV22" s="143"/>
      <c r="AW22" s="143"/>
      <c r="AX22" s="143"/>
      <c r="AY22" s="143"/>
      <c r="AZ22" s="143"/>
      <c r="BA22" s="143"/>
    </row>
    <row r="23" spans="1:55" s="589" customFormat="1">
      <c r="A23" s="249"/>
      <c r="B23" s="584" t="s">
        <v>586</v>
      </c>
      <c r="C23" s="254"/>
      <c r="D23" s="252"/>
      <c r="E23" s="252"/>
      <c r="F23" s="252"/>
      <c r="G23" s="252"/>
      <c r="H23" s="252"/>
      <c r="I23" s="252"/>
      <c r="J23" s="585"/>
      <c r="K23" s="585">
        <f>Input!K69</f>
        <v>87.172530234000007</v>
      </c>
      <c r="L23" s="585">
        <f>Input!L69</f>
        <v>43.301059166000002</v>
      </c>
      <c r="M23" s="585">
        <f>Input!M69</f>
        <v>18.580201013</v>
      </c>
      <c r="N23" s="585">
        <f>Input!N69</f>
        <v>10.274784277</v>
      </c>
      <c r="O23" s="585">
        <f>Input!O69</f>
        <v>10.155714106</v>
      </c>
      <c r="P23" s="586">
        <f>Input!P69</f>
        <v>44.380805248999998</v>
      </c>
      <c r="Q23" s="587">
        <f ca="1">Input!Q69</f>
        <v>74.699342046726755</v>
      </c>
      <c r="R23" s="587">
        <f ca="1">Input!R69</f>
        <v>95.075078049127569</v>
      </c>
      <c r="S23" s="587">
        <f ca="1">Input!S69</f>
        <v>101.60733791214767</v>
      </c>
      <c r="T23" s="587">
        <f ca="1">Input!T69</f>
        <v>121.233125168139</v>
      </c>
      <c r="U23" s="587">
        <f ca="1">Input!U69</f>
        <v>134.22264369569803</v>
      </c>
      <c r="V23" s="587">
        <f ca="1">Input!V69</f>
        <v>125.78160668586584</v>
      </c>
      <c r="W23" s="587">
        <f ca="1">Input!W69</f>
        <v>115.73305955399846</v>
      </c>
      <c r="X23" s="587">
        <f ca="1">Input!X69</f>
        <v>112.09363874832491</v>
      </c>
      <c r="Y23" s="587">
        <f ca="1">Input!Y69</f>
        <v>114.21263000439691</v>
      </c>
      <c r="Z23" s="587">
        <f ca="1">Input!Z69</f>
        <v>119.26979793457255</v>
      </c>
      <c r="AA23" s="587"/>
      <c r="AB23" s="588"/>
      <c r="AC23" s="588"/>
      <c r="AD23" s="588"/>
      <c r="AE23" s="588"/>
      <c r="AF23" s="588"/>
      <c r="AG23" s="588"/>
      <c r="AH23" s="588"/>
      <c r="AI23" s="588"/>
      <c r="AJ23" s="588"/>
      <c r="AK23" s="588"/>
      <c r="AL23" s="588"/>
      <c r="AM23" s="588"/>
      <c r="AN23" s="588"/>
      <c r="AO23" s="588"/>
      <c r="AP23" s="588"/>
      <c r="AQ23" s="588"/>
      <c r="AR23" s="588"/>
      <c r="AS23" s="588"/>
      <c r="AT23" s="588"/>
      <c r="AU23" s="588"/>
      <c r="AV23" s="588"/>
      <c r="AW23" s="588"/>
      <c r="AX23" s="588"/>
      <c r="AY23" s="588"/>
      <c r="AZ23" s="588"/>
      <c r="BA23" s="588"/>
    </row>
    <row r="24" spans="1:55" s="589" customFormat="1">
      <c r="A24" s="249">
        <v>8</v>
      </c>
      <c r="B24" s="94" t="s">
        <v>587</v>
      </c>
      <c r="C24" s="94" t="s">
        <v>372</v>
      </c>
      <c r="D24" s="89"/>
      <c r="E24" s="89"/>
      <c r="F24" s="89"/>
      <c r="G24" s="89"/>
      <c r="H24" s="89"/>
      <c r="I24" s="89"/>
      <c r="J24" s="90"/>
      <c r="K24" s="90">
        <f>Input!K82</f>
        <v>0</v>
      </c>
      <c r="L24" s="90">
        <f>Input!L82</f>
        <v>0</v>
      </c>
      <c r="M24" s="90">
        <f>Input!M82</f>
        <v>0</v>
      </c>
      <c r="N24" s="90">
        <f>Input!N82</f>
        <v>0</v>
      </c>
      <c r="O24" s="90">
        <f>Input!O82</f>
        <v>0</v>
      </c>
      <c r="P24" s="568">
        <f>Input!P82</f>
        <v>0</v>
      </c>
      <c r="Q24" s="142">
        <f>Input!Q82</f>
        <v>0</v>
      </c>
      <c r="R24" s="142">
        <f>Input!R82</f>
        <v>0</v>
      </c>
      <c r="S24" s="142">
        <f>Input!S82</f>
        <v>0</v>
      </c>
      <c r="T24" s="142">
        <f>Input!T82</f>
        <v>0</v>
      </c>
      <c r="U24" s="142">
        <f>Input!U82</f>
        <v>0</v>
      </c>
      <c r="V24" s="142">
        <f>Input!V82</f>
        <v>0</v>
      </c>
      <c r="W24" s="142">
        <f>Input!W82</f>
        <v>0</v>
      </c>
      <c r="X24" s="142">
        <f>Input!X82</f>
        <v>0</v>
      </c>
      <c r="Y24" s="142">
        <f>Input!Y82</f>
        <v>0</v>
      </c>
      <c r="Z24" s="142">
        <f>Input!Z82</f>
        <v>0</v>
      </c>
      <c r="AA24" s="142"/>
      <c r="AB24" s="143"/>
      <c r="AC24" s="143"/>
      <c r="AD24" s="143"/>
      <c r="AE24" s="143"/>
      <c r="AF24" s="143"/>
      <c r="AG24" s="143"/>
      <c r="AH24" s="143"/>
      <c r="AI24" s="143"/>
      <c r="AJ24" s="143"/>
      <c r="AK24" s="143"/>
      <c r="AL24" s="143"/>
      <c r="AM24" s="143"/>
      <c r="AN24" s="143"/>
      <c r="AO24" s="143"/>
      <c r="AP24" s="143"/>
      <c r="AQ24" s="143"/>
      <c r="AR24" s="143"/>
      <c r="AS24" s="143"/>
      <c r="AT24" s="143"/>
      <c r="AU24" s="143"/>
      <c r="AV24" s="143"/>
      <c r="AW24" s="143"/>
      <c r="AX24" s="143"/>
      <c r="AY24" s="143"/>
      <c r="AZ24" s="143"/>
      <c r="BA24" s="143"/>
    </row>
    <row r="25" spans="1:55" s="95" customFormat="1">
      <c r="A25" s="86">
        <v>9</v>
      </c>
      <c r="B25" s="94" t="s">
        <v>588</v>
      </c>
      <c r="C25" s="566" t="s">
        <v>589</v>
      </c>
      <c r="D25" s="427"/>
      <c r="E25" s="427"/>
      <c r="F25" s="427"/>
      <c r="G25" s="427"/>
      <c r="H25" s="427"/>
      <c r="I25" s="427"/>
      <c r="J25" s="564"/>
      <c r="K25" s="564"/>
      <c r="L25" s="564"/>
      <c r="M25" s="564"/>
      <c r="N25" s="564"/>
      <c r="O25" s="564"/>
      <c r="P25" s="590"/>
      <c r="Q25" s="565">
        <f>Q26-Q27</f>
        <v>16.230570724666709</v>
      </c>
      <c r="R25" s="565">
        <f t="shared" ref="R25:Z25" si="9">R26-R27</f>
        <v>12.02804724916732</v>
      </c>
      <c r="S25" s="565">
        <f t="shared" si="9"/>
        <v>13.186811817571449</v>
      </c>
      <c r="T25" s="565">
        <f t="shared" si="9"/>
        <v>14.336535169178703</v>
      </c>
      <c r="U25" s="565">
        <f t="shared" si="9"/>
        <v>17.219893467666864</v>
      </c>
      <c r="V25" s="565">
        <f t="shared" si="9"/>
        <v>17.021552919137449</v>
      </c>
      <c r="W25" s="565">
        <f t="shared" si="9"/>
        <v>14.683428161063702</v>
      </c>
      <c r="X25" s="565">
        <f t="shared" si="9"/>
        <v>14.473290754976617</v>
      </c>
      <c r="Y25" s="565">
        <f t="shared" si="9"/>
        <v>14.694309641502553</v>
      </c>
      <c r="Z25" s="565">
        <f t="shared" si="9"/>
        <v>15.039807808198393</v>
      </c>
      <c r="AA25" s="565"/>
      <c r="AB25" s="428"/>
      <c r="AC25" s="428"/>
      <c r="AD25" s="428"/>
      <c r="AE25" s="428"/>
      <c r="AF25" s="428"/>
      <c r="AG25" s="428"/>
      <c r="AH25" s="428"/>
      <c r="AI25" s="428"/>
      <c r="AJ25" s="428"/>
      <c r="AK25" s="428"/>
      <c r="AL25" s="428"/>
      <c r="AM25" s="428"/>
      <c r="AN25" s="428"/>
      <c r="AO25" s="428"/>
      <c r="AP25" s="428"/>
      <c r="AQ25" s="428"/>
      <c r="AR25" s="428"/>
      <c r="AS25" s="428"/>
      <c r="AT25" s="428"/>
      <c r="AU25" s="428"/>
      <c r="AV25" s="428"/>
      <c r="AW25" s="428"/>
      <c r="AX25" s="428"/>
      <c r="AY25" s="428"/>
      <c r="AZ25" s="428"/>
      <c r="BA25" s="428"/>
    </row>
    <row r="26" spans="1:55" s="598" customFormat="1">
      <c r="A26" s="573"/>
      <c r="B26" s="591"/>
      <c r="C26" s="592" t="s">
        <v>346</v>
      </c>
      <c r="D26" s="593"/>
      <c r="E26" s="593"/>
      <c r="F26" s="593"/>
      <c r="G26" s="593"/>
      <c r="H26" s="593"/>
      <c r="I26" s="593"/>
      <c r="J26" s="594"/>
      <c r="K26" s="594">
        <f>Input!K52</f>
        <v>48.483380378</v>
      </c>
      <c r="L26" s="594">
        <f>Input!L52</f>
        <v>10.735344252999999</v>
      </c>
      <c r="M26" s="594">
        <f>Input!M52</f>
        <v>4.3711953809999997</v>
      </c>
      <c r="N26" s="594">
        <f>Input!N52</f>
        <v>15.225626021</v>
      </c>
      <c r="O26" s="594">
        <f>Input!O52</f>
        <v>24.751516067000001</v>
      </c>
      <c r="P26" s="595">
        <f>Input!P52</f>
        <v>199.87675919700001</v>
      </c>
      <c r="Q26" s="596">
        <f>Input!Q52</f>
        <v>22.550452467333333</v>
      </c>
      <c r="R26" s="596">
        <f>Input!R52</f>
        <v>18.228297815555557</v>
      </c>
      <c r="S26" s="596">
        <f>Input!S52</f>
        <v>19.477123409314817</v>
      </c>
      <c r="T26" s="596">
        <f>Input!T52</f>
        <v>21.994778080700623</v>
      </c>
      <c r="U26" s="596">
        <f>Input!U52</f>
        <v>23.122970090650721</v>
      </c>
      <c r="V26" s="596">
        <f>Input!V52</f>
        <v>22.851545761259178</v>
      </c>
      <c r="W26" s="596">
        <f>Input!W52</f>
        <v>21.370861270802376</v>
      </c>
      <c r="X26" s="596">
        <f>Input!X52</f>
        <v>21.174262738047215</v>
      </c>
      <c r="Y26" s="596">
        <f>Input!Y52</f>
        <v>21.665256891795821</v>
      </c>
      <c r="Z26" s="596">
        <f>Input!Z52</f>
        <v>22.029945805542656</v>
      </c>
      <c r="AA26" s="596"/>
      <c r="AB26" s="597"/>
      <c r="AC26" s="597"/>
      <c r="AD26" s="597"/>
      <c r="AE26" s="597"/>
      <c r="AF26" s="597"/>
      <c r="AG26" s="597"/>
      <c r="AH26" s="597"/>
      <c r="AI26" s="597"/>
      <c r="AJ26" s="597"/>
      <c r="AK26" s="597"/>
      <c r="AL26" s="597"/>
      <c r="AM26" s="597"/>
      <c r="AN26" s="597"/>
      <c r="AO26" s="597"/>
      <c r="AP26" s="597"/>
      <c r="AQ26" s="597"/>
      <c r="AR26" s="597"/>
      <c r="AS26" s="597"/>
      <c r="AT26" s="597"/>
      <c r="AU26" s="597"/>
      <c r="AV26" s="597"/>
      <c r="AW26" s="597"/>
      <c r="AX26" s="597"/>
      <c r="AY26" s="597"/>
      <c r="AZ26" s="597"/>
      <c r="BA26" s="597"/>
    </row>
    <row r="27" spans="1:55" s="598" customFormat="1">
      <c r="A27" s="573"/>
      <c r="B27" s="591"/>
      <c r="C27" s="599" t="s">
        <v>348</v>
      </c>
      <c r="D27" s="600"/>
      <c r="E27" s="600"/>
      <c r="F27" s="600"/>
      <c r="G27" s="600"/>
      <c r="H27" s="600"/>
      <c r="I27" s="600"/>
      <c r="J27" s="601"/>
      <c r="K27" s="601">
        <f>Input!K56</f>
        <v>3.472166901</v>
      </c>
      <c r="L27" s="601">
        <f>Input!L56</f>
        <v>2.7245178779999999</v>
      </c>
      <c r="M27" s="601">
        <f>Input!M56</f>
        <v>2.604118573</v>
      </c>
      <c r="N27" s="601">
        <f>Input!N56</f>
        <v>12.059177505999999</v>
      </c>
      <c r="O27" s="601">
        <f>Input!O56</f>
        <v>2.269270186</v>
      </c>
      <c r="P27" s="602">
        <f>Input!P56</f>
        <v>1.1155146819999999</v>
      </c>
      <c r="Q27" s="603">
        <f>Input!Q56</f>
        <v>6.3198817426666229</v>
      </c>
      <c r="R27" s="603">
        <f>Input!R56</f>
        <v>6.2002505663882364</v>
      </c>
      <c r="S27" s="603">
        <f>Input!S56</f>
        <v>6.290311591743369</v>
      </c>
      <c r="T27" s="603">
        <f>Input!T56</f>
        <v>7.6582429115219197</v>
      </c>
      <c r="U27" s="603">
        <f>Input!U56</f>
        <v>5.9030766229838569</v>
      </c>
      <c r="V27" s="603">
        <f>Input!V56</f>
        <v>5.8299928421217295</v>
      </c>
      <c r="W27" s="603">
        <f>Input!W56</f>
        <v>6.6874331097386746</v>
      </c>
      <c r="X27" s="603">
        <f>Input!X56</f>
        <v>6.7009719830705974</v>
      </c>
      <c r="Y27" s="603">
        <f>Input!Y56</f>
        <v>6.9709472502932677</v>
      </c>
      <c r="Z27" s="603">
        <f>Input!Z56</f>
        <v>6.9901379973442621</v>
      </c>
      <c r="AA27" s="603"/>
      <c r="AB27" s="604"/>
      <c r="AC27" s="604"/>
      <c r="AD27" s="604"/>
      <c r="AE27" s="604"/>
      <c r="AF27" s="604"/>
      <c r="AG27" s="604"/>
      <c r="AH27" s="604"/>
      <c r="AI27" s="604"/>
      <c r="AJ27" s="604"/>
      <c r="AK27" s="604"/>
      <c r="AL27" s="604"/>
      <c r="AM27" s="604"/>
      <c r="AN27" s="604"/>
      <c r="AO27" s="604"/>
      <c r="AP27" s="604"/>
      <c r="AQ27" s="604"/>
      <c r="AR27" s="604"/>
      <c r="AS27" s="604"/>
      <c r="AT27" s="604"/>
      <c r="AU27" s="604"/>
      <c r="AV27" s="604"/>
      <c r="AW27" s="604"/>
      <c r="AX27" s="604"/>
      <c r="AY27" s="604"/>
      <c r="AZ27" s="604"/>
      <c r="BA27" s="604"/>
    </row>
    <row r="28" spans="1:55" s="95" customFormat="1">
      <c r="A28" s="86"/>
      <c r="B28" s="111" t="s">
        <v>375</v>
      </c>
      <c r="C28" s="94" t="s">
        <v>590</v>
      </c>
      <c r="D28" s="89"/>
      <c r="E28" s="89"/>
      <c r="F28" s="89"/>
      <c r="G28" s="89"/>
      <c r="H28" s="89"/>
      <c r="I28" s="89"/>
      <c r="J28" s="90"/>
      <c r="K28" s="90">
        <f>Input!K86</f>
        <v>463.0881713820001</v>
      </c>
      <c r="L28" s="90">
        <f>Input!L86</f>
        <v>716.5338043050001</v>
      </c>
      <c r="M28" s="90">
        <f>Input!M86</f>
        <v>1956.2699888410002</v>
      </c>
      <c r="N28" s="90">
        <f>Input!N86</f>
        <v>4596.312764843</v>
      </c>
      <c r="O28" s="90">
        <f>Input!O86</f>
        <v>1254.8095836400007</v>
      </c>
      <c r="P28" s="568">
        <f>Input!P86</f>
        <v>1522.0634881910007</v>
      </c>
      <c r="Q28" s="142">
        <f ca="1">Input!Q86</f>
        <v>2621.194422417625</v>
      </c>
      <c r="R28" s="142">
        <f ca="1">Input!R86</f>
        <v>2967.2561852613499</v>
      </c>
      <c r="S28" s="142">
        <f ca="1">Input!S86</f>
        <v>3473.5655174374656</v>
      </c>
      <c r="T28" s="142">
        <f ca="1">Input!T86</f>
        <v>5427.1488250286984</v>
      </c>
      <c r="U28" s="142">
        <f ca="1">Input!U86</f>
        <v>4640.1399346495109</v>
      </c>
      <c r="V28" s="142">
        <f ca="1">Input!V86</f>
        <v>4051.1800055393765</v>
      </c>
      <c r="W28" s="142">
        <f ca="1">Input!W86</f>
        <v>4054.9262293236438</v>
      </c>
      <c r="X28" s="142">
        <f ca="1">Input!X86</f>
        <v>4504.249594428502</v>
      </c>
      <c r="Y28" s="142">
        <f ca="1">Input!Y86</f>
        <v>5190.9821833409187</v>
      </c>
      <c r="Z28" s="142">
        <f ca="1">Input!Z86</f>
        <v>5147.9329437771667</v>
      </c>
      <c r="AA28" s="142"/>
      <c r="AB28" s="143"/>
      <c r="AC28" s="143"/>
      <c r="AD28" s="143"/>
      <c r="AE28" s="143"/>
      <c r="AF28" s="143"/>
      <c r="AG28" s="143"/>
      <c r="AH28" s="143"/>
      <c r="AI28" s="143"/>
      <c r="AJ28" s="143"/>
      <c r="AK28" s="143"/>
      <c r="AL28" s="143"/>
      <c r="AM28" s="143"/>
      <c r="AN28" s="143"/>
      <c r="AO28" s="143"/>
      <c r="AP28" s="143"/>
      <c r="AQ28" s="143"/>
      <c r="AR28" s="143"/>
      <c r="AS28" s="143"/>
      <c r="AT28" s="143"/>
      <c r="AU28" s="143"/>
      <c r="AV28" s="143"/>
      <c r="AW28" s="143"/>
      <c r="AX28" s="143"/>
      <c r="AY28" s="143"/>
      <c r="AZ28" s="143"/>
      <c r="BA28" s="143"/>
    </row>
    <row r="29" spans="1:55" s="606" customFormat="1">
      <c r="A29" s="555"/>
      <c r="B29" s="556" t="s">
        <v>1129</v>
      </c>
      <c r="C29" s="605" t="s">
        <v>374</v>
      </c>
      <c r="D29" s="570"/>
      <c r="E29" s="570"/>
      <c r="F29" s="570"/>
      <c r="G29" s="570"/>
      <c r="H29" s="570"/>
      <c r="I29" s="570"/>
      <c r="J29" s="558"/>
      <c r="K29" s="558">
        <f>K28/K$5</f>
        <v>2.908018398502513E-2</v>
      </c>
      <c r="L29" s="558">
        <f t="shared" ref="L29:Q29" si="10">L28/L$5</f>
        <v>5.7001026621184024E-2</v>
      </c>
      <c r="M29" s="558">
        <f t="shared" si="10"/>
        <v>0.14538721037288665</v>
      </c>
      <c r="N29" s="558">
        <f t="shared" si="10"/>
        <v>0.25913750869207325</v>
      </c>
      <c r="O29" s="558">
        <f t="shared" si="10"/>
        <v>6.7500013291222058E-2</v>
      </c>
      <c r="P29" s="571">
        <f t="shared" si="10"/>
        <v>7.962356090522181E-2</v>
      </c>
      <c r="Q29" s="559">
        <f t="shared" ca="1" si="10"/>
        <v>0.14778145595713454</v>
      </c>
      <c r="R29" s="559">
        <f t="shared" ref="R29:Z29" ca="1" si="11">R28/R$5</f>
        <v>0.15961770977441325</v>
      </c>
      <c r="S29" s="559">
        <f t="shared" ca="1" si="11"/>
        <v>0.18171229891643861</v>
      </c>
      <c r="T29" s="559">
        <f t="shared" ca="1" si="11"/>
        <v>0.24090011683836918</v>
      </c>
      <c r="U29" s="559">
        <f t="shared" ca="1" si="11"/>
        <v>0.21253161778519489</v>
      </c>
      <c r="V29" s="559">
        <f t="shared" ca="1" si="11"/>
        <v>0.19828814817230217</v>
      </c>
      <c r="W29" s="559">
        <f t="shared" ca="1" si="11"/>
        <v>0.19348342883540001</v>
      </c>
      <c r="X29" s="559">
        <f t="shared" ca="1" si="11"/>
        <v>0.21031962921226258</v>
      </c>
      <c r="Y29" s="559">
        <f t="shared" ca="1" si="11"/>
        <v>0.23043702816862868</v>
      </c>
      <c r="Z29" s="559">
        <f t="shared" ca="1" si="11"/>
        <v>0.22549141851243648</v>
      </c>
      <c r="AA29" s="559"/>
      <c r="AB29" s="560"/>
      <c r="AC29" s="560"/>
      <c r="AD29" s="560"/>
      <c r="AE29" s="560"/>
      <c r="AF29" s="560"/>
      <c r="AG29" s="560"/>
      <c r="AH29" s="560"/>
      <c r="AI29" s="560"/>
      <c r="AJ29" s="560"/>
      <c r="AK29" s="560"/>
      <c r="AL29" s="560"/>
      <c r="AM29" s="560"/>
      <c r="AN29" s="560"/>
      <c r="AO29" s="560"/>
      <c r="AP29" s="560"/>
      <c r="AQ29" s="560"/>
      <c r="AR29" s="560"/>
      <c r="AS29" s="560"/>
      <c r="AT29" s="560"/>
      <c r="AU29" s="560"/>
      <c r="AV29" s="560"/>
      <c r="AW29" s="560"/>
      <c r="AX29" s="560"/>
      <c r="AY29" s="560"/>
      <c r="AZ29" s="560"/>
      <c r="BA29" s="560"/>
      <c r="BB29" s="572"/>
      <c r="BC29" s="572"/>
    </row>
    <row r="30" spans="1:55" s="5" customFormat="1">
      <c r="A30" s="86"/>
      <c r="B30" s="75"/>
      <c r="C30" s="75"/>
      <c r="D30" s="41"/>
      <c r="E30" s="41"/>
      <c r="F30" s="41"/>
      <c r="G30" s="41"/>
      <c r="H30" s="41"/>
      <c r="I30" s="41"/>
      <c r="J30" s="41"/>
      <c r="K30" s="41"/>
      <c r="L30" s="41"/>
      <c r="M30" s="41"/>
      <c r="N30" s="41"/>
      <c r="O30" s="41"/>
      <c r="P30" s="26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84"/>
      <c r="BC30" s="84"/>
    </row>
    <row r="31" spans="1:55" s="95" customFormat="1">
      <c r="A31" s="86">
        <v>10</v>
      </c>
      <c r="B31" s="566" t="s">
        <v>591</v>
      </c>
      <c r="C31" s="566" t="s">
        <v>378</v>
      </c>
      <c r="D31" s="427"/>
      <c r="E31" s="427"/>
      <c r="F31" s="427"/>
      <c r="G31" s="427"/>
      <c r="H31" s="427"/>
      <c r="I31" s="427"/>
      <c r="J31" s="564"/>
      <c r="K31" s="564">
        <f>Input!K90</f>
        <v>35.36444229</v>
      </c>
      <c r="L31" s="564">
        <f>Input!L90</f>
        <v>54.087470033999999</v>
      </c>
      <c r="M31" s="564">
        <f>Input!M90</f>
        <v>130.14570190500001</v>
      </c>
      <c r="N31" s="564">
        <f>Input!N90</f>
        <v>275.23203030799999</v>
      </c>
      <c r="O31" s="564">
        <f>Input!O90</f>
        <v>144.66686674799999</v>
      </c>
      <c r="P31" s="590">
        <f>Input!P90</f>
        <v>94.056906749000007</v>
      </c>
      <c r="Q31" s="565">
        <f ca="1">Input!Q90</f>
        <v>410.29239504579402</v>
      </c>
      <c r="R31" s="565">
        <f ca="1">Input!R90</f>
        <v>464.46102454408219</v>
      </c>
      <c r="S31" s="565">
        <f ca="1">Input!S90</f>
        <v>543.71301239966942</v>
      </c>
      <c r="T31" s="565">
        <f ca="1">Input!T90</f>
        <v>849.50504649601839</v>
      </c>
      <c r="U31" s="565">
        <f ca="1">Input!U90</f>
        <v>726.31549603978658</v>
      </c>
      <c r="V31" s="565">
        <f ca="1">Input!V90</f>
        <v>634.12631013509588</v>
      </c>
      <c r="W31" s="565">
        <f ca="1">Input!W90</f>
        <v>634.71270201647599</v>
      </c>
      <c r="X31" s="565">
        <f ca="1">Input!X90</f>
        <v>705.04474531789219</v>
      </c>
      <c r="Y31" s="565">
        <f ca="1">Input!Y90</f>
        <v>812.53816749639418</v>
      </c>
      <c r="Z31" s="565">
        <f ca="1">Input!Z90</f>
        <v>805.79972205547199</v>
      </c>
      <c r="AA31" s="565"/>
      <c r="AB31" s="428"/>
      <c r="AC31" s="428"/>
      <c r="AD31" s="428"/>
      <c r="AE31" s="428"/>
      <c r="AF31" s="428"/>
      <c r="AG31" s="428"/>
      <c r="AH31" s="428"/>
      <c r="AI31" s="428"/>
      <c r="AJ31" s="428"/>
      <c r="AK31" s="428"/>
      <c r="AL31" s="428"/>
      <c r="AM31" s="428"/>
      <c r="AN31" s="428"/>
      <c r="AO31" s="428"/>
      <c r="AP31" s="428"/>
      <c r="AQ31" s="428"/>
      <c r="AR31" s="428"/>
      <c r="AS31" s="428"/>
      <c r="AT31" s="428"/>
      <c r="AU31" s="428"/>
      <c r="AV31" s="428"/>
      <c r="AW31" s="428"/>
      <c r="AX31" s="428"/>
      <c r="AY31" s="428"/>
      <c r="AZ31" s="428"/>
      <c r="BA31" s="428"/>
    </row>
    <row r="32" spans="1:55" s="95" customFormat="1">
      <c r="A32" s="86"/>
      <c r="B32" s="111" t="s">
        <v>289</v>
      </c>
      <c r="C32" s="111" t="s">
        <v>592</v>
      </c>
      <c r="D32" s="237"/>
      <c r="E32" s="237"/>
      <c r="F32" s="237"/>
      <c r="G32" s="237"/>
      <c r="H32" s="237"/>
      <c r="I32" s="237"/>
      <c r="J32" s="553"/>
      <c r="K32" s="553">
        <f>Input!K94</f>
        <v>427.7237290920001</v>
      </c>
      <c r="L32" s="553">
        <f>Input!L94</f>
        <v>662.44633427100007</v>
      </c>
      <c r="M32" s="553">
        <f>Input!M94</f>
        <v>1826.1242869360003</v>
      </c>
      <c r="N32" s="553">
        <f>Input!N94</f>
        <v>4321.0807345350004</v>
      </c>
      <c r="O32" s="553">
        <f>Input!O94</f>
        <v>1110.1427168920006</v>
      </c>
      <c r="P32" s="581">
        <f>Input!P94</f>
        <v>1428.0065814420007</v>
      </c>
      <c r="Q32" s="554">
        <f ca="1">Input!Q94</f>
        <v>2210.9020273718311</v>
      </c>
      <c r="R32" s="554">
        <f ca="1">Input!R94</f>
        <v>2502.7951607172677</v>
      </c>
      <c r="S32" s="554">
        <f ca="1">Input!S94</f>
        <v>2929.8525050377962</v>
      </c>
      <c r="T32" s="554">
        <f ca="1">Input!T94</f>
        <v>4577.6437785326798</v>
      </c>
      <c r="U32" s="554">
        <f ca="1">Input!U94</f>
        <v>3913.8244386097244</v>
      </c>
      <c r="V32" s="554">
        <f ca="1">Input!V94</f>
        <v>3417.0536954042805</v>
      </c>
      <c r="W32" s="554">
        <f ca="1">Input!W94</f>
        <v>3420.2135273071681</v>
      </c>
      <c r="X32" s="554">
        <f ca="1">Input!X94</f>
        <v>3799.2048491106098</v>
      </c>
      <c r="Y32" s="554">
        <f ca="1">Input!Y94</f>
        <v>4378.444015844525</v>
      </c>
      <c r="Z32" s="554">
        <f ca="1">Input!Z94</f>
        <v>4342.133221721695</v>
      </c>
      <c r="AA32" s="554"/>
      <c r="AB32" s="238"/>
      <c r="AC32" s="238"/>
      <c r="AD32" s="238"/>
      <c r="AE32" s="238"/>
      <c r="AF32" s="238"/>
      <c r="AG32" s="238"/>
      <c r="AH32" s="238"/>
      <c r="AI32" s="238"/>
      <c r="AJ32" s="238"/>
      <c r="AK32" s="238"/>
      <c r="AL32" s="238"/>
      <c r="AM32" s="238"/>
      <c r="AN32" s="238"/>
      <c r="AO32" s="238"/>
      <c r="AP32" s="238"/>
      <c r="AQ32" s="238"/>
      <c r="AR32" s="238"/>
      <c r="AS32" s="238"/>
      <c r="AT32" s="238"/>
      <c r="AU32" s="238"/>
      <c r="AV32" s="238"/>
      <c r="AW32" s="238"/>
      <c r="AX32" s="238"/>
      <c r="AY32" s="238"/>
      <c r="AZ32" s="238"/>
      <c r="BA32" s="238"/>
    </row>
    <row r="33" spans="1:55" s="95" customFormat="1">
      <c r="A33" s="86"/>
      <c r="B33" s="556" t="s">
        <v>593</v>
      </c>
      <c r="C33" s="605" t="s">
        <v>594</v>
      </c>
      <c r="D33" s="570"/>
      <c r="E33" s="570"/>
      <c r="F33" s="570"/>
      <c r="G33" s="570"/>
      <c r="H33" s="570"/>
      <c r="I33" s="570"/>
      <c r="J33" s="558"/>
      <c r="K33" s="558">
        <f>K32/K$5</f>
        <v>2.6859430893336516E-2</v>
      </c>
      <c r="L33" s="558">
        <f t="shared" ref="L33:Q33" si="12">L32/L$5</f>
        <v>5.2698310823607777E-2</v>
      </c>
      <c r="M33" s="558">
        <f t="shared" si="12"/>
        <v>0.13571496643420652</v>
      </c>
      <c r="N33" s="558">
        <f t="shared" si="12"/>
        <v>0.24362008281282882</v>
      </c>
      <c r="O33" s="558">
        <f t="shared" si="12"/>
        <v>5.9717943760032539E-2</v>
      </c>
      <c r="P33" s="571">
        <f t="shared" si="12"/>
        <v>7.4703170986410508E-2</v>
      </c>
      <c r="Q33" s="559">
        <f t="shared" ca="1" si="12"/>
        <v>0.12464940326030231</v>
      </c>
      <c r="R33" s="559">
        <f t="shared" ref="R33:Z33" ca="1" si="13">R32/R$5</f>
        <v>0.13463294257249597</v>
      </c>
      <c r="S33" s="559">
        <f t="shared" ca="1" si="13"/>
        <v>0.15326909237896336</v>
      </c>
      <c r="T33" s="559">
        <f t="shared" ca="1" si="13"/>
        <v>0.20319231269415669</v>
      </c>
      <c r="U33" s="559">
        <f t="shared" ca="1" si="13"/>
        <v>0.17926430051247735</v>
      </c>
      <c r="V33" s="559">
        <f t="shared" ca="1" si="13"/>
        <v>0.1672503439838699</v>
      </c>
      <c r="W33" s="559">
        <f t="shared" ca="1" si="13"/>
        <v>0.16319770155793653</v>
      </c>
      <c r="X33" s="559">
        <f t="shared" ca="1" si="13"/>
        <v>0.17739855183752454</v>
      </c>
      <c r="Y33" s="559">
        <f t="shared" ca="1" si="13"/>
        <v>0.19436699864852247</v>
      </c>
      <c r="Z33" s="559">
        <f t="shared" ca="1" si="13"/>
        <v>0.19019551929470174</v>
      </c>
      <c r="AA33" s="559"/>
      <c r="AB33" s="560"/>
      <c r="AC33" s="560"/>
      <c r="AD33" s="560"/>
      <c r="AE33" s="560"/>
      <c r="AF33" s="560"/>
      <c r="AG33" s="560"/>
      <c r="AH33" s="560"/>
      <c r="AI33" s="560"/>
      <c r="AJ33" s="560"/>
      <c r="AK33" s="560"/>
      <c r="AL33" s="560"/>
      <c r="AM33" s="560"/>
      <c r="AN33" s="560"/>
      <c r="AO33" s="560"/>
      <c r="AP33" s="560"/>
      <c r="AQ33" s="560"/>
      <c r="AR33" s="560"/>
      <c r="AS33" s="560"/>
      <c r="AT33" s="560"/>
      <c r="AU33" s="560"/>
      <c r="AV33" s="560"/>
      <c r="AW33" s="560"/>
      <c r="AX33" s="560"/>
      <c r="AY33" s="560"/>
      <c r="AZ33" s="560"/>
      <c r="BA33" s="560"/>
    </row>
    <row r="34" spans="1:55" s="95" customFormat="1">
      <c r="A34" s="86"/>
      <c r="B34" s="94" t="s">
        <v>595</v>
      </c>
      <c r="C34" s="94" t="s">
        <v>386</v>
      </c>
      <c r="D34" s="89"/>
      <c r="E34" s="89"/>
      <c r="F34" s="89"/>
      <c r="G34" s="89"/>
      <c r="H34" s="89"/>
      <c r="I34" s="89"/>
      <c r="J34" s="90"/>
      <c r="K34" s="90">
        <f>Input!K100</f>
        <v>1.548499702</v>
      </c>
      <c r="L34" s="90">
        <f>Input!L100</f>
        <v>1.4002600789999999</v>
      </c>
      <c r="M34" s="90">
        <f>Input!M100</f>
        <v>2.6652292210000001</v>
      </c>
      <c r="N34" s="90">
        <f>Input!N100</f>
        <v>5.1274449459999998</v>
      </c>
      <c r="O34" s="90">
        <f>Input!O100</f>
        <v>1.24989181</v>
      </c>
      <c r="P34" s="568">
        <f>Input!P100</f>
        <v>8.3486434000000003</v>
      </c>
      <c r="Q34" s="142">
        <f ca="1">Input!Q100</f>
        <v>5.6571294361597548</v>
      </c>
      <c r="R34" s="142">
        <f ca="1">Input!R100</f>
        <v>5.9611875844804612</v>
      </c>
      <c r="S34" s="142">
        <f ca="1">Input!S100</f>
        <v>7.1092445028597666</v>
      </c>
      <c r="T34" s="142">
        <f ca="1">Input!T100</f>
        <v>11.845338220115311</v>
      </c>
      <c r="U34" s="142">
        <f ca="1">Input!U100</f>
        <v>11.04150910065643</v>
      </c>
      <c r="V34" s="142">
        <f ca="1">Input!V100</f>
        <v>10.605513967355357</v>
      </c>
      <c r="W34" s="142">
        <f ca="1">Input!W100</f>
        <v>9.0519069377287824</v>
      </c>
      <c r="X34" s="142">
        <f ca="1">Input!X100</f>
        <v>10.110567746924389</v>
      </c>
      <c r="Y34" s="142">
        <f ca="1">Input!Y100</f>
        <v>11.855962447685599</v>
      </c>
      <c r="Z34" s="142">
        <f ca="1">Input!Z100</f>
        <v>11.9612261244732</v>
      </c>
      <c r="AA34" s="142"/>
      <c r="AB34" s="143"/>
      <c r="AC34" s="143"/>
      <c r="AD34" s="143"/>
      <c r="AE34" s="143"/>
      <c r="AF34" s="143"/>
      <c r="AG34" s="143"/>
      <c r="AH34" s="143"/>
      <c r="AI34" s="143"/>
      <c r="AJ34" s="143"/>
      <c r="AK34" s="143"/>
      <c r="AL34" s="143"/>
      <c r="AM34" s="143"/>
      <c r="AN34" s="143"/>
      <c r="AO34" s="143"/>
      <c r="AP34" s="143"/>
      <c r="AQ34" s="143"/>
      <c r="AR34" s="143"/>
      <c r="AS34" s="143"/>
      <c r="AT34" s="143"/>
      <c r="AU34" s="143"/>
      <c r="AV34" s="143"/>
      <c r="AW34" s="143"/>
      <c r="AX34" s="143"/>
      <c r="AY34" s="143"/>
      <c r="AZ34" s="143"/>
      <c r="BA34" s="143"/>
    </row>
    <row r="35" spans="1:55" s="95" customFormat="1">
      <c r="A35" s="86"/>
      <c r="B35" s="94" t="s">
        <v>596</v>
      </c>
      <c r="C35" s="94" t="s">
        <v>391</v>
      </c>
      <c r="D35" s="89"/>
      <c r="E35" s="89"/>
      <c r="F35" s="89"/>
      <c r="G35" s="89"/>
      <c r="H35" s="89"/>
      <c r="I35" s="89"/>
      <c r="J35" s="90"/>
      <c r="K35" s="90">
        <f>Input!K106</f>
        <v>426.17522939000003</v>
      </c>
      <c r="L35" s="90">
        <f>Input!L106</f>
        <v>661.04607419199999</v>
      </c>
      <c r="M35" s="90">
        <f>Input!M106</f>
        <v>1823.459057715</v>
      </c>
      <c r="N35" s="90">
        <f>Input!N106</f>
        <v>4315.9532895889997</v>
      </c>
      <c r="O35" s="90">
        <f>Input!O106</f>
        <v>1108.8928250819999</v>
      </c>
      <c r="P35" s="568">
        <f>Input!P106</f>
        <v>1419.6579380420001</v>
      </c>
      <c r="Q35" s="142">
        <f ca="1">Input!Q106</f>
        <v>2205.244897935675</v>
      </c>
      <c r="R35" s="142">
        <f ca="1">Input!R106</f>
        <v>2496.8339731327874</v>
      </c>
      <c r="S35" s="142">
        <f ca="1">Input!S106</f>
        <v>2922.7432605349363</v>
      </c>
      <c r="T35" s="142">
        <f ca="1">Input!T106</f>
        <v>4565.7984403125647</v>
      </c>
      <c r="U35" s="142">
        <f ca="1">Input!U106</f>
        <v>3902.7829295090678</v>
      </c>
      <c r="V35" s="142">
        <f ca="1">Input!V106</f>
        <v>3406.4481814369269</v>
      </c>
      <c r="W35" s="142">
        <f ca="1">Input!W106</f>
        <v>3411.1616203694412</v>
      </c>
      <c r="X35" s="142">
        <f ca="1">Input!X106</f>
        <v>3789.0942813636852</v>
      </c>
      <c r="Y35" s="142">
        <f ca="1">Input!Y106</f>
        <v>4366.5880533968357</v>
      </c>
      <c r="Z35" s="142">
        <f ca="1">Input!Z106</f>
        <v>4330.1719955972221</v>
      </c>
      <c r="AA35" s="142"/>
      <c r="AB35" s="143"/>
      <c r="AC35" s="143"/>
      <c r="AD35" s="143"/>
      <c r="AE35" s="143"/>
      <c r="AF35" s="143"/>
      <c r="AG35" s="143"/>
      <c r="AH35" s="143"/>
      <c r="AI35" s="143"/>
      <c r="AJ35" s="143"/>
      <c r="AK35" s="143"/>
      <c r="AL35" s="143"/>
      <c r="AM35" s="143"/>
      <c r="AN35" s="143"/>
      <c r="AO35" s="143"/>
      <c r="AP35" s="143"/>
      <c r="AQ35" s="143"/>
      <c r="AR35" s="143"/>
      <c r="AS35" s="143"/>
      <c r="AT35" s="143"/>
      <c r="AU35" s="143"/>
      <c r="AV35" s="143"/>
      <c r="AW35" s="143"/>
      <c r="AX35" s="143"/>
      <c r="AY35" s="143"/>
      <c r="AZ35" s="143"/>
      <c r="BA35" s="143"/>
    </row>
    <row r="36" spans="1:55" s="95" customFormat="1">
      <c r="A36" s="86"/>
      <c r="B36" s="94"/>
      <c r="C36" s="94"/>
      <c r="D36" s="89"/>
      <c r="E36" s="89"/>
      <c r="F36" s="89"/>
      <c r="G36" s="89"/>
      <c r="H36" s="89"/>
      <c r="I36" s="89"/>
      <c r="J36" s="89"/>
      <c r="K36" s="89"/>
      <c r="L36" s="89"/>
      <c r="M36" s="89"/>
      <c r="N36" s="89"/>
      <c r="O36" s="89"/>
      <c r="P36" s="188"/>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43"/>
      <c r="AX36" s="143"/>
      <c r="AY36" s="143"/>
      <c r="AZ36" s="143"/>
      <c r="BA36" s="143"/>
    </row>
    <row r="37" spans="1:55" s="95" customFormat="1">
      <c r="A37" s="86"/>
      <c r="B37" s="94" t="s">
        <v>597</v>
      </c>
      <c r="C37" s="94" t="s">
        <v>598</v>
      </c>
      <c r="D37" s="89"/>
      <c r="E37" s="89"/>
      <c r="F37" s="89"/>
      <c r="G37" s="89"/>
      <c r="H37" s="89"/>
      <c r="I37" s="89"/>
      <c r="J37" s="90"/>
      <c r="K37" s="90">
        <f>Input!K118</f>
        <v>109.15</v>
      </c>
      <c r="L37" s="90">
        <f>Input!L118</f>
        <v>85.44</v>
      </c>
      <c r="M37" s="90">
        <f>Input!M118</f>
        <v>98.990000000000009</v>
      </c>
      <c r="N37" s="90">
        <f>Input!N118</f>
        <v>122.53</v>
      </c>
      <c r="O37" s="90">
        <f>Input!O118</f>
        <v>122.36</v>
      </c>
      <c r="P37" s="568">
        <f>Input!P118</f>
        <v>121.75</v>
      </c>
      <c r="Q37" s="142">
        <f>Input!Q118</f>
        <v>188.90934246431667</v>
      </c>
      <c r="R37" s="142">
        <f>Input!R118</f>
        <v>192.2692655115911</v>
      </c>
      <c r="S37" s="142">
        <f>Input!S118</f>
        <v>240.53831705014494</v>
      </c>
      <c r="T37" s="142">
        <f>Input!T118</f>
        <v>416.97928201955125</v>
      </c>
      <c r="U37" s="142">
        <f>Input!U118</f>
        <v>319.00355568091612</v>
      </c>
      <c r="V37" s="142">
        <f>Input!V118</f>
        <v>280.19111300813086</v>
      </c>
      <c r="W37" s="142">
        <f>Input!W118</f>
        <v>285.05992434408267</v>
      </c>
      <c r="X37" s="142">
        <f>Input!X118</f>
        <v>329.67447852104692</v>
      </c>
      <c r="Y37" s="142">
        <f>Input!Y118</f>
        <v>388.25893317829536</v>
      </c>
      <c r="Z37" s="142">
        <f>Input!Z118</f>
        <v>340.64146945037083</v>
      </c>
      <c r="AA37" s="142"/>
      <c r="AB37" s="143"/>
      <c r="AC37" s="143"/>
      <c r="AD37" s="143"/>
      <c r="AE37" s="143"/>
      <c r="AF37" s="143"/>
      <c r="AG37" s="143"/>
      <c r="AH37" s="143"/>
      <c r="AI37" s="143"/>
      <c r="AJ37" s="143"/>
      <c r="AK37" s="143"/>
      <c r="AL37" s="143"/>
      <c r="AM37" s="143"/>
      <c r="AN37" s="143"/>
      <c r="AO37" s="143"/>
      <c r="AP37" s="143"/>
      <c r="AQ37" s="143"/>
      <c r="AR37" s="143"/>
      <c r="AS37" s="143"/>
      <c r="AT37" s="143"/>
      <c r="AU37" s="143"/>
      <c r="AV37" s="143"/>
      <c r="AW37" s="143"/>
      <c r="AX37" s="143"/>
      <c r="AY37" s="143"/>
      <c r="AZ37" s="143"/>
      <c r="BA37" s="143"/>
    </row>
    <row r="38" spans="1:55" s="95" customFormat="1">
      <c r="A38" s="86"/>
      <c r="B38" s="94" t="s">
        <v>599</v>
      </c>
      <c r="C38" s="94" t="s">
        <v>401</v>
      </c>
      <c r="D38" s="89"/>
      <c r="E38" s="89"/>
      <c r="F38" s="89"/>
      <c r="G38" s="89"/>
      <c r="H38" s="89"/>
      <c r="I38" s="89"/>
      <c r="J38" s="90"/>
      <c r="K38" s="90">
        <f>Input!K121</f>
        <v>0</v>
      </c>
      <c r="L38" s="90">
        <f>Input!L121</f>
        <v>0</v>
      </c>
      <c r="M38" s="90">
        <f>Input!M121</f>
        <v>0</v>
      </c>
      <c r="N38" s="90">
        <f>Input!N121</f>
        <v>0</v>
      </c>
      <c r="O38" s="90">
        <f>Input!O121</f>
        <v>0</v>
      </c>
      <c r="P38" s="568">
        <f>Input!P121</f>
        <v>0</v>
      </c>
      <c r="Q38" s="142">
        <f>Input!Q121</f>
        <v>0</v>
      </c>
      <c r="R38" s="142">
        <f>Input!R121</f>
        <v>0</v>
      </c>
      <c r="S38" s="142">
        <f>Input!S121</f>
        <v>0</v>
      </c>
      <c r="T38" s="142">
        <f>Input!T121</f>
        <v>0</v>
      </c>
      <c r="U38" s="142">
        <f>Input!U121</f>
        <v>0</v>
      </c>
      <c r="V38" s="142">
        <f>Input!V121</f>
        <v>0</v>
      </c>
      <c r="W38" s="142">
        <f>Input!W121</f>
        <v>0</v>
      </c>
      <c r="X38" s="142">
        <f>Input!X121</f>
        <v>0</v>
      </c>
      <c r="Y38" s="142">
        <f>Input!Y121</f>
        <v>0</v>
      </c>
      <c r="Z38" s="142">
        <f>Input!Z121</f>
        <v>0</v>
      </c>
      <c r="AA38" s="142"/>
      <c r="AB38" s="143"/>
      <c r="AC38" s="143"/>
      <c r="AD38" s="143"/>
      <c r="AE38" s="143"/>
      <c r="AF38" s="143"/>
      <c r="AG38" s="143"/>
      <c r="AH38" s="143"/>
      <c r="AI38" s="143"/>
      <c r="AJ38" s="143"/>
      <c r="AK38" s="143"/>
      <c r="AL38" s="143"/>
      <c r="AM38" s="143"/>
      <c r="AN38" s="143"/>
      <c r="AO38" s="143"/>
      <c r="AP38" s="143"/>
      <c r="AQ38" s="143"/>
      <c r="AR38" s="143"/>
      <c r="AS38" s="143"/>
      <c r="AT38" s="143"/>
      <c r="AU38" s="143"/>
      <c r="AV38" s="143"/>
      <c r="AW38" s="143"/>
      <c r="AX38" s="143"/>
      <c r="AY38" s="143"/>
      <c r="AZ38" s="143"/>
      <c r="BA38" s="143"/>
    </row>
    <row r="39" spans="1:55" s="95" customFormat="1">
      <c r="A39" s="86"/>
      <c r="B39" s="94" t="s">
        <v>600</v>
      </c>
      <c r="C39" s="94" t="s">
        <v>404</v>
      </c>
      <c r="D39" s="89"/>
      <c r="E39" s="89"/>
      <c r="F39" s="89"/>
      <c r="G39" s="89"/>
      <c r="H39" s="89"/>
      <c r="I39" s="89"/>
      <c r="J39" s="90"/>
      <c r="K39" s="90">
        <f>Input!K125</f>
        <v>0</v>
      </c>
      <c r="L39" s="90">
        <f>Input!L125</f>
        <v>0</v>
      </c>
      <c r="M39" s="90">
        <f>Input!M125</f>
        <v>0</v>
      </c>
      <c r="N39" s="90">
        <f>Input!N125</f>
        <v>0</v>
      </c>
      <c r="O39" s="90">
        <f>Input!O125</f>
        <v>0</v>
      </c>
      <c r="P39" s="568">
        <f>Input!P125</f>
        <v>0</v>
      </c>
      <c r="Q39" s="142">
        <f>Input!Q125</f>
        <v>0</v>
      </c>
      <c r="R39" s="142">
        <f>Input!R125</f>
        <v>0</v>
      </c>
      <c r="S39" s="142">
        <f>Input!S125</f>
        <v>0</v>
      </c>
      <c r="T39" s="142">
        <f>Input!T125</f>
        <v>0</v>
      </c>
      <c r="U39" s="142">
        <f>Input!U125</f>
        <v>0</v>
      </c>
      <c r="V39" s="142">
        <f>Input!V125</f>
        <v>0</v>
      </c>
      <c r="W39" s="142">
        <f>Input!W125</f>
        <v>0</v>
      </c>
      <c r="X39" s="142">
        <f>Input!X125</f>
        <v>0</v>
      </c>
      <c r="Y39" s="142">
        <f>Input!Y125</f>
        <v>0</v>
      </c>
      <c r="Z39" s="142">
        <f>Input!Z125</f>
        <v>0</v>
      </c>
      <c r="AA39" s="142"/>
      <c r="AB39" s="143"/>
      <c r="AC39" s="143"/>
      <c r="AD39" s="143"/>
      <c r="AE39" s="143"/>
      <c r="AF39" s="143"/>
      <c r="AG39" s="143"/>
      <c r="AH39" s="143"/>
      <c r="AI39" s="143"/>
      <c r="AJ39" s="143"/>
      <c r="AK39" s="143"/>
      <c r="AL39" s="143"/>
      <c r="AM39" s="143"/>
      <c r="AN39" s="143"/>
      <c r="AO39" s="143"/>
      <c r="AP39" s="143"/>
      <c r="AQ39" s="143"/>
      <c r="AR39" s="143"/>
      <c r="AS39" s="143"/>
      <c r="AT39" s="143"/>
      <c r="AU39" s="143"/>
      <c r="AV39" s="143"/>
      <c r="AW39" s="143"/>
      <c r="AX39" s="143"/>
      <c r="AY39" s="143"/>
      <c r="AZ39" s="143"/>
      <c r="BA39" s="143"/>
      <c r="BC39" s="1815"/>
    </row>
    <row r="40" spans="1:55" s="95" customFormat="1">
      <c r="A40" s="86"/>
      <c r="B40" s="111" t="s">
        <v>601</v>
      </c>
      <c r="C40" s="111" t="s">
        <v>406</v>
      </c>
      <c r="D40" s="237"/>
      <c r="E40" s="237"/>
      <c r="F40" s="237"/>
      <c r="G40" s="237"/>
      <c r="H40" s="237"/>
      <c r="I40" s="237"/>
      <c r="J40" s="553"/>
      <c r="K40" s="553">
        <f>K35-K37-K38-K39</f>
        <v>317.02522939000005</v>
      </c>
      <c r="L40" s="553">
        <f t="shared" ref="L40:Q40" si="14">L35-L37-L38-L39</f>
        <v>575.60607419200005</v>
      </c>
      <c r="M40" s="553">
        <f t="shared" si="14"/>
        <v>1724.469057715</v>
      </c>
      <c r="N40" s="553">
        <f t="shared" si="14"/>
        <v>4193.423289589</v>
      </c>
      <c r="O40" s="553">
        <f t="shared" si="14"/>
        <v>986.53282508199993</v>
      </c>
      <c r="P40" s="581">
        <f t="shared" si="14"/>
        <v>1297.9079380420001</v>
      </c>
      <c r="Q40" s="554">
        <f t="shared" ca="1" si="14"/>
        <v>2016.3355554713582</v>
      </c>
      <c r="R40" s="554">
        <f t="shared" ref="R40:Z40" ca="1" si="15">R35-R37-R38-R39</f>
        <v>2304.5647076211962</v>
      </c>
      <c r="S40" s="554">
        <f t="shared" ca="1" si="15"/>
        <v>2682.2049434847913</v>
      </c>
      <c r="T40" s="554">
        <f t="shared" ca="1" si="15"/>
        <v>4148.8191582930131</v>
      </c>
      <c r="U40" s="554">
        <f t="shared" ca="1" si="15"/>
        <v>3583.7793738281516</v>
      </c>
      <c r="V40" s="554">
        <f t="shared" ca="1" si="15"/>
        <v>3126.2570684287962</v>
      </c>
      <c r="W40" s="554">
        <f t="shared" ca="1" si="15"/>
        <v>3126.1016960253583</v>
      </c>
      <c r="X40" s="554">
        <f t="shared" ca="1" si="15"/>
        <v>3459.4198028426381</v>
      </c>
      <c r="Y40" s="554">
        <f t="shared" ca="1" si="15"/>
        <v>3978.3291202185401</v>
      </c>
      <c r="Z40" s="554">
        <f t="shared" ca="1" si="15"/>
        <v>3989.5305261468511</v>
      </c>
      <c r="AA40" s="554"/>
      <c r="AB40" s="238"/>
      <c r="AC40" s="238"/>
      <c r="AD40" s="238"/>
      <c r="AE40" s="238"/>
      <c r="AF40" s="238"/>
      <c r="AG40" s="238"/>
      <c r="AH40" s="238"/>
      <c r="AI40" s="238"/>
      <c r="AJ40" s="238"/>
      <c r="AK40" s="238"/>
      <c r="AL40" s="238"/>
      <c r="AM40" s="238"/>
      <c r="AN40" s="238"/>
      <c r="AO40" s="238"/>
      <c r="AP40" s="238"/>
      <c r="AQ40" s="238"/>
      <c r="AR40" s="238"/>
      <c r="AS40" s="238"/>
      <c r="AT40" s="238"/>
      <c r="AU40" s="238"/>
      <c r="AV40" s="238"/>
      <c r="AW40" s="238"/>
      <c r="AX40" s="238"/>
      <c r="AY40" s="238"/>
      <c r="AZ40" s="238"/>
      <c r="BA40" s="238"/>
    </row>
    <row r="41" spans="1:55" s="95" customFormat="1">
      <c r="A41" s="86"/>
      <c r="B41" s="94"/>
      <c r="C41" s="94"/>
      <c r="D41" s="89"/>
      <c r="E41" s="89"/>
      <c r="F41" s="89"/>
      <c r="G41" s="89"/>
      <c r="H41" s="89"/>
      <c r="I41" s="89"/>
      <c r="J41" s="89"/>
      <c r="K41" s="89"/>
      <c r="L41" s="89"/>
      <c r="M41" s="89"/>
      <c r="N41" s="89"/>
      <c r="O41" s="89"/>
      <c r="P41" s="188"/>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143"/>
      <c r="AT41" s="143"/>
      <c r="AU41" s="143"/>
      <c r="AV41" s="143"/>
      <c r="AW41" s="143"/>
      <c r="AX41" s="143"/>
      <c r="AY41" s="143"/>
      <c r="AZ41" s="143"/>
      <c r="BA41" s="143"/>
    </row>
    <row r="42" spans="1:55" s="95" customFormat="1">
      <c r="A42" s="86"/>
      <c r="B42" s="94" t="s">
        <v>602</v>
      </c>
      <c r="C42" s="94" t="s">
        <v>410</v>
      </c>
      <c r="D42" s="89"/>
      <c r="E42" s="89"/>
      <c r="F42" s="89"/>
      <c r="G42" s="89"/>
      <c r="H42" s="89"/>
      <c r="I42" s="89"/>
      <c r="J42" s="90"/>
      <c r="K42" s="90">
        <f>Input!K133</f>
        <v>317.64</v>
      </c>
      <c r="L42" s="90">
        <f>Input!L133</f>
        <v>423.52</v>
      </c>
      <c r="M42" s="90">
        <f>Input!M133</f>
        <v>952.92</v>
      </c>
      <c r="N42" s="90">
        <f>Input!N133</f>
        <v>1588.2</v>
      </c>
      <c r="O42" s="90">
        <f>Input!O133</f>
        <v>1058.8</v>
      </c>
      <c r="P42" s="568">
        <f>Input!P133</f>
        <v>1058.8</v>
      </c>
      <c r="Q42" s="142">
        <f>Input!Q133</f>
        <v>1058.8</v>
      </c>
      <c r="R42" s="142">
        <f>Input!R133</f>
        <v>1323.5</v>
      </c>
      <c r="S42" s="142">
        <f>Input!S133</f>
        <v>1588.1999999999998</v>
      </c>
      <c r="T42" s="142">
        <f>Input!T133</f>
        <v>1588.1999999999998</v>
      </c>
      <c r="U42" s="142">
        <f>Input!U133</f>
        <v>1852.8999999999999</v>
      </c>
      <c r="V42" s="142">
        <f>Input!V133</f>
        <v>1852.8999999999999</v>
      </c>
      <c r="W42" s="142">
        <f>Input!W133</f>
        <v>1588.1999999999998</v>
      </c>
      <c r="X42" s="142">
        <f>Input!X133</f>
        <v>2117.6</v>
      </c>
      <c r="Y42" s="142">
        <f>Input!Y133</f>
        <v>2647</v>
      </c>
      <c r="Z42" s="142">
        <f>Input!Z133</f>
        <v>3176.3999999999996</v>
      </c>
      <c r="AA42" s="142"/>
      <c r="AB42" s="143"/>
      <c r="AC42" s="143"/>
      <c r="AD42" s="143"/>
      <c r="AE42" s="143"/>
      <c r="AF42" s="143"/>
      <c r="AG42" s="143"/>
      <c r="AH42" s="143"/>
      <c r="AI42" s="143"/>
      <c r="AJ42" s="143"/>
      <c r="AK42" s="143"/>
      <c r="AL42" s="143"/>
      <c r="AM42" s="143"/>
      <c r="AN42" s="143"/>
      <c r="AO42" s="143"/>
      <c r="AP42" s="143"/>
      <c r="AQ42" s="143"/>
      <c r="AR42" s="143"/>
      <c r="AS42" s="143"/>
      <c r="AT42" s="143"/>
      <c r="AU42" s="143"/>
      <c r="AV42" s="143"/>
      <c r="AW42" s="143"/>
      <c r="AX42" s="143"/>
      <c r="AY42" s="143"/>
      <c r="AZ42" s="143"/>
      <c r="BA42" s="143"/>
    </row>
    <row r="43" spans="1:55" s="95" customFormat="1" ht="13.8" thickBot="1">
      <c r="A43" s="86"/>
      <c r="B43" s="619" t="s">
        <v>603</v>
      </c>
      <c r="C43" s="619" t="s">
        <v>412</v>
      </c>
      <c r="D43" s="620"/>
      <c r="E43" s="620"/>
      <c r="F43" s="620"/>
      <c r="G43" s="620"/>
      <c r="H43" s="620"/>
      <c r="I43" s="620"/>
      <c r="J43" s="621"/>
      <c r="K43" s="621">
        <f>Input!K136</f>
        <v>-0.61477060999993682</v>
      </c>
      <c r="L43" s="621">
        <f>Input!L136</f>
        <v>152.08607419200007</v>
      </c>
      <c r="M43" s="621">
        <f>Input!M136</f>
        <v>771.549057715</v>
      </c>
      <c r="N43" s="621">
        <f>Input!N136</f>
        <v>2605.2232895890002</v>
      </c>
      <c r="O43" s="621">
        <f>Input!O136</f>
        <v>-72.267174918000023</v>
      </c>
      <c r="P43" s="622">
        <f>Input!P136</f>
        <v>239.10793804200011</v>
      </c>
      <c r="Q43" s="623">
        <f ca="1">Input!Q136</f>
        <v>957.53555547135829</v>
      </c>
      <c r="R43" s="623">
        <f ca="1">Input!R136</f>
        <v>981.06470762119625</v>
      </c>
      <c r="S43" s="623">
        <f ca="1">Input!S136</f>
        <v>1094.0049434847915</v>
      </c>
      <c r="T43" s="623">
        <f ca="1">Input!T136</f>
        <v>2560.6191582930132</v>
      </c>
      <c r="U43" s="623">
        <f ca="1">Input!U136</f>
        <v>1730.8793738281518</v>
      </c>
      <c r="V43" s="623">
        <f ca="1">Input!V136</f>
        <v>1273.3570684287963</v>
      </c>
      <c r="W43" s="623">
        <f ca="1">Input!W136</f>
        <v>1537.9016960253584</v>
      </c>
      <c r="X43" s="623">
        <f ca="1">Input!X136</f>
        <v>1341.8198028426382</v>
      </c>
      <c r="Y43" s="623">
        <f ca="1">Input!Y136</f>
        <v>1331.3291202185401</v>
      </c>
      <c r="Z43" s="623">
        <f ca="1">Input!Z136</f>
        <v>813.13052614685148</v>
      </c>
      <c r="AA43" s="623"/>
      <c r="AB43" s="624"/>
      <c r="AC43" s="624"/>
      <c r="AD43" s="624"/>
      <c r="AE43" s="624"/>
      <c r="AF43" s="624"/>
      <c r="AG43" s="624"/>
      <c r="AH43" s="624"/>
      <c r="AI43" s="624"/>
      <c r="AJ43" s="624"/>
      <c r="AK43" s="624"/>
      <c r="AL43" s="624"/>
      <c r="AM43" s="624"/>
      <c r="AN43" s="624"/>
      <c r="AO43" s="624"/>
      <c r="AP43" s="624"/>
      <c r="AQ43" s="624"/>
      <c r="AR43" s="624"/>
      <c r="AS43" s="624"/>
      <c r="AT43" s="624"/>
      <c r="AU43" s="624"/>
      <c r="AV43" s="624"/>
      <c r="AW43" s="624"/>
      <c r="AX43" s="624"/>
      <c r="AY43" s="624"/>
      <c r="AZ43" s="624"/>
      <c r="BA43" s="624"/>
    </row>
    <row r="44" spans="1:55" s="626" customFormat="1" ht="13.8" thickTop="1">
      <c r="A44" s="573"/>
      <c r="B44" s="416" t="s">
        <v>604</v>
      </c>
      <c r="C44" s="416"/>
      <c r="D44" s="500"/>
      <c r="E44" s="500"/>
      <c r="F44" s="500"/>
      <c r="G44" s="500"/>
      <c r="H44" s="500"/>
      <c r="I44" s="500"/>
      <c r="J44" s="501"/>
      <c r="K44" s="501">
        <f>K32-Input!K94</f>
        <v>0</v>
      </c>
      <c r="L44" s="501">
        <f>L32-Input!L94</f>
        <v>0</v>
      </c>
      <c r="M44" s="501">
        <f>M32-Input!M94</f>
        <v>0</v>
      </c>
      <c r="N44" s="501">
        <f>N32-Input!N94</f>
        <v>0</v>
      </c>
      <c r="O44" s="501">
        <f>O32-Input!O94</f>
        <v>0</v>
      </c>
      <c r="P44" s="2634">
        <f>P32-Input!P94</f>
        <v>0</v>
      </c>
      <c r="Q44" s="1468">
        <f ca="1">Q32-Input!Q94</f>
        <v>0</v>
      </c>
      <c r="R44" s="1468">
        <f ca="1">R32-Input!R94</f>
        <v>0</v>
      </c>
      <c r="S44" s="1468">
        <f ca="1">S32-Input!S94</f>
        <v>0</v>
      </c>
      <c r="T44" s="1468">
        <f ca="1">T32-Input!T94</f>
        <v>0</v>
      </c>
      <c r="U44" s="1468">
        <f ca="1">U32-Input!U94</f>
        <v>0</v>
      </c>
      <c r="V44" s="1468">
        <f ca="1">V32-Input!V94</f>
        <v>0</v>
      </c>
      <c r="W44" s="1468">
        <f ca="1">W32-Input!W94</f>
        <v>0</v>
      </c>
      <c r="X44" s="1468">
        <f ca="1">X32-Input!X94</f>
        <v>0</v>
      </c>
      <c r="Y44" s="1468">
        <f ca="1">Y32-Input!Y94</f>
        <v>0</v>
      </c>
      <c r="Z44" s="1468">
        <f ca="1">Z32-Input!Z94</f>
        <v>0</v>
      </c>
      <c r="AA44" s="1468"/>
      <c r="AB44" s="1486"/>
      <c r="AC44" s="1486"/>
      <c r="AD44" s="1486"/>
      <c r="AE44" s="1486"/>
      <c r="AF44" s="1486"/>
      <c r="AG44" s="1486"/>
      <c r="AH44" s="1486"/>
      <c r="AI44" s="1486"/>
      <c r="AJ44" s="1486"/>
      <c r="AK44" s="1486"/>
      <c r="AL44" s="1486"/>
      <c r="AM44" s="1486"/>
      <c r="AN44" s="1486"/>
      <c r="AO44" s="1486"/>
      <c r="AP44" s="1486"/>
      <c r="AQ44" s="1486"/>
      <c r="AR44" s="1486"/>
      <c r="AS44" s="1486"/>
      <c r="AT44" s="1486"/>
      <c r="AU44" s="1486"/>
      <c r="AV44" s="1486"/>
      <c r="AW44" s="1486"/>
      <c r="AX44" s="1486"/>
      <c r="AY44" s="1486"/>
      <c r="AZ44" s="1486"/>
      <c r="BA44" s="1486"/>
    </row>
    <row r="45" spans="1:55" s="631" customFormat="1">
      <c r="A45" s="555"/>
      <c r="B45" s="627"/>
      <c r="C45" s="627"/>
      <c r="D45" s="628"/>
      <c r="E45" s="628"/>
      <c r="F45" s="628"/>
      <c r="G45" s="628"/>
      <c r="H45" s="628"/>
      <c r="I45" s="628"/>
      <c r="J45" s="628"/>
      <c r="K45" s="628"/>
      <c r="L45" s="628"/>
      <c r="M45" s="628"/>
      <c r="N45" s="628"/>
      <c r="O45" s="628"/>
      <c r="P45" s="629"/>
      <c r="Q45" s="628"/>
      <c r="R45" s="628"/>
      <c r="S45" s="628"/>
      <c r="T45" s="628"/>
      <c r="U45" s="628"/>
      <c r="V45" s="628"/>
      <c r="W45" s="628"/>
      <c r="X45" s="628"/>
      <c r="Y45" s="628"/>
      <c r="Z45" s="628"/>
      <c r="AA45" s="2627"/>
      <c r="AB45" s="2627"/>
      <c r="AC45" s="2627"/>
      <c r="AD45" s="2627"/>
      <c r="AE45" s="2627"/>
      <c r="AF45" s="2627"/>
      <c r="AG45" s="2627"/>
      <c r="AH45" s="2627"/>
      <c r="AI45" s="2627"/>
      <c r="AJ45" s="2627"/>
      <c r="AK45" s="2627"/>
      <c r="AL45" s="2627"/>
      <c r="AM45" s="2627"/>
      <c r="AN45" s="2627"/>
      <c r="AO45" s="2627"/>
      <c r="AP45" s="2627"/>
      <c r="AQ45" s="2627"/>
      <c r="AR45" s="2627"/>
      <c r="AS45" s="2627"/>
      <c r="AT45" s="2627"/>
      <c r="AU45" s="2627"/>
      <c r="AV45" s="2627"/>
      <c r="AW45" s="2627"/>
      <c r="AX45" s="2627"/>
      <c r="AY45" s="2627"/>
      <c r="AZ45" s="2627"/>
      <c r="BA45" s="2627"/>
    </row>
    <row r="46" spans="1:55" s="631" customFormat="1">
      <c r="A46" s="555"/>
      <c r="B46" s="627"/>
      <c r="C46" s="627"/>
      <c r="D46" s="628"/>
      <c r="E46" s="628"/>
      <c r="F46" s="628"/>
      <c r="G46" s="628"/>
      <c r="H46" s="628"/>
      <c r="I46" s="628"/>
      <c r="J46" s="628"/>
      <c r="K46" s="628"/>
      <c r="L46" s="628"/>
      <c r="M46" s="628"/>
      <c r="N46" s="628"/>
      <c r="O46" s="628"/>
      <c r="P46" s="629"/>
      <c r="Q46" s="628"/>
      <c r="R46" s="628"/>
      <c r="S46" s="628"/>
      <c r="T46" s="628"/>
      <c r="U46" s="628"/>
      <c r="V46" s="628"/>
      <c r="W46" s="628"/>
      <c r="X46" s="628"/>
      <c r="Y46" s="628"/>
      <c r="Z46" s="628"/>
      <c r="AA46" s="2627"/>
      <c r="AB46" s="2627"/>
      <c r="AC46" s="2627"/>
      <c r="AD46" s="2627"/>
      <c r="AE46" s="2627"/>
      <c r="AF46" s="2627"/>
      <c r="AG46" s="2627"/>
      <c r="AH46" s="2627"/>
      <c r="AI46" s="2627"/>
      <c r="AJ46" s="2627"/>
      <c r="AK46" s="2627"/>
      <c r="AL46" s="2627"/>
      <c r="AM46" s="2627"/>
      <c r="AN46" s="2627"/>
      <c r="AO46" s="2627"/>
      <c r="AP46" s="2627"/>
      <c r="AQ46" s="2627"/>
      <c r="AR46" s="2627"/>
      <c r="AS46" s="2627"/>
      <c r="AT46" s="2627"/>
      <c r="AU46" s="2627"/>
      <c r="AV46" s="2627"/>
      <c r="AW46" s="2627"/>
      <c r="AX46" s="2627"/>
      <c r="AY46" s="2627"/>
      <c r="AZ46" s="2627"/>
      <c r="BA46" s="2627"/>
    </row>
    <row r="47" spans="1:55" s="631" customFormat="1">
      <c r="A47" s="555"/>
      <c r="B47" s="627"/>
      <c r="C47" s="627"/>
      <c r="D47" s="628"/>
      <c r="E47" s="628"/>
      <c r="F47" s="628"/>
      <c r="G47" s="628"/>
      <c r="H47" s="628"/>
      <c r="I47" s="628"/>
      <c r="J47" s="628"/>
      <c r="K47" s="628"/>
      <c r="L47" s="628"/>
      <c r="M47" s="628"/>
      <c r="N47" s="628"/>
      <c r="O47" s="628"/>
      <c r="P47" s="629"/>
      <c r="Q47" s="628"/>
      <c r="R47" s="628"/>
      <c r="S47" s="628"/>
      <c r="T47" s="628"/>
      <c r="U47" s="628"/>
      <c r="V47" s="628"/>
      <c r="W47" s="628"/>
      <c r="X47" s="628"/>
      <c r="Y47" s="628"/>
      <c r="Z47" s="628"/>
      <c r="AA47" s="2627"/>
      <c r="AB47" s="2627"/>
      <c r="AC47" s="2627"/>
      <c r="AD47" s="2627"/>
      <c r="AE47" s="2627"/>
      <c r="AF47" s="2627"/>
      <c r="AG47" s="2627"/>
      <c r="AH47" s="2627"/>
      <c r="AI47" s="2627"/>
      <c r="AJ47" s="2627"/>
      <c r="AK47" s="2627"/>
      <c r="AL47" s="2627"/>
      <c r="AM47" s="2627"/>
      <c r="AN47" s="2627"/>
      <c r="AO47" s="2627"/>
      <c r="AP47" s="2627"/>
      <c r="AQ47" s="2627"/>
      <c r="AR47" s="2627"/>
      <c r="AS47" s="2627"/>
      <c r="AT47" s="2627"/>
      <c r="AU47" s="2627"/>
      <c r="AV47" s="2627"/>
      <c r="AW47" s="2627"/>
      <c r="AX47" s="2627"/>
      <c r="AY47" s="2627"/>
      <c r="AZ47" s="2627"/>
      <c r="BA47" s="2627"/>
    </row>
    <row r="48" spans="1:55" s="631" customFormat="1">
      <c r="A48" s="555"/>
      <c r="B48" s="627"/>
      <c r="C48" s="627"/>
      <c r="D48" s="628"/>
      <c r="E48" s="628"/>
      <c r="F48" s="628"/>
      <c r="G48" s="628"/>
      <c r="H48" s="628"/>
      <c r="I48" s="628"/>
      <c r="J48" s="628"/>
      <c r="K48" s="628"/>
      <c r="L48" s="628"/>
      <c r="M48" s="628"/>
      <c r="N48" s="628"/>
      <c r="O48" s="628"/>
      <c r="P48" s="629"/>
      <c r="Q48" s="628"/>
      <c r="R48" s="628"/>
      <c r="S48" s="628"/>
      <c r="T48" s="628"/>
      <c r="U48" s="628"/>
      <c r="V48" s="628"/>
      <c r="W48" s="628"/>
      <c r="X48" s="628"/>
      <c r="Y48" s="628"/>
      <c r="Z48" s="628"/>
      <c r="AA48" s="2627"/>
      <c r="AB48" s="2627"/>
      <c r="AC48" s="2627"/>
      <c r="AD48" s="2627"/>
      <c r="AE48" s="2627"/>
      <c r="AF48" s="2627"/>
      <c r="AG48" s="2627"/>
      <c r="AH48" s="2627"/>
      <c r="AI48" s="2627"/>
      <c r="AJ48" s="2627"/>
      <c r="AK48" s="2627"/>
      <c r="AL48" s="2627"/>
      <c r="AM48" s="2627"/>
      <c r="AN48" s="2627"/>
      <c r="AO48" s="2627"/>
      <c r="AP48" s="2627"/>
      <c r="AQ48" s="2627"/>
      <c r="AR48" s="2627"/>
      <c r="AS48" s="2627"/>
      <c r="AT48" s="2627"/>
      <c r="AU48" s="2627"/>
      <c r="AV48" s="2627"/>
      <c r="AW48" s="2627"/>
      <c r="AX48" s="2627"/>
      <c r="AY48" s="2627"/>
      <c r="AZ48" s="2627"/>
      <c r="BA48" s="2627"/>
    </row>
    <row r="49" spans="1:53" s="631" customFormat="1">
      <c r="A49" s="555"/>
      <c r="B49" s="627"/>
      <c r="C49" s="627"/>
      <c r="D49" s="628"/>
      <c r="E49" s="628"/>
      <c r="F49" s="628"/>
      <c r="G49" s="628"/>
      <c r="H49" s="628"/>
      <c r="I49" s="628"/>
      <c r="J49" s="628"/>
      <c r="K49" s="628"/>
      <c r="L49" s="628"/>
      <c r="M49" s="628"/>
      <c r="N49" s="628"/>
      <c r="O49" s="628"/>
      <c r="P49" s="629"/>
      <c r="Q49" s="628"/>
      <c r="R49" s="628"/>
      <c r="S49" s="628"/>
      <c r="T49" s="628"/>
      <c r="U49" s="628"/>
      <c r="V49" s="628"/>
      <c r="W49" s="628"/>
      <c r="X49" s="628"/>
      <c r="Y49" s="628"/>
      <c r="Z49" s="628"/>
      <c r="AA49" s="2627"/>
      <c r="AB49" s="2627"/>
      <c r="AC49" s="2627"/>
      <c r="AD49" s="2627"/>
      <c r="AE49" s="2627"/>
      <c r="AF49" s="2627"/>
      <c r="AG49" s="2627"/>
      <c r="AH49" s="2627"/>
      <c r="AI49" s="2627"/>
      <c r="AJ49" s="2627"/>
      <c r="AK49" s="2627"/>
      <c r="AL49" s="2627"/>
      <c r="AM49" s="2627"/>
      <c r="AN49" s="2627"/>
      <c r="AO49" s="2627"/>
      <c r="AP49" s="2627"/>
      <c r="AQ49" s="2627"/>
      <c r="AR49" s="2627"/>
      <c r="AS49" s="2627"/>
      <c r="AT49" s="2627"/>
      <c r="AU49" s="2627"/>
      <c r="AV49" s="2627"/>
      <c r="AW49" s="2627"/>
      <c r="AX49" s="2627"/>
      <c r="AY49" s="2627"/>
      <c r="AZ49" s="2627"/>
      <c r="BA49" s="2627"/>
    </row>
    <row r="50" spans="1:53" s="631" customFormat="1">
      <c r="A50" s="555"/>
      <c r="B50" s="627"/>
      <c r="C50" s="627"/>
      <c r="D50" s="628"/>
      <c r="E50" s="628"/>
      <c r="F50" s="628"/>
      <c r="G50" s="628"/>
      <c r="H50" s="628"/>
      <c r="I50" s="628"/>
      <c r="J50" s="628"/>
      <c r="K50" s="628"/>
      <c r="L50" s="628"/>
      <c r="M50" s="628"/>
      <c r="N50" s="628"/>
      <c r="O50" s="628"/>
      <c r="P50" s="629"/>
      <c r="Q50" s="628"/>
      <c r="R50" s="628"/>
      <c r="S50" s="628"/>
      <c r="T50" s="628"/>
      <c r="U50" s="628"/>
      <c r="V50" s="628"/>
      <c r="W50" s="628"/>
      <c r="X50" s="628"/>
      <c r="Y50" s="628"/>
      <c r="Z50" s="628"/>
      <c r="AA50" s="2627"/>
      <c r="AB50" s="2627"/>
      <c r="AC50" s="2627"/>
      <c r="AD50" s="2627"/>
      <c r="AE50" s="2627"/>
      <c r="AF50" s="2627"/>
      <c r="AG50" s="2627"/>
      <c r="AH50" s="2627"/>
      <c r="AI50" s="2627"/>
      <c r="AJ50" s="2627"/>
      <c r="AK50" s="2627"/>
      <c r="AL50" s="2627"/>
      <c r="AM50" s="2627"/>
      <c r="AN50" s="2627"/>
      <c r="AO50" s="2627"/>
      <c r="AP50" s="2627"/>
      <c r="AQ50" s="2627"/>
      <c r="AR50" s="2627"/>
      <c r="AS50" s="2627"/>
      <c r="AT50" s="2627"/>
      <c r="AU50" s="2627"/>
      <c r="AV50" s="2627"/>
      <c r="AW50" s="2627"/>
      <c r="AX50" s="2627"/>
      <c r="AY50" s="2627"/>
      <c r="AZ50" s="2627"/>
      <c r="BA50" s="2627"/>
    </row>
    <row r="51" spans="1:53" s="631" customFormat="1">
      <c r="A51" s="555"/>
      <c r="B51" s="627"/>
      <c r="C51" s="627"/>
      <c r="D51" s="628"/>
      <c r="E51" s="628"/>
      <c r="F51" s="628"/>
      <c r="G51" s="628"/>
      <c r="H51" s="628"/>
      <c r="I51" s="628"/>
      <c r="J51" s="628"/>
      <c r="K51" s="628"/>
      <c r="L51" s="628"/>
      <c r="M51" s="628"/>
      <c r="N51" s="628"/>
      <c r="O51" s="628"/>
      <c r="P51" s="629"/>
      <c r="Q51" s="628"/>
      <c r="R51" s="628"/>
      <c r="S51" s="628"/>
      <c r="T51" s="628"/>
      <c r="U51" s="628"/>
      <c r="V51" s="628"/>
      <c r="W51" s="628"/>
      <c r="X51" s="628"/>
      <c r="Y51" s="628"/>
      <c r="Z51" s="628"/>
      <c r="AA51" s="2627"/>
      <c r="AB51" s="2627"/>
      <c r="AC51" s="2627"/>
      <c r="AD51" s="2627"/>
      <c r="AE51" s="2627"/>
      <c r="AF51" s="2627"/>
      <c r="AG51" s="2627"/>
      <c r="AH51" s="2627"/>
      <c r="AI51" s="2627"/>
      <c r="AJ51" s="2627"/>
      <c r="AK51" s="2627"/>
      <c r="AL51" s="2627"/>
      <c r="AM51" s="2627"/>
      <c r="AN51" s="2627"/>
      <c r="AO51" s="2627"/>
      <c r="AP51" s="2627"/>
      <c r="AQ51" s="2627"/>
      <c r="AR51" s="2627"/>
      <c r="AS51" s="2627"/>
      <c r="AT51" s="2627"/>
      <c r="AU51" s="2627"/>
      <c r="AV51" s="2627"/>
      <c r="AW51" s="2627"/>
      <c r="AX51" s="2627"/>
      <c r="AY51" s="2627"/>
      <c r="AZ51" s="2627"/>
      <c r="BA51" s="2627"/>
    </row>
    <row r="52" spans="1:53">
      <c r="B52" s="633"/>
      <c r="C52" s="633"/>
      <c r="M52" s="539"/>
      <c r="P52" s="634"/>
    </row>
    <row r="53" spans="1:53">
      <c r="M53" s="539"/>
      <c r="P53" s="634"/>
    </row>
    <row r="54" spans="1:53">
      <c r="M54" s="539"/>
      <c r="P54" s="634"/>
    </row>
    <row r="55" spans="1:53">
      <c r="A55" s="635"/>
      <c r="D55" s="476"/>
      <c r="E55" s="476"/>
      <c r="F55" s="476"/>
      <c r="G55" s="476"/>
      <c r="H55" s="476"/>
      <c r="I55" s="476"/>
      <c r="J55" s="476"/>
      <c r="K55" s="476"/>
      <c r="L55" s="476"/>
      <c r="M55" s="476"/>
      <c r="N55" s="536"/>
      <c r="O55" s="536"/>
      <c r="P55" s="537"/>
      <c r="Q55" s="538"/>
      <c r="R55" s="538"/>
      <c r="S55" s="538"/>
      <c r="T55" s="538"/>
      <c r="U55" s="538"/>
      <c r="V55" s="538"/>
      <c r="W55" s="538"/>
      <c r="X55" s="538"/>
      <c r="Y55" s="538"/>
      <c r="Z55" s="538"/>
      <c r="AA55" s="538"/>
      <c r="AB55" s="538"/>
      <c r="AC55" s="538"/>
      <c r="AD55" s="538"/>
      <c r="AE55" s="538"/>
      <c r="AF55" s="538"/>
      <c r="AG55" s="538"/>
      <c r="AH55" s="538"/>
      <c r="AI55" s="538"/>
      <c r="AJ55" s="538"/>
      <c r="AK55" s="538"/>
      <c r="AL55" s="538"/>
      <c r="AM55" s="538"/>
      <c r="AN55" s="538"/>
      <c r="AO55" s="538"/>
      <c r="AP55" s="538"/>
      <c r="AQ55" s="538"/>
      <c r="AR55" s="538"/>
      <c r="AS55" s="538"/>
      <c r="AT55" s="538"/>
      <c r="AU55" s="538"/>
      <c r="AV55" s="538"/>
      <c r="AW55" s="538"/>
      <c r="AX55" s="538"/>
      <c r="AY55" s="538"/>
      <c r="AZ55" s="538"/>
      <c r="BA55" s="538"/>
    </row>
    <row r="56" spans="1:53">
      <c r="A56" s="635"/>
      <c r="B56" s="2739" t="s">
        <v>605</v>
      </c>
      <c r="C56" s="2741" t="s">
        <v>418</v>
      </c>
      <c r="D56" s="18"/>
      <c r="E56" s="18"/>
      <c r="F56" s="540"/>
      <c r="G56" s="540"/>
      <c r="H56" s="540"/>
      <c r="I56" s="540"/>
      <c r="J56" s="540"/>
      <c r="K56" s="540"/>
      <c r="L56" s="540"/>
      <c r="M56" s="540"/>
      <c r="N56" s="540"/>
      <c r="O56" s="540"/>
      <c r="P56" s="541"/>
      <c r="Q56" s="542"/>
      <c r="R56" s="542"/>
      <c r="S56" s="542"/>
      <c r="T56" s="542"/>
      <c r="U56" s="542"/>
      <c r="V56" s="542"/>
      <c r="W56" s="542"/>
      <c r="X56" s="542"/>
      <c r="Y56" s="542"/>
      <c r="Z56" s="542"/>
      <c r="AA56" s="542"/>
      <c r="AB56" s="542"/>
      <c r="AC56" s="542"/>
      <c r="AD56" s="542"/>
      <c r="AE56" s="542"/>
      <c r="AF56" s="542"/>
      <c r="AG56" s="542"/>
      <c r="AH56" s="542"/>
      <c r="AI56" s="542"/>
      <c r="AJ56" s="542"/>
      <c r="AK56" s="542"/>
      <c r="AL56" s="542"/>
      <c r="AM56" s="542"/>
      <c r="AN56" s="542"/>
      <c r="AO56" s="542"/>
      <c r="AP56" s="542"/>
      <c r="AQ56" s="542"/>
      <c r="AR56" s="542"/>
      <c r="AS56" s="542"/>
      <c r="AT56" s="542"/>
      <c r="AU56" s="542"/>
      <c r="AV56" s="542"/>
      <c r="AW56" s="542"/>
      <c r="AX56" s="542"/>
      <c r="AY56" s="542"/>
      <c r="AZ56" s="542"/>
      <c r="BA56" s="542"/>
    </row>
    <row r="57" spans="1:53" ht="13.8" thickBot="1">
      <c r="A57" s="635"/>
      <c r="B57" s="2740"/>
      <c r="C57" s="2743"/>
      <c r="D57" s="636">
        <f>D3</f>
        <v>41274</v>
      </c>
      <c r="E57" s="2600">
        <f t="shared" ref="E57:AI57" si="16">E3</f>
        <v>41639</v>
      </c>
      <c r="F57" s="2600">
        <f t="shared" si="16"/>
        <v>42004</v>
      </c>
      <c r="G57" s="2600">
        <f t="shared" si="16"/>
        <v>42369</v>
      </c>
      <c r="H57" s="2600">
        <f t="shared" si="16"/>
        <v>42735</v>
      </c>
      <c r="I57" s="2600">
        <f t="shared" si="16"/>
        <v>43100</v>
      </c>
      <c r="J57" s="2600">
        <f t="shared" si="16"/>
        <v>43465</v>
      </c>
      <c r="K57" s="2600">
        <f t="shared" si="16"/>
        <v>43830</v>
      </c>
      <c r="L57" s="2600">
        <f t="shared" si="16"/>
        <v>44196</v>
      </c>
      <c r="M57" s="2600">
        <f t="shared" si="16"/>
        <v>44561</v>
      </c>
      <c r="N57" s="2600">
        <f t="shared" si="16"/>
        <v>44926</v>
      </c>
      <c r="O57" s="2600">
        <f t="shared" si="16"/>
        <v>45291</v>
      </c>
      <c r="P57" s="2632">
        <f t="shared" si="16"/>
        <v>45657</v>
      </c>
      <c r="Q57" s="2600">
        <f t="shared" si="16"/>
        <v>46022</v>
      </c>
      <c r="R57" s="2600">
        <f t="shared" si="16"/>
        <v>46387</v>
      </c>
      <c r="S57" s="2600">
        <f t="shared" si="16"/>
        <v>46752</v>
      </c>
      <c r="T57" s="2600">
        <f t="shared" si="16"/>
        <v>47118</v>
      </c>
      <c r="U57" s="2600">
        <f t="shared" si="16"/>
        <v>47483</v>
      </c>
      <c r="V57" s="2600">
        <f t="shared" si="16"/>
        <v>47848</v>
      </c>
      <c r="W57" s="2600">
        <f t="shared" si="16"/>
        <v>48213</v>
      </c>
      <c r="X57" s="2600">
        <f t="shared" si="16"/>
        <v>48579</v>
      </c>
      <c r="Y57" s="2600">
        <f t="shared" si="16"/>
        <v>48944</v>
      </c>
      <c r="Z57" s="2600">
        <f t="shared" si="16"/>
        <v>49309</v>
      </c>
      <c r="AA57" s="2600">
        <f t="shared" si="16"/>
        <v>49674</v>
      </c>
      <c r="AB57" s="2600">
        <f t="shared" si="16"/>
        <v>50040</v>
      </c>
      <c r="AC57" s="2600">
        <f t="shared" si="16"/>
        <v>50405</v>
      </c>
      <c r="AD57" s="2600">
        <f t="shared" si="16"/>
        <v>50770</v>
      </c>
      <c r="AE57" s="2600">
        <f t="shared" si="16"/>
        <v>51135</v>
      </c>
      <c r="AF57" s="2600">
        <f t="shared" si="16"/>
        <v>51501</v>
      </c>
      <c r="AG57" s="2600">
        <f t="shared" si="16"/>
        <v>51866</v>
      </c>
      <c r="AH57" s="2600">
        <f t="shared" si="16"/>
        <v>52231</v>
      </c>
      <c r="AI57" s="2600">
        <f t="shared" si="16"/>
        <v>52596</v>
      </c>
      <c r="AJ57" s="547"/>
      <c r="AK57" s="547"/>
      <c r="AL57" s="547"/>
      <c r="AM57" s="547"/>
      <c r="AN57" s="547"/>
      <c r="AO57" s="547"/>
      <c r="AP57" s="547"/>
      <c r="AQ57" s="547"/>
      <c r="AR57" s="547"/>
      <c r="AS57" s="547"/>
      <c r="AT57" s="547"/>
      <c r="AU57" s="547"/>
      <c r="AV57" s="547"/>
      <c r="AW57" s="547"/>
      <c r="AX57" s="547"/>
      <c r="AY57" s="547"/>
      <c r="AZ57" s="547"/>
      <c r="BA57" s="547"/>
    </row>
    <row r="58" spans="1:53" ht="13.8" thickTop="1">
      <c r="A58" s="635"/>
      <c r="B58" s="18" t="s">
        <v>606</v>
      </c>
      <c r="C58" s="18" t="s">
        <v>419</v>
      </c>
      <c r="D58" s="551"/>
      <c r="E58" s="329"/>
      <c r="F58" s="329"/>
      <c r="G58" s="329"/>
      <c r="H58" s="329"/>
      <c r="I58" s="329"/>
      <c r="J58" s="329"/>
      <c r="K58" s="329"/>
      <c r="L58" s="329"/>
      <c r="M58" s="329"/>
      <c r="N58" s="329"/>
      <c r="O58" s="329"/>
      <c r="P58" s="637"/>
      <c r="Q58" s="329"/>
      <c r="R58" s="329"/>
      <c r="S58" s="329"/>
      <c r="T58" s="329"/>
      <c r="U58" s="329"/>
      <c r="V58" s="329"/>
      <c r="W58" s="329"/>
      <c r="X58" s="329"/>
      <c r="Y58" s="329"/>
      <c r="Z58" s="329"/>
      <c r="AA58" s="1807"/>
      <c r="AB58" s="1807"/>
      <c r="AC58" s="1807"/>
      <c r="AD58" s="1807"/>
      <c r="AE58" s="1807"/>
      <c r="AF58" s="1807"/>
      <c r="AG58" s="1807"/>
      <c r="AH58" s="1807"/>
      <c r="AI58" s="1807"/>
      <c r="AJ58" s="1807"/>
      <c r="AK58" s="1807"/>
      <c r="AL58" s="1807"/>
      <c r="AM58" s="1807"/>
      <c r="AN58" s="1807"/>
      <c r="AO58" s="1807"/>
      <c r="AP58" s="1807"/>
      <c r="AQ58" s="1807"/>
      <c r="AR58" s="1807"/>
      <c r="AS58" s="1807"/>
      <c r="AT58" s="1807"/>
      <c r="AU58" s="1807"/>
      <c r="AV58" s="1807"/>
      <c r="AW58" s="1807"/>
      <c r="AX58" s="1807"/>
      <c r="AY58" s="1807"/>
      <c r="AZ58" s="1807"/>
      <c r="BA58" s="1807"/>
    </row>
    <row r="59" spans="1:53">
      <c r="A59" s="86"/>
      <c r="B59" s="87" t="s">
        <v>607</v>
      </c>
      <c r="C59" s="122"/>
      <c r="D59" s="89"/>
      <c r="E59" s="89"/>
      <c r="F59" s="89"/>
      <c r="G59" s="89"/>
      <c r="H59" s="89"/>
      <c r="I59" s="89"/>
      <c r="J59" s="90"/>
      <c r="K59" s="90">
        <f>+K60+K61</f>
        <v>471.173323541</v>
      </c>
      <c r="L59" s="90">
        <f t="shared" ref="L59:Q59" si="17">+L60+L61</f>
        <v>509.99535087300001</v>
      </c>
      <c r="M59" s="90">
        <f t="shared" si="17"/>
        <v>427.65273090400001</v>
      </c>
      <c r="N59" s="90">
        <f t="shared" si="17"/>
        <v>2125.6252915599998</v>
      </c>
      <c r="O59" s="90">
        <f t="shared" si="17"/>
        <v>2284.3997887720002</v>
      </c>
      <c r="P59" s="568">
        <f t="shared" si="17"/>
        <v>1903.248325989</v>
      </c>
      <c r="Q59" s="142">
        <f t="shared" ca="1" si="17"/>
        <v>2701.1738918776446</v>
      </c>
      <c r="R59" s="142">
        <f t="shared" ref="R59:Y59" ca="1" si="18">+R60+R61</f>
        <v>3135.0965236377901</v>
      </c>
      <c r="S59" s="142">
        <f t="shared" ca="1" si="18"/>
        <v>3137.4176211543613</v>
      </c>
      <c r="T59" s="142">
        <f t="shared" ca="1" si="18"/>
        <v>3867.4171858535392</v>
      </c>
      <c r="U59" s="142">
        <f t="shared" ca="1" si="18"/>
        <v>4329.2237196818278</v>
      </c>
      <c r="V59" s="142">
        <f t="shared" ca="1" si="18"/>
        <v>3844.848142300692</v>
      </c>
      <c r="W59" s="142">
        <f t="shared" ca="1" si="18"/>
        <v>4112.178659523629</v>
      </c>
      <c r="X59" s="142">
        <f t="shared" ca="1" si="18"/>
        <v>4373.6470410809279</v>
      </c>
      <c r="Y59" s="142">
        <f t="shared" ca="1" si="18"/>
        <v>4640.8002786566958</v>
      </c>
      <c r="Z59" s="142">
        <f t="shared" ref="Z59" ca="1" si="19">+Z60+Z61</f>
        <v>4840.4743234377711</v>
      </c>
      <c r="AA59" s="142"/>
      <c r="AB59" s="143"/>
      <c r="AC59" s="143"/>
      <c r="AD59" s="143"/>
      <c r="AE59" s="143"/>
      <c r="AF59" s="143"/>
      <c r="AG59" s="143"/>
      <c r="AH59" s="143"/>
      <c r="AI59" s="143"/>
      <c r="AJ59" s="143"/>
      <c r="AK59" s="143"/>
      <c r="AL59" s="143"/>
      <c r="AM59" s="143"/>
      <c r="AN59" s="143"/>
      <c r="AO59" s="143"/>
      <c r="AP59" s="143"/>
      <c r="AQ59" s="143"/>
      <c r="AR59" s="143"/>
      <c r="AS59" s="143"/>
      <c r="AT59" s="143"/>
      <c r="AU59" s="143"/>
      <c r="AV59" s="143"/>
      <c r="AW59" s="143"/>
      <c r="AX59" s="143"/>
      <c r="AY59" s="143"/>
      <c r="AZ59" s="143"/>
      <c r="BA59" s="143"/>
    </row>
    <row r="60" spans="1:53">
      <c r="A60" s="573">
        <v>1</v>
      </c>
      <c r="B60" s="638" t="s">
        <v>608</v>
      </c>
      <c r="C60" s="639" t="s">
        <v>351</v>
      </c>
      <c r="D60" s="593"/>
      <c r="E60" s="593"/>
      <c r="F60" s="593"/>
      <c r="G60" s="593"/>
      <c r="H60" s="593"/>
      <c r="I60" s="593"/>
      <c r="J60" s="594"/>
      <c r="K60" s="594">
        <f>Input!K158</f>
        <v>0</v>
      </c>
      <c r="L60" s="594">
        <f>Input!L158</f>
        <v>0</v>
      </c>
      <c r="M60" s="594">
        <f>Input!M158</f>
        <v>0</v>
      </c>
      <c r="N60" s="594">
        <f>Input!N158</f>
        <v>0</v>
      </c>
      <c r="O60" s="594">
        <f>Input!O158</f>
        <v>0</v>
      </c>
      <c r="P60" s="595">
        <f>Input!P158</f>
        <v>0</v>
      </c>
      <c r="Q60" s="596">
        <f ca="1">Input!Q158</f>
        <v>1.286453767450439</v>
      </c>
      <c r="R60" s="596">
        <f ca="1">Input!R158</f>
        <v>3.394358959809324</v>
      </c>
      <c r="S60" s="596">
        <f ca="1">Input!S158</f>
        <v>1.6164403504626534</v>
      </c>
      <c r="T60" s="596">
        <f ca="1">Input!T158</f>
        <v>2.0699449155581533</v>
      </c>
      <c r="U60" s="596">
        <f ca="1">Input!U158</f>
        <v>5.7548908009739534</v>
      </c>
      <c r="V60" s="596">
        <f ca="1">Input!V158</f>
        <v>6.2808563871731167</v>
      </c>
      <c r="W60" s="596">
        <f ca="1">Input!W158</f>
        <v>8.1178663285536459</v>
      </c>
      <c r="X60" s="596">
        <f ca="1">Input!X158</f>
        <v>6.6192350479977904</v>
      </c>
      <c r="Y60" s="596">
        <f ca="1">Input!Y158</f>
        <v>3.1430284102243604</v>
      </c>
      <c r="Z60" s="596">
        <f ca="1">Input!Z158</f>
        <v>3.4849330036377069</v>
      </c>
      <c r="AA60" s="596"/>
      <c r="AB60" s="597"/>
      <c r="AC60" s="597"/>
      <c r="AD60" s="597"/>
      <c r="AE60" s="597"/>
      <c r="AF60" s="597"/>
      <c r="AG60" s="597"/>
      <c r="AH60" s="597"/>
      <c r="AI60" s="597"/>
      <c r="AJ60" s="597"/>
      <c r="AK60" s="597"/>
      <c r="AL60" s="597"/>
      <c r="AM60" s="597"/>
      <c r="AN60" s="597"/>
      <c r="AO60" s="597"/>
      <c r="AP60" s="597"/>
      <c r="AQ60" s="597"/>
      <c r="AR60" s="597"/>
      <c r="AS60" s="597"/>
      <c r="AT60" s="597"/>
      <c r="AU60" s="597"/>
      <c r="AV60" s="597"/>
      <c r="AW60" s="597"/>
      <c r="AX60" s="597"/>
      <c r="AY60" s="597"/>
      <c r="AZ60" s="597"/>
      <c r="BA60" s="597"/>
    </row>
    <row r="61" spans="1:53">
      <c r="A61" s="573">
        <v>2</v>
      </c>
      <c r="B61" s="638" t="s">
        <v>609</v>
      </c>
      <c r="C61" s="639" t="s">
        <v>352</v>
      </c>
      <c r="D61" s="593"/>
      <c r="E61" s="593"/>
      <c r="F61" s="593"/>
      <c r="G61" s="593"/>
      <c r="H61" s="593"/>
      <c r="I61" s="593"/>
      <c r="J61" s="594"/>
      <c r="K61" s="594">
        <f>+Input!K166</f>
        <v>471.173323541</v>
      </c>
      <c r="L61" s="594">
        <f>+Input!L166</f>
        <v>509.99535087300001</v>
      </c>
      <c r="M61" s="594">
        <f>+Input!M166</f>
        <v>427.65273090400001</v>
      </c>
      <c r="N61" s="594">
        <f>+Input!N166</f>
        <v>2125.6252915599998</v>
      </c>
      <c r="O61" s="594">
        <f>+Input!O166</f>
        <v>2284.3997887720002</v>
      </c>
      <c r="P61" s="595">
        <f>+Input!P166</f>
        <v>1903.248325989</v>
      </c>
      <c r="Q61" s="596">
        <f>+Input!Q166</f>
        <v>2699.8874381101941</v>
      </c>
      <c r="R61" s="596">
        <f>+Input!R166</f>
        <v>3131.7021646779808</v>
      </c>
      <c r="S61" s="596">
        <f>+Input!S166</f>
        <v>3135.8011808038987</v>
      </c>
      <c r="T61" s="596">
        <f>+Input!T166</f>
        <v>3865.347240937981</v>
      </c>
      <c r="U61" s="596">
        <f>+Input!U166</f>
        <v>4323.4688288808538</v>
      </c>
      <c r="V61" s="596">
        <f>+Input!V166</f>
        <v>3838.5672859135188</v>
      </c>
      <c r="W61" s="596">
        <f>+Input!W166</f>
        <v>4104.0607931950753</v>
      </c>
      <c r="X61" s="596">
        <f>+Input!X166</f>
        <v>4367.0278060329301</v>
      </c>
      <c r="Y61" s="596">
        <f>+Input!Y166</f>
        <v>4637.6572502464714</v>
      </c>
      <c r="Z61" s="596">
        <f>+Input!Z166</f>
        <v>4836.9893904341334</v>
      </c>
      <c r="AA61" s="596"/>
      <c r="AB61" s="597"/>
      <c r="AC61" s="597"/>
      <c r="AD61" s="597"/>
      <c r="AE61" s="597"/>
      <c r="AF61" s="597"/>
      <c r="AG61" s="597"/>
      <c r="AH61" s="597"/>
      <c r="AI61" s="597"/>
      <c r="AJ61" s="597"/>
      <c r="AK61" s="597"/>
      <c r="AL61" s="597"/>
      <c r="AM61" s="597"/>
      <c r="AN61" s="597"/>
      <c r="AO61" s="597"/>
      <c r="AP61" s="597"/>
      <c r="AQ61" s="597"/>
      <c r="AR61" s="597"/>
      <c r="AS61" s="597"/>
      <c r="AT61" s="597"/>
      <c r="AU61" s="597"/>
      <c r="AV61" s="597"/>
      <c r="AW61" s="597"/>
      <c r="AX61" s="597"/>
      <c r="AY61" s="597"/>
      <c r="AZ61" s="597"/>
      <c r="BA61" s="597"/>
    </row>
    <row r="62" spans="1:53">
      <c r="A62" s="86">
        <v>3</v>
      </c>
      <c r="B62" s="87" t="s">
        <v>610</v>
      </c>
      <c r="C62" s="87" t="s">
        <v>434</v>
      </c>
      <c r="D62" s="89"/>
      <c r="E62" s="89"/>
      <c r="F62" s="89"/>
      <c r="G62" s="89"/>
      <c r="H62" s="89"/>
      <c r="I62" s="89"/>
      <c r="J62" s="90"/>
      <c r="K62" s="90">
        <f>+Input!K176</f>
        <v>2002</v>
      </c>
      <c r="L62" s="90">
        <f>+Input!L176</f>
        <v>2302</v>
      </c>
      <c r="M62" s="90">
        <f>+Input!M176</f>
        <v>4362</v>
      </c>
      <c r="N62" s="90">
        <f>+Input!N176</f>
        <v>6812</v>
      </c>
      <c r="O62" s="90">
        <f>+Input!O176</f>
        <v>8242</v>
      </c>
      <c r="P62" s="568">
        <f>+Input!P176</f>
        <v>7039.0512328770001</v>
      </c>
      <c r="Q62" s="142">
        <f>+Input!Q176</f>
        <v>7240.5269734545445</v>
      </c>
      <c r="R62" s="142">
        <f>+Input!R176</f>
        <v>8369.0462558123163</v>
      </c>
      <c r="S62" s="142">
        <f>+Input!S176</f>
        <v>9866.9949350453426</v>
      </c>
      <c r="T62" s="142">
        <f>+Input!T176</f>
        <v>11827.517834256236</v>
      </c>
      <c r="U62" s="142">
        <f>+Input!U176</f>
        <v>13701.92128705046</v>
      </c>
      <c r="V62" s="142">
        <f>+Input!V176</f>
        <v>15142.693271513081</v>
      </c>
      <c r="W62" s="142">
        <f>+Input!W176</f>
        <v>16203.771572201886</v>
      </c>
      <c r="X62" s="142">
        <f>+Input!X176</f>
        <v>17460.158961054767</v>
      </c>
      <c r="Y62" s="142">
        <f>+Input!Y176</f>
        <v>18695.94997251192</v>
      </c>
      <c r="Z62" s="142">
        <f>+Input!Z176</f>
        <v>19404.118316195578</v>
      </c>
      <c r="AA62" s="142"/>
      <c r="AB62" s="143"/>
      <c r="AC62" s="143"/>
      <c r="AD62" s="143"/>
      <c r="AE62" s="143"/>
      <c r="AF62" s="143"/>
      <c r="AG62" s="143"/>
      <c r="AH62" s="143"/>
      <c r="AI62" s="143"/>
      <c r="AJ62" s="143"/>
      <c r="AK62" s="143"/>
      <c r="AL62" s="143"/>
      <c r="AM62" s="143"/>
      <c r="AN62" s="143"/>
      <c r="AO62" s="143"/>
      <c r="AP62" s="143"/>
      <c r="AQ62" s="143"/>
      <c r="AR62" s="143"/>
      <c r="AS62" s="143"/>
      <c r="AT62" s="143"/>
      <c r="AU62" s="143"/>
      <c r="AV62" s="143"/>
      <c r="AW62" s="143"/>
      <c r="AX62" s="143"/>
      <c r="AY62" s="143"/>
      <c r="AZ62" s="143"/>
      <c r="BA62" s="143"/>
    </row>
    <row r="63" spans="1:53">
      <c r="A63" s="86">
        <v>4</v>
      </c>
      <c r="B63" s="87" t="s">
        <v>611</v>
      </c>
      <c r="C63" s="87" t="s">
        <v>453</v>
      </c>
      <c r="D63" s="89"/>
      <c r="E63" s="89"/>
      <c r="F63" s="89"/>
      <c r="G63" s="89"/>
      <c r="H63" s="89"/>
      <c r="I63" s="89"/>
      <c r="J63" s="90"/>
      <c r="K63" s="90">
        <f>+Input!K195</f>
        <v>401.90973443600001</v>
      </c>
      <c r="L63" s="90">
        <f>+Input!L195</f>
        <v>217.396300223</v>
      </c>
      <c r="M63" s="90">
        <f>+Input!M195</f>
        <v>187.45807717599999</v>
      </c>
      <c r="N63" s="90">
        <f>+Input!N195</f>
        <v>188.14970842400001</v>
      </c>
      <c r="O63" s="90">
        <f>+Input!O195</f>
        <v>365.83832569700002</v>
      </c>
      <c r="P63" s="568">
        <f>+Input!P195</f>
        <v>528.62319192699999</v>
      </c>
      <c r="Q63" s="142">
        <f>+Input!Q195</f>
        <v>707.6839334266059</v>
      </c>
      <c r="R63" s="142">
        <f>+Input!R195</f>
        <v>770.21438361429773</v>
      </c>
      <c r="S63" s="142">
        <f>+Input!S195</f>
        <v>801.6352077174198</v>
      </c>
      <c r="T63" s="142">
        <f>+Input!T195</f>
        <v>1096.4912703996604</v>
      </c>
      <c r="U63" s="142">
        <f>+Input!U195</f>
        <v>1029.4911553331885</v>
      </c>
      <c r="V63" s="142">
        <f>+Input!V195</f>
        <v>1013.680181095388</v>
      </c>
      <c r="W63" s="142">
        <f>+Input!W195</f>
        <v>1022.5921282666756</v>
      </c>
      <c r="X63" s="142">
        <f>+Input!X195</f>
        <v>1056.2495420335272</v>
      </c>
      <c r="Y63" s="142">
        <f>+Input!Y195</f>
        <v>1118.4303066230393</v>
      </c>
      <c r="Z63" s="142">
        <f>+Input!Z195</f>
        <v>1147.3553125259837</v>
      </c>
      <c r="AA63" s="142"/>
      <c r="AB63" s="143"/>
      <c r="AC63" s="143"/>
      <c r="AD63" s="143"/>
      <c r="AE63" s="143"/>
      <c r="AF63" s="143"/>
      <c r="AG63" s="143"/>
      <c r="AH63" s="143"/>
      <c r="AI63" s="143"/>
      <c r="AJ63" s="143"/>
      <c r="AK63" s="143"/>
      <c r="AL63" s="143"/>
      <c r="AM63" s="143"/>
      <c r="AN63" s="143"/>
      <c r="AO63" s="143"/>
      <c r="AP63" s="143"/>
      <c r="AQ63" s="143"/>
      <c r="AR63" s="143"/>
      <c r="AS63" s="143"/>
      <c r="AT63" s="143"/>
      <c r="AU63" s="143"/>
      <c r="AV63" s="143"/>
      <c r="AW63" s="143"/>
      <c r="AX63" s="143"/>
      <c r="AY63" s="143"/>
      <c r="AZ63" s="143"/>
      <c r="BA63" s="143"/>
    </row>
    <row r="64" spans="1:53">
      <c r="A64" s="86">
        <v>5</v>
      </c>
      <c r="B64" s="87" t="s">
        <v>177</v>
      </c>
      <c r="C64" s="87" t="s">
        <v>470</v>
      </c>
      <c r="D64" s="89"/>
      <c r="E64" s="89"/>
      <c r="F64" s="89"/>
      <c r="G64" s="89"/>
      <c r="H64" s="89"/>
      <c r="I64" s="89"/>
      <c r="J64" s="90"/>
      <c r="K64" s="90">
        <f>Input!K207</f>
        <v>1301.1230715409999</v>
      </c>
      <c r="L64" s="90">
        <f>Input!L207</f>
        <v>834.13488603799999</v>
      </c>
      <c r="M64" s="90">
        <f>Input!M207</f>
        <v>2204.0777077339999</v>
      </c>
      <c r="N64" s="90">
        <f>Input!N207</f>
        <v>2282.5277024090001</v>
      </c>
      <c r="O64" s="90">
        <f>Input!O207</f>
        <v>2160.5881618560002</v>
      </c>
      <c r="P64" s="568">
        <f>Input!P207</f>
        <v>2950.3006368440001</v>
      </c>
      <c r="Q64" s="142">
        <f>Input!Q207</f>
        <v>3932.8570885216805</v>
      </c>
      <c r="R64" s="142">
        <f>Input!R207</f>
        <v>4099.4140757093919</v>
      </c>
      <c r="S64" s="142">
        <f>Input!S207</f>
        <v>3988.5857813988309</v>
      </c>
      <c r="T64" s="142">
        <f>Input!T207</f>
        <v>4919.5163940431257</v>
      </c>
      <c r="U64" s="142">
        <f>Input!U207</f>
        <v>4622.5026425816868</v>
      </c>
      <c r="V64" s="142">
        <f>Input!V207</f>
        <v>4477.2886816885384</v>
      </c>
      <c r="W64" s="142">
        <f>Input!W207</f>
        <v>4715.8645422812715</v>
      </c>
      <c r="X64" s="142">
        <f>Input!X207</f>
        <v>4770.0805313353621</v>
      </c>
      <c r="Y64" s="142">
        <f>Input!Y207</f>
        <v>4929.5030409536612</v>
      </c>
      <c r="Z64" s="142">
        <f>Input!Z207</f>
        <v>5113.4870052798842</v>
      </c>
      <c r="AA64" s="142"/>
      <c r="AB64" s="143"/>
      <c r="AC64" s="143"/>
      <c r="AD64" s="143"/>
      <c r="AE64" s="143"/>
      <c r="AF64" s="143"/>
      <c r="AG64" s="143"/>
      <c r="AH64" s="143"/>
      <c r="AI64" s="143"/>
      <c r="AJ64" s="143"/>
      <c r="AK64" s="143"/>
      <c r="AL64" s="143"/>
      <c r="AM64" s="143"/>
      <c r="AN64" s="143"/>
      <c r="AO64" s="143"/>
      <c r="AP64" s="143"/>
      <c r="AQ64" s="143"/>
      <c r="AR64" s="143"/>
      <c r="AS64" s="143"/>
      <c r="AT64" s="143"/>
      <c r="AU64" s="143"/>
      <c r="AV64" s="143"/>
      <c r="AW64" s="143"/>
      <c r="AX64" s="143"/>
      <c r="AY64" s="143"/>
      <c r="AZ64" s="143"/>
      <c r="BA64" s="143"/>
    </row>
    <row r="65" spans="1:55">
      <c r="A65" s="86">
        <v>6</v>
      </c>
      <c r="B65" s="87" t="s">
        <v>612</v>
      </c>
      <c r="C65" s="87" t="s">
        <v>472</v>
      </c>
      <c r="D65" s="89"/>
      <c r="E65" s="89"/>
      <c r="F65" s="89"/>
      <c r="G65" s="89"/>
      <c r="H65" s="89"/>
      <c r="I65" s="89"/>
      <c r="J65" s="90"/>
      <c r="K65" s="90">
        <f>Input!K211</f>
        <v>73.830829320000007</v>
      </c>
      <c r="L65" s="90">
        <f>Input!L211</f>
        <v>114.665589805</v>
      </c>
      <c r="M65" s="90">
        <f>Input!M211</f>
        <v>95.103133615000004</v>
      </c>
      <c r="N65" s="90">
        <f>Input!N211</f>
        <v>215.88388823899999</v>
      </c>
      <c r="O65" s="90">
        <f>Input!O211</f>
        <v>451.66914876099997</v>
      </c>
      <c r="P65" s="568">
        <f>Input!P211</f>
        <v>499.639397159</v>
      </c>
      <c r="Q65" s="142">
        <f>Input!Q211</f>
        <v>715.10567180137173</v>
      </c>
      <c r="R65" s="142">
        <f>Input!R211</f>
        <v>841.92393402484561</v>
      </c>
      <c r="S65" s="142">
        <f>Input!S211</f>
        <v>961.72143341036758</v>
      </c>
      <c r="T65" s="142">
        <f>Input!T211</f>
        <v>1286.1490857138494</v>
      </c>
      <c r="U65" s="142">
        <f>Input!U211</f>
        <v>1404.8258378103051</v>
      </c>
      <c r="V65" s="142">
        <f>Input!V211</f>
        <v>1411.3727173778148</v>
      </c>
      <c r="W65" s="142">
        <f>Input!W211</f>
        <v>1559.350947280162</v>
      </c>
      <c r="X65" s="142">
        <f>Input!X211</f>
        <v>1715.1559060125137</v>
      </c>
      <c r="Y65" s="142">
        <f>Input!Y211</f>
        <v>1934.7342624972723</v>
      </c>
      <c r="Z65" s="142">
        <f>Input!Z211</f>
        <v>2096.1364814473559</v>
      </c>
      <c r="AA65" s="142"/>
      <c r="AB65" s="143"/>
      <c r="AC65" s="143"/>
      <c r="AD65" s="143"/>
      <c r="AE65" s="143"/>
      <c r="AF65" s="143"/>
      <c r="AG65" s="143"/>
      <c r="AH65" s="143"/>
      <c r="AI65" s="143"/>
      <c r="AJ65" s="143"/>
      <c r="AK65" s="143"/>
      <c r="AL65" s="143"/>
      <c r="AM65" s="143"/>
      <c r="AN65" s="143"/>
      <c r="AO65" s="143"/>
      <c r="AP65" s="143"/>
      <c r="AQ65" s="143"/>
      <c r="AR65" s="143"/>
      <c r="AS65" s="143"/>
      <c r="AT65" s="143"/>
      <c r="AU65" s="143"/>
      <c r="AV65" s="143"/>
      <c r="AW65" s="143"/>
      <c r="AX65" s="143"/>
      <c r="AY65" s="143"/>
      <c r="AZ65" s="143"/>
      <c r="BA65" s="143"/>
    </row>
    <row r="66" spans="1:55">
      <c r="A66" s="86"/>
      <c r="B66" s="104" t="s">
        <v>613</v>
      </c>
      <c r="C66" s="104" t="s">
        <v>614</v>
      </c>
      <c r="D66" s="136"/>
      <c r="E66" s="136"/>
      <c r="F66" s="136"/>
      <c r="G66" s="136"/>
      <c r="H66" s="136"/>
      <c r="I66" s="136"/>
      <c r="J66" s="137"/>
      <c r="K66" s="137">
        <f>SUM(K62:K65)+K59</f>
        <v>4250.0369588379999</v>
      </c>
      <c r="L66" s="137">
        <f t="shared" ref="L66:Q66" si="20">SUM(L62:L65)+L59</f>
        <v>3978.1921269389995</v>
      </c>
      <c r="M66" s="137">
        <f t="shared" si="20"/>
        <v>7276.2916494290002</v>
      </c>
      <c r="N66" s="137">
        <f t="shared" si="20"/>
        <v>11624.186590631998</v>
      </c>
      <c r="O66" s="137">
        <f t="shared" si="20"/>
        <v>13504.495425085999</v>
      </c>
      <c r="P66" s="2635">
        <f t="shared" si="20"/>
        <v>12920.862784796002</v>
      </c>
      <c r="Q66" s="138">
        <f t="shared" ca="1" si="20"/>
        <v>15297.347559081847</v>
      </c>
      <c r="R66" s="138">
        <f t="shared" ref="R66:Y66" ca="1" si="21">SUM(R62:R65)+R59</f>
        <v>17215.695172798642</v>
      </c>
      <c r="S66" s="138">
        <f t="shared" ca="1" si="21"/>
        <v>18756.354978726322</v>
      </c>
      <c r="T66" s="138">
        <f t="shared" ca="1" si="21"/>
        <v>22997.091770266408</v>
      </c>
      <c r="U66" s="138">
        <f t="shared" ca="1" si="21"/>
        <v>25087.964642457468</v>
      </c>
      <c r="V66" s="138">
        <f t="shared" ca="1" si="21"/>
        <v>25889.882993975512</v>
      </c>
      <c r="W66" s="138">
        <f t="shared" ca="1" si="21"/>
        <v>27613.757849553629</v>
      </c>
      <c r="X66" s="138">
        <f t="shared" ca="1" si="21"/>
        <v>29375.291981517097</v>
      </c>
      <c r="Y66" s="138">
        <f t="shared" ca="1" si="21"/>
        <v>31319.417861242589</v>
      </c>
      <c r="Z66" s="138">
        <f t="shared" ref="Z66" ca="1" si="22">SUM(Z62:Z65)+Z59</f>
        <v>32601.571438886571</v>
      </c>
      <c r="AA66" s="138"/>
      <c r="AB66" s="139"/>
      <c r="AC66" s="139"/>
      <c r="AD66" s="139"/>
      <c r="AE66" s="139"/>
      <c r="AF66" s="139"/>
      <c r="AG66" s="139"/>
      <c r="AH66" s="139"/>
      <c r="AI66" s="139"/>
      <c r="AJ66" s="139"/>
      <c r="AK66" s="139"/>
      <c r="AL66" s="139"/>
      <c r="AM66" s="139"/>
      <c r="AN66" s="139"/>
      <c r="AO66" s="139"/>
      <c r="AP66" s="139"/>
      <c r="AQ66" s="139"/>
      <c r="AR66" s="139"/>
      <c r="AS66" s="139"/>
      <c r="AT66" s="139"/>
      <c r="AU66" s="139"/>
      <c r="AV66" s="139"/>
      <c r="AW66" s="139"/>
      <c r="AX66" s="139"/>
      <c r="AY66" s="139"/>
      <c r="AZ66" s="139"/>
      <c r="BA66" s="139"/>
    </row>
    <row r="67" spans="1:55" s="641" customFormat="1">
      <c r="A67" s="573"/>
      <c r="B67" s="416" t="s">
        <v>604</v>
      </c>
      <c r="C67" s="640"/>
      <c r="D67" s="500"/>
      <c r="E67" s="500"/>
      <c r="F67" s="500"/>
      <c r="G67" s="500"/>
      <c r="H67" s="500"/>
      <c r="I67" s="500"/>
      <c r="J67" s="501"/>
      <c r="K67" s="501">
        <f>K66-Input!K214</f>
        <v>0</v>
      </c>
      <c r="L67" s="501">
        <f>L66-Input!L214</f>
        <v>0</v>
      </c>
      <c r="M67" s="501">
        <f>M66-Input!M214</f>
        <v>0</v>
      </c>
      <c r="N67" s="501">
        <f>N66-Input!N214</f>
        <v>0</v>
      </c>
      <c r="O67" s="501">
        <f>O66-Input!O214</f>
        <v>0</v>
      </c>
      <c r="P67" s="2634">
        <f>P66-Input!P214</f>
        <v>0</v>
      </c>
      <c r="Q67" s="1468">
        <f ca="1">Q66-Input!Q214</f>
        <v>0</v>
      </c>
      <c r="R67" s="1468">
        <f ca="1">R66-Input!R214</f>
        <v>0</v>
      </c>
      <c r="S67" s="1468">
        <f ca="1">S66-Input!S214</f>
        <v>0</v>
      </c>
      <c r="T67" s="1468">
        <f ca="1">T66-Input!T214</f>
        <v>0</v>
      </c>
      <c r="U67" s="1468">
        <f ca="1">U66-Input!U214</f>
        <v>0</v>
      </c>
      <c r="V67" s="1468">
        <f ca="1">V66-Input!V214</f>
        <v>0</v>
      </c>
      <c r="W67" s="1468">
        <f ca="1">W66-Input!W214</f>
        <v>0</v>
      </c>
      <c r="X67" s="1468">
        <f ca="1">X66-Input!X214</f>
        <v>0</v>
      </c>
      <c r="Y67" s="1468">
        <f ca="1">Y66-Input!Y214</f>
        <v>0</v>
      </c>
      <c r="Z67" s="1468">
        <f ca="1">Z66-Input!Z214</f>
        <v>0</v>
      </c>
      <c r="AA67" s="1468"/>
      <c r="AB67" s="1486"/>
      <c r="AC67" s="1486"/>
      <c r="AD67" s="1486"/>
      <c r="AE67" s="1486"/>
      <c r="AF67" s="1486"/>
      <c r="AG67" s="1486"/>
      <c r="AH67" s="1486"/>
      <c r="AI67" s="1486"/>
      <c r="AJ67" s="1486"/>
      <c r="AK67" s="1486"/>
      <c r="AL67" s="1486"/>
      <c r="AM67" s="1486"/>
      <c r="AN67" s="1486"/>
      <c r="AO67" s="1486"/>
      <c r="AP67" s="1486"/>
      <c r="AQ67" s="1486"/>
      <c r="AR67" s="1486"/>
      <c r="AS67" s="1486"/>
      <c r="AT67" s="1486"/>
      <c r="AU67" s="1486"/>
      <c r="AV67" s="1486"/>
      <c r="AW67" s="1486"/>
      <c r="AX67" s="1486"/>
      <c r="AY67" s="1486"/>
      <c r="AZ67" s="1486"/>
      <c r="BA67" s="1486"/>
    </row>
    <row r="68" spans="1:55">
      <c r="A68" s="555"/>
      <c r="B68" s="627"/>
      <c r="C68" s="642"/>
      <c r="D68" s="643"/>
      <c r="E68" s="643"/>
      <c r="F68" s="643"/>
      <c r="G68" s="643"/>
      <c r="H68" s="643"/>
      <c r="I68" s="643"/>
      <c r="J68" s="643"/>
      <c r="K68" s="643"/>
      <c r="L68" s="643"/>
      <c r="M68" s="643"/>
      <c r="N68" s="643"/>
      <c r="O68" s="643"/>
      <c r="P68" s="644"/>
      <c r="Q68" s="643"/>
      <c r="R68" s="643"/>
      <c r="S68" s="643"/>
      <c r="T68" s="643"/>
      <c r="U68" s="643"/>
      <c r="V68" s="643"/>
      <c r="W68" s="643"/>
      <c r="X68" s="643"/>
      <c r="Y68" s="643"/>
      <c r="Z68" s="643"/>
      <c r="AA68" s="2629"/>
      <c r="AB68" s="2629"/>
      <c r="AC68" s="2629"/>
      <c r="AD68" s="2629"/>
      <c r="AE68" s="2629"/>
      <c r="AF68" s="2629"/>
      <c r="AG68" s="2629"/>
      <c r="AH68" s="2629"/>
      <c r="AI68" s="2629"/>
      <c r="AJ68" s="2629"/>
      <c r="AK68" s="2629"/>
      <c r="AL68" s="2629"/>
      <c r="AM68" s="2629"/>
      <c r="AN68" s="2629"/>
      <c r="AO68" s="2629"/>
      <c r="AP68" s="2629"/>
      <c r="AQ68" s="2629"/>
      <c r="AR68" s="2629"/>
      <c r="AS68" s="2629"/>
      <c r="AT68" s="2629"/>
      <c r="AU68" s="2629"/>
      <c r="AV68" s="2629"/>
      <c r="AW68" s="2629"/>
      <c r="AX68" s="2629"/>
      <c r="AY68" s="2629"/>
      <c r="AZ68" s="2629"/>
      <c r="BA68" s="2629"/>
    </row>
    <row r="69" spans="1:55">
      <c r="A69" s="86">
        <v>7</v>
      </c>
      <c r="B69" s="87" t="s">
        <v>615</v>
      </c>
      <c r="C69" s="87"/>
      <c r="D69" s="89"/>
      <c r="E69" s="89"/>
      <c r="F69" s="89"/>
      <c r="G69" s="89"/>
      <c r="H69" s="89"/>
      <c r="I69" s="89"/>
      <c r="J69" s="90"/>
      <c r="K69" s="90">
        <f>+Input!K220</f>
        <v>3.0000000000000001E-3</v>
      </c>
      <c r="L69" s="90">
        <f>+Input!L220</f>
        <v>3.0000000000000001E-3</v>
      </c>
      <c r="M69" s="90">
        <f>+Input!M220</f>
        <v>3.0000000000000001E-3</v>
      </c>
      <c r="N69" s="90">
        <f>+Input!N220</f>
        <v>0</v>
      </c>
      <c r="O69" s="90">
        <f>+Input!O220</f>
        <v>0</v>
      </c>
      <c r="P69" s="568">
        <f>+Input!P220</f>
        <v>0.51152601600000003</v>
      </c>
      <c r="Q69" s="142">
        <f>+Input!Q220</f>
        <v>0.1157117042920911</v>
      </c>
      <c r="R69" s="142">
        <f>+Input!R220</f>
        <v>0.14016798215701534</v>
      </c>
      <c r="S69" s="142">
        <f>+Input!S220</f>
        <v>0.16689211730316902</v>
      </c>
      <c r="T69" s="142">
        <f>+Input!T220</f>
        <v>0.22832883523194145</v>
      </c>
      <c r="U69" s="142">
        <f>+Input!U220</f>
        <v>0.25815489257612506</v>
      </c>
      <c r="V69" s="142">
        <f>+Input!V220</f>
        <v>0.28184115093805934</v>
      </c>
      <c r="W69" s="142">
        <f>+Input!W220</f>
        <v>0.20450541277825954</v>
      </c>
      <c r="X69" s="142">
        <f>+Input!X220</f>
        <v>0.22052628298631355</v>
      </c>
      <c r="Y69" s="142">
        <f>+Input!Y220</f>
        <v>0.24231241538851803</v>
      </c>
      <c r="Z69" s="142">
        <f>+Input!Z220</f>
        <v>0.25328251343758607</v>
      </c>
      <c r="AA69" s="142"/>
      <c r="AB69" s="143"/>
      <c r="AC69" s="143"/>
      <c r="AD69" s="143"/>
      <c r="AE69" s="143"/>
      <c r="AF69" s="143"/>
      <c r="AG69" s="143"/>
      <c r="AH69" s="143"/>
      <c r="AI69" s="143"/>
      <c r="AJ69" s="143"/>
      <c r="AK69" s="143"/>
      <c r="AL69" s="143"/>
      <c r="AM69" s="143"/>
      <c r="AN69" s="143"/>
      <c r="AO69" s="143"/>
      <c r="AP69" s="143"/>
      <c r="AQ69" s="143"/>
      <c r="AR69" s="143"/>
      <c r="AS69" s="143"/>
      <c r="AT69" s="143"/>
      <c r="AU69" s="143"/>
      <c r="AV69" s="143"/>
      <c r="AW69" s="143"/>
      <c r="AX69" s="143"/>
      <c r="AY69" s="143"/>
      <c r="AZ69" s="143"/>
      <c r="BA69" s="143"/>
      <c r="BC69" s="645"/>
    </row>
    <row r="70" spans="1:55">
      <c r="A70" s="86">
        <v>8</v>
      </c>
      <c r="B70" s="87" t="s">
        <v>616</v>
      </c>
      <c r="C70" s="87" t="s">
        <v>479</v>
      </c>
      <c r="D70" s="89"/>
      <c r="E70" s="89"/>
      <c r="F70" s="89"/>
      <c r="G70" s="89"/>
      <c r="H70" s="89"/>
      <c r="I70" s="89"/>
      <c r="J70" s="90"/>
      <c r="K70" s="90">
        <f>Input!K226</f>
        <v>5134.4875672569997</v>
      </c>
      <c r="L70" s="90">
        <f>Input!L226</f>
        <v>3899.6310245270001</v>
      </c>
      <c r="M70" s="90">
        <f>Input!M226</f>
        <v>3366.6880868059998</v>
      </c>
      <c r="N70" s="90">
        <f>Input!N226</f>
        <v>2159.6449481770001</v>
      </c>
      <c r="O70" s="90">
        <f>Input!O226</f>
        <v>1249.7676991010001</v>
      </c>
      <c r="P70" s="568">
        <f>Input!P226</f>
        <v>1571.196451367</v>
      </c>
      <c r="Q70" s="142">
        <f>Input!Q226</f>
        <v>1362.4554136632614</v>
      </c>
      <c r="R70" s="142">
        <f>Input!R226</f>
        <v>1055.8317323962074</v>
      </c>
      <c r="S70" s="142">
        <f>Input!S226</f>
        <v>1344.8052124684946</v>
      </c>
      <c r="T70" s="142">
        <f>Input!T226</f>
        <v>1991.0247798095879</v>
      </c>
      <c r="U70" s="142">
        <f>Input!U226</f>
        <v>2087.4996383659745</v>
      </c>
      <c r="V70" s="142">
        <f>Input!V226</f>
        <v>2099.9839488508114</v>
      </c>
      <c r="W70" s="142">
        <f>Input!W226</f>
        <v>2043.1077933541928</v>
      </c>
      <c r="X70" s="142">
        <f>Input!X226</f>
        <v>1991.7645263121085</v>
      </c>
      <c r="Y70" s="142">
        <f>Input!Y226</f>
        <v>1959.2439304419931</v>
      </c>
      <c r="Z70" s="142">
        <f>Input!Z226</f>
        <v>1894.8945027264017</v>
      </c>
      <c r="AA70" s="142"/>
      <c r="AB70" s="143"/>
      <c r="AC70" s="143"/>
      <c r="AD70" s="143"/>
      <c r="AE70" s="143"/>
      <c r="AF70" s="143"/>
      <c r="AG70" s="143"/>
      <c r="AH70" s="143"/>
      <c r="AI70" s="143"/>
      <c r="AJ70" s="143"/>
      <c r="AK70" s="143"/>
      <c r="AL70" s="143"/>
      <c r="AM70" s="143"/>
      <c r="AN70" s="143"/>
      <c r="AO70" s="143"/>
      <c r="AP70" s="143"/>
      <c r="AQ70" s="143"/>
      <c r="AR70" s="143"/>
      <c r="AS70" s="143"/>
      <c r="AT70" s="143"/>
      <c r="AU70" s="143"/>
      <c r="AV70" s="143"/>
      <c r="AW70" s="143"/>
      <c r="AX70" s="143"/>
      <c r="AY70" s="143"/>
      <c r="AZ70" s="143"/>
      <c r="BA70" s="143"/>
    </row>
    <row r="71" spans="1:55">
      <c r="A71" s="86">
        <v>9</v>
      </c>
      <c r="B71" s="87" t="s">
        <v>617</v>
      </c>
      <c r="C71" s="87" t="s">
        <v>482</v>
      </c>
      <c r="D71" s="89"/>
      <c r="E71" s="89"/>
      <c r="F71" s="89"/>
      <c r="G71" s="89"/>
      <c r="H71" s="89"/>
      <c r="I71" s="89"/>
      <c r="J71" s="90"/>
      <c r="K71" s="90">
        <f>Input!K232</f>
        <v>53.148677360999997</v>
      </c>
      <c r="L71" s="90">
        <f>Input!L232</f>
        <v>55.797572195999997</v>
      </c>
      <c r="M71" s="90">
        <f>Input!M232</f>
        <v>38.935203139000002</v>
      </c>
      <c r="N71" s="90">
        <f>Input!N232</f>
        <v>47.207630471999998</v>
      </c>
      <c r="O71" s="90">
        <f>Input!O232</f>
        <v>350.40774098100002</v>
      </c>
      <c r="P71" s="568">
        <f>Input!P232</f>
        <v>363.78572410300001</v>
      </c>
      <c r="Q71" s="142">
        <f>Input!Q232</f>
        <v>445.32655525121618</v>
      </c>
      <c r="R71" s="142">
        <f>Input!R232</f>
        <v>464.07593457728149</v>
      </c>
      <c r="S71" s="142">
        <f>Input!S232</f>
        <v>433.09784409652923</v>
      </c>
      <c r="T71" s="142">
        <f>Input!T232</f>
        <v>469.43540202227246</v>
      </c>
      <c r="U71" s="142">
        <f>Input!U232</f>
        <v>403.12369017596325</v>
      </c>
      <c r="V71" s="142">
        <f>Input!V232</f>
        <v>342.50330405832415</v>
      </c>
      <c r="W71" s="142">
        <f>Input!W232</f>
        <v>325.8403884756267</v>
      </c>
      <c r="X71" s="142">
        <f>Input!X232</f>
        <v>294.0570765171658</v>
      </c>
      <c r="Y71" s="142">
        <f>Input!Y232</f>
        <v>272.38546965652267</v>
      </c>
      <c r="Z71" s="142">
        <f>Input!Z232</f>
        <v>242.86699132716512</v>
      </c>
      <c r="AA71" s="142"/>
      <c r="AB71" s="143"/>
      <c r="AC71" s="143"/>
      <c r="AD71" s="143"/>
      <c r="AE71" s="143"/>
      <c r="AF71" s="143"/>
      <c r="AG71" s="143"/>
      <c r="AH71" s="143"/>
      <c r="AI71" s="143"/>
      <c r="AJ71" s="143"/>
      <c r="AK71" s="143"/>
      <c r="AL71" s="143"/>
      <c r="AM71" s="143"/>
      <c r="AN71" s="143"/>
      <c r="AO71" s="143"/>
      <c r="AP71" s="143"/>
      <c r="AQ71" s="143"/>
      <c r="AR71" s="143"/>
      <c r="AS71" s="143"/>
      <c r="AT71" s="143"/>
      <c r="AU71" s="143"/>
      <c r="AV71" s="143"/>
      <c r="AW71" s="143"/>
      <c r="AX71" s="143"/>
      <c r="AY71" s="143"/>
      <c r="AZ71" s="143"/>
      <c r="BA71" s="143"/>
    </row>
    <row r="72" spans="1:55">
      <c r="A72" s="86">
        <v>10</v>
      </c>
      <c r="B72" s="87" t="s">
        <v>618</v>
      </c>
      <c r="C72" s="87"/>
      <c r="D72" s="89"/>
      <c r="E72" s="89"/>
      <c r="F72" s="89"/>
      <c r="G72" s="89"/>
      <c r="H72" s="89"/>
      <c r="I72" s="89"/>
      <c r="J72" s="90"/>
      <c r="K72" s="90">
        <f>Input!K238</f>
        <v>0</v>
      </c>
      <c r="L72" s="90">
        <f>Input!L238</f>
        <v>0</v>
      </c>
      <c r="M72" s="90">
        <f>Input!M238</f>
        <v>0</v>
      </c>
      <c r="N72" s="90">
        <f>Input!N238</f>
        <v>0</v>
      </c>
      <c r="O72" s="90">
        <f>Input!O238</f>
        <v>0</v>
      </c>
      <c r="P72" s="568">
        <f>Input!P238</f>
        <v>11.212288815999999</v>
      </c>
      <c r="Q72" s="142">
        <f>Input!Q238</f>
        <v>11.257121304596755</v>
      </c>
      <c r="R72" s="142">
        <f>Input!R238</f>
        <v>11.062543132916627</v>
      </c>
      <c r="S72" s="142">
        <f>Input!S238</f>
        <v>10.706429093422036</v>
      </c>
      <c r="T72" s="142">
        <f>Input!T238</f>
        <v>10.679269310181812</v>
      </c>
      <c r="U72" s="142">
        <f>Input!U238</f>
        <v>9.6764838538704634</v>
      </c>
      <c r="V72" s="142">
        <f>Input!V238</f>
        <v>8.4939421650743014</v>
      </c>
      <c r="W72" s="142">
        <f>Input!W238</f>
        <v>7.3267857983513522</v>
      </c>
      <c r="X72" s="142">
        <f>Input!X238</f>
        <v>6.2827215763301094</v>
      </c>
      <c r="Y72" s="142">
        <f>Input!Y238</f>
        <v>5.3754919652900242</v>
      </c>
      <c r="Z72" s="142">
        <f>Input!Z238</f>
        <v>4.6155612223849456</v>
      </c>
      <c r="AA72" s="142"/>
      <c r="AB72" s="143"/>
      <c r="AC72" s="143"/>
      <c r="AD72" s="143"/>
      <c r="AE72" s="143"/>
      <c r="AF72" s="143"/>
      <c r="AG72" s="143"/>
      <c r="AH72" s="143"/>
      <c r="AI72" s="143"/>
      <c r="AJ72" s="143"/>
      <c r="AK72" s="143"/>
      <c r="AL72" s="143"/>
      <c r="AM72" s="143"/>
      <c r="AN72" s="143"/>
      <c r="AO72" s="143"/>
      <c r="AP72" s="143"/>
      <c r="AQ72" s="143"/>
      <c r="AR72" s="143"/>
      <c r="AS72" s="143"/>
      <c r="AT72" s="143"/>
      <c r="AU72" s="143"/>
      <c r="AV72" s="143"/>
      <c r="AW72" s="143"/>
      <c r="AX72" s="143"/>
      <c r="AY72" s="143"/>
      <c r="AZ72" s="143"/>
      <c r="BA72" s="143"/>
    </row>
    <row r="73" spans="1:55">
      <c r="A73" s="86">
        <v>11</v>
      </c>
      <c r="B73" s="87" t="s">
        <v>619</v>
      </c>
      <c r="C73" s="87"/>
      <c r="D73" s="89"/>
      <c r="E73" s="89"/>
      <c r="F73" s="89"/>
      <c r="G73" s="89"/>
      <c r="H73" s="89"/>
      <c r="I73" s="89"/>
      <c r="J73" s="90"/>
      <c r="K73" s="90">
        <f>Input!K244</f>
        <v>0</v>
      </c>
      <c r="L73" s="90">
        <f>Input!L244</f>
        <v>0</v>
      </c>
      <c r="M73" s="90">
        <f>Input!M244</f>
        <v>0</v>
      </c>
      <c r="N73" s="90">
        <f>Input!N244</f>
        <v>0</v>
      </c>
      <c r="O73" s="90">
        <f>Input!O244</f>
        <v>0</v>
      </c>
      <c r="P73" s="568">
        <f>Input!P244</f>
        <v>0</v>
      </c>
      <c r="Q73" s="142">
        <f>Input!Q244</f>
        <v>0</v>
      </c>
      <c r="R73" s="142">
        <f>Input!R244</f>
        <v>0</v>
      </c>
      <c r="S73" s="142">
        <f>Input!S244</f>
        <v>0</v>
      </c>
      <c r="T73" s="142">
        <f>Input!T244</f>
        <v>0</v>
      </c>
      <c r="U73" s="142">
        <f>Input!U244</f>
        <v>0</v>
      </c>
      <c r="V73" s="142">
        <f>Input!V244</f>
        <v>0</v>
      </c>
      <c r="W73" s="142">
        <f>Input!W244</f>
        <v>0</v>
      </c>
      <c r="X73" s="142">
        <f>Input!X244</f>
        <v>0</v>
      </c>
      <c r="Y73" s="142">
        <f>Input!Y244</f>
        <v>0</v>
      </c>
      <c r="Z73" s="142">
        <f>Input!Z244</f>
        <v>0</v>
      </c>
      <c r="AA73" s="142"/>
      <c r="AB73" s="143"/>
      <c r="AC73" s="143"/>
      <c r="AD73" s="143"/>
      <c r="AE73" s="143"/>
      <c r="AF73" s="143"/>
      <c r="AG73" s="143"/>
      <c r="AH73" s="143"/>
      <c r="AI73" s="143"/>
      <c r="AJ73" s="143"/>
      <c r="AK73" s="143"/>
      <c r="AL73" s="143"/>
      <c r="AM73" s="143"/>
      <c r="AN73" s="143"/>
      <c r="AO73" s="143"/>
      <c r="AP73" s="143"/>
      <c r="AQ73" s="143"/>
      <c r="AR73" s="143"/>
      <c r="AS73" s="143"/>
      <c r="AT73" s="143"/>
      <c r="AU73" s="143"/>
      <c r="AV73" s="143"/>
      <c r="AW73" s="143"/>
      <c r="AX73" s="143"/>
      <c r="AY73" s="143"/>
      <c r="AZ73" s="143"/>
      <c r="BA73" s="143"/>
    </row>
    <row r="74" spans="1:55">
      <c r="A74" s="86">
        <v>12</v>
      </c>
      <c r="B74" s="87" t="s">
        <v>620</v>
      </c>
      <c r="C74" s="87"/>
      <c r="D74" s="89"/>
      <c r="E74" s="89"/>
      <c r="F74" s="89"/>
      <c r="G74" s="89"/>
      <c r="H74" s="89"/>
      <c r="I74" s="89"/>
      <c r="J74" s="90"/>
      <c r="K74" s="90">
        <f>Input!K249</f>
        <v>698.50608688499995</v>
      </c>
      <c r="L74" s="90">
        <f>Input!L249</f>
        <v>760.95529727300004</v>
      </c>
      <c r="M74" s="90">
        <f>Input!M249</f>
        <v>66.117926734999998</v>
      </c>
      <c r="N74" s="90">
        <f>Input!N249</f>
        <v>33.176188396000001</v>
      </c>
      <c r="O74" s="90">
        <f>Input!O249</f>
        <v>88.189941648000001</v>
      </c>
      <c r="P74" s="568">
        <f>Input!P249</f>
        <v>601.16557409799998</v>
      </c>
      <c r="Q74" s="142">
        <f>Input!Q249</f>
        <v>655.73942212749739</v>
      </c>
      <c r="R74" s="142">
        <f>Input!R249</f>
        <v>705.21572376650136</v>
      </c>
      <c r="S74" s="142">
        <f>Input!S249</f>
        <v>753.78340859097159</v>
      </c>
      <c r="T74" s="142">
        <f>Input!T249</f>
        <v>834.0658206924611</v>
      </c>
      <c r="U74" s="142">
        <f>Input!U249</f>
        <v>865.15270616276734</v>
      </c>
      <c r="V74" s="142">
        <f>Input!V249</f>
        <v>890.43447318103404</v>
      </c>
      <c r="W74" s="142">
        <f>Input!W249</f>
        <v>910.88682846351242</v>
      </c>
      <c r="X74" s="142">
        <f>Input!X249</f>
        <v>933.76707014317083</v>
      </c>
      <c r="Y74" s="142">
        <f>Input!Y249</f>
        <v>960.66162548930265</v>
      </c>
      <c r="Z74" s="142">
        <f>Input!Z249</f>
        <v>986.73028450902962</v>
      </c>
      <c r="AA74" s="142"/>
      <c r="AB74" s="143"/>
      <c r="AC74" s="143"/>
      <c r="AD74" s="143"/>
      <c r="AE74" s="143"/>
      <c r="AF74" s="143"/>
      <c r="AG74" s="143"/>
      <c r="AH74" s="143"/>
      <c r="AI74" s="143"/>
      <c r="AJ74" s="143"/>
      <c r="AK74" s="143"/>
      <c r="AL74" s="143"/>
      <c r="AM74" s="143"/>
      <c r="AN74" s="143"/>
      <c r="AO74" s="143"/>
      <c r="AP74" s="143"/>
      <c r="AQ74" s="143"/>
      <c r="AR74" s="143"/>
      <c r="AS74" s="143"/>
      <c r="AT74" s="143"/>
      <c r="AU74" s="143"/>
      <c r="AV74" s="143"/>
      <c r="AW74" s="143"/>
      <c r="AX74" s="143"/>
      <c r="AY74" s="143"/>
      <c r="AZ74" s="143"/>
      <c r="BA74" s="143"/>
    </row>
    <row r="75" spans="1:55">
      <c r="A75" s="86">
        <v>13</v>
      </c>
      <c r="B75" s="87" t="s">
        <v>621</v>
      </c>
      <c r="C75" s="87" t="s">
        <v>491</v>
      </c>
      <c r="D75" s="89"/>
      <c r="E75" s="89"/>
      <c r="F75" s="89"/>
      <c r="G75" s="89"/>
      <c r="H75" s="89"/>
      <c r="I75" s="89"/>
      <c r="J75" s="90"/>
      <c r="K75" s="90">
        <f>+Input!K254</f>
        <v>0</v>
      </c>
      <c r="L75" s="90">
        <f>+Input!L254</f>
        <v>0</v>
      </c>
      <c r="M75" s="90">
        <f>+Input!M254</f>
        <v>0</v>
      </c>
      <c r="N75" s="90">
        <f>+Input!N254</f>
        <v>0</v>
      </c>
      <c r="O75" s="90">
        <f>+Input!O254</f>
        <v>0</v>
      </c>
      <c r="P75" s="568">
        <f>+Input!P254</f>
        <v>0</v>
      </c>
      <c r="Q75" s="142">
        <f>+Input!Q254</f>
        <v>0</v>
      </c>
      <c r="R75" s="142">
        <f>+Input!R254</f>
        <v>0</v>
      </c>
      <c r="S75" s="142">
        <f>+Input!S254</f>
        <v>0</v>
      </c>
      <c r="T75" s="142">
        <f>+Input!T254</f>
        <v>0</v>
      </c>
      <c r="U75" s="142">
        <f>+Input!U254</f>
        <v>0</v>
      </c>
      <c r="V75" s="142">
        <f>+Input!V254</f>
        <v>0</v>
      </c>
      <c r="W75" s="142">
        <f>+Input!W254</f>
        <v>0</v>
      </c>
      <c r="X75" s="142">
        <f>+Input!X254</f>
        <v>0</v>
      </c>
      <c r="Y75" s="142">
        <f>+Input!Y254</f>
        <v>0</v>
      </c>
      <c r="Z75" s="142">
        <f>+Input!Z254</f>
        <v>0</v>
      </c>
      <c r="AA75" s="142"/>
      <c r="AB75" s="143"/>
      <c r="AC75" s="143"/>
      <c r="AD75" s="143"/>
      <c r="AE75" s="143"/>
      <c r="AF75" s="143"/>
      <c r="AG75" s="143"/>
      <c r="AH75" s="143"/>
      <c r="AI75" s="143"/>
      <c r="AJ75" s="143"/>
      <c r="AK75" s="143"/>
      <c r="AL75" s="143"/>
      <c r="AM75" s="143"/>
      <c r="AN75" s="143"/>
      <c r="AO75" s="143"/>
      <c r="AP75" s="143"/>
      <c r="AQ75" s="143"/>
      <c r="AR75" s="143"/>
      <c r="AS75" s="143"/>
      <c r="AT75" s="143"/>
      <c r="AU75" s="143"/>
      <c r="AV75" s="143"/>
      <c r="AW75" s="143"/>
      <c r="AX75" s="143"/>
      <c r="AY75" s="143"/>
      <c r="AZ75" s="143"/>
      <c r="BA75" s="143"/>
    </row>
    <row r="76" spans="1:55">
      <c r="A76" s="86">
        <v>14</v>
      </c>
      <c r="B76" s="87" t="s">
        <v>622</v>
      </c>
      <c r="C76" s="87" t="s">
        <v>623</v>
      </c>
      <c r="D76" s="89"/>
      <c r="E76" s="89"/>
      <c r="F76" s="89"/>
      <c r="G76" s="89"/>
      <c r="H76" s="89"/>
      <c r="I76" s="89"/>
      <c r="J76" s="90"/>
      <c r="K76" s="90">
        <f>Input!K259</f>
        <v>36.412462404999999</v>
      </c>
      <c r="L76" s="90">
        <f>Input!L259</f>
        <v>22.901670675999998</v>
      </c>
      <c r="M76" s="90">
        <f>Input!M259</f>
        <v>324.085468816</v>
      </c>
      <c r="N76" s="90">
        <f>Input!N259</f>
        <v>302.64536233899997</v>
      </c>
      <c r="O76" s="90">
        <f>Input!O259</f>
        <v>45.105620483000003</v>
      </c>
      <c r="P76" s="568">
        <f>Input!P259</f>
        <v>260.112988949</v>
      </c>
      <c r="Q76" s="142">
        <f>Input!Q259</f>
        <v>245.24150977980378</v>
      </c>
      <c r="R76" s="142">
        <f>Input!R259</f>
        <v>283.85334911834428</v>
      </c>
      <c r="S76" s="142">
        <f>Input!S259</f>
        <v>330.88240712003977</v>
      </c>
      <c r="T76" s="142">
        <f>Input!T259</f>
        <v>331.65796105413978</v>
      </c>
      <c r="U76" s="142">
        <f>Input!U259</f>
        <v>305.8266299459508</v>
      </c>
      <c r="V76" s="142">
        <f>Input!V259</f>
        <v>321.66858798663395</v>
      </c>
      <c r="W76" s="142">
        <f>Input!W259</f>
        <v>317.43256604278162</v>
      </c>
      <c r="X76" s="142">
        <f>Input!X259</f>
        <v>329.09194028159055</v>
      </c>
      <c r="Y76" s="142">
        <f>Input!Y259</f>
        <v>346.52077436225267</v>
      </c>
      <c r="Z76" s="142">
        <f>Input!Z259</f>
        <v>343.85292451895424</v>
      </c>
      <c r="AA76" s="142"/>
      <c r="AB76" s="143"/>
      <c r="AC76" s="143"/>
      <c r="AD76" s="143"/>
      <c r="AE76" s="143"/>
      <c r="AF76" s="143"/>
      <c r="AG76" s="143"/>
      <c r="AH76" s="143"/>
      <c r="AI76" s="143"/>
      <c r="AJ76" s="143"/>
      <c r="AK76" s="143"/>
      <c r="AL76" s="143"/>
      <c r="AM76" s="143"/>
      <c r="AN76" s="143"/>
      <c r="AO76" s="143"/>
      <c r="AP76" s="143"/>
      <c r="AQ76" s="143"/>
      <c r="AR76" s="143"/>
      <c r="AS76" s="143"/>
      <c r="AT76" s="143"/>
      <c r="AU76" s="143"/>
      <c r="AV76" s="143"/>
      <c r="AW76" s="143"/>
      <c r="AX76" s="143"/>
      <c r="AY76" s="143"/>
      <c r="AZ76" s="143"/>
      <c r="BA76" s="143"/>
    </row>
    <row r="77" spans="1:55">
      <c r="A77" s="86"/>
      <c r="B77" s="104" t="s">
        <v>624</v>
      </c>
      <c r="C77" s="104" t="s">
        <v>625</v>
      </c>
      <c r="D77" s="136"/>
      <c r="E77" s="136"/>
      <c r="F77" s="136"/>
      <c r="G77" s="136"/>
      <c r="H77" s="136"/>
      <c r="I77" s="136"/>
      <c r="J77" s="137"/>
      <c r="K77" s="137">
        <f>SUM(K69:K76)</f>
        <v>5922.5577939079994</v>
      </c>
      <c r="L77" s="137">
        <f t="shared" ref="L77:Q77" si="23">SUM(L69:L76)</f>
        <v>4739.2885646720006</v>
      </c>
      <c r="M77" s="137">
        <f t="shared" si="23"/>
        <v>3795.8296854959999</v>
      </c>
      <c r="N77" s="137">
        <f t="shared" si="23"/>
        <v>2542.6741293839996</v>
      </c>
      <c r="O77" s="137">
        <f t="shared" si="23"/>
        <v>1733.471002213</v>
      </c>
      <c r="P77" s="2635">
        <f t="shared" si="23"/>
        <v>2807.9845533490002</v>
      </c>
      <c r="Q77" s="138">
        <f t="shared" si="23"/>
        <v>2720.135733830668</v>
      </c>
      <c r="R77" s="138">
        <f t="shared" ref="R77:Y77" si="24">SUM(R69:R76)</f>
        <v>2520.1794509734082</v>
      </c>
      <c r="S77" s="138">
        <f t="shared" si="24"/>
        <v>2873.4421934867601</v>
      </c>
      <c r="T77" s="138">
        <f t="shared" si="24"/>
        <v>3637.0915617238757</v>
      </c>
      <c r="U77" s="138">
        <f t="shared" si="24"/>
        <v>3671.5373033971027</v>
      </c>
      <c r="V77" s="138">
        <f t="shared" si="24"/>
        <v>3663.3660973928158</v>
      </c>
      <c r="W77" s="138">
        <f t="shared" si="24"/>
        <v>3604.7988675472429</v>
      </c>
      <c r="X77" s="138">
        <f t="shared" si="24"/>
        <v>3555.1838611133521</v>
      </c>
      <c r="Y77" s="138">
        <f t="shared" si="24"/>
        <v>3544.42960433075</v>
      </c>
      <c r="Z77" s="138">
        <f t="shared" ref="Z77" si="25">SUM(Z69:Z76)</f>
        <v>3473.2135468173733</v>
      </c>
      <c r="AA77" s="138"/>
      <c r="AB77" s="139"/>
      <c r="AC77" s="139"/>
      <c r="AD77" s="139"/>
      <c r="AE77" s="139"/>
      <c r="AF77" s="139"/>
      <c r="AG77" s="139"/>
      <c r="AH77" s="139"/>
      <c r="AI77" s="139"/>
      <c r="AJ77" s="139"/>
      <c r="AK77" s="139"/>
      <c r="AL77" s="139"/>
      <c r="AM77" s="139"/>
      <c r="AN77" s="139"/>
      <c r="AO77" s="139"/>
      <c r="AP77" s="139"/>
      <c r="AQ77" s="139"/>
      <c r="AR77" s="139"/>
      <c r="AS77" s="139"/>
      <c r="AT77" s="139"/>
      <c r="AU77" s="139"/>
      <c r="AV77" s="139"/>
      <c r="AW77" s="139"/>
      <c r="AX77" s="139"/>
      <c r="AY77" s="139"/>
      <c r="AZ77" s="139"/>
      <c r="BA77" s="139"/>
    </row>
    <row r="78" spans="1:55" ht="13.8" thickBot="1">
      <c r="A78" s="86"/>
      <c r="B78" s="406" t="s">
        <v>626</v>
      </c>
      <c r="C78" s="406" t="s">
        <v>627</v>
      </c>
      <c r="D78" s="408"/>
      <c r="E78" s="408"/>
      <c r="F78" s="408"/>
      <c r="G78" s="408"/>
      <c r="H78" s="408"/>
      <c r="I78" s="408"/>
      <c r="J78" s="409"/>
      <c r="K78" s="409">
        <f>K66+K77</f>
        <v>10172.594752745999</v>
      </c>
      <c r="L78" s="409">
        <f t="shared" ref="L78:Q78" si="26">L66+L77</f>
        <v>8717.4806916109992</v>
      </c>
      <c r="M78" s="409">
        <f t="shared" si="26"/>
        <v>11072.121334924999</v>
      </c>
      <c r="N78" s="409">
        <f t="shared" si="26"/>
        <v>14166.860720015997</v>
      </c>
      <c r="O78" s="409">
        <f t="shared" si="26"/>
        <v>15237.966427298999</v>
      </c>
      <c r="P78" s="2633">
        <f t="shared" si="26"/>
        <v>15728.847338145002</v>
      </c>
      <c r="Q78" s="410">
        <f t="shared" ca="1" si="26"/>
        <v>18017.483292912515</v>
      </c>
      <c r="R78" s="410">
        <f t="shared" ref="R78:Y78" ca="1" si="27">R66+R77</f>
        <v>19735.874623772048</v>
      </c>
      <c r="S78" s="410">
        <f t="shared" ca="1" si="27"/>
        <v>21629.797172213082</v>
      </c>
      <c r="T78" s="410">
        <f t="shared" ca="1" si="27"/>
        <v>26634.183331990283</v>
      </c>
      <c r="U78" s="410">
        <f t="shared" ca="1" si="27"/>
        <v>28759.501945854572</v>
      </c>
      <c r="V78" s="410">
        <f t="shared" ca="1" si="27"/>
        <v>29553.249091368329</v>
      </c>
      <c r="W78" s="410">
        <f t="shared" ca="1" si="27"/>
        <v>31218.556717100873</v>
      </c>
      <c r="X78" s="410">
        <f t="shared" ca="1" si="27"/>
        <v>32930.475842630447</v>
      </c>
      <c r="Y78" s="410">
        <f t="shared" ca="1" si="27"/>
        <v>34863.847465573337</v>
      </c>
      <c r="Z78" s="410">
        <f t="shared" ref="Z78" ca="1" si="28">Z66+Z77</f>
        <v>36074.784985703947</v>
      </c>
      <c r="AA78" s="410"/>
      <c r="AB78" s="411"/>
      <c r="AC78" s="411"/>
      <c r="AD78" s="411"/>
      <c r="AE78" s="411"/>
      <c r="AF78" s="411"/>
      <c r="AG78" s="411"/>
      <c r="AH78" s="411"/>
      <c r="AI78" s="411"/>
      <c r="AJ78" s="411"/>
      <c r="AK78" s="411"/>
      <c r="AL78" s="411"/>
      <c r="AM78" s="411"/>
      <c r="AN78" s="411"/>
      <c r="AO78" s="411"/>
      <c r="AP78" s="411"/>
      <c r="AQ78" s="411"/>
      <c r="AR78" s="411"/>
      <c r="AS78" s="411"/>
      <c r="AT78" s="411"/>
      <c r="AU78" s="411"/>
      <c r="AV78" s="411"/>
      <c r="AW78" s="411"/>
      <c r="AX78" s="411"/>
      <c r="AY78" s="411"/>
      <c r="AZ78" s="411"/>
      <c r="BA78" s="411"/>
    </row>
    <row r="79" spans="1:55" s="641" customFormat="1" ht="13.8" thickTop="1">
      <c r="A79" s="646"/>
      <c r="B79" s="384" t="s">
        <v>604</v>
      </c>
      <c r="C79" s="384"/>
      <c r="D79" s="500"/>
      <c r="E79" s="500"/>
      <c r="F79" s="500"/>
      <c r="G79" s="500"/>
      <c r="H79" s="500"/>
      <c r="I79" s="500"/>
      <c r="J79" s="501"/>
      <c r="K79" s="501">
        <f>K78-Input!K265</f>
        <v>0</v>
      </c>
      <c r="L79" s="501">
        <f>L78-Input!L265</f>
        <v>0</v>
      </c>
      <c r="M79" s="501">
        <f>M78-Input!M265</f>
        <v>0</v>
      </c>
      <c r="N79" s="501">
        <f>N78-Input!N265</f>
        <v>0</v>
      </c>
      <c r="O79" s="501">
        <f>O78-Input!O265</f>
        <v>0</v>
      </c>
      <c r="P79" s="2634">
        <f>P78-Input!P265</f>
        <v>0</v>
      </c>
      <c r="Q79" s="1468">
        <f ca="1">Q78-Input!Q265</f>
        <v>0</v>
      </c>
      <c r="R79" s="1468">
        <f ca="1">R78-Input!R265</f>
        <v>0</v>
      </c>
      <c r="S79" s="1468">
        <f ca="1">S78-Input!S265</f>
        <v>0</v>
      </c>
      <c r="T79" s="1468">
        <f ca="1">T78-Input!T265</f>
        <v>0</v>
      </c>
      <c r="U79" s="1468">
        <f ca="1">U78-Input!U265</f>
        <v>0</v>
      </c>
      <c r="V79" s="1468">
        <f ca="1">V78-Input!V265</f>
        <v>0</v>
      </c>
      <c r="W79" s="1468">
        <f ca="1">W78-Input!W265</f>
        <v>0</v>
      </c>
      <c r="X79" s="1468">
        <f ca="1">X78-Input!X265</f>
        <v>0</v>
      </c>
      <c r="Y79" s="1468">
        <f ca="1">Y78-Input!Y265</f>
        <v>0</v>
      </c>
      <c r="Z79" s="1468">
        <f ca="1">Z78-Input!Z265</f>
        <v>0</v>
      </c>
      <c r="AA79" s="1468"/>
      <c r="AB79" s="1486"/>
      <c r="AC79" s="1486"/>
      <c r="AD79" s="1486"/>
      <c r="AE79" s="1486"/>
      <c r="AF79" s="1486"/>
      <c r="AG79" s="1486"/>
      <c r="AH79" s="1486"/>
      <c r="AI79" s="1486"/>
      <c r="AJ79" s="1486"/>
      <c r="AK79" s="1486"/>
      <c r="AL79" s="1486"/>
      <c r="AM79" s="1486"/>
      <c r="AN79" s="1486"/>
      <c r="AO79" s="1486"/>
      <c r="AP79" s="1486"/>
      <c r="AQ79" s="1486"/>
      <c r="AR79" s="1486"/>
      <c r="AS79" s="1486"/>
      <c r="AT79" s="1486"/>
      <c r="AU79" s="1486"/>
      <c r="AV79" s="1486"/>
      <c r="AW79" s="1486"/>
      <c r="AX79" s="1486"/>
      <c r="AY79" s="1486"/>
      <c r="AZ79" s="1486"/>
      <c r="BA79" s="1486"/>
    </row>
    <row r="80" spans="1:55">
      <c r="A80" s="635"/>
      <c r="D80" s="647"/>
      <c r="E80" s="647"/>
      <c r="F80" s="647"/>
      <c r="G80" s="647"/>
      <c r="H80" s="647"/>
      <c r="I80" s="647"/>
      <c r="J80" s="647"/>
      <c r="K80" s="647"/>
      <c r="L80" s="647"/>
      <c r="M80" s="647"/>
      <c r="N80" s="647"/>
      <c r="O80" s="647"/>
      <c r="P80" s="648"/>
      <c r="Q80" s="647"/>
      <c r="R80" s="647"/>
      <c r="S80" s="647"/>
      <c r="T80" s="647"/>
      <c r="U80" s="647"/>
      <c r="V80" s="647"/>
      <c r="W80" s="647"/>
      <c r="X80" s="647"/>
      <c r="Y80" s="647"/>
      <c r="Z80" s="647"/>
      <c r="AA80" s="2630"/>
      <c r="AB80" s="2630"/>
      <c r="AC80" s="2630"/>
      <c r="AD80" s="2630"/>
      <c r="AE80" s="2630"/>
      <c r="AF80" s="2630"/>
      <c r="AG80" s="2630"/>
      <c r="AH80" s="2630"/>
      <c r="AI80" s="2630"/>
      <c r="AJ80" s="2630"/>
      <c r="AK80" s="2630"/>
      <c r="AL80" s="2630"/>
      <c r="AM80" s="2630"/>
      <c r="AN80" s="2630"/>
      <c r="AO80" s="2630"/>
      <c r="AP80" s="2630"/>
      <c r="AQ80" s="2630"/>
      <c r="AR80" s="2630"/>
      <c r="AS80" s="2630"/>
      <c r="AT80" s="2630"/>
      <c r="AU80" s="2630"/>
      <c r="AV80" s="2630"/>
      <c r="AW80" s="2630"/>
      <c r="AX80" s="2630"/>
      <c r="AY80" s="2630"/>
      <c r="AZ80" s="2630"/>
      <c r="BA80" s="2630"/>
    </row>
    <row r="81" spans="1:53">
      <c r="A81" s="39"/>
      <c r="B81" s="18" t="s">
        <v>99</v>
      </c>
      <c r="C81" s="18" t="s">
        <v>497</v>
      </c>
      <c r="D81" s="89"/>
      <c r="E81" s="89"/>
      <c r="F81" s="89"/>
      <c r="G81" s="89"/>
      <c r="H81" s="89"/>
      <c r="I81" s="89"/>
      <c r="J81" s="89"/>
      <c r="K81" s="89"/>
      <c r="L81" s="89"/>
      <c r="M81" s="89"/>
      <c r="N81" s="89"/>
      <c r="O81" s="89"/>
      <c r="P81" s="188"/>
      <c r="Q81" s="89"/>
      <c r="R81" s="89"/>
      <c r="S81" s="89"/>
      <c r="T81" s="89"/>
      <c r="U81" s="89"/>
      <c r="V81" s="89"/>
      <c r="W81" s="89"/>
      <c r="X81" s="89"/>
      <c r="Y81" s="89"/>
      <c r="Z81" s="89"/>
      <c r="AA81" s="143"/>
      <c r="AB81" s="143"/>
      <c r="AC81" s="143"/>
      <c r="AD81" s="143"/>
      <c r="AE81" s="143"/>
      <c r="AF81" s="143"/>
      <c r="AG81" s="143"/>
      <c r="AH81" s="143"/>
      <c r="AI81" s="143"/>
      <c r="AJ81" s="143"/>
      <c r="AK81" s="143"/>
      <c r="AL81" s="143"/>
      <c r="AM81" s="143"/>
      <c r="AN81" s="143"/>
      <c r="AO81" s="143"/>
      <c r="AP81" s="143"/>
      <c r="AQ81" s="143"/>
      <c r="AR81" s="143"/>
      <c r="AS81" s="143"/>
      <c r="AT81" s="143"/>
      <c r="AU81" s="143"/>
      <c r="AV81" s="143"/>
      <c r="AW81" s="143"/>
      <c r="AX81" s="143"/>
      <c r="AY81" s="143"/>
      <c r="AZ81" s="143"/>
      <c r="BA81" s="143"/>
    </row>
    <row r="82" spans="1:53">
      <c r="A82" s="86"/>
      <c r="B82" s="87" t="s">
        <v>628</v>
      </c>
      <c r="C82" s="122"/>
      <c r="D82" s="89"/>
      <c r="E82" s="89"/>
      <c r="F82" s="89"/>
      <c r="G82" s="89"/>
      <c r="H82" s="89"/>
      <c r="I82" s="89"/>
      <c r="J82" s="90"/>
      <c r="K82" s="90">
        <f>+K83+K84</f>
        <v>1156.3716984289999</v>
      </c>
      <c r="L82" s="90">
        <f t="shared" ref="L82:Q82" si="29">+L83+L84</f>
        <v>685.40656374699995</v>
      </c>
      <c r="M82" s="90">
        <f t="shared" si="29"/>
        <v>689.16295133599999</v>
      </c>
      <c r="N82" s="90">
        <f t="shared" si="29"/>
        <v>2.559405532</v>
      </c>
      <c r="O82" s="90">
        <f t="shared" si="29"/>
        <v>845.80580895499997</v>
      </c>
      <c r="P82" s="568">
        <f t="shared" si="29"/>
        <v>1229.228015118</v>
      </c>
      <c r="Q82" s="142">
        <f t="shared" ca="1" si="29"/>
        <v>1627.7236010635652</v>
      </c>
      <c r="R82" s="142">
        <f t="shared" ref="R82:Y82" ca="1" si="30">+R83+R84</f>
        <v>1685.447996658171</v>
      </c>
      <c r="S82" s="142">
        <f t="shared" ca="1" si="30"/>
        <v>1550.5482856920157</v>
      </c>
      <c r="T82" s="142">
        <f t="shared" ca="1" si="30"/>
        <v>2136.859179495259</v>
      </c>
      <c r="U82" s="142">
        <f t="shared" ca="1" si="30"/>
        <v>2154.1676466459458</v>
      </c>
      <c r="V82" s="142">
        <f t="shared" ca="1" si="30"/>
        <v>2045.1654161051099</v>
      </c>
      <c r="W82" s="142">
        <f t="shared" ca="1" si="30"/>
        <v>2106.1436444013684</v>
      </c>
      <c r="X82" s="142">
        <f t="shared" ca="1" si="30"/>
        <v>2248.6223982010874</v>
      </c>
      <c r="Y82" s="142">
        <f t="shared" ca="1" si="30"/>
        <v>2367.7130746290904</v>
      </c>
      <c r="Z82" s="142">
        <f t="shared" ref="Z82" ca="1" si="31">+Z83+Z84</f>
        <v>2492.9776285941348</v>
      </c>
      <c r="AA82" s="142"/>
      <c r="AB82" s="143"/>
      <c r="AC82" s="143"/>
      <c r="AD82" s="143"/>
      <c r="AE82" s="143"/>
      <c r="AF82" s="143"/>
      <c r="AG82" s="143"/>
      <c r="AH82" s="143"/>
      <c r="AI82" s="143"/>
      <c r="AJ82" s="143"/>
      <c r="AK82" s="143"/>
      <c r="AL82" s="143"/>
      <c r="AM82" s="143"/>
      <c r="AN82" s="143"/>
      <c r="AO82" s="143"/>
      <c r="AP82" s="143"/>
      <c r="AQ82" s="143"/>
      <c r="AR82" s="143"/>
      <c r="AS82" s="143"/>
      <c r="AT82" s="143"/>
      <c r="AU82" s="143"/>
      <c r="AV82" s="143"/>
      <c r="AW82" s="143"/>
      <c r="AX82" s="143"/>
      <c r="AY82" s="143"/>
      <c r="AZ82" s="143"/>
      <c r="BA82" s="143"/>
    </row>
    <row r="83" spans="1:53">
      <c r="A83" s="573">
        <v>15</v>
      </c>
      <c r="B83" s="638" t="s">
        <v>629</v>
      </c>
      <c r="C83" s="639" t="s">
        <v>360</v>
      </c>
      <c r="D83" s="593"/>
      <c r="E83" s="593"/>
      <c r="F83" s="593"/>
      <c r="G83" s="593"/>
      <c r="H83" s="593"/>
      <c r="I83" s="593"/>
      <c r="J83" s="594"/>
      <c r="K83" s="594">
        <f>Input!K273</f>
        <v>0</v>
      </c>
      <c r="L83" s="594">
        <f>Input!L273</f>
        <v>0</v>
      </c>
      <c r="M83" s="594">
        <f>Input!M273</f>
        <v>0</v>
      </c>
      <c r="N83" s="594">
        <f>Input!N273</f>
        <v>0</v>
      </c>
      <c r="O83" s="594">
        <f>Input!O273</f>
        <v>0</v>
      </c>
      <c r="P83" s="595">
        <f>Input!P273</f>
        <v>0</v>
      </c>
      <c r="Q83" s="596">
        <f ca="1">Input!Q273</f>
        <v>0</v>
      </c>
      <c r="R83" s="596">
        <f ca="1">Input!R273</f>
        <v>0</v>
      </c>
      <c r="S83" s="596">
        <f ca="1">Input!S273</f>
        <v>0</v>
      </c>
      <c r="T83" s="596">
        <f ca="1">Input!T273</f>
        <v>0</v>
      </c>
      <c r="U83" s="596">
        <f ca="1">Input!U273</f>
        <v>0</v>
      </c>
      <c r="V83" s="596">
        <f ca="1">Input!V273</f>
        <v>0</v>
      </c>
      <c r="W83" s="596">
        <f ca="1">Input!W273</f>
        <v>0</v>
      </c>
      <c r="X83" s="596">
        <f ca="1">Input!X273</f>
        <v>0</v>
      </c>
      <c r="Y83" s="596">
        <f ca="1">Input!Y273</f>
        <v>0</v>
      </c>
      <c r="Z83" s="596">
        <f ca="1">Input!Z273</f>
        <v>0</v>
      </c>
      <c r="AA83" s="596"/>
      <c r="AB83" s="597"/>
      <c r="AC83" s="597"/>
      <c r="AD83" s="597"/>
      <c r="AE83" s="597"/>
      <c r="AF83" s="597"/>
      <c r="AG83" s="597"/>
      <c r="AH83" s="597"/>
      <c r="AI83" s="597"/>
      <c r="AJ83" s="597"/>
      <c r="AK83" s="597"/>
      <c r="AL83" s="597"/>
      <c r="AM83" s="597"/>
      <c r="AN83" s="597"/>
      <c r="AO83" s="597"/>
      <c r="AP83" s="597"/>
      <c r="AQ83" s="597"/>
      <c r="AR83" s="597"/>
      <c r="AS83" s="597"/>
      <c r="AT83" s="597"/>
      <c r="AU83" s="597"/>
      <c r="AV83" s="597"/>
      <c r="AW83" s="597"/>
      <c r="AX83" s="597"/>
      <c r="AY83" s="597"/>
      <c r="AZ83" s="597"/>
      <c r="BA83" s="597"/>
    </row>
    <row r="84" spans="1:53">
      <c r="A84" s="573">
        <v>16</v>
      </c>
      <c r="B84" s="638" t="s">
        <v>630</v>
      </c>
      <c r="C84" s="639" t="s">
        <v>361</v>
      </c>
      <c r="D84" s="593"/>
      <c r="E84" s="593"/>
      <c r="F84" s="593"/>
      <c r="G84" s="593"/>
      <c r="H84" s="593"/>
      <c r="I84" s="593"/>
      <c r="J84" s="594"/>
      <c r="K84" s="594">
        <f>+Input!K279</f>
        <v>1156.3716984289999</v>
      </c>
      <c r="L84" s="594">
        <f>+Input!L279</f>
        <v>685.40656374699995</v>
      </c>
      <c r="M84" s="594">
        <f>+Input!M279</f>
        <v>689.16295133599999</v>
      </c>
      <c r="N84" s="594">
        <f>+Input!N279</f>
        <v>2.559405532</v>
      </c>
      <c r="O84" s="594">
        <f>+Input!O279</f>
        <v>845.80580895499997</v>
      </c>
      <c r="P84" s="595">
        <f>+Input!P279</f>
        <v>1229.228015118</v>
      </c>
      <c r="Q84" s="596">
        <f>+Input!Q279</f>
        <v>1627.7236010635652</v>
      </c>
      <c r="R84" s="596">
        <f>+Input!R279</f>
        <v>1685.447996658171</v>
      </c>
      <c r="S84" s="596">
        <f>+Input!S279</f>
        <v>1550.5482856920157</v>
      </c>
      <c r="T84" s="596">
        <f>+Input!T279</f>
        <v>2136.859179495259</v>
      </c>
      <c r="U84" s="596">
        <f>+Input!U279</f>
        <v>2154.1676466459458</v>
      </c>
      <c r="V84" s="596">
        <f>+Input!V279</f>
        <v>2045.1654161051099</v>
      </c>
      <c r="W84" s="596">
        <f>+Input!W279</f>
        <v>2106.1436444013684</v>
      </c>
      <c r="X84" s="596">
        <f>+Input!X279</f>
        <v>2248.6223982010874</v>
      </c>
      <c r="Y84" s="596">
        <f>+Input!Y279</f>
        <v>2367.7130746290904</v>
      </c>
      <c r="Z84" s="596">
        <f>+Input!Z279</f>
        <v>2492.9776285941348</v>
      </c>
      <c r="AA84" s="596"/>
      <c r="AB84" s="597"/>
      <c r="AC84" s="597"/>
      <c r="AD84" s="597"/>
      <c r="AE84" s="597"/>
      <c r="AF84" s="597"/>
      <c r="AG84" s="597"/>
      <c r="AH84" s="597"/>
      <c r="AI84" s="597"/>
      <c r="AJ84" s="597"/>
      <c r="AK84" s="597"/>
      <c r="AL84" s="597"/>
      <c r="AM84" s="597"/>
      <c r="AN84" s="597"/>
      <c r="AO84" s="597"/>
      <c r="AP84" s="597"/>
      <c r="AQ84" s="597"/>
      <c r="AR84" s="597"/>
      <c r="AS84" s="597"/>
      <c r="AT84" s="597"/>
      <c r="AU84" s="597"/>
      <c r="AV84" s="597"/>
      <c r="AW84" s="597"/>
      <c r="AX84" s="597"/>
      <c r="AY84" s="597"/>
      <c r="AZ84" s="597"/>
      <c r="BA84" s="597"/>
    </row>
    <row r="85" spans="1:53">
      <c r="A85" s="249">
        <v>17</v>
      </c>
      <c r="B85" s="87" t="s">
        <v>503</v>
      </c>
      <c r="C85" s="87"/>
      <c r="D85" s="252"/>
      <c r="E85" s="252"/>
      <c r="F85" s="252"/>
      <c r="G85" s="252"/>
      <c r="H85" s="252"/>
      <c r="I85" s="252"/>
      <c r="J85" s="585"/>
      <c r="K85" s="585">
        <f>Input!K284</f>
        <v>45.098300795999997</v>
      </c>
      <c r="L85" s="585">
        <f>Input!L284</f>
        <v>118.183078862</v>
      </c>
      <c r="M85" s="585">
        <f>Input!M284</f>
        <v>285.54735748299998</v>
      </c>
      <c r="N85" s="585">
        <f>Input!N284</f>
        <v>106.451076947</v>
      </c>
      <c r="O85" s="585">
        <f>Input!O284</f>
        <v>23.307675261</v>
      </c>
      <c r="P85" s="586">
        <f>Input!P284</f>
        <v>233.21169483899999</v>
      </c>
      <c r="Q85" s="587">
        <f>Input!Q284</f>
        <v>227.13875345107962</v>
      </c>
      <c r="R85" s="587">
        <f>Input!R284</f>
        <v>257.89699489184238</v>
      </c>
      <c r="S85" s="587">
        <f>Input!S284</f>
        <v>259.59619479825773</v>
      </c>
      <c r="T85" s="587">
        <f>Input!T284</f>
        <v>248.30332965281943</v>
      </c>
      <c r="U85" s="587">
        <f>Input!U284</f>
        <v>256.41433891887675</v>
      </c>
      <c r="V85" s="587">
        <f>Input!V284</f>
        <v>273.62727712596279</v>
      </c>
      <c r="W85" s="587">
        <f>Input!W284</f>
        <v>266.92268972793966</v>
      </c>
      <c r="X85" s="587">
        <f>Input!X284</f>
        <v>272.51688912314381</v>
      </c>
      <c r="Y85" s="587">
        <f>Input!Y284</f>
        <v>282.33632375944961</v>
      </c>
      <c r="Z85" s="587">
        <f>Input!Z284</f>
        <v>282.15279795908566</v>
      </c>
      <c r="AA85" s="587"/>
      <c r="AB85" s="588"/>
      <c r="AC85" s="588"/>
      <c r="AD85" s="588"/>
      <c r="AE85" s="588"/>
      <c r="AF85" s="588"/>
      <c r="AG85" s="588"/>
      <c r="AH85" s="588"/>
      <c r="AI85" s="588"/>
      <c r="AJ85" s="588"/>
      <c r="AK85" s="588"/>
      <c r="AL85" s="588"/>
      <c r="AM85" s="588"/>
      <c r="AN85" s="588"/>
      <c r="AO85" s="588"/>
      <c r="AP85" s="588"/>
      <c r="AQ85" s="588"/>
      <c r="AR85" s="588"/>
      <c r="AS85" s="588"/>
      <c r="AT85" s="588"/>
      <c r="AU85" s="588"/>
      <c r="AV85" s="588"/>
      <c r="AW85" s="588"/>
      <c r="AX85" s="588"/>
      <c r="AY85" s="588"/>
      <c r="AZ85" s="588"/>
      <c r="BA85" s="588"/>
    </row>
    <row r="86" spans="1:53">
      <c r="A86" s="249">
        <v>18</v>
      </c>
      <c r="B86" s="87" t="s">
        <v>631</v>
      </c>
      <c r="C86" s="87" t="s">
        <v>507</v>
      </c>
      <c r="D86" s="252"/>
      <c r="E86" s="252"/>
      <c r="F86" s="252"/>
      <c r="G86" s="252"/>
      <c r="H86" s="252"/>
      <c r="I86" s="252"/>
      <c r="J86" s="585"/>
      <c r="K86" s="585">
        <f>Input!K289</f>
        <v>879.30163535199995</v>
      </c>
      <c r="L86" s="585">
        <f>Input!L289</f>
        <v>709.12680017599996</v>
      </c>
      <c r="M86" s="585">
        <f>Input!M289</f>
        <v>794.79728936100003</v>
      </c>
      <c r="N86" s="585">
        <f>Input!N289</f>
        <v>1028.4757360789999</v>
      </c>
      <c r="O86" s="585">
        <f>Input!O289</f>
        <v>1989.2834125500001</v>
      </c>
      <c r="P86" s="586">
        <f>Input!P289</f>
        <v>1611.5109306879999</v>
      </c>
      <c r="Q86" s="587">
        <f>Input!Q289</f>
        <v>1517.7163751115675</v>
      </c>
      <c r="R86" s="587">
        <f>Input!R289</f>
        <v>1493.3277643629785</v>
      </c>
      <c r="S86" s="587">
        <f>Input!S289</f>
        <v>1501.2900843690613</v>
      </c>
      <c r="T86" s="587">
        <f>Input!T289</f>
        <v>1763.3446465429292</v>
      </c>
      <c r="U86" s="587">
        <f>Input!U289</f>
        <v>1858.0116437338759</v>
      </c>
      <c r="V86" s="587">
        <f>Input!V289</f>
        <v>1437.1663915590482</v>
      </c>
      <c r="W86" s="587">
        <f>Input!W289</f>
        <v>1336.1157237134776</v>
      </c>
      <c r="X86" s="587">
        <f>Input!X289</f>
        <v>1303.0703246563905</v>
      </c>
      <c r="Y86" s="587">
        <f>Input!Y289</f>
        <v>1312.1110278924041</v>
      </c>
      <c r="Z86" s="587">
        <f>Input!Z289</f>
        <v>1268.0069594032705</v>
      </c>
      <c r="AA86" s="587"/>
      <c r="AB86" s="588"/>
      <c r="AC86" s="588"/>
      <c r="AD86" s="588"/>
      <c r="AE86" s="588"/>
      <c r="AF86" s="588"/>
      <c r="AG86" s="588"/>
      <c r="AH86" s="588"/>
      <c r="AI86" s="588"/>
      <c r="AJ86" s="588"/>
      <c r="AK86" s="588"/>
      <c r="AL86" s="588"/>
      <c r="AM86" s="588"/>
      <c r="AN86" s="588"/>
      <c r="AO86" s="588"/>
      <c r="AP86" s="588"/>
      <c r="AQ86" s="588"/>
      <c r="AR86" s="588"/>
      <c r="AS86" s="588"/>
      <c r="AT86" s="588"/>
      <c r="AU86" s="588"/>
      <c r="AV86" s="588"/>
      <c r="AW86" s="588"/>
      <c r="AX86" s="588"/>
      <c r="AY86" s="588"/>
      <c r="AZ86" s="588"/>
      <c r="BA86" s="588"/>
    </row>
    <row r="87" spans="1:53">
      <c r="A87" s="249">
        <v>19</v>
      </c>
      <c r="B87" s="87" t="s">
        <v>632</v>
      </c>
      <c r="C87" s="87" t="s">
        <v>509</v>
      </c>
      <c r="D87" s="252"/>
      <c r="E87" s="252"/>
      <c r="F87" s="252"/>
      <c r="G87" s="252"/>
      <c r="H87" s="252"/>
      <c r="I87" s="252"/>
      <c r="J87" s="585"/>
      <c r="K87" s="585">
        <f>Input!K293</f>
        <v>1219.2262188029999</v>
      </c>
      <c r="L87" s="585">
        <f>Input!L293</f>
        <v>537.43534196999997</v>
      </c>
      <c r="M87" s="585">
        <f>Input!M293</f>
        <v>1417.1029445130002</v>
      </c>
      <c r="N87" s="585">
        <f>Input!N293</f>
        <v>1736.9497672849998</v>
      </c>
      <c r="O87" s="585">
        <f>Input!O293</f>
        <v>1658.86089249</v>
      </c>
      <c r="P87" s="586">
        <f>Input!P293</f>
        <v>1606.7794728669999</v>
      </c>
      <c r="Q87" s="587">
        <f>Input!Q293</f>
        <v>2211.8637873866269</v>
      </c>
      <c r="R87" s="587">
        <f>Input!R293</f>
        <v>2168.2262635370789</v>
      </c>
      <c r="S87" s="587">
        <f>Input!S293</f>
        <v>2374.7197805922151</v>
      </c>
      <c r="T87" s="587">
        <f>Input!T293</f>
        <v>2726.0358238117583</v>
      </c>
      <c r="U87" s="587">
        <f>Input!U293</f>
        <v>2685.2352012216302</v>
      </c>
      <c r="V87" s="587">
        <f>Input!V293</f>
        <v>2482.2563060714697</v>
      </c>
      <c r="W87" s="587">
        <f>Input!W293</f>
        <v>2553.5234873611544</v>
      </c>
      <c r="X87" s="587">
        <f>Input!X293</f>
        <v>2599.2054247267183</v>
      </c>
      <c r="Y87" s="587">
        <f>Input!Y293</f>
        <v>2751.7409007433384</v>
      </c>
      <c r="Z87" s="587">
        <f>Input!Z293</f>
        <v>2780.8821533183295</v>
      </c>
      <c r="AA87" s="587"/>
      <c r="AB87" s="588"/>
      <c r="AC87" s="588"/>
      <c r="AD87" s="588"/>
      <c r="AE87" s="588"/>
      <c r="AF87" s="588"/>
      <c r="AG87" s="588"/>
      <c r="AH87" s="588"/>
      <c r="AI87" s="588"/>
      <c r="AJ87" s="588"/>
      <c r="AK87" s="588"/>
      <c r="AL87" s="588"/>
      <c r="AM87" s="588"/>
      <c r="AN87" s="588"/>
      <c r="AO87" s="588"/>
      <c r="AP87" s="588"/>
      <c r="AQ87" s="588"/>
      <c r="AR87" s="588"/>
      <c r="AS87" s="588"/>
      <c r="AT87" s="588"/>
      <c r="AU87" s="588"/>
      <c r="AV87" s="588"/>
      <c r="AW87" s="588"/>
      <c r="AX87" s="588"/>
      <c r="AY87" s="588"/>
      <c r="AZ87" s="588"/>
      <c r="BA87" s="588"/>
    </row>
    <row r="88" spans="1:53">
      <c r="A88" s="86"/>
      <c r="B88" s="104" t="s">
        <v>633</v>
      </c>
      <c r="C88" s="104" t="s">
        <v>634</v>
      </c>
      <c r="D88" s="136"/>
      <c r="E88" s="136"/>
      <c r="F88" s="136"/>
      <c r="G88" s="136"/>
      <c r="H88" s="136"/>
      <c r="I88" s="136"/>
      <c r="J88" s="137"/>
      <c r="K88" s="137">
        <f>K82+SUM(K85:K87)</f>
        <v>3299.9978533799999</v>
      </c>
      <c r="L88" s="137">
        <f t="shared" ref="L88:Q88" si="32">L82+SUM(L85:L87)</f>
        <v>2050.1517847549999</v>
      </c>
      <c r="M88" s="137">
        <f t="shared" si="32"/>
        <v>3186.6105426930003</v>
      </c>
      <c r="N88" s="137">
        <f t="shared" si="32"/>
        <v>2874.4359858429998</v>
      </c>
      <c r="O88" s="137">
        <f t="shared" si="32"/>
        <v>4517.2577892560003</v>
      </c>
      <c r="P88" s="2635">
        <f t="shared" si="32"/>
        <v>4680.7301135119997</v>
      </c>
      <c r="Q88" s="138">
        <f t="shared" ca="1" si="32"/>
        <v>5584.4425170128388</v>
      </c>
      <c r="R88" s="138">
        <f t="shared" ref="R88:Y88" ca="1" si="33">R82+SUM(R85:R87)</f>
        <v>5604.8990194500711</v>
      </c>
      <c r="S88" s="138">
        <f t="shared" ca="1" si="33"/>
        <v>5686.1543454515504</v>
      </c>
      <c r="T88" s="138">
        <f t="shared" ca="1" si="33"/>
        <v>6874.5429795027658</v>
      </c>
      <c r="U88" s="138">
        <f t="shared" ca="1" si="33"/>
        <v>6953.8288305203287</v>
      </c>
      <c r="V88" s="138">
        <f t="shared" ca="1" si="33"/>
        <v>6238.215390861591</v>
      </c>
      <c r="W88" s="138">
        <f t="shared" ca="1" si="33"/>
        <v>6262.7055452039403</v>
      </c>
      <c r="X88" s="138">
        <f t="shared" ca="1" si="33"/>
        <v>6423.4150367073398</v>
      </c>
      <c r="Y88" s="138">
        <f t="shared" ca="1" si="33"/>
        <v>6713.9013270242822</v>
      </c>
      <c r="Z88" s="138">
        <f t="shared" ref="Z88" ca="1" si="34">Z82+SUM(Z85:Z87)</f>
        <v>6824.019539274821</v>
      </c>
      <c r="AA88" s="138"/>
      <c r="AB88" s="139"/>
      <c r="AC88" s="139"/>
      <c r="AD88" s="139"/>
      <c r="AE88" s="139"/>
      <c r="AF88" s="139"/>
      <c r="AG88" s="139"/>
      <c r="AH88" s="139"/>
      <c r="AI88" s="139"/>
      <c r="AJ88" s="139"/>
      <c r="AK88" s="139"/>
      <c r="AL88" s="139"/>
      <c r="AM88" s="139"/>
      <c r="AN88" s="139"/>
      <c r="AO88" s="139"/>
      <c r="AP88" s="139"/>
      <c r="AQ88" s="139"/>
      <c r="AR88" s="139"/>
      <c r="AS88" s="139"/>
      <c r="AT88" s="139"/>
      <c r="AU88" s="139"/>
      <c r="AV88" s="139"/>
      <c r="AW88" s="139"/>
      <c r="AX88" s="139"/>
      <c r="AY88" s="139"/>
      <c r="AZ88" s="139"/>
      <c r="BA88" s="139"/>
    </row>
    <row r="89" spans="1:53" s="641" customFormat="1">
      <c r="A89" s="573"/>
      <c r="B89" s="416" t="s">
        <v>604</v>
      </c>
      <c r="C89" s="416"/>
      <c r="D89" s="500"/>
      <c r="E89" s="500"/>
      <c r="F89" s="500"/>
      <c r="G89" s="500"/>
      <c r="H89" s="500"/>
      <c r="I89" s="500"/>
      <c r="J89" s="501"/>
      <c r="K89" s="501">
        <f>K88-Input!K296</f>
        <v>0</v>
      </c>
      <c r="L89" s="501">
        <f>L88-Input!L296</f>
        <v>0</v>
      </c>
      <c r="M89" s="501">
        <f>M88-Input!M296</f>
        <v>0</v>
      </c>
      <c r="N89" s="501">
        <f>N88-Input!N296</f>
        <v>0</v>
      </c>
      <c r="O89" s="501">
        <f>O88-Input!O296</f>
        <v>0</v>
      </c>
      <c r="P89" s="2634">
        <f>P88-Input!P296</f>
        <v>0</v>
      </c>
      <c r="Q89" s="1468">
        <f ca="1">Q88-Input!Q296</f>
        <v>0</v>
      </c>
      <c r="R89" s="1468">
        <f ca="1">R88-Input!R296</f>
        <v>0</v>
      </c>
      <c r="S89" s="1468">
        <f ca="1">S88-Input!S296</f>
        <v>0</v>
      </c>
      <c r="T89" s="1468">
        <f ca="1">T88-Input!T296</f>
        <v>0</v>
      </c>
      <c r="U89" s="1468">
        <f ca="1">U88-Input!U296</f>
        <v>0</v>
      </c>
      <c r="V89" s="1468">
        <f ca="1">V88-Input!V296</f>
        <v>0</v>
      </c>
      <c r="W89" s="1468">
        <f ca="1">W88-Input!W296</f>
        <v>0</v>
      </c>
      <c r="X89" s="1468">
        <f ca="1">X88-Input!X296</f>
        <v>0</v>
      </c>
      <c r="Y89" s="1468">
        <f ca="1">Y88-Input!Y296</f>
        <v>0</v>
      </c>
      <c r="Z89" s="1468">
        <f ca="1">Z88-Input!Z296</f>
        <v>0</v>
      </c>
      <c r="AA89" s="1468"/>
      <c r="AB89" s="1486"/>
      <c r="AC89" s="1486"/>
      <c r="AD89" s="1486"/>
      <c r="AE89" s="1486"/>
      <c r="AF89" s="1486"/>
      <c r="AG89" s="1486"/>
      <c r="AH89" s="1486"/>
      <c r="AI89" s="1486"/>
      <c r="AJ89" s="1486"/>
      <c r="AK89" s="1486"/>
      <c r="AL89" s="1486"/>
      <c r="AM89" s="1486"/>
      <c r="AN89" s="1486"/>
      <c r="AO89" s="1486"/>
      <c r="AP89" s="1486"/>
      <c r="AQ89" s="1486"/>
      <c r="AR89" s="1486"/>
      <c r="AS89" s="1486"/>
      <c r="AT89" s="1486"/>
      <c r="AU89" s="1486"/>
      <c r="AV89" s="1486"/>
      <c r="AW89" s="1486"/>
      <c r="AX89" s="1486"/>
      <c r="AY89" s="1486"/>
      <c r="AZ89" s="1486"/>
      <c r="BA89" s="1486"/>
    </row>
    <row r="90" spans="1:53">
      <c r="A90" s="573"/>
      <c r="B90" s="642"/>
      <c r="C90" s="639"/>
      <c r="D90" s="593"/>
      <c r="E90" s="593"/>
      <c r="F90" s="593"/>
      <c r="G90" s="593"/>
      <c r="H90" s="593"/>
      <c r="I90" s="593"/>
      <c r="J90" s="593"/>
      <c r="K90" s="593"/>
      <c r="L90" s="593"/>
      <c r="M90" s="593"/>
      <c r="N90" s="593"/>
      <c r="O90" s="593"/>
      <c r="P90" s="649"/>
      <c r="Q90" s="593"/>
      <c r="R90" s="593"/>
      <c r="S90" s="593"/>
      <c r="T90" s="593"/>
      <c r="U90" s="593"/>
      <c r="V90" s="593"/>
      <c r="W90" s="593"/>
      <c r="X90" s="593"/>
      <c r="Y90" s="593"/>
      <c r="Z90" s="593"/>
      <c r="AA90" s="597"/>
      <c r="AB90" s="597"/>
      <c r="AC90" s="597"/>
      <c r="AD90" s="597"/>
      <c r="AE90" s="597"/>
      <c r="AF90" s="597"/>
      <c r="AG90" s="597"/>
      <c r="AH90" s="597"/>
      <c r="AI90" s="597"/>
      <c r="AJ90" s="597"/>
      <c r="AK90" s="597"/>
      <c r="AL90" s="597"/>
      <c r="AM90" s="597"/>
      <c r="AN90" s="597"/>
      <c r="AO90" s="597"/>
      <c r="AP90" s="597"/>
      <c r="AQ90" s="597"/>
      <c r="AR90" s="597"/>
      <c r="AS90" s="597"/>
      <c r="AT90" s="597"/>
      <c r="AU90" s="597"/>
      <c r="AV90" s="597"/>
      <c r="AW90" s="597"/>
      <c r="AX90" s="597"/>
      <c r="AY90" s="597"/>
      <c r="AZ90" s="597"/>
      <c r="BA90" s="597"/>
    </row>
    <row r="91" spans="1:53">
      <c r="A91" s="86">
        <v>22</v>
      </c>
      <c r="B91" s="87" t="s">
        <v>635</v>
      </c>
      <c r="C91" s="87" t="s">
        <v>534</v>
      </c>
      <c r="D91" s="89"/>
      <c r="E91" s="89"/>
      <c r="F91" s="89"/>
      <c r="G91" s="89"/>
      <c r="H91" s="89"/>
      <c r="I91" s="89"/>
      <c r="J91" s="90"/>
      <c r="K91" s="90">
        <f>Input!K343</f>
        <v>0</v>
      </c>
      <c r="L91" s="90">
        <f>Input!L343</f>
        <v>0</v>
      </c>
      <c r="M91" s="90">
        <f>Input!M343</f>
        <v>0</v>
      </c>
      <c r="N91" s="90">
        <f>Input!N343</f>
        <v>0</v>
      </c>
      <c r="O91" s="90">
        <f>Input!O343</f>
        <v>0</v>
      </c>
      <c r="P91" s="568">
        <f>Input!P343</f>
        <v>0</v>
      </c>
      <c r="Q91" s="142">
        <f>Input!Q343</f>
        <v>0</v>
      </c>
      <c r="R91" s="142">
        <f>Input!R343</f>
        <v>0</v>
      </c>
      <c r="S91" s="142">
        <f>Input!S343</f>
        <v>0</v>
      </c>
      <c r="T91" s="142">
        <f>Input!T343</f>
        <v>0</v>
      </c>
      <c r="U91" s="142">
        <f>Input!U343</f>
        <v>0</v>
      </c>
      <c r="V91" s="142">
        <f>Input!V343</f>
        <v>0</v>
      </c>
      <c r="W91" s="142">
        <f>Input!W343</f>
        <v>0</v>
      </c>
      <c r="X91" s="142">
        <f>Input!X343</f>
        <v>0</v>
      </c>
      <c r="Y91" s="142">
        <f>Input!Y343</f>
        <v>0</v>
      </c>
      <c r="Z91" s="142">
        <f>Input!Z343</f>
        <v>0</v>
      </c>
      <c r="AA91" s="142"/>
      <c r="AB91" s="143"/>
      <c r="AC91" s="143"/>
      <c r="AD91" s="143"/>
      <c r="AE91" s="143"/>
      <c r="AF91" s="143"/>
      <c r="AG91" s="143"/>
      <c r="AH91" s="143"/>
      <c r="AI91" s="143"/>
      <c r="AJ91" s="143"/>
      <c r="AK91" s="143"/>
      <c r="AL91" s="143"/>
      <c r="AM91" s="143"/>
      <c r="AN91" s="143"/>
      <c r="AO91" s="143"/>
      <c r="AP91" s="143"/>
      <c r="AQ91" s="143"/>
      <c r="AR91" s="143"/>
      <c r="AS91" s="143"/>
      <c r="AT91" s="143"/>
      <c r="AU91" s="143"/>
      <c r="AV91" s="143"/>
      <c r="AW91" s="143"/>
      <c r="AX91" s="143"/>
      <c r="AY91" s="143"/>
      <c r="AZ91" s="143"/>
      <c r="BA91" s="143"/>
    </row>
    <row r="92" spans="1:53">
      <c r="A92" s="86">
        <v>20</v>
      </c>
      <c r="B92" s="87" t="s">
        <v>636</v>
      </c>
      <c r="C92" s="87"/>
      <c r="D92" s="89"/>
      <c r="E92" s="89"/>
      <c r="F92" s="89"/>
      <c r="G92" s="89"/>
      <c r="H92" s="89"/>
      <c r="I92" s="89"/>
      <c r="J92" s="90"/>
      <c r="K92" s="90">
        <f>+Input!K330</f>
        <v>628.47249524100005</v>
      </c>
      <c r="L92" s="90">
        <f>+Input!L330</f>
        <v>137.062222093</v>
      </c>
      <c r="M92" s="90">
        <f>+Input!M330</f>
        <v>2.6763435320000002</v>
      </c>
      <c r="N92" s="90">
        <f>+Input!N330</f>
        <v>1.0484815000000001</v>
      </c>
      <c r="O92" s="90">
        <f>+Input!O330</f>
        <v>2.9644798749999999</v>
      </c>
      <c r="P92" s="568">
        <f>+Input!P330</f>
        <v>119.527496051</v>
      </c>
      <c r="Q92" s="142">
        <f>+Input!Q330</f>
        <v>351.10113874462809</v>
      </c>
      <c r="R92" s="142">
        <f>+Input!R330</f>
        <v>497.008080119243</v>
      </c>
      <c r="S92" s="142">
        <f>+Input!S330</f>
        <v>583.71521092329453</v>
      </c>
      <c r="T92" s="142">
        <f>+Input!T330</f>
        <v>814.31730987355388</v>
      </c>
      <c r="U92" s="142">
        <f>+Input!U330</f>
        <v>711.52401678971239</v>
      </c>
      <c r="V92" s="142">
        <f>+Input!V330</f>
        <v>575.66000497191988</v>
      </c>
      <c r="W92" s="142">
        <f>+Input!W330</f>
        <v>445.3340713572826</v>
      </c>
      <c r="X92" s="142">
        <f>+Input!X330</f>
        <v>358.65792112628571</v>
      </c>
      <c r="Y92" s="142">
        <f>+Input!Y330</f>
        <v>337.86153077179063</v>
      </c>
      <c r="Z92" s="142">
        <f>+Input!Z330</f>
        <v>344.77629244595983</v>
      </c>
      <c r="AA92" s="142"/>
      <c r="AB92" s="143"/>
      <c r="AC92" s="143"/>
      <c r="AD92" s="143"/>
      <c r="AE92" s="143"/>
      <c r="AF92" s="143"/>
      <c r="AG92" s="143"/>
      <c r="AH92" s="143"/>
      <c r="AI92" s="143"/>
      <c r="AJ92" s="143"/>
      <c r="AK92" s="143"/>
      <c r="AL92" s="143"/>
      <c r="AM92" s="143"/>
      <c r="AN92" s="143"/>
      <c r="AO92" s="143"/>
      <c r="AP92" s="143"/>
      <c r="AQ92" s="143"/>
      <c r="AR92" s="143"/>
      <c r="AS92" s="143"/>
      <c r="AT92" s="143"/>
      <c r="AU92" s="143"/>
      <c r="AV92" s="143"/>
      <c r="AW92" s="143"/>
      <c r="AX92" s="143"/>
      <c r="AY92" s="143"/>
      <c r="AZ92" s="143"/>
      <c r="BA92" s="143"/>
    </row>
    <row r="93" spans="1:53">
      <c r="A93" s="573"/>
      <c r="B93" s="650"/>
      <c r="C93" s="639" t="s">
        <v>637</v>
      </c>
      <c r="D93" s="593"/>
      <c r="E93" s="593"/>
      <c r="F93" s="593"/>
      <c r="G93" s="593"/>
      <c r="H93" s="593"/>
      <c r="I93" s="593"/>
      <c r="J93" s="593"/>
      <c r="K93" s="593"/>
      <c r="L93" s="593"/>
      <c r="M93" s="593"/>
      <c r="N93" s="593"/>
      <c r="O93" s="593"/>
      <c r="P93" s="649"/>
      <c r="Q93" s="597"/>
      <c r="R93" s="597"/>
      <c r="S93" s="597"/>
      <c r="T93" s="597"/>
      <c r="U93" s="597"/>
      <c r="V93" s="597"/>
      <c r="W93" s="597"/>
      <c r="X93" s="597"/>
      <c r="Y93" s="597"/>
      <c r="Z93" s="597"/>
      <c r="AA93" s="597"/>
      <c r="AB93" s="597"/>
      <c r="AC93" s="597"/>
      <c r="AD93" s="597"/>
      <c r="AE93" s="597"/>
      <c r="AF93" s="597"/>
      <c r="AG93" s="597"/>
      <c r="AH93" s="597"/>
      <c r="AI93" s="597"/>
      <c r="AJ93" s="597"/>
      <c r="AK93" s="597"/>
      <c r="AL93" s="597"/>
      <c r="AM93" s="597"/>
      <c r="AN93" s="597"/>
      <c r="AO93" s="597"/>
      <c r="AP93" s="597"/>
      <c r="AQ93" s="597"/>
      <c r="AR93" s="597"/>
      <c r="AS93" s="597"/>
      <c r="AT93" s="597"/>
      <c r="AU93" s="597"/>
      <c r="AV93" s="597"/>
      <c r="AW93" s="597"/>
      <c r="AX93" s="597"/>
      <c r="AY93" s="597"/>
      <c r="AZ93" s="597"/>
      <c r="BA93" s="597"/>
    </row>
    <row r="94" spans="1:53">
      <c r="A94" s="573"/>
      <c r="B94" s="650"/>
      <c r="C94" s="639" t="s">
        <v>638</v>
      </c>
      <c r="D94" s="593"/>
      <c r="E94" s="593"/>
      <c r="F94" s="593"/>
      <c r="G94" s="593"/>
      <c r="H94" s="593"/>
      <c r="I94" s="593"/>
      <c r="J94" s="593"/>
      <c r="K94" s="593"/>
      <c r="L94" s="593"/>
      <c r="M94" s="593"/>
      <c r="N94" s="593"/>
      <c r="O94" s="593"/>
      <c r="P94" s="649"/>
      <c r="Q94" s="597"/>
      <c r="R94" s="597"/>
      <c r="S94" s="597"/>
      <c r="T94" s="597"/>
      <c r="U94" s="597"/>
      <c r="V94" s="597"/>
      <c r="W94" s="597"/>
      <c r="X94" s="597"/>
      <c r="Y94" s="597"/>
      <c r="Z94" s="597"/>
      <c r="AA94" s="597"/>
      <c r="AB94" s="597"/>
      <c r="AC94" s="597"/>
      <c r="AD94" s="597"/>
      <c r="AE94" s="597"/>
      <c r="AF94" s="597"/>
      <c r="AG94" s="597"/>
      <c r="AH94" s="597"/>
      <c r="AI94" s="597"/>
      <c r="AJ94" s="597"/>
      <c r="AK94" s="597"/>
      <c r="AL94" s="597"/>
      <c r="AM94" s="597"/>
      <c r="AN94" s="597"/>
      <c r="AO94" s="597"/>
      <c r="AP94" s="597"/>
      <c r="AQ94" s="597"/>
      <c r="AR94" s="597"/>
      <c r="AS94" s="597"/>
      <c r="AT94" s="597"/>
      <c r="AU94" s="597"/>
      <c r="AV94" s="597"/>
      <c r="AW94" s="597"/>
      <c r="AX94" s="597"/>
      <c r="AY94" s="597"/>
      <c r="AZ94" s="597"/>
      <c r="BA94" s="597"/>
    </row>
    <row r="95" spans="1:53">
      <c r="A95" s="573"/>
      <c r="B95" s="650"/>
      <c r="C95" s="639" t="s">
        <v>639</v>
      </c>
      <c r="D95" s="593"/>
      <c r="E95" s="593"/>
      <c r="F95" s="593"/>
      <c r="G95" s="593"/>
      <c r="H95" s="593"/>
      <c r="I95" s="593"/>
      <c r="J95" s="593"/>
      <c r="K95" s="593"/>
      <c r="L95" s="593"/>
      <c r="M95" s="593"/>
      <c r="N95" s="593"/>
      <c r="O95" s="593"/>
      <c r="P95" s="649"/>
      <c r="Q95" s="597"/>
      <c r="R95" s="597"/>
      <c r="S95" s="597"/>
      <c r="T95" s="597"/>
      <c r="U95" s="597"/>
      <c r="V95" s="597"/>
      <c r="W95" s="597"/>
      <c r="X95" s="597"/>
      <c r="Y95" s="597"/>
      <c r="Z95" s="597"/>
      <c r="AA95" s="597"/>
      <c r="AB95" s="597"/>
      <c r="AC95" s="597"/>
      <c r="AD95" s="597"/>
      <c r="AE95" s="597"/>
      <c r="AF95" s="597"/>
      <c r="AG95" s="597"/>
      <c r="AH95" s="597"/>
      <c r="AI95" s="597"/>
      <c r="AJ95" s="597"/>
      <c r="AK95" s="597"/>
      <c r="AL95" s="597"/>
      <c r="AM95" s="597"/>
      <c r="AN95" s="597"/>
      <c r="AO95" s="597"/>
      <c r="AP95" s="597"/>
      <c r="AQ95" s="597"/>
      <c r="AR95" s="597"/>
      <c r="AS95" s="597"/>
      <c r="AT95" s="597"/>
      <c r="AU95" s="597"/>
      <c r="AV95" s="597"/>
      <c r="AW95" s="597"/>
      <c r="AX95" s="597"/>
      <c r="AY95" s="597"/>
      <c r="AZ95" s="597"/>
      <c r="BA95" s="597"/>
    </row>
    <row r="96" spans="1:53">
      <c r="A96" s="86">
        <v>21</v>
      </c>
      <c r="B96" s="87" t="s">
        <v>640</v>
      </c>
      <c r="C96" s="87" t="s">
        <v>529</v>
      </c>
      <c r="D96" s="89"/>
      <c r="E96" s="89"/>
      <c r="F96" s="89"/>
      <c r="G96" s="89"/>
      <c r="H96" s="89"/>
      <c r="I96" s="89"/>
      <c r="J96" s="90"/>
      <c r="K96" s="90">
        <f>Input!K336</f>
        <v>0</v>
      </c>
      <c r="L96" s="90">
        <f>Input!L336</f>
        <v>0</v>
      </c>
      <c r="M96" s="90">
        <f>Input!M336</f>
        <v>0</v>
      </c>
      <c r="N96" s="90">
        <f>Input!N336</f>
        <v>0</v>
      </c>
      <c r="O96" s="90">
        <f>Input!O336</f>
        <v>0</v>
      </c>
      <c r="P96" s="568">
        <f>Input!P336</f>
        <v>0</v>
      </c>
      <c r="Q96" s="142">
        <f>Input!Q336</f>
        <v>0</v>
      </c>
      <c r="R96" s="142">
        <f>Input!R336</f>
        <v>0</v>
      </c>
      <c r="S96" s="142">
        <f>Input!S336</f>
        <v>0</v>
      </c>
      <c r="T96" s="142">
        <f>Input!T336</f>
        <v>0</v>
      </c>
      <c r="U96" s="142">
        <f>Input!U336</f>
        <v>0</v>
      </c>
      <c r="V96" s="142">
        <f>Input!V336</f>
        <v>0</v>
      </c>
      <c r="W96" s="142">
        <f>Input!W336</f>
        <v>0</v>
      </c>
      <c r="X96" s="142">
        <f>Input!X336</f>
        <v>0</v>
      </c>
      <c r="Y96" s="142">
        <f>Input!Y336</f>
        <v>0</v>
      </c>
      <c r="Z96" s="142">
        <f>Input!Z336</f>
        <v>0</v>
      </c>
      <c r="AA96" s="142"/>
      <c r="AB96" s="143"/>
      <c r="AC96" s="143"/>
      <c r="AD96" s="143"/>
      <c r="AE96" s="143"/>
      <c r="AF96" s="143"/>
      <c r="AG96" s="143"/>
      <c r="AH96" s="143"/>
      <c r="AI96" s="143"/>
      <c r="AJ96" s="143"/>
      <c r="AK96" s="143"/>
      <c r="AL96" s="143"/>
      <c r="AM96" s="143"/>
      <c r="AN96" s="143"/>
      <c r="AO96" s="143"/>
      <c r="AP96" s="143"/>
      <c r="AQ96" s="143"/>
      <c r="AR96" s="143"/>
      <c r="AS96" s="143"/>
      <c r="AT96" s="143"/>
      <c r="AU96" s="143"/>
      <c r="AV96" s="143"/>
      <c r="AW96" s="143"/>
      <c r="AX96" s="143"/>
      <c r="AY96" s="143"/>
      <c r="AZ96" s="143"/>
      <c r="BA96" s="143"/>
    </row>
    <row r="97" spans="1:53">
      <c r="A97" s="86">
        <v>23</v>
      </c>
      <c r="B97" s="651" t="s">
        <v>641</v>
      </c>
      <c r="C97" s="651" t="s">
        <v>536</v>
      </c>
      <c r="D97" s="89"/>
      <c r="E97" s="89"/>
      <c r="F97" s="89"/>
      <c r="G97" s="89"/>
      <c r="H97" s="89"/>
      <c r="I97" s="89"/>
      <c r="J97" s="90"/>
      <c r="K97" s="90">
        <f>Input!K347</f>
        <v>137.79715404599995</v>
      </c>
      <c r="L97" s="90">
        <f>Input!L347</f>
        <v>203.819014815</v>
      </c>
      <c r="M97" s="90">
        <f>Input!M347</f>
        <v>404.73717331400002</v>
      </c>
      <c r="N97" s="90">
        <f>Input!N347</f>
        <v>685.92743615300003</v>
      </c>
      <c r="O97" s="90">
        <f>Input!O347</f>
        <v>754.36092400999996</v>
      </c>
      <c r="P97" s="568">
        <f>Input!P347</f>
        <v>751.41312760000005</v>
      </c>
      <c r="Q97" s="142">
        <f>Input!Q347</f>
        <v>728.56491970698278</v>
      </c>
      <c r="R97" s="142">
        <f>Input!R347</f>
        <v>830.24173762573196</v>
      </c>
      <c r="S97" s="142">
        <f>Input!S347</f>
        <v>910.14162344567421</v>
      </c>
      <c r="T97" s="142">
        <f>Input!T347</f>
        <v>1097.4342471955927</v>
      </c>
      <c r="U97" s="142">
        <f>Input!U347</f>
        <v>1084.0537994948738</v>
      </c>
      <c r="V97" s="142">
        <f>Input!V347</f>
        <v>979.17552859989325</v>
      </c>
      <c r="W97" s="142">
        <f>Input!W347</f>
        <v>976.76408958418608</v>
      </c>
      <c r="X97" s="142">
        <f>Input!X347</f>
        <v>1017.8855211633892</v>
      </c>
      <c r="Y97" s="142">
        <f>Input!Y347</f>
        <v>1081.4308550618584</v>
      </c>
      <c r="Z97" s="142">
        <f>Input!Z347</f>
        <v>1097.4854265784545</v>
      </c>
      <c r="AA97" s="142"/>
      <c r="AB97" s="143"/>
      <c r="AC97" s="143"/>
      <c r="AD97" s="143"/>
      <c r="AE97" s="143"/>
      <c r="AF97" s="143"/>
      <c r="AG97" s="143"/>
      <c r="AH97" s="143"/>
      <c r="AI97" s="143"/>
      <c r="AJ97" s="143"/>
      <c r="AK97" s="143"/>
      <c r="AL97" s="143"/>
      <c r="AM97" s="143"/>
      <c r="AN97" s="143"/>
      <c r="AO97" s="143"/>
      <c r="AP97" s="143"/>
      <c r="AQ97" s="143"/>
      <c r="AR97" s="143"/>
      <c r="AS97" s="143"/>
      <c r="AT97" s="143"/>
      <c r="AU97" s="143"/>
      <c r="AV97" s="143"/>
      <c r="AW97" s="143"/>
      <c r="AX97" s="143"/>
      <c r="AY97" s="143"/>
      <c r="AZ97" s="143"/>
      <c r="BA97" s="143"/>
    </row>
    <row r="98" spans="1:53">
      <c r="A98" s="86"/>
      <c r="B98" s="652" t="s">
        <v>642</v>
      </c>
      <c r="C98" s="652" t="s">
        <v>643</v>
      </c>
      <c r="D98" s="653"/>
      <c r="E98" s="653"/>
      <c r="F98" s="653"/>
      <c r="G98" s="653"/>
      <c r="H98" s="653"/>
      <c r="I98" s="653"/>
      <c r="J98" s="654"/>
      <c r="K98" s="654">
        <f>K91+K92+K96+K97</f>
        <v>766.26964928699999</v>
      </c>
      <c r="L98" s="654">
        <f t="shared" ref="L98:Q98" si="35">L91+L92+L96+L97</f>
        <v>340.88123690800001</v>
      </c>
      <c r="M98" s="654">
        <f t="shared" si="35"/>
        <v>407.41351684599999</v>
      </c>
      <c r="N98" s="654">
        <f t="shared" si="35"/>
        <v>686.97591765300001</v>
      </c>
      <c r="O98" s="654">
        <f t="shared" si="35"/>
        <v>757.32540388500001</v>
      </c>
      <c r="P98" s="655">
        <f t="shared" si="35"/>
        <v>870.94062365100001</v>
      </c>
      <c r="Q98" s="656">
        <f t="shared" si="35"/>
        <v>1079.6660584516108</v>
      </c>
      <c r="R98" s="656">
        <f t="shared" ref="R98:Y98" si="36">R91+R92+R96+R97</f>
        <v>1327.249817744975</v>
      </c>
      <c r="S98" s="656">
        <f t="shared" si="36"/>
        <v>1493.8568343689687</v>
      </c>
      <c r="T98" s="656">
        <f t="shared" si="36"/>
        <v>1911.7515570691467</v>
      </c>
      <c r="U98" s="656">
        <f t="shared" si="36"/>
        <v>1795.5778162845863</v>
      </c>
      <c r="V98" s="656">
        <f t="shared" si="36"/>
        <v>1554.8355335718131</v>
      </c>
      <c r="W98" s="656">
        <f t="shared" si="36"/>
        <v>1422.0981609414687</v>
      </c>
      <c r="X98" s="656">
        <f t="shared" si="36"/>
        <v>1376.5434422896749</v>
      </c>
      <c r="Y98" s="656">
        <f t="shared" si="36"/>
        <v>1419.292385833649</v>
      </c>
      <c r="Z98" s="656">
        <f t="shared" ref="Z98" si="37">Z91+Z92+Z96+Z97</f>
        <v>1442.2617190244143</v>
      </c>
      <c r="AA98" s="656"/>
      <c r="AB98" s="657"/>
      <c r="AC98" s="657"/>
      <c r="AD98" s="657"/>
      <c r="AE98" s="657"/>
      <c r="AF98" s="657"/>
      <c r="AG98" s="657"/>
      <c r="AH98" s="657"/>
      <c r="AI98" s="657"/>
      <c r="AJ98" s="657"/>
      <c r="AK98" s="657"/>
      <c r="AL98" s="657"/>
      <c r="AM98" s="657"/>
      <c r="AN98" s="657"/>
      <c r="AO98" s="657"/>
      <c r="AP98" s="657"/>
      <c r="AQ98" s="657"/>
      <c r="AR98" s="657"/>
      <c r="AS98" s="657"/>
      <c r="AT98" s="657"/>
      <c r="AU98" s="657"/>
      <c r="AV98" s="657"/>
      <c r="AW98" s="657"/>
      <c r="AX98" s="657"/>
      <c r="AY98" s="657"/>
      <c r="AZ98" s="657"/>
      <c r="BA98" s="657"/>
    </row>
    <row r="99" spans="1:53" ht="13.8" thickBot="1">
      <c r="A99" s="86"/>
      <c r="B99" s="406" t="s">
        <v>644</v>
      </c>
      <c r="C99" s="406" t="s">
        <v>645</v>
      </c>
      <c r="D99" s="408"/>
      <c r="E99" s="408"/>
      <c r="F99" s="408"/>
      <c r="G99" s="408"/>
      <c r="H99" s="408"/>
      <c r="I99" s="408"/>
      <c r="J99" s="409"/>
      <c r="K99" s="409">
        <f>K98+K88</f>
        <v>4066.2675026669999</v>
      </c>
      <c r="L99" s="409">
        <f t="shared" ref="L99:Q99" si="38">L98+L88</f>
        <v>2391.033021663</v>
      </c>
      <c r="M99" s="409">
        <f t="shared" si="38"/>
        <v>3594.0240595390005</v>
      </c>
      <c r="N99" s="409">
        <f t="shared" si="38"/>
        <v>3561.4119034959999</v>
      </c>
      <c r="O99" s="409">
        <f t="shared" si="38"/>
        <v>5274.5831931410003</v>
      </c>
      <c r="P99" s="2633">
        <f t="shared" si="38"/>
        <v>5551.670737163</v>
      </c>
      <c r="Q99" s="410">
        <f t="shared" ca="1" si="38"/>
        <v>6664.10857546445</v>
      </c>
      <c r="R99" s="410">
        <f t="shared" ref="R99:Y99" ca="1" si="39">R98+R88</f>
        <v>6932.1488371950463</v>
      </c>
      <c r="S99" s="410">
        <f t="shared" ca="1" si="39"/>
        <v>7180.0111798205189</v>
      </c>
      <c r="T99" s="410">
        <f t="shared" ca="1" si="39"/>
        <v>8786.2945365719133</v>
      </c>
      <c r="U99" s="410">
        <f t="shared" ca="1" si="39"/>
        <v>8749.406646804915</v>
      </c>
      <c r="V99" s="410">
        <f t="shared" ca="1" si="39"/>
        <v>7793.0509244334044</v>
      </c>
      <c r="W99" s="410">
        <f t="shared" ca="1" si="39"/>
        <v>7684.8037061454088</v>
      </c>
      <c r="X99" s="410">
        <f t="shared" ca="1" si="39"/>
        <v>7799.9584789970149</v>
      </c>
      <c r="Y99" s="410">
        <f t="shared" ca="1" si="39"/>
        <v>8133.1937128579311</v>
      </c>
      <c r="Z99" s="410">
        <f t="shared" ref="Z99" ca="1" si="40">Z98+Z88</f>
        <v>8266.2812582992356</v>
      </c>
      <c r="AA99" s="410"/>
      <c r="AB99" s="411"/>
      <c r="AC99" s="411"/>
      <c r="AD99" s="411"/>
      <c r="AE99" s="411"/>
      <c r="AF99" s="411"/>
      <c r="AG99" s="411"/>
      <c r="AH99" s="411"/>
      <c r="AI99" s="411"/>
      <c r="AJ99" s="411"/>
      <c r="AK99" s="411"/>
      <c r="AL99" s="411"/>
      <c r="AM99" s="411"/>
      <c r="AN99" s="411"/>
      <c r="AO99" s="411"/>
      <c r="AP99" s="411"/>
      <c r="AQ99" s="411"/>
      <c r="AR99" s="411"/>
      <c r="AS99" s="411"/>
      <c r="AT99" s="411"/>
      <c r="AU99" s="411"/>
      <c r="AV99" s="411"/>
      <c r="AW99" s="411"/>
      <c r="AX99" s="411"/>
      <c r="AY99" s="411"/>
      <c r="AZ99" s="411"/>
      <c r="BA99" s="411"/>
    </row>
    <row r="100" spans="1:53" s="641" customFormat="1" ht="13.8" thickTop="1">
      <c r="A100" s="573"/>
      <c r="B100" s="416" t="s">
        <v>604</v>
      </c>
      <c r="C100" s="416"/>
      <c r="D100" s="500"/>
      <c r="E100" s="500"/>
      <c r="F100" s="500"/>
      <c r="G100" s="500"/>
      <c r="H100" s="500"/>
      <c r="I100" s="500"/>
      <c r="J100" s="501"/>
      <c r="K100" s="501">
        <f>K99-Input!K353</f>
        <v>0</v>
      </c>
      <c r="L100" s="501">
        <f>L99-Input!L353</f>
        <v>0</v>
      </c>
      <c r="M100" s="501">
        <f>M99-Input!M353</f>
        <v>0</v>
      </c>
      <c r="N100" s="501">
        <f>N99-Input!N353</f>
        <v>0</v>
      </c>
      <c r="O100" s="501">
        <f>O99-Input!O353</f>
        <v>0</v>
      </c>
      <c r="P100" s="2634">
        <f>P99-Input!P353</f>
        <v>0</v>
      </c>
      <c r="Q100" s="1468">
        <f ca="1">Q99-Input!Q353</f>
        <v>0</v>
      </c>
      <c r="R100" s="1468">
        <f ca="1">R99-Input!R353</f>
        <v>0</v>
      </c>
      <c r="S100" s="1468">
        <f ca="1">S99-Input!S353</f>
        <v>0</v>
      </c>
      <c r="T100" s="1468">
        <f ca="1">T99-Input!T353</f>
        <v>0</v>
      </c>
      <c r="U100" s="1468">
        <f ca="1">U99-Input!U353</f>
        <v>0</v>
      </c>
      <c r="V100" s="1468">
        <f ca="1">V99-Input!V353</f>
        <v>0</v>
      </c>
      <c r="W100" s="1468">
        <f ca="1">W99-Input!W353</f>
        <v>0</v>
      </c>
      <c r="X100" s="1468">
        <f ca="1">X99-Input!X353</f>
        <v>0</v>
      </c>
      <c r="Y100" s="1468">
        <f ca="1">Y99-Input!Y353</f>
        <v>0</v>
      </c>
      <c r="Z100" s="1468">
        <f ca="1">Z99-Input!Z353</f>
        <v>0</v>
      </c>
      <c r="AA100" s="1468"/>
      <c r="AB100" s="1486"/>
      <c r="AC100" s="1486"/>
      <c r="AD100" s="1486"/>
      <c r="AE100" s="1486"/>
      <c r="AF100" s="1486"/>
      <c r="AG100" s="1486"/>
      <c r="AH100" s="1486"/>
      <c r="AI100" s="1486"/>
      <c r="AJ100" s="1486"/>
      <c r="AK100" s="1486"/>
      <c r="AL100" s="1486"/>
      <c r="AM100" s="1486"/>
      <c r="AN100" s="1486"/>
      <c r="AO100" s="1486"/>
      <c r="AP100" s="1486"/>
      <c r="AQ100" s="1486"/>
      <c r="AR100" s="1486"/>
      <c r="AS100" s="1486"/>
      <c r="AT100" s="1486"/>
      <c r="AU100" s="1486"/>
      <c r="AV100" s="1486"/>
      <c r="AW100" s="1486"/>
      <c r="AX100" s="1486"/>
      <c r="AY100" s="1486"/>
      <c r="AZ100" s="1486"/>
      <c r="BA100" s="1486"/>
    </row>
    <row r="101" spans="1:53">
      <c r="A101" s="555"/>
      <c r="B101" s="658"/>
      <c r="C101" s="658"/>
      <c r="D101" s="659"/>
      <c r="E101" s="659"/>
      <c r="F101" s="659"/>
      <c r="G101" s="659"/>
      <c r="H101" s="659"/>
      <c r="I101" s="659"/>
      <c r="J101" s="659"/>
      <c r="K101" s="659"/>
      <c r="L101" s="659"/>
      <c r="M101" s="659"/>
      <c r="N101" s="659"/>
      <c r="O101" s="659"/>
      <c r="P101" s="660"/>
      <c r="Q101" s="659"/>
      <c r="R101" s="659"/>
      <c r="S101" s="659"/>
      <c r="T101" s="659"/>
      <c r="U101" s="659"/>
      <c r="V101" s="659"/>
      <c r="W101" s="659"/>
      <c r="X101" s="659"/>
      <c r="Y101" s="659"/>
      <c r="Z101" s="659"/>
      <c r="AA101" s="1481"/>
      <c r="AB101" s="1481"/>
      <c r="AC101" s="1481"/>
      <c r="AD101" s="1481"/>
      <c r="AE101" s="1481"/>
      <c r="AF101" s="1481"/>
      <c r="AG101" s="1481"/>
      <c r="AH101" s="1481"/>
      <c r="AI101" s="1481"/>
      <c r="AJ101" s="1481"/>
      <c r="AK101" s="1481"/>
      <c r="AL101" s="1481"/>
      <c r="AM101" s="1481"/>
      <c r="AN101" s="1481"/>
      <c r="AO101" s="1481"/>
      <c r="AP101" s="1481"/>
      <c r="AQ101" s="1481"/>
      <c r="AR101" s="1481"/>
      <c r="AS101" s="1481"/>
      <c r="AT101" s="1481"/>
      <c r="AU101" s="1481"/>
      <c r="AV101" s="1481"/>
      <c r="AW101" s="1481"/>
      <c r="AX101" s="1481"/>
      <c r="AY101" s="1481"/>
      <c r="AZ101" s="1481"/>
      <c r="BA101" s="1481"/>
    </row>
    <row r="102" spans="1:53">
      <c r="A102" s="86"/>
      <c r="B102" s="122" t="s">
        <v>646</v>
      </c>
      <c r="C102" s="122" t="s">
        <v>540</v>
      </c>
      <c r="D102" s="89"/>
      <c r="E102" s="89"/>
      <c r="F102" s="89"/>
      <c r="G102" s="89"/>
      <c r="H102" s="89"/>
      <c r="I102" s="89"/>
      <c r="J102" s="89"/>
      <c r="K102" s="89"/>
      <c r="L102" s="89"/>
      <c r="M102" s="89"/>
      <c r="N102" s="89"/>
      <c r="O102" s="89"/>
      <c r="P102" s="188"/>
      <c r="Q102" s="89"/>
      <c r="R102" s="89"/>
      <c r="S102" s="89"/>
      <c r="T102" s="89"/>
      <c r="U102" s="89"/>
      <c r="V102" s="89"/>
      <c r="W102" s="89"/>
      <c r="X102" s="89"/>
      <c r="Y102" s="89"/>
      <c r="Z102" s="89"/>
      <c r="AA102" s="143"/>
      <c r="AB102" s="143"/>
      <c r="AC102" s="143"/>
      <c r="AD102" s="143"/>
      <c r="AE102" s="143"/>
      <c r="AF102" s="143"/>
      <c r="AG102" s="143"/>
      <c r="AH102" s="143"/>
      <c r="AI102" s="143"/>
      <c r="AJ102" s="143"/>
      <c r="AK102" s="143"/>
      <c r="AL102" s="143"/>
      <c r="AM102" s="143"/>
      <c r="AN102" s="143"/>
      <c r="AO102" s="143"/>
      <c r="AP102" s="143"/>
      <c r="AQ102" s="143"/>
      <c r="AR102" s="143"/>
      <c r="AS102" s="143"/>
      <c r="AT102" s="143"/>
      <c r="AU102" s="143"/>
      <c r="AV102" s="143"/>
      <c r="AW102" s="143"/>
      <c r="AX102" s="143"/>
      <c r="AY102" s="143"/>
      <c r="AZ102" s="143"/>
      <c r="BA102" s="143"/>
    </row>
    <row r="103" spans="1:53">
      <c r="A103" s="86">
        <v>24</v>
      </c>
      <c r="B103" s="87" t="s">
        <v>595</v>
      </c>
      <c r="C103" s="87" t="s">
        <v>543</v>
      </c>
      <c r="D103" s="89"/>
      <c r="E103" s="89"/>
      <c r="F103" s="89"/>
      <c r="G103" s="89"/>
      <c r="H103" s="89"/>
      <c r="I103" s="89"/>
      <c r="J103" s="90"/>
      <c r="K103" s="90">
        <f>Input!K359</f>
        <v>27.277893347999999</v>
      </c>
      <c r="L103" s="90">
        <f>Input!L359</f>
        <v>26.347426104</v>
      </c>
      <c r="M103" s="90">
        <f>Input!M359</f>
        <v>26.588184510000001</v>
      </c>
      <c r="N103" s="90">
        <f>Input!N359</f>
        <v>29.143335456999999</v>
      </c>
      <c r="O103" s="90">
        <f>Input!O359</f>
        <v>27.591065852</v>
      </c>
      <c r="P103" s="568">
        <f>Input!P359</f>
        <v>32.786197180000002</v>
      </c>
      <c r="Q103" s="142">
        <f ca="1">Input!Q359</f>
        <v>48.149162311134603</v>
      </c>
      <c r="R103" s="142">
        <f ca="1">Input!R359</f>
        <v>45.498539888053095</v>
      </c>
      <c r="S103" s="142">
        <f ca="1">Input!S359</f>
        <v>55.382793734507047</v>
      </c>
      <c r="T103" s="142">
        <f ca="1">Input!T359</f>
        <v>97.66230743771861</v>
      </c>
      <c r="U103" s="142">
        <f ca="1">Input!U359</f>
        <v>80.745424434172804</v>
      </c>
      <c r="V103" s="142">
        <f ca="1">Input!V359</f>
        <v>68.905249931371188</v>
      </c>
      <c r="W103" s="142">
        <f ca="1">Input!W359</f>
        <v>67.865637208497702</v>
      </c>
      <c r="X103" s="142">
        <f ca="1">Input!X359</f>
        <v>76.649715897064851</v>
      </c>
      <c r="Y103" s="142">
        <f ca="1">Input!Y359</f>
        <v>89.450094767857664</v>
      </c>
      <c r="Z103" s="142">
        <f ca="1">Input!Z359</f>
        <v>87.922377717965901</v>
      </c>
      <c r="AA103" s="142"/>
      <c r="AB103" s="143"/>
      <c r="AC103" s="143"/>
      <c r="AD103" s="143"/>
      <c r="AE103" s="143"/>
      <c r="AF103" s="143"/>
      <c r="AG103" s="143"/>
      <c r="AH103" s="143"/>
      <c r="AI103" s="143"/>
      <c r="AJ103" s="143"/>
      <c r="AK103" s="143"/>
      <c r="AL103" s="143"/>
      <c r="AM103" s="143"/>
      <c r="AN103" s="143"/>
      <c r="AO103" s="143"/>
      <c r="AP103" s="143"/>
      <c r="AQ103" s="143"/>
      <c r="AR103" s="143"/>
      <c r="AS103" s="143"/>
      <c r="AT103" s="143"/>
      <c r="AU103" s="143"/>
      <c r="AV103" s="143"/>
      <c r="AW103" s="143"/>
      <c r="AX103" s="143"/>
      <c r="AY103" s="143"/>
      <c r="AZ103" s="143"/>
      <c r="BA103" s="143"/>
    </row>
    <row r="104" spans="1:53">
      <c r="A104" s="86"/>
      <c r="B104" s="87"/>
      <c r="C104" s="87"/>
      <c r="D104" s="89"/>
      <c r="E104" s="89"/>
      <c r="F104" s="89"/>
      <c r="G104" s="89"/>
      <c r="H104" s="89"/>
      <c r="I104" s="89"/>
      <c r="J104" s="89"/>
      <c r="K104" s="89"/>
      <c r="L104" s="89"/>
      <c r="M104" s="89"/>
      <c r="N104" s="89"/>
      <c r="O104" s="89"/>
      <c r="P104" s="188"/>
      <c r="Q104" s="143"/>
      <c r="R104" s="143"/>
      <c r="S104" s="143"/>
      <c r="T104" s="143"/>
      <c r="U104" s="143"/>
      <c r="V104" s="143"/>
      <c r="W104" s="143"/>
      <c r="X104" s="143"/>
      <c r="Y104" s="143"/>
      <c r="Z104" s="143"/>
      <c r="AA104" s="143"/>
      <c r="AB104" s="143"/>
      <c r="AC104" s="143"/>
      <c r="AD104" s="143"/>
      <c r="AE104" s="143"/>
      <c r="AF104" s="143"/>
      <c r="AG104" s="143"/>
      <c r="AH104" s="143"/>
      <c r="AI104" s="143"/>
      <c r="AJ104" s="143"/>
      <c r="AK104" s="143"/>
      <c r="AL104" s="143"/>
      <c r="AM104" s="143"/>
      <c r="AN104" s="143"/>
      <c r="AO104" s="143"/>
      <c r="AP104" s="143"/>
      <c r="AQ104" s="143"/>
      <c r="AR104" s="143"/>
      <c r="AS104" s="143"/>
      <c r="AT104" s="143"/>
      <c r="AU104" s="143"/>
      <c r="AV104" s="143"/>
      <c r="AW104" s="143"/>
      <c r="AX104" s="143"/>
      <c r="AY104" s="143"/>
      <c r="AZ104" s="143"/>
      <c r="BA104" s="143"/>
    </row>
    <row r="105" spans="1:53">
      <c r="A105" s="86"/>
      <c r="B105" s="122" t="s">
        <v>129</v>
      </c>
      <c r="C105" s="122" t="s">
        <v>544</v>
      </c>
      <c r="D105" s="89"/>
      <c r="E105" s="89"/>
      <c r="F105" s="89"/>
      <c r="G105" s="89"/>
      <c r="H105" s="89"/>
      <c r="I105" s="89"/>
      <c r="J105" s="89"/>
      <c r="K105" s="89"/>
      <c r="L105" s="89"/>
      <c r="M105" s="89"/>
      <c r="N105" s="89"/>
      <c r="O105" s="89"/>
      <c r="P105" s="188"/>
      <c r="Q105" s="143"/>
      <c r="R105" s="143"/>
      <c r="S105" s="143"/>
      <c r="T105" s="143"/>
      <c r="U105" s="143"/>
      <c r="V105" s="143"/>
      <c r="W105" s="143"/>
      <c r="X105" s="143"/>
      <c r="Y105" s="143"/>
      <c r="Z105" s="143"/>
      <c r="AA105" s="143"/>
      <c r="AB105" s="143"/>
      <c r="AC105" s="143"/>
      <c r="AD105" s="143"/>
      <c r="AE105" s="143"/>
      <c r="AF105" s="143"/>
      <c r="AG105" s="143"/>
      <c r="AH105" s="143"/>
      <c r="AI105" s="143"/>
      <c r="AJ105" s="143"/>
      <c r="AK105" s="143"/>
      <c r="AL105" s="143"/>
      <c r="AM105" s="143"/>
      <c r="AN105" s="143"/>
      <c r="AO105" s="143"/>
      <c r="AP105" s="143"/>
      <c r="AQ105" s="143"/>
      <c r="AR105" s="143"/>
      <c r="AS105" s="143"/>
      <c r="AT105" s="143"/>
      <c r="AU105" s="143"/>
      <c r="AV105" s="143"/>
      <c r="AW105" s="143"/>
      <c r="AX105" s="143"/>
      <c r="AY105" s="143"/>
      <c r="AZ105" s="143"/>
      <c r="BA105" s="143"/>
    </row>
    <row r="106" spans="1:53">
      <c r="A106" s="86">
        <v>25</v>
      </c>
      <c r="B106" s="87" t="s">
        <v>647</v>
      </c>
      <c r="C106" s="87" t="s">
        <v>548</v>
      </c>
      <c r="D106" s="89"/>
      <c r="E106" s="89"/>
      <c r="F106" s="89"/>
      <c r="G106" s="89"/>
      <c r="H106" s="89"/>
      <c r="I106" s="89"/>
      <c r="J106" s="90"/>
      <c r="K106" s="90">
        <f>Input!K366</f>
        <v>0</v>
      </c>
      <c r="L106" s="90">
        <f>Input!L366</f>
        <v>0</v>
      </c>
      <c r="M106" s="90">
        <f>Input!M366</f>
        <v>0</v>
      </c>
      <c r="N106" s="90">
        <f>Input!N366</f>
        <v>0</v>
      </c>
      <c r="O106" s="90">
        <f>Input!O366</f>
        <v>0</v>
      </c>
      <c r="P106" s="568">
        <f>Input!P366</f>
        <v>0</v>
      </c>
      <c r="Q106" s="142">
        <f>Input!Q366</f>
        <v>0</v>
      </c>
      <c r="R106" s="142">
        <f>Input!R366</f>
        <v>0</v>
      </c>
      <c r="S106" s="142">
        <f>Input!S366</f>
        <v>0</v>
      </c>
      <c r="T106" s="142">
        <f>Input!T366</f>
        <v>0</v>
      </c>
      <c r="U106" s="142">
        <f>Input!U366</f>
        <v>0</v>
      </c>
      <c r="V106" s="142">
        <f>Input!V366</f>
        <v>0</v>
      </c>
      <c r="W106" s="142">
        <f>Input!W366</f>
        <v>0</v>
      </c>
      <c r="X106" s="142">
        <f>Input!X366</f>
        <v>0</v>
      </c>
      <c r="Y106" s="142">
        <f>Input!Y366</f>
        <v>0</v>
      </c>
      <c r="Z106" s="142">
        <f>Input!Z366</f>
        <v>0</v>
      </c>
      <c r="AA106" s="142"/>
      <c r="AB106" s="143"/>
      <c r="AC106" s="143"/>
      <c r="AD106" s="143"/>
      <c r="AE106" s="143"/>
      <c r="AF106" s="143"/>
      <c r="AG106" s="143"/>
      <c r="AH106" s="143"/>
      <c r="AI106" s="143"/>
      <c r="AJ106" s="143"/>
      <c r="AK106" s="143"/>
      <c r="AL106" s="143"/>
      <c r="AM106" s="143"/>
      <c r="AN106" s="143"/>
      <c r="AO106" s="143"/>
      <c r="AP106" s="143"/>
      <c r="AQ106" s="143"/>
      <c r="AR106" s="143"/>
      <c r="AS106" s="143"/>
      <c r="AT106" s="143"/>
      <c r="AU106" s="143"/>
      <c r="AV106" s="143"/>
      <c r="AW106" s="143"/>
      <c r="AX106" s="143"/>
      <c r="AY106" s="143"/>
      <c r="AZ106" s="143"/>
      <c r="BA106" s="143"/>
    </row>
    <row r="107" spans="1:53">
      <c r="A107" s="86">
        <v>26</v>
      </c>
      <c r="B107" s="87" t="s">
        <v>648</v>
      </c>
      <c r="C107" s="87" t="s">
        <v>551</v>
      </c>
      <c r="D107" s="89"/>
      <c r="E107" s="89"/>
      <c r="F107" s="89"/>
      <c r="G107" s="89"/>
      <c r="H107" s="89"/>
      <c r="I107" s="89"/>
      <c r="J107" s="90"/>
      <c r="K107" s="90">
        <f>+Input!K370</f>
        <v>5294</v>
      </c>
      <c r="L107" s="90">
        <f>+Input!L370</f>
        <v>5294</v>
      </c>
      <c r="M107" s="90">
        <f>+Input!M370</f>
        <v>5294</v>
      </c>
      <c r="N107" s="90">
        <f>+Input!N370</f>
        <v>5294</v>
      </c>
      <c r="O107" s="90">
        <f>+Input!O370</f>
        <v>5294</v>
      </c>
      <c r="P107" s="568">
        <f>+Input!P370</f>
        <v>5294</v>
      </c>
      <c r="Q107" s="142">
        <f>+Input!Q370</f>
        <v>5294</v>
      </c>
      <c r="R107" s="142">
        <f>+Input!R370</f>
        <v>5294</v>
      </c>
      <c r="S107" s="142">
        <f>+Input!S370</f>
        <v>5294</v>
      </c>
      <c r="T107" s="142">
        <f>+Input!T370</f>
        <v>5294</v>
      </c>
      <c r="U107" s="142">
        <f>+Input!U370</f>
        <v>5294</v>
      </c>
      <c r="V107" s="142">
        <f>+Input!V370</f>
        <v>5294</v>
      </c>
      <c r="W107" s="142">
        <f>+Input!W370</f>
        <v>5294</v>
      </c>
      <c r="X107" s="142">
        <f>+Input!X370</f>
        <v>5294</v>
      </c>
      <c r="Y107" s="142">
        <f>+Input!Y370</f>
        <v>5294</v>
      </c>
      <c r="Z107" s="142">
        <f>+Input!Z370</f>
        <v>5294</v>
      </c>
      <c r="AA107" s="142"/>
      <c r="AB107" s="143"/>
      <c r="AC107" s="143"/>
      <c r="AD107" s="143"/>
      <c r="AE107" s="143"/>
      <c r="AF107" s="143"/>
      <c r="AG107" s="143"/>
      <c r="AH107" s="143"/>
      <c r="AI107" s="143"/>
      <c r="AJ107" s="143"/>
      <c r="AK107" s="143"/>
      <c r="AL107" s="143"/>
      <c r="AM107" s="143"/>
      <c r="AN107" s="143"/>
      <c r="AO107" s="143"/>
      <c r="AP107" s="143"/>
      <c r="AQ107" s="143"/>
      <c r="AR107" s="143"/>
      <c r="AS107" s="143"/>
      <c r="AT107" s="143"/>
      <c r="AU107" s="143"/>
      <c r="AV107" s="143"/>
      <c r="AW107" s="143"/>
      <c r="AX107" s="143"/>
      <c r="AY107" s="143"/>
      <c r="AZ107" s="143"/>
      <c r="BA107" s="143"/>
    </row>
    <row r="108" spans="1:53">
      <c r="A108" s="86">
        <v>27</v>
      </c>
      <c r="B108" s="87" t="s">
        <v>649</v>
      </c>
      <c r="C108" s="87"/>
      <c r="D108" s="89"/>
      <c r="E108" s="89"/>
      <c r="F108" s="89"/>
      <c r="G108" s="89"/>
      <c r="H108" s="89"/>
      <c r="I108" s="89"/>
      <c r="J108" s="90"/>
      <c r="K108" s="90">
        <f>+Input!K374</f>
        <v>0</v>
      </c>
      <c r="L108" s="90">
        <f>+Input!L374</f>
        <v>0</v>
      </c>
      <c r="M108" s="90">
        <f>+Input!M374</f>
        <v>0</v>
      </c>
      <c r="N108" s="90">
        <f>+Input!N374</f>
        <v>0</v>
      </c>
      <c r="O108" s="90">
        <f>+Input!O374</f>
        <v>0</v>
      </c>
      <c r="P108" s="568">
        <f>+Input!P374</f>
        <v>0</v>
      </c>
      <c r="Q108" s="142">
        <f>+Input!Q374</f>
        <v>0</v>
      </c>
      <c r="R108" s="142">
        <f>+Input!R374</f>
        <v>0</v>
      </c>
      <c r="S108" s="142">
        <f>+Input!S374</f>
        <v>0</v>
      </c>
      <c r="T108" s="142">
        <f>+Input!T374</f>
        <v>0</v>
      </c>
      <c r="U108" s="142">
        <f>+Input!U374</f>
        <v>0</v>
      </c>
      <c r="V108" s="142">
        <f>+Input!V374</f>
        <v>0</v>
      </c>
      <c r="W108" s="142">
        <f>+Input!W374</f>
        <v>0</v>
      </c>
      <c r="X108" s="142">
        <f>+Input!X374</f>
        <v>0</v>
      </c>
      <c r="Y108" s="142">
        <f>+Input!Y374</f>
        <v>0</v>
      </c>
      <c r="Z108" s="142">
        <f>+Input!Z374</f>
        <v>0</v>
      </c>
      <c r="AA108" s="142"/>
      <c r="AB108" s="143"/>
      <c r="AC108" s="143"/>
      <c r="AD108" s="143"/>
      <c r="AE108" s="143"/>
      <c r="AF108" s="143"/>
      <c r="AG108" s="143"/>
      <c r="AH108" s="143"/>
      <c r="AI108" s="143"/>
      <c r="AJ108" s="143"/>
      <c r="AK108" s="143"/>
      <c r="AL108" s="143"/>
      <c r="AM108" s="143"/>
      <c r="AN108" s="143"/>
      <c r="AO108" s="143"/>
      <c r="AP108" s="143"/>
      <c r="AQ108" s="143"/>
      <c r="AR108" s="143"/>
      <c r="AS108" s="143"/>
      <c r="AT108" s="143"/>
      <c r="AU108" s="143"/>
      <c r="AV108" s="143"/>
      <c r="AW108" s="143"/>
      <c r="AX108" s="143"/>
      <c r="AY108" s="143"/>
      <c r="AZ108" s="143"/>
      <c r="BA108" s="143"/>
    </row>
    <row r="109" spans="1:53">
      <c r="A109" s="86">
        <v>28</v>
      </c>
      <c r="B109" s="87" t="s">
        <v>603</v>
      </c>
      <c r="C109" s="87" t="s">
        <v>556</v>
      </c>
      <c r="D109" s="89"/>
      <c r="E109" s="89"/>
      <c r="F109" s="89"/>
      <c r="G109" s="89"/>
      <c r="H109" s="89"/>
      <c r="I109" s="89"/>
      <c r="J109" s="90"/>
      <c r="K109" s="90">
        <f>Input!K378</f>
        <v>428.84563039400001</v>
      </c>
      <c r="L109" s="90">
        <f>Input!L378</f>
        <v>583.46740524899997</v>
      </c>
      <c r="M109" s="90">
        <f>Input!M378</f>
        <v>1187.9853976439999</v>
      </c>
      <c r="N109" s="90">
        <f>Input!N378</f>
        <v>3018.455058084</v>
      </c>
      <c r="O109" s="90">
        <f>Input!O378</f>
        <v>2044.8513450360001</v>
      </c>
      <c r="P109" s="568">
        <f>Input!P378</f>
        <v>1882.513091925</v>
      </c>
      <c r="Q109" s="142">
        <f ca="1">Input!Q378</f>
        <v>2840.0486473963583</v>
      </c>
      <c r="R109" s="142">
        <f ca="1">Input!R378</f>
        <v>3821.1133550175546</v>
      </c>
      <c r="S109" s="142">
        <f ca="1">Input!S378</f>
        <v>4915.1182985023461</v>
      </c>
      <c r="T109" s="142">
        <f ca="1">Input!T378</f>
        <v>7475.7374567953593</v>
      </c>
      <c r="U109" s="142">
        <f ca="1">Input!U378</f>
        <v>9206.6168306235104</v>
      </c>
      <c r="V109" s="142">
        <f ca="1">Input!V378</f>
        <v>10479.973899052307</v>
      </c>
      <c r="W109" s="142">
        <f ca="1">Input!W378</f>
        <v>12017.875595077665</v>
      </c>
      <c r="X109" s="142">
        <f ca="1">Input!X378</f>
        <v>13359.695397920303</v>
      </c>
      <c r="Y109" s="142">
        <f ca="1">Input!Y378</f>
        <v>14691.024518138842</v>
      </c>
      <c r="Z109" s="142">
        <f ca="1">Input!Z378</f>
        <v>15504.155044285693</v>
      </c>
      <c r="AA109" s="142"/>
      <c r="AB109" s="143"/>
      <c r="AC109" s="143"/>
      <c r="AD109" s="143"/>
      <c r="AE109" s="143"/>
      <c r="AF109" s="143"/>
      <c r="AG109" s="143"/>
      <c r="AH109" s="143"/>
      <c r="AI109" s="143"/>
      <c r="AJ109" s="143"/>
      <c r="AK109" s="143"/>
      <c r="AL109" s="143"/>
      <c r="AM109" s="143"/>
      <c r="AN109" s="143"/>
      <c r="AO109" s="143"/>
      <c r="AP109" s="143"/>
      <c r="AQ109" s="143"/>
      <c r="AR109" s="143"/>
      <c r="AS109" s="143"/>
      <c r="AT109" s="143"/>
      <c r="AU109" s="143"/>
      <c r="AV109" s="143"/>
      <c r="AW109" s="143"/>
      <c r="AX109" s="143"/>
      <c r="AY109" s="143"/>
      <c r="AZ109" s="143"/>
      <c r="BA109" s="143"/>
    </row>
    <row r="110" spans="1:53">
      <c r="A110" s="86">
        <v>29</v>
      </c>
      <c r="B110" s="87" t="s">
        <v>650</v>
      </c>
      <c r="C110" s="87" t="s">
        <v>559</v>
      </c>
      <c r="D110" s="89"/>
      <c r="E110" s="89"/>
      <c r="F110" s="89"/>
      <c r="G110" s="89"/>
      <c r="H110" s="89"/>
      <c r="I110" s="89"/>
      <c r="J110" s="90"/>
      <c r="K110" s="90">
        <f>+Input!K382</f>
        <v>356.20372633699986</v>
      </c>
      <c r="L110" s="90">
        <f>+Input!L382</f>
        <v>422.63283859500012</v>
      </c>
      <c r="M110" s="90">
        <f>+Input!M382</f>
        <v>969.52369323199969</v>
      </c>
      <c r="N110" s="90">
        <f>+Input!N382</f>
        <v>2263.8504229790001</v>
      </c>
      <c r="O110" s="90">
        <f>+Input!O382</f>
        <v>2596.9408232699998</v>
      </c>
      <c r="P110" s="568">
        <f>+Input!P382</f>
        <v>2967.8773118770005</v>
      </c>
      <c r="Q110" s="142">
        <f>+Input!Q382</f>
        <v>3171.1769077405752</v>
      </c>
      <c r="R110" s="142">
        <f>+Input!R382</f>
        <v>3643.1138916713962</v>
      </c>
      <c r="S110" s="142">
        <f>+Input!S382</f>
        <v>4185.2849001557097</v>
      </c>
      <c r="T110" s="142">
        <f>+Input!T382</f>
        <v>4980.4890311852942</v>
      </c>
      <c r="U110" s="142">
        <f>+Input!U382</f>
        <v>5428.7330439919706</v>
      </c>
      <c r="V110" s="142">
        <f>+Input!V382</f>
        <v>5917.3190179512485</v>
      </c>
      <c r="W110" s="142">
        <f>+Input!W382</f>
        <v>6154.011778669299</v>
      </c>
      <c r="X110" s="142">
        <f>+Input!X382</f>
        <v>6400.1722498160716</v>
      </c>
      <c r="Y110" s="142">
        <f>+Input!Y382</f>
        <v>6656.1791398087144</v>
      </c>
      <c r="Z110" s="142">
        <f>+Input!Z382</f>
        <v>6922.4263054010635</v>
      </c>
      <c r="AA110" s="142"/>
      <c r="AB110" s="143"/>
      <c r="AC110" s="143"/>
      <c r="AD110" s="143"/>
      <c r="AE110" s="143"/>
      <c r="AF110" s="143"/>
      <c r="AG110" s="143"/>
      <c r="AH110" s="143"/>
      <c r="AI110" s="143"/>
      <c r="AJ110" s="143"/>
      <c r="AK110" s="143"/>
      <c r="AL110" s="143"/>
      <c r="AM110" s="143"/>
      <c r="AN110" s="143"/>
      <c r="AO110" s="143"/>
      <c r="AP110" s="143"/>
      <c r="AQ110" s="143"/>
      <c r="AR110" s="143"/>
      <c r="AS110" s="143"/>
      <c r="AT110" s="143"/>
      <c r="AU110" s="143"/>
      <c r="AV110" s="143"/>
      <c r="AW110" s="143"/>
      <c r="AX110" s="143"/>
      <c r="AY110" s="143"/>
      <c r="AZ110" s="143"/>
      <c r="BA110" s="143"/>
    </row>
    <row r="111" spans="1:53">
      <c r="A111" s="86"/>
      <c r="B111" s="122" t="s">
        <v>241</v>
      </c>
      <c r="C111" s="122" t="s">
        <v>561</v>
      </c>
      <c r="D111" s="123"/>
      <c r="E111" s="123"/>
      <c r="F111" s="123"/>
      <c r="G111" s="123"/>
      <c r="H111" s="123"/>
      <c r="I111" s="123"/>
      <c r="J111" s="339"/>
      <c r="K111" s="339">
        <f>SUM(K106:K110)</f>
        <v>6079.0493567310004</v>
      </c>
      <c r="L111" s="339">
        <f t="shared" ref="L111:Q111" si="41">SUM(L106:L110)</f>
        <v>6300.100243844</v>
      </c>
      <c r="M111" s="339">
        <f t="shared" si="41"/>
        <v>7451.5090908759994</v>
      </c>
      <c r="N111" s="339">
        <f t="shared" si="41"/>
        <v>10576.305481063</v>
      </c>
      <c r="O111" s="339">
        <f t="shared" si="41"/>
        <v>9935.7921683060013</v>
      </c>
      <c r="P111" s="661">
        <f t="shared" si="41"/>
        <v>10144.390403802001</v>
      </c>
      <c r="Q111" s="340">
        <f t="shared" ca="1" si="41"/>
        <v>11305.225555136934</v>
      </c>
      <c r="R111" s="340">
        <f t="shared" ref="R111:Y111" ca="1" si="42">SUM(R106:R110)</f>
        <v>12758.227246688952</v>
      </c>
      <c r="S111" s="340">
        <f t="shared" ca="1" si="42"/>
        <v>14394.403198658056</v>
      </c>
      <c r="T111" s="340">
        <f t="shared" ca="1" si="42"/>
        <v>17750.226487980653</v>
      </c>
      <c r="U111" s="340">
        <f t="shared" ca="1" si="42"/>
        <v>19929.34987461548</v>
      </c>
      <c r="V111" s="340">
        <f t="shared" ca="1" si="42"/>
        <v>21691.292917003557</v>
      </c>
      <c r="W111" s="340">
        <f t="shared" ca="1" si="42"/>
        <v>23465.887373746962</v>
      </c>
      <c r="X111" s="340">
        <f t="shared" ca="1" si="42"/>
        <v>25053.867647736373</v>
      </c>
      <c r="Y111" s="340">
        <f t="shared" ca="1" si="42"/>
        <v>26641.203657947557</v>
      </c>
      <c r="Z111" s="340">
        <f t="shared" ref="Z111" ca="1" si="43">SUM(Z106:Z110)</f>
        <v>27720.581349686756</v>
      </c>
      <c r="AA111" s="340"/>
      <c r="AB111" s="341"/>
      <c r="AC111" s="341"/>
      <c r="AD111" s="341"/>
      <c r="AE111" s="341"/>
      <c r="AF111" s="341"/>
      <c r="AG111" s="341"/>
      <c r="AH111" s="341"/>
      <c r="AI111" s="341"/>
      <c r="AJ111" s="341"/>
      <c r="AK111" s="341"/>
      <c r="AL111" s="341"/>
      <c r="AM111" s="341"/>
      <c r="AN111" s="341"/>
      <c r="AO111" s="341"/>
      <c r="AP111" s="341"/>
      <c r="AQ111" s="341"/>
      <c r="AR111" s="341"/>
      <c r="AS111" s="341"/>
      <c r="AT111" s="341"/>
      <c r="AU111" s="341"/>
      <c r="AV111" s="341"/>
      <c r="AW111" s="341"/>
      <c r="AX111" s="341"/>
      <c r="AY111" s="341"/>
      <c r="AZ111" s="341"/>
      <c r="BA111" s="341"/>
    </row>
    <row r="112" spans="1:53" ht="13.8" thickBot="1">
      <c r="A112" s="86"/>
      <c r="B112" s="406" t="s">
        <v>651</v>
      </c>
      <c r="C112" s="406" t="s">
        <v>652</v>
      </c>
      <c r="D112" s="408"/>
      <c r="E112" s="408"/>
      <c r="F112" s="408"/>
      <c r="G112" s="408"/>
      <c r="H112" s="408"/>
      <c r="I112" s="408"/>
      <c r="J112" s="409"/>
      <c r="K112" s="409">
        <f>+K99+K103+K111</f>
        <v>10172.594752746001</v>
      </c>
      <c r="L112" s="409">
        <f t="shared" ref="L112:Q112" si="44">+L99+L103+L111</f>
        <v>8717.4806916109992</v>
      </c>
      <c r="M112" s="409">
        <f t="shared" si="44"/>
        <v>11072.121334924999</v>
      </c>
      <c r="N112" s="409">
        <f t="shared" si="44"/>
        <v>14166.860720016</v>
      </c>
      <c r="O112" s="409">
        <f t="shared" si="44"/>
        <v>15237.966427299001</v>
      </c>
      <c r="P112" s="2633">
        <f t="shared" si="44"/>
        <v>15728.847338145002</v>
      </c>
      <c r="Q112" s="410">
        <f t="shared" ca="1" si="44"/>
        <v>18017.483292912519</v>
      </c>
      <c r="R112" s="410">
        <f t="shared" ref="R112:Y112" ca="1" si="45">+R99+R103+R111</f>
        <v>19735.874623772052</v>
      </c>
      <c r="S112" s="410">
        <f t="shared" ca="1" si="45"/>
        <v>21629.797172213082</v>
      </c>
      <c r="T112" s="410">
        <f t="shared" ca="1" si="45"/>
        <v>26634.183331990287</v>
      </c>
      <c r="U112" s="410">
        <f t="shared" ca="1" si="45"/>
        <v>28759.501945854568</v>
      </c>
      <c r="V112" s="410">
        <f t="shared" ca="1" si="45"/>
        <v>29553.249091368332</v>
      </c>
      <c r="W112" s="410">
        <f t="shared" ca="1" si="45"/>
        <v>31218.55671710087</v>
      </c>
      <c r="X112" s="410">
        <f t="shared" ca="1" si="45"/>
        <v>32930.475842630454</v>
      </c>
      <c r="Y112" s="410">
        <f t="shared" ca="1" si="45"/>
        <v>34863.847465573344</v>
      </c>
      <c r="Z112" s="410">
        <f t="shared" ref="Z112" ca="1" si="46">+Z99+Z103+Z111</f>
        <v>36074.784985703955</v>
      </c>
      <c r="AA112" s="410"/>
      <c r="AB112" s="411"/>
      <c r="AC112" s="411"/>
      <c r="AD112" s="411"/>
      <c r="AE112" s="411"/>
      <c r="AF112" s="411"/>
      <c r="AG112" s="411"/>
      <c r="AH112" s="411"/>
      <c r="AI112" s="411"/>
      <c r="AJ112" s="411"/>
      <c r="AK112" s="411"/>
      <c r="AL112" s="411"/>
      <c r="AM112" s="411"/>
      <c r="AN112" s="411"/>
      <c r="AO112" s="411"/>
      <c r="AP112" s="411"/>
      <c r="AQ112" s="411"/>
      <c r="AR112" s="411"/>
      <c r="AS112" s="411"/>
      <c r="AT112" s="411"/>
      <c r="AU112" s="411"/>
      <c r="AV112" s="411"/>
      <c r="AW112" s="411"/>
      <c r="AX112" s="411"/>
      <c r="AY112" s="411"/>
      <c r="AZ112" s="411"/>
      <c r="BA112" s="411"/>
    </row>
    <row r="113" spans="1:53" s="641" customFormat="1" ht="13.8" thickTop="1">
      <c r="A113" s="573"/>
      <c r="B113" s="416" t="s">
        <v>604</v>
      </c>
      <c r="C113" s="416"/>
      <c r="D113" s="500"/>
      <c r="E113" s="500"/>
      <c r="F113" s="500"/>
      <c r="G113" s="500"/>
      <c r="H113" s="500"/>
      <c r="I113" s="500"/>
      <c r="J113" s="501"/>
      <c r="K113" s="501">
        <f>K112-Input!K388</f>
        <v>0</v>
      </c>
      <c r="L113" s="501">
        <f>L112-Input!L388</f>
        <v>0</v>
      </c>
      <c r="M113" s="501">
        <f>M112-Input!M388</f>
        <v>0</v>
      </c>
      <c r="N113" s="501">
        <f>N112-Input!N388</f>
        <v>0</v>
      </c>
      <c r="O113" s="501">
        <f>O112-Input!O388</f>
        <v>0</v>
      </c>
      <c r="P113" s="2634">
        <f>P112-Input!P388</f>
        <v>0</v>
      </c>
      <c r="Q113" s="1468">
        <f ca="1">Q112-Input!Q388</f>
        <v>0</v>
      </c>
      <c r="R113" s="1468">
        <f ca="1">R112-Input!R388</f>
        <v>0</v>
      </c>
      <c r="S113" s="1468">
        <f ca="1">S112-Input!S388</f>
        <v>0</v>
      </c>
      <c r="T113" s="1468">
        <f ca="1">T112-Input!T388</f>
        <v>0</v>
      </c>
      <c r="U113" s="1468">
        <f ca="1">U112-Input!U388</f>
        <v>0</v>
      </c>
      <c r="V113" s="1468">
        <f ca="1">V112-Input!V388</f>
        <v>0</v>
      </c>
      <c r="W113" s="1468">
        <f ca="1">W112-Input!W388</f>
        <v>0</v>
      </c>
      <c r="X113" s="1468">
        <f ca="1">X112-Input!X388</f>
        <v>0</v>
      </c>
      <c r="Y113" s="1468">
        <f ca="1">Y112-Input!Y388</f>
        <v>0</v>
      </c>
      <c r="Z113" s="1468">
        <f ca="1">Z112-Input!Z388</f>
        <v>0</v>
      </c>
      <c r="AA113" s="1468"/>
      <c r="AB113" s="1486"/>
      <c r="AC113" s="1486"/>
      <c r="AD113" s="1486"/>
      <c r="AE113" s="1486"/>
      <c r="AF113" s="1486"/>
      <c r="AG113" s="1486"/>
      <c r="AH113" s="1486"/>
      <c r="AI113" s="1486"/>
      <c r="AJ113" s="1486"/>
      <c r="AK113" s="1486"/>
      <c r="AL113" s="1486"/>
      <c r="AM113" s="1486"/>
      <c r="AN113" s="1486"/>
      <c r="AO113" s="1486"/>
      <c r="AP113" s="1486"/>
      <c r="AQ113" s="1486"/>
      <c r="AR113" s="1486"/>
      <c r="AS113" s="1486"/>
      <c r="AT113" s="1486"/>
      <c r="AU113" s="1486"/>
      <c r="AV113" s="1486"/>
      <c r="AW113" s="1486"/>
      <c r="AX113" s="1486"/>
      <c r="AY113" s="1486"/>
      <c r="AZ113" s="1486"/>
      <c r="BA113" s="1486"/>
    </row>
    <row r="114" spans="1:53">
      <c r="A114" s="555"/>
      <c r="B114" s="627"/>
      <c r="C114" s="627"/>
      <c r="D114" s="628"/>
      <c r="E114" s="628"/>
      <c r="F114" s="628"/>
      <c r="G114" s="628"/>
      <c r="H114" s="628"/>
      <c r="I114" s="628"/>
      <c r="J114" s="628"/>
      <c r="K114" s="628"/>
      <c r="L114" s="628"/>
      <c r="M114" s="628"/>
      <c r="N114" s="628"/>
      <c r="O114" s="628"/>
      <c r="P114" s="629"/>
      <c r="Q114" s="628"/>
      <c r="R114" s="628"/>
      <c r="S114" s="628"/>
      <c r="T114" s="628"/>
      <c r="U114" s="628"/>
      <c r="V114" s="628"/>
      <c r="W114" s="628"/>
      <c r="X114" s="628"/>
      <c r="Y114" s="628"/>
      <c r="Z114" s="628"/>
      <c r="AA114" s="2627"/>
      <c r="AB114" s="2627"/>
      <c r="AC114" s="2627"/>
      <c r="AD114" s="2627"/>
      <c r="AE114" s="2627"/>
      <c r="AF114" s="2627"/>
      <c r="AG114" s="2627"/>
      <c r="AH114" s="2627"/>
      <c r="AI114" s="2627"/>
      <c r="AJ114" s="2627"/>
      <c r="AK114" s="2627"/>
      <c r="AL114" s="2627"/>
      <c r="AM114" s="2627"/>
      <c r="AN114" s="2627"/>
      <c r="AO114" s="2627"/>
      <c r="AP114" s="2627"/>
      <c r="AQ114" s="2627"/>
      <c r="AR114" s="2627"/>
      <c r="AS114" s="2627"/>
      <c r="AT114" s="2627"/>
      <c r="AU114" s="2627"/>
      <c r="AV114" s="2627"/>
      <c r="AW114" s="2627"/>
      <c r="AX114" s="2627"/>
      <c r="AY114" s="2627"/>
      <c r="AZ114" s="2627"/>
      <c r="BA114" s="2627"/>
    </row>
    <row r="115" spans="1:53">
      <c r="A115" s="555"/>
      <c r="B115" s="627"/>
      <c r="C115" s="627"/>
      <c r="D115" s="628"/>
      <c r="E115" s="628"/>
      <c r="F115" s="628"/>
      <c r="G115" s="628"/>
      <c r="H115" s="628"/>
      <c r="I115" s="628"/>
      <c r="J115" s="628"/>
      <c r="K115" s="628"/>
      <c r="L115" s="628"/>
      <c r="M115" s="628"/>
      <c r="N115" s="628"/>
      <c r="O115" s="628"/>
      <c r="P115" s="629"/>
      <c r="Q115" s="628"/>
      <c r="R115" s="628"/>
      <c r="S115" s="628"/>
      <c r="T115" s="628"/>
      <c r="U115" s="628"/>
      <c r="V115" s="628"/>
      <c r="W115" s="628"/>
      <c r="X115" s="628"/>
      <c r="Y115" s="628"/>
      <c r="Z115" s="628"/>
      <c r="AA115" s="2627"/>
      <c r="AB115" s="2627"/>
      <c r="AC115" s="2627"/>
      <c r="AD115" s="2627"/>
      <c r="AE115" s="2627"/>
      <c r="AF115" s="2627"/>
      <c r="AG115" s="2627"/>
      <c r="AH115" s="2627"/>
      <c r="AI115" s="2627"/>
      <c r="AJ115" s="2627"/>
      <c r="AK115" s="2627"/>
      <c r="AL115" s="2627"/>
      <c r="AM115" s="2627"/>
      <c r="AN115" s="2627"/>
      <c r="AO115" s="2627"/>
      <c r="AP115" s="2627"/>
      <c r="AQ115" s="2627"/>
      <c r="AR115" s="2627"/>
      <c r="AS115" s="2627"/>
      <c r="AT115" s="2627"/>
      <c r="AU115" s="2627"/>
      <c r="AV115" s="2627"/>
      <c r="AW115" s="2627"/>
      <c r="AX115" s="2627"/>
      <c r="AY115" s="2627"/>
      <c r="AZ115" s="2627"/>
      <c r="BA115" s="2627"/>
    </row>
    <row r="116" spans="1:53">
      <c r="A116" s="555"/>
      <c r="B116" s="627"/>
      <c r="C116" s="627"/>
      <c r="D116" s="628"/>
      <c r="E116" s="628"/>
      <c r="F116" s="628"/>
      <c r="G116" s="628"/>
      <c r="H116" s="628"/>
      <c r="I116" s="628"/>
      <c r="J116" s="628"/>
      <c r="K116" s="628"/>
      <c r="L116" s="628"/>
      <c r="M116" s="628"/>
      <c r="N116" s="628"/>
      <c r="O116" s="628"/>
      <c r="P116" s="629"/>
      <c r="Q116" s="628"/>
      <c r="R116" s="628"/>
      <c r="S116" s="628"/>
      <c r="T116" s="628"/>
      <c r="U116" s="628"/>
      <c r="V116" s="628"/>
      <c r="W116" s="628"/>
      <c r="X116" s="628"/>
      <c r="Y116" s="628"/>
      <c r="Z116" s="628"/>
      <c r="AA116" s="2627"/>
      <c r="AB116" s="2627"/>
      <c r="AC116" s="2627"/>
      <c r="AD116" s="2627"/>
      <c r="AE116" s="2627"/>
      <c r="AF116" s="2627"/>
      <c r="AG116" s="2627"/>
      <c r="AH116" s="2627"/>
      <c r="AI116" s="2627"/>
      <c r="AJ116" s="2627"/>
      <c r="AK116" s="2627"/>
      <c r="AL116" s="2627"/>
      <c r="AM116" s="2627"/>
      <c r="AN116" s="2627"/>
      <c r="AO116" s="2627"/>
      <c r="AP116" s="2627"/>
      <c r="AQ116" s="2627"/>
      <c r="AR116" s="2627"/>
      <c r="AS116" s="2627"/>
      <c r="AT116" s="2627"/>
      <c r="AU116" s="2627"/>
      <c r="AV116" s="2627"/>
      <c r="AW116" s="2627"/>
      <c r="AX116" s="2627"/>
      <c r="AY116" s="2627"/>
      <c r="AZ116" s="2627"/>
      <c r="BA116" s="2627"/>
    </row>
    <row r="117" spans="1:53">
      <c r="A117" s="555"/>
      <c r="B117" s="627"/>
      <c r="C117" s="627"/>
      <c r="D117" s="628"/>
      <c r="E117" s="628"/>
      <c r="F117" s="628"/>
      <c r="G117" s="628"/>
      <c r="H117" s="628"/>
      <c r="I117" s="628"/>
      <c r="J117" s="628"/>
      <c r="K117" s="628"/>
      <c r="L117" s="628"/>
      <c r="M117" s="628"/>
      <c r="N117" s="628"/>
      <c r="O117" s="628"/>
      <c r="P117" s="629"/>
      <c r="Q117" s="628"/>
      <c r="R117" s="628"/>
      <c r="S117" s="628"/>
      <c r="T117" s="628"/>
      <c r="U117" s="628"/>
      <c r="V117" s="628"/>
      <c r="W117" s="628"/>
      <c r="X117" s="628"/>
      <c r="Y117" s="628"/>
      <c r="Z117" s="628"/>
      <c r="AA117" s="2627"/>
      <c r="AB117" s="2627"/>
      <c r="AC117" s="2627"/>
      <c r="AD117" s="2627"/>
      <c r="AE117" s="2627"/>
      <c r="AF117" s="2627"/>
      <c r="AG117" s="2627"/>
      <c r="AH117" s="2627"/>
      <c r="AI117" s="2627"/>
      <c r="AJ117" s="2627"/>
      <c r="AK117" s="2627"/>
      <c r="AL117" s="2627"/>
      <c r="AM117" s="2627"/>
      <c r="AN117" s="2627"/>
      <c r="AO117" s="2627"/>
      <c r="AP117" s="2627"/>
      <c r="AQ117" s="2627"/>
      <c r="AR117" s="2627"/>
      <c r="AS117" s="2627"/>
      <c r="AT117" s="2627"/>
      <c r="AU117" s="2627"/>
      <c r="AV117" s="2627"/>
      <c r="AW117" s="2627"/>
      <c r="AX117" s="2627"/>
      <c r="AY117" s="2627"/>
      <c r="AZ117" s="2627"/>
      <c r="BA117" s="2627"/>
    </row>
    <row r="118" spans="1:53">
      <c r="A118" s="555"/>
      <c r="B118" s="627"/>
      <c r="C118" s="627"/>
      <c r="D118" s="628"/>
      <c r="E118" s="628"/>
      <c r="F118" s="628"/>
      <c r="G118" s="628"/>
      <c r="H118" s="628"/>
      <c r="I118" s="628"/>
      <c r="J118" s="628"/>
      <c r="K118" s="628"/>
      <c r="L118" s="628"/>
      <c r="M118" s="628"/>
      <c r="N118" s="628"/>
      <c r="O118" s="628"/>
      <c r="P118" s="629"/>
      <c r="Q118" s="628"/>
      <c r="R118" s="628"/>
      <c r="S118" s="628"/>
      <c r="T118" s="628"/>
      <c r="U118" s="628"/>
      <c r="V118" s="628"/>
      <c r="W118" s="628"/>
      <c r="X118" s="628"/>
      <c r="Y118" s="628"/>
      <c r="Z118" s="628"/>
      <c r="AA118" s="2627"/>
      <c r="AB118" s="2627"/>
      <c r="AC118" s="2627"/>
      <c r="AD118" s="2627"/>
      <c r="AE118" s="2627"/>
      <c r="AF118" s="2627"/>
      <c r="AG118" s="2627"/>
      <c r="AH118" s="2627"/>
      <c r="AI118" s="2627"/>
      <c r="AJ118" s="2627"/>
      <c r="AK118" s="2627"/>
      <c r="AL118" s="2627"/>
      <c r="AM118" s="2627"/>
      <c r="AN118" s="2627"/>
      <c r="AO118" s="2627"/>
      <c r="AP118" s="2627"/>
      <c r="AQ118" s="2627"/>
      <c r="AR118" s="2627"/>
      <c r="AS118" s="2627"/>
      <c r="AT118" s="2627"/>
      <c r="AU118" s="2627"/>
      <c r="AV118" s="2627"/>
      <c r="AW118" s="2627"/>
      <c r="AX118" s="2627"/>
      <c r="AY118" s="2627"/>
      <c r="AZ118" s="2627"/>
      <c r="BA118" s="2627"/>
    </row>
    <row r="119" spans="1:53">
      <c r="A119" s="555"/>
      <c r="B119" s="627"/>
      <c r="C119" s="627"/>
      <c r="D119" s="628"/>
      <c r="E119" s="628"/>
      <c r="F119" s="628"/>
      <c r="G119" s="628"/>
      <c r="H119" s="628"/>
      <c r="I119" s="628"/>
      <c r="J119" s="628"/>
      <c r="K119" s="628"/>
      <c r="L119" s="628"/>
      <c r="M119" s="628"/>
      <c r="N119" s="628"/>
      <c r="O119" s="628"/>
      <c r="P119" s="629"/>
      <c r="Q119" s="628"/>
      <c r="R119" s="628"/>
      <c r="S119" s="628"/>
      <c r="T119" s="628"/>
      <c r="U119" s="628"/>
      <c r="V119" s="628"/>
      <c r="W119" s="628"/>
      <c r="X119" s="628"/>
      <c r="Y119" s="628"/>
      <c r="Z119" s="628"/>
      <c r="AA119" s="2627"/>
      <c r="AB119" s="2627"/>
      <c r="AC119" s="2627"/>
      <c r="AD119" s="2627"/>
      <c r="AE119" s="2627"/>
      <c r="AF119" s="2627"/>
      <c r="AG119" s="2627"/>
      <c r="AH119" s="2627"/>
      <c r="AI119" s="2627"/>
      <c r="AJ119" s="2627"/>
      <c r="AK119" s="2627"/>
      <c r="AL119" s="2627"/>
      <c r="AM119" s="2627"/>
      <c r="AN119" s="2627"/>
      <c r="AO119" s="2627"/>
      <c r="AP119" s="2627"/>
      <c r="AQ119" s="2627"/>
      <c r="AR119" s="2627"/>
      <c r="AS119" s="2627"/>
      <c r="AT119" s="2627"/>
      <c r="AU119" s="2627"/>
      <c r="AV119" s="2627"/>
      <c r="AW119" s="2627"/>
      <c r="AX119" s="2627"/>
      <c r="AY119" s="2627"/>
      <c r="AZ119" s="2627"/>
      <c r="BA119" s="2627"/>
    </row>
    <row r="120" spans="1:53">
      <c r="A120" s="555"/>
      <c r="B120" s="627"/>
      <c r="C120" s="627"/>
      <c r="D120" s="628"/>
      <c r="E120" s="628"/>
      <c r="F120" s="628"/>
      <c r="G120" s="628"/>
      <c r="H120" s="628"/>
      <c r="I120" s="628"/>
      <c r="J120" s="628"/>
      <c r="K120" s="628"/>
      <c r="L120" s="628"/>
      <c r="M120" s="628"/>
      <c r="N120" s="628"/>
      <c r="O120" s="628"/>
      <c r="P120" s="629"/>
      <c r="Q120" s="628"/>
      <c r="R120" s="628"/>
      <c r="S120" s="628"/>
      <c r="T120" s="628"/>
      <c r="U120" s="628"/>
      <c r="V120" s="628"/>
      <c r="W120" s="628"/>
      <c r="X120" s="628"/>
      <c r="Y120" s="628"/>
      <c r="Z120" s="628"/>
      <c r="AA120" s="2627"/>
      <c r="AB120" s="2627"/>
      <c r="AC120" s="2627"/>
      <c r="AD120" s="2627"/>
      <c r="AE120" s="2627"/>
      <c r="AF120" s="2627"/>
      <c r="AG120" s="2627"/>
      <c r="AH120" s="2627"/>
      <c r="AI120" s="2627"/>
      <c r="AJ120" s="2627"/>
      <c r="AK120" s="2627"/>
      <c r="AL120" s="2627"/>
      <c r="AM120" s="2627"/>
      <c r="AN120" s="2627"/>
      <c r="AO120" s="2627"/>
      <c r="AP120" s="2627"/>
      <c r="AQ120" s="2627"/>
      <c r="AR120" s="2627"/>
      <c r="AS120" s="2627"/>
      <c r="AT120" s="2627"/>
      <c r="AU120" s="2627"/>
      <c r="AV120" s="2627"/>
      <c r="AW120" s="2627"/>
      <c r="AX120" s="2627"/>
      <c r="AY120" s="2627"/>
      <c r="AZ120" s="2627"/>
      <c r="BA120" s="2627"/>
    </row>
    <row r="121" spans="1:53">
      <c r="M121" s="539"/>
      <c r="P121" s="634"/>
    </row>
    <row r="122" spans="1:53">
      <c r="M122" s="539"/>
      <c r="P122" s="634"/>
    </row>
    <row r="123" spans="1:53">
      <c r="M123" s="539"/>
      <c r="P123" s="634"/>
    </row>
    <row r="124" spans="1:53">
      <c r="A124" s="662">
        <f>'Consol. Rev.'!B1</f>
        <v>1</v>
      </c>
      <c r="D124" s="5"/>
      <c r="E124" s="5"/>
      <c r="F124" s="75"/>
      <c r="G124" s="75"/>
      <c r="H124" s="75"/>
      <c r="I124" s="75"/>
      <c r="J124" s="75"/>
      <c r="K124" s="75"/>
      <c r="L124" s="75"/>
      <c r="M124" s="75"/>
      <c r="N124" s="536"/>
      <c r="O124" s="536"/>
      <c r="P124" s="537"/>
      <c r="Q124" s="538"/>
      <c r="R124" s="538"/>
      <c r="S124" s="538"/>
      <c r="T124" s="538"/>
      <c r="U124" s="538"/>
      <c r="V124" s="538"/>
      <c r="W124" s="538"/>
      <c r="X124" s="538"/>
      <c r="Y124" s="538"/>
      <c r="Z124" s="538"/>
      <c r="AA124" s="538"/>
      <c r="AB124" s="538"/>
      <c r="AC124" s="538"/>
      <c r="AD124" s="538"/>
      <c r="AE124" s="538"/>
      <c r="AF124" s="538"/>
      <c r="AG124" s="538"/>
      <c r="AH124" s="538"/>
      <c r="AI124" s="538"/>
      <c r="AJ124" s="538"/>
      <c r="AK124" s="538"/>
      <c r="AL124" s="538"/>
      <c r="AM124" s="538"/>
      <c r="AN124" s="538"/>
      <c r="AO124" s="538"/>
      <c r="AP124" s="538"/>
      <c r="AQ124" s="538"/>
      <c r="AR124" s="538"/>
      <c r="AS124" s="538"/>
      <c r="AT124" s="538"/>
      <c r="AU124" s="538"/>
      <c r="AV124" s="538"/>
      <c r="AW124" s="538"/>
      <c r="AX124" s="538"/>
      <c r="AY124" s="538"/>
      <c r="AZ124" s="538"/>
      <c r="BA124" s="538"/>
    </row>
    <row r="125" spans="1:53">
      <c r="A125" s="539"/>
      <c r="B125" s="2739" t="s">
        <v>653</v>
      </c>
      <c r="C125" s="2741" t="s">
        <v>654</v>
      </c>
      <c r="D125" s="18"/>
      <c r="E125" s="18"/>
      <c r="F125" s="540"/>
      <c r="G125" s="540"/>
      <c r="H125" s="540"/>
      <c r="I125" s="540"/>
      <c r="J125" s="540"/>
      <c r="K125" s="540"/>
      <c r="L125" s="540"/>
      <c r="M125" s="540"/>
      <c r="N125" s="540"/>
      <c r="O125" s="540"/>
      <c r="P125" s="838"/>
      <c r="Q125" s="542"/>
      <c r="R125" s="542"/>
      <c r="S125" s="542"/>
      <c r="T125" s="542"/>
      <c r="U125" s="542"/>
      <c r="V125" s="542"/>
      <c r="W125" s="542"/>
      <c r="X125" s="542"/>
      <c r="Y125" s="542"/>
      <c r="Z125" s="542"/>
      <c r="AA125" s="542"/>
      <c r="AB125" s="542"/>
      <c r="AC125" s="542"/>
      <c r="AD125" s="542"/>
      <c r="AE125" s="542"/>
      <c r="AF125" s="542"/>
      <c r="AG125" s="542"/>
      <c r="AH125" s="542"/>
      <c r="AI125" s="542"/>
      <c r="AJ125" s="542"/>
      <c r="AK125" s="542"/>
      <c r="AL125" s="542"/>
      <c r="AM125" s="542"/>
      <c r="AN125" s="542"/>
      <c r="AO125" s="542"/>
      <c r="AP125" s="542"/>
      <c r="AQ125" s="542"/>
      <c r="AR125" s="542"/>
      <c r="AS125" s="542"/>
      <c r="AT125" s="542"/>
      <c r="AU125" s="542"/>
      <c r="AV125" s="542"/>
      <c r="AW125" s="542"/>
      <c r="AX125" s="542"/>
      <c r="AY125" s="542"/>
      <c r="AZ125" s="542"/>
      <c r="BA125" s="542"/>
    </row>
    <row r="126" spans="1:53" ht="13.8" thickBot="1">
      <c r="A126" s="539"/>
      <c r="B126" s="2740"/>
      <c r="C126" s="2743"/>
      <c r="D126" s="636">
        <f>D57</f>
        <v>41274</v>
      </c>
      <c r="E126" s="2600">
        <f>E57</f>
        <v>41639</v>
      </c>
      <c r="F126" s="2600">
        <f t="shared" ref="F126:AD126" si="47">F57</f>
        <v>42004</v>
      </c>
      <c r="G126" s="2600">
        <f t="shared" si="47"/>
        <v>42369</v>
      </c>
      <c r="H126" s="2600">
        <f t="shared" si="47"/>
        <v>42735</v>
      </c>
      <c r="I126" s="2600">
        <f t="shared" si="47"/>
        <v>43100</v>
      </c>
      <c r="J126" s="2600">
        <f t="shared" si="47"/>
        <v>43465</v>
      </c>
      <c r="K126" s="2600">
        <f t="shared" si="47"/>
        <v>43830</v>
      </c>
      <c r="L126" s="2600">
        <f t="shared" si="47"/>
        <v>44196</v>
      </c>
      <c r="M126" s="2600">
        <f t="shared" si="47"/>
        <v>44561</v>
      </c>
      <c r="N126" s="2600">
        <f t="shared" si="47"/>
        <v>44926</v>
      </c>
      <c r="O126" s="2600">
        <f t="shared" si="47"/>
        <v>45291</v>
      </c>
      <c r="P126" s="2632">
        <f t="shared" si="47"/>
        <v>45657</v>
      </c>
      <c r="Q126" s="2600">
        <f t="shared" si="47"/>
        <v>46022</v>
      </c>
      <c r="R126" s="2600">
        <f t="shared" si="47"/>
        <v>46387</v>
      </c>
      <c r="S126" s="2600">
        <f t="shared" si="47"/>
        <v>46752</v>
      </c>
      <c r="T126" s="2600">
        <f t="shared" si="47"/>
        <v>47118</v>
      </c>
      <c r="U126" s="2600">
        <f t="shared" si="47"/>
        <v>47483</v>
      </c>
      <c r="V126" s="2600">
        <f t="shared" si="47"/>
        <v>47848</v>
      </c>
      <c r="W126" s="2600">
        <f t="shared" si="47"/>
        <v>48213</v>
      </c>
      <c r="X126" s="2600">
        <f t="shared" si="47"/>
        <v>48579</v>
      </c>
      <c r="Y126" s="2600">
        <f t="shared" si="47"/>
        <v>48944</v>
      </c>
      <c r="Z126" s="2600">
        <f t="shared" si="47"/>
        <v>49309</v>
      </c>
      <c r="AA126" s="2600">
        <f t="shared" si="47"/>
        <v>49674</v>
      </c>
      <c r="AB126" s="2600">
        <f t="shared" si="47"/>
        <v>50040</v>
      </c>
      <c r="AC126" s="2600">
        <f t="shared" si="47"/>
        <v>50405</v>
      </c>
      <c r="AD126" s="2600">
        <f t="shared" si="47"/>
        <v>50770</v>
      </c>
      <c r="AE126" s="547"/>
      <c r="AF126" s="547"/>
      <c r="AG126" s="547"/>
      <c r="AH126" s="547"/>
      <c r="AI126" s="547"/>
      <c r="AJ126" s="547"/>
      <c r="AK126" s="547"/>
      <c r="AL126" s="547"/>
      <c r="AM126" s="547"/>
      <c r="AN126" s="547"/>
      <c r="AO126" s="547"/>
      <c r="AP126" s="547"/>
      <c r="AQ126" s="547"/>
      <c r="AR126" s="547"/>
      <c r="AS126" s="547"/>
      <c r="AT126" s="547"/>
      <c r="AU126" s="547"/>
      <c r="AV126" s="547"/>
      <c r="AW126" s="547"/>
      <c r="AX126" s="547"/>
      <c r="AY126" s="547"/>
      <c r="AZ126" s="547"/>
      <c r="BA126" s="547"/>
    </row>
    <row r="127" spans="1:53" ht="13.8" thickTop="1">
      <c r="A127" s="539"/>
      <c r="B127" s="5"/>
      <c r="C127" s="5"/>
      <c r="D127" s="663"/>
      <c r="E127" s="41"/>
      <c r="F127" s="41"/>
      <c r="G127" s="41"/>
      <c r="H127" s="41"/>
      <c r="I127" s="41"/>
      <c r="J127" s="41"/>
      <c r="K127" s="41"/>
      <c r="L127" s="41"/>
      <c r="M127" s="41"/>
      <c r="N127" s="41"/>
      <c r="O127" s="41"/>
      <c r="P127" s="1482"/>
      <c r="Q127" s="41"/>
      <c r="R127" s="41"/>
      <c r="S127" s="41"/>
      <c r="T127" s="41"/>
      <c r="U127" s="41"/>
      <c r="V127" s="41"/>
      <c r="W127" s="41"/>
      <c r="X127" s="41"/>
      <c r="Y127" s="41"/>
      <c r="Z127" s="41"/>
      <c r="AA127" s="178"/>
      <c r="AB127" s="178"/>
      <c r="AC127" s="178"/>
      <c r="AD127" s="178"/>
      <c r="AE127" s="178"/>
      <c r="AF127" s="178"/>
      <c r="AG127" s="178"/>
      <c r="AH127" s="178"/>
      <c r="AI127" s="178"/>
      <c r="AJ127" s="178"/>
      <c r="AK127" s="178"/>
      <c r="AL127" s="178"/>
      <c r="AM127" s="178"/>
      <c r="AN127" s="178"/>
      <c r="AO127" s="178"/>
      <c r="AP127" s="178"/>
      <c r="AQ127" s="178"/>
      <c r="AR127" s="178"/>
      <c r="AS127" s="178"/>
      <c r="AT127" s="178"/>
      <c r="AU127" s="178"/>
      <c r="AV127" s="178"/>
      <c r="AW127" s="178"/>
      <c r="AX127" s="178"/>
      <c r="AY127" s="178"/>
      <c r="AZ127" s="178"/>
      <c r="BA127" s="178"/>
    </row>
    <row r="128" spans="1:53">
      <c r="A128" s="539"/>
      <c r="B128" s="5" t="s">
        <v>655</v>
      </c>
      <c r="C128" s="5" t="s">
        <v>381</v>
      </c>
      <c r="D128" s="41"/>
      <c r="E128" s="89"/>
      <c r="F128" s="89"/>
      <c r="G128" s="89"/>
      <c r="H128" s="89"/>
      <c r="I128" s="89"/>
      <c r="J128" s="90"/>
      <c r="K128" s="90">
        <f>'Output-FR (check)'!K28</f>
        <v>463.0881713820001</v>
      </c>
      <c r="L128" s="90">
        <f>'Output-FR (check)'!L28</f>
        <v>716.5338043050001</v>
      </c>
      <c r="M128" s="90">
        <f>'Output-FR (check)'!M28</f>
        <v>1956.2699888410002</v>
      </c>
      <c r="N128" s="90">
        <f>'Output-FR (check)'!N28</f>
        <v>4596.312764843</v>
      </c>
      <c r="O128" s="90">
        <f>'Output-FR (check)'!O28</f>
        <v>1254.8095836400007</v>
      </c>
      <c r="P128" s="568">
        <f>'Output-FR (check)'!P28</f>
        <v>1522.0634881910007</v>
      </c>
      <c r="Q128" s="142">
        <f ca="1">'Output-FR (check)'!Q28</f>
        <v>2621.194422417625</v>
      </c>
      <c r="R128" s="142">
        <f ca="1">'Output-FR (check)'!R28</f>
        <v>2967.2561852613499</v>
      </c>
      <c r="S128" s="142">
        <f ca="1">'Output-FR (check)'!S28</f>
        <v>3473.5655174374656</v>
      </c>
      <c r="T128" s="142">
        <f ca="1">'Output-FR (check)'!T28</f>
        <v>5427.1488250286984</v>
      </c>
      <c r="U128" s="142">
        <f ca="1">'Output-FR (check)'!U28</f>
        <v>4640.1399346495109</v>
      </c>
      <c r="V128" s="142">
        <f ca="1">'Output-FR (check)'!V28</f>
        <v>4051.1800055393765</v>
      </c>
      <c r="W128" s="142">
        <f ca="1">'Output-FR (check)'!W28</f>
        <v>4054.9262293236438</v>
      </c>
      <c r="X128" s="142">
        <f ca="1">'Output-FR (check)'!X28</f>
        <v>4504.249594428502</v>
      </c>
      <c r="Y128" s="142">
        <f ca="1">'Output-FR (check)'!Y28</f>
        <v>5190.9821833409187</v>
      </c>
      <c r="Z128" s="142">
        <f ca="1">'Output-FR (check)'!Z28</f>
        <v>5147.9329437771667</v>
      </c>
      <c r="AA128" s="142"/>
      <c r="AB128" s="143"/>
      <c r="AC128" s="143"/>
      <c r="AD128" s="143"/>
      <c r="AE128" s="143"/>
      <c r="AF128" s="143"/>
      <c r="AG128" s="143"/>
      <c r="AH128" s="143"/>
      <c r="AI128" s="143"/>
      <c r="AJ128" s="143"/>
      <c r="AK128" s="143"/>
      <c r="AL128" s="143"/>
      <c r="AM128" s="143"/>
      <c r="AN128" s="143"/>
      <c r="AO128" s="143"/>
      <c r="AP128" s="143"/>
      <c r="AQ128" s="143"/>
      <c r="AR128" s="143"/>
      <c r="AS128" s="143"/>
      <c r="AT128" s="143"/>
      <c r="AU128" s="143"/>
      <c r="AV128" s="143"/>
      <c r="AW128" s="143"/>
      <c r="AX128" s="143"/>
      <c r="AY128" s="143"/>
      <c r="AZ128" s="143"/>
      <c r="BA128" s="143"/>
    </row>
    <row r="129" spans="1:55">
      <c r="A129" s="539"/>
      <c r="B129" s="664"/>
      <c r="C129" s="664"/>
      <c r="D129" s="41"/>
      <c r="E129" s="41"/>
      <c r="F129" s="41"/>
      <c r="G129" s="41"/>
      <c r="H129" s="41"/>
      <c r="I129" s="41"/>
      <c r="J129" s="41"/>
      <c r="K129" s="41"/>
      <c r="L129" s="41"/>
      <c r="M129" s="41"/>
      <c r="N129" s="41"/>
      <c r="O129" s="41"/>
      <c r="P129" s="268"/>
      <c r="Q129" s="178"/>
      <c r="R129" s="178"/>
      <c r="S129" s="178"/>
      <c r="T129" s="178"/>
      <c r="U129" s="178"/>
      <c r="V129" s="178"/>
      <c r="W129" s="178"/>
      <c r="X129" s="178"/>
      <c r="Y129" s="178"/>
      <c r="Z129" s="178"/>
      <c r="AA129" s="178"/>
      <c r="AB129" s="178"/>
      <c r="AC129" s="178"/>
      <c r="AD129" s="178"/>
      <c r="AE129" s="178"/>
      <c r="AF129" s="178"/>
      <c r="AG129" s="178"/>
      <c r="AH129" s="178"/>
      <c r="AI129" s="178"/>
      <c r="AJ129" s="178"/>
      <c r="AK129" s="178"/>
      <c r="AL129" s="178"/>
      <c r="AM129" s="178"/>
      <c r="AN129" s="178"/>
      <c r="AO129" s="178"/>
      <c r="AP129" s="178"/>
      <c r="AQ129" s="178"/>
      <c r="AR129" s="178"/>
      <c r="AS129" s="178"/>
      <c r="AT129" s="178"/>
      <c r="AU129" s="178"/>
      <c r="AV129" s="178"/>
      <c r="AW129" s="178"/>
      <c r="AX129" s="178"/>
      <c r="AY129" s="178"/>
      <c r="AZ129" s="178"/>
      <c r="BA129" s="178"/>
    </row>
    <row r="130" spans="1:55">
      <c r="A130" s="539"/>
      <c r="B130" s="665" t="s">
        <v>657</v>
      </c>
      <c r="C130" s="665" t="s">
        <v>658</v>
      </c>
      <c r="D130" s="41"/>
      <c r="E130" s="41"/>
      <c r="F130" s="41"/>
      <c r="G130" s="41"/>
      <c r="H130" s="41"/>
      <c r="I130" s="41"/>
      <c r="J130" s="41"/>
      <c r="K130" s="41"/>
      <c r="L130" s="41"/>
      <c r="M130" s="41"/>
      <c r="N130" s="41"/>
      <c r="O130" s="41"/>
      <c r="P130" s="268"/>
      <c r="Q130" s="178"/>
      <c r="R130" s="178"/>
      <c r="S130" s="178"/>
      <c r="T130" s="178"/>
      <c r="U130" s="178"/>
      <c r="V130" s="178"/>
      <c r="W130" s="178"/>
      <c r="X130" s="178"/>
      <c r="Y130" s="178"/>
      <c r="Z130" s="178"/>
      <c r="AA130" s="178"/>
      <c r="AB130" s="178"/>
      <c r="AC130" s="178"/>
      <c r="AD130" s="178"/>
      <c r="AE130" s="178"/>
      <c r="AF130" s="178"/>
      <c r="AG130" s="178"/>
      <c r="AH130" s="178"/>
      <c r="AI130" s="178"/>
      <c r="AJ130" s="178"/>
      <c r="AK130" s="178"/>
      <c r="AL130" s="178"/>
      <c r="AM130" s="178"/>
      <c r="AN130" s="178"/>
      <c r="AO130" s="178"/>
      <c r="AP130" s="178"/>
      <c r="AQ130" s="178"/>
      <c r="AR130" s="178"/>
      <c r="AS130" s="178"/>
      <c r="AT130" s="178"/>
      <c r="AU130" s="178"/>
      <c r="AV130" s="178"/>
      <c r="AW130" s="178"/>
      <c r="AX130" s="178"/>
      <c r="AY130" s="178"/>
      <c r="AZ130" s="178"/>
      <c r="BA130" s="178"/>
    </row>
    <row r="131" spans="1:55">
      <c r="A131" s="539"/>
      <c r="B131" s="664" t="s">
        <v>585</v>
      </c>
      <c r="C131" s="664" t="s">
        <v>659</v>
      </c>
      <c r="D131" s="41"/>
      <c r="E131" s="89"/>
      <c r="F131" s="89"/>
      <c r="G131" s="89"/>
      <c r="H131" s="89"/>
      <c r="I131" s="89"/>
      <c r="J131" s="90"/>
      <c r="K131" s="90">
        <f>IF(ISTEXT('CF Raw'!F$11),('CF Raw'!F16+'CF Raw'!F17)/'Output-FR (check)'!$A$124,'Output-FR (check)'!K15)</f>
        <v>1318.8406424909999</v>
      </c>
      <c r="L131" s="90">
        <f>IF(ISTEXT('CF Raw'!G$11),('CF Raw'!G16+'CF Raw'!G17)/'Output-FR (check)'!$A$124,'Output-FR (check)'!L15)</f>
        <v>1318.1524527060001</v>
      </c>
      <c r="M131" s="90">
        <f>IF(ISTEXT('CF Raw'!H$11),('CF Raw'!H16+'CF Raw'!H17)/'Output-FR (check)'!$A$124,'Output-FR (check)'!M15)</f>
        <v>1385.810943875</v>
      </c>
      <c r="N131" s="90">
        <f>IF(ISTEXT('CF Raw'!I$11),('CF Raw'!I16+'CF Raw'!I17)/'Output-FR (check)'!$A$124,'Output-FR (check)'!N15)</f>
        <v>1398.029397737</v>
      </c>
      <c r="O131" s="90">
        <f>IF(ISTEXT('CF Raw'!J$11),('CF Raw'!J16+'CF Raw'!J17)/'Output-FR (check)'!$A$124,'Output-FR (check)'!O15)</f>
        <v>1083.3806986520001</v>
      </c>
      <c r="P131" s="568">
        <f>IF(ISTEXT('CF Raw'!K$11),('CF Raw'!K16+'CF Raw'!K17)/'Output-FR (check)'!$A$124,'Output-FR (check)'!P15)</f>
        <v>268.08145841499999</v>
      </c>
      <c r="Q131" s="142">
        <f>IF(ISTEXT('CF Raw'!L$11),('CF Raw'!L16+'CF Raw'!L17)/'Output-FR (check)'!$A$124,'Output-FR (check)'!Q15)</f>
        <v>866.19597450905121</v>
      </c>
      <c r="R131" s="142">
        <f>IF(ISTEXT('CF Raw'!M$11),('CF Raw'!M16+'CF Raw'!M17)/'Output-FR (check)'!$A$124,'Output-FR (check)'!R15)</f>
        <v>958.07836251496497</v>
      </c>
      <c r="S131" s="142">
        <f>IF(ISTEXT('CF Raw'!N$11),('CF Raw'!N16+'CF Raw'!N17)/'Output-FR (check)'!$A$124,'Output-FR (check)'!S15)</f>
        <v>400.06569213431158</v>
      </c>
      <c r="T131" s="142">
        <f>IF(ISTEXT('CF Raw'!O$11),('CF Raw'!O16+'CF Raw'!O17)/'Output-FR (check)'!$A$124,'Output-FR (check)'!T15)</f>
        <v>404.65673999404856</v>
      </c>
      <c r="U131" s="142">
        <f>IF(ISTEXT('CF Raw'!P$11),('CF Raw'!P16+'CF Raw'!P17)/'Output-FR (check)'!$A$124,'Output-FR (check)'!U15)</f>
        <v>391.81912495422546</v>
      </c>
      <c r="V131" s="142">
        <f>IF(ISTEXT('CF Raw'!Q$11),('CF Raw'!Q16+'CF Raw'!Q17)/'Output-FR (check)'!$A$124,'Output-FR (check)'!V15)</f>
        <v>391.68502453039241</v>
      </c>
      <c r="W131" s="142">
        <f>IF(ISTEXT('CF Raw'!R$11),('CF Raw'!R16+'CF Raw'!R17)/'Output-FR (check)'!$A$124,'Output-FR (check)'!W15)</f>
        <v>351.67260372664737</v>
      </c>
      <c r="X131" s="142">
        <f>IF(ISTEXT('CF Raw'!S$11),('CF Raw'!S16+'CF Raw'!S17)/'Output-FR (check)'!$A$124,'Output-FR (check)'!X15)</f>
        <v>394.01552606931426</v>
      </c>
      <c r="Y131" s="142">
        <f>IF(ISTEXT('CF Raw'!T$11),('CF Raw'!T16+'CF Raw'!T17)/'Output-FR (check)'!$A$124,'Output-FR (check)'!Y15)</f>
        <v>419.30626490537486</v>
      </c>
      <c r="Z131" s="142">
        <f>IF(ISTEXT('CF Raw'!U$11),('CF Raw'!U16+'CF Raw'!U17)/'Output-FR (check)'!$A$124,'Output-FR (check)'!Z15)</f>
        <v>447.65035783578924</v>
      </c>
      <c r="AA131" s="142"/>
      <c r="AB131" s="143"/>
      <c r="AC131" s="143"/>
      <c r="AD131" s="143"/>
      <c r="AE131" s="143"/>
      <c r="AF131" s="143"/>
      <c r="AG131" s="143"/>
      <c r="AH131" s="143"/>
      <c r="AI131" s="143"/>
      <c r="AJ131" s="143"/>
      <c r="AK131" s="143"/>
      <c r="AL131" s="143"/>
      <c r="AM131" s="143"/>
      <c r="AN131" s="143"/>
      <c r="AO131" s="143"/>
      <c r="AP131" s="143"/>
      <c r="AQ131" s="143"/>
      <c r="AR131" s="143"/>
      <c r="AS131" s="143"/>
      <c r="AT131" s="143"/>
      <c r="AU131" s="143"/>
      <c r="AV131" s="143"/>
      <c r="AW131" s="143"/>
      <c r="AX131" s="143"/>
      <c r="AY131" s="143"/>
      <c r="AZ131" s="143"/>
      <c r="BA131" s="143"/>
      <c r="BC131" s="645"/>
    </row>
    <row r="132" spans="1:55">
      <c r="A132" s="539"/>
      <c r="B132" s="664" t="s">
        <v>656</v>
      </c>
      <c r="C132" s="664"/>
      <c r="D132" s="41"/>
      <c r="E132" s="89"/>
      <c r="F132" s="89"/>
      <c r="G132" s="89"/>
      <c r="H132" s="89"/>
      <c r="I132" s="89"/>
      <c r="J132" s="90"/>
      <c r="K132" s="90">
        <f>IF(ISTEXT('CF Raw'!F$11),'CF Raw'!F18/'Output-FR (check)'!$A$124,0)</f>
        <v>8.9182586940000004</v>
      </c>
      <c r="L132" s="90">
        <f>IF(ISTEXT('CF Raw'!G$11),'CF Raw'!G18/'Output-FR (check)'!$A$124,0)</f>
        <v>-8.4816782469999996</v>
      </c>
      <c r="M132" s="90">
        <f>IF(ISTEXT('CF Raw'!H$11),'CF Raw'!H18/'Output-FR (check)'!$A$124,0)</f>
        <v>37.053214320999999</v>
      </c>
      <c r="N132" s="90">
        <f>IF(ISTEXT('CF Raw'!I$11),'CF Raw'!I18/'Output-FR (check)'!$A$124,0)</f>
        <v>822.62005017000001</v>
      </c>
      <c r="O132" s="90">
        <f>IF(ISTEXT('CF Raw'!J$11),'CF Raw'!J18/'Output-FR (check)'!$A$124,0)</f>
        <v>-212.57577683100001</v>
      </c>
      <c r="P132" s="568">
        <f>IF(ISTEXT('CF Raw'!K$11),'CF Raw'!K18/'Output-FR (check)'!$A$124,0)</f>
        <v>9.4771194750000003</v>
      </c>
      <c r="Q132" s="142">
        <f>IF(ISTEXT('CF Raw'!L$11),'CF Raw'!L18/'Output-FR (check)'!$A$124,0)</f>
        <v>0</v>
      </c>
      <c r="R132" s="142">
        <f>IF(ISTEXT('CF Raw'!M$11),'CF Raw'!M18/'Output-FR (check)'!$A$124,0)</f>
        <v>0</v>
      </c>
      <c r="S132" s="142">
        <f>IF(ISTEXT('CF Raw'!N$11),'CF Raw'!N18/'Output-FR (check)'!$A$124,0)</f>
        <v>0</v>
      </c>
      <c r="T132" s="142">
        <f>IF(ISTEXT('CF Raw'!O$11),'CF Raw'!O18/'Output-FR (check)'!$A$124,0)</f>
        <v>0</v>
      </c>
      <c r="U132" s="142">
        <f>IF(ISTEXT('CF Raw'!P$11),'CF Raw'!P18/'Output-FR (check)'!$A$124,0)</f>
        <v>0</v>
      </c>
      <c r="V132" s="142">
        <f>IF(ISTEXT('CF Raw'!Q$11),'CF Raw'!Q18/'Output-FR (check)'!$A$124,0)</f>
        <v>0</v>
      </c>
      <c r="W132" s="142">
        <f>IF(ISTEXT('CF Raw'!R$11),'CF Raw'!R18/'Output-FR (check)'!$A$124,0)</f>
        <v>0</v>
      </c>
      <c r="X132" s="142">
        <f>IF(ISTEXT('CF Raw'!S$11),'CF Raw'!S18/'Output-FR (check)'!$A$124,0)</f>
        <v>0</v>
      </c>
      <c r="Y132" s="142">
        <f>IF(ISTEXT('CF Raw'!T$11),'CF Raw'!T18/'Output-FR (check)'!$A$124,0)</f>
        <v>0</v>
      </c>
      <c r="Z132" s="142">
        <f>IF(ISTEXT('CF Raw'!U$11),'CF Raw'!U18/'Output-FR (check)'!$A$124,0)</f>
        <v>0</v>
      </c>
      <c r="AA132" s="142"/>
      <c r="AB132" s="143"/>
      <c r="AC132" s="143"/>
      <c r="AD132" s="143"/>
      <c r="AE132" s="143"/>
      <c r="AF132" s="143"/>
      <c r="AG132" s="143"/>
      <c r="AH132" s="143"/>
      <c r="AI132" s="143"/>
      <c r="AJ132" s="143"/>
      <c r="AK132" s="143"/>
      <c r="AL132" s="143"/>
      <c r="AM132" s="143"/>
      <c r="AN132" s="143"/>
      <c r="AO132" s="143"/>
      <c r="AP132" s="143"/>
      <c r="AQ132" s="143"/>
      <c r="AR132" s="143"/>
      <c r="AS132" s="143"/>
      <c r="AT132" s="143"/>
      <c r="AU132" s="143"/>
      <c r="AV132" s="143"/>
      <c r="AW132" s="143"/>
      <c r="AX132" s="143"/>
      <c r="AY132" s="143"/>
      <c r="AZ132" s="143"/>
      <c r="BA132" s="143"/>
    </row>
    <row r="133" spans="1:55">
      <c r="A133" s="539"/>
      <c r="B133" s="664" t="s">
        <v>660</v>
      </c>
      <c r="C133" s="664"/>
      <c r="D133" s="41"/>
      <c r="E133" s="89"/>
      <c r="F133" s="89"/>
      <c r="G133" s="89"/>
      <c r="H133" s="89"/>
      <c r="I133" s="89"/>
      <c r="J133" s="90"/>
      <c r="K133" s="90">
        <f>IF(ISTEXT('CF Raw'!F$11),'CF Raw'!F19/$A$124,0)</f>
        <v>-2.4354729509999999</v>
      </c>
      <c r="L133" s="90">
        <f>IF(ISTEXT('CF Raw'!G$11),'CF Raw'!G19/$A$124,0)</f>
        <v>-1.5350376999999999</v>
      </c>
      <c r="M133" s="90">
        <f>IF(ISTEXT('CF Raw'!H$11),'CF Raw'!H19/$A$124,0)</f>
        <v>-7.0093267580000003</v>
      </c>
      <c r="N133" s="90">
        <f>IF(ISTEXT('CF Raw'!I$11),'CF Raw'!I19/$A$124,0)</f>
        <v>9.3273664669999992</v>
      </c>
      <c r="O133" s="90">
        <f>IF(ISTEXT('CF Raw'!J$11),'CF Raw'!J19/$A$124,0)</f>
        <v>-43.609637122000002</v>
      </c>
      <c r="P133" s="568">
        <f>IF(ISTEXT('CF Raw'!K$11),'CF Raw'!K19/$A$124,0)</f>
        <v>2.9503121509999999</v>
      </c>
      <c r="Q133" s="142">
        <f>IF(ISTEXT('CF Raw'!L$11),'CF Raw'!L19/$A$124,0)</f>
        <v>0</v>
      </c>
      <c r="R133" s="142">
        <f>IF(ISTEXT('CF Raw'!M$11),'CF Raw'!M19/$A$124,0)</f>
        <v>0</v>
      </c>
      <c r="S133" s="142">
        <f>IF(ISTEXT('CF Raw'!N$11),'CF Raw'!N19/$A$124,0)</f>
        <v>0</v>
      </c>
      <c r="T133" s="142">
        <f>IF(ISTEXT('CF Raw'!O$11),'CF Raw'!O19/$A$124,0)</f>
        <v>0</v>
      </c>
      <c r="U133" s="142">
        <f>IF(ISTEXT('CF Raw'!P$11),'CF Raw'!P19/$A$124,0)</f>
        <v>0</v>
      </c>
      <c r="V133" s="142">
        <f>IF(ISTEXT('CF Raw'!Q$11),'CF Raw'!Q19/$A$124,0)</f>
        <v>0</v>
      </c>
      <c r="W133" s="142">
        <f>IF(ISTEXT('CF Raw'!R$11),'CF Raw'!R19/$A$124,0)</f>
        <v>0</v>
      </c>
      <c r="X133" s="142">
        <f>IF(ISTEXT('CF Raw'!S$11),'CF Raw'!S19/$A$124,0)</f>
        <v>0</v>
      </c>
      <c r="Y133" s="142">
        <f>IF(ISTEXT('CF Raw'!T$11),'CF Raw'!T19/$A$124,0)</f>
        <v>0</v>
      </c>
      <c r="Z133" s="142">
        <f>IF(ISTEXT('CF Raw'!U$11),'CF Raw'!U19/$A$124,0)</f>
        <v>0</v>
      </c>
      <c r="AA133" s="142"/>
      <c r="AB133" s="143"/>
      <c r="AC133" s="143"/>
      <c r="AD133" s="143"/>
      <c r="AE133" s="143"/>
      <c r="AF133" s="143"/>
      <c r="AG133" s="143"/>
      <c r="AH133" s="143"/>
      <c r="AI133" s="143"/>
      <c r="AJ133" s="143"/>
      <c r="AK133" s="143"/>
      <c r="AL133" s="143"/>
      <c r="AM133" s="143"/>
      <c r="AN133" s="143"/>
      <c r="AO133" s="143"/>
      <c r="AP133" s="143"/>
      <c r="AQ133" s="143"/>
      <c r="AR133" s="143"/>
      <c r="AS133" s="143"/>
      <c r="AT133" s="143"/>
      <c r="AU133" s="143"/>
      <c r="AV133" s="143"/>
      <c r="AW133" s="143"/>
      <c r="AX133" s="143"/>
      <c r="AY133" s="143"/>
      <c r="AZ133" s="143"/>
      <c r="BA133" s="143"/>
    </row>
    <row r="134" spans="1:55">
      <c r="A134" s="539"/>
      <c r="B134" s="664" t="s">
        <v>661</v>
      </c>
      <c r="C134" s="664"/>
      <c r="D134" s="41"/>
      <c r="E134" s="89"/>
      <c r="F134" s="89"/>
      <c r="G134" s="89"/>
      <c r="H134" s="89"/>
      <c r="I134" s="89"/>
      <c r="J134" s="90"/>
      <c r="K134" s="90">
        <f>+K135+K136</f>
        <v>-117.699812006</v>
      </c>
      <c r="L134" s="90">
        <f t="shared" ref="L134:Q134" si="48">+L135+L136</f>
        <v>-111.927584745</v>
      </c>
      <c r="M134" s="90">
        <f t="shared" si="48"/>
        <v>-130.835723223</v>
      </c>
      <c r="N134" s="90">
        <f t="shared" si="48"/>
        <v>-265.29046088000001</v>
      </c>
      <c r="O134" s="90">
        <f t="shared" si="48"/>
        <v>-518.47532930399996</v>
      </c>
      <c r="P134" s="568">
        <f t="shared" si="48"/>
        <v>-451.85853166099997</v>
      </c>
      <c r="Q134" s="142">
        <f t="shared" ca="1" si="48"/>
        <v>-628.84749243855151</v>
      </c>
      <c r="R134" s="142">
        <f t="shared" ref="R134:Y134" ca="1" si="49">+R135+R136</f>
        <v>-692.85894844772497</v>
      </c>
      <c r="S134" s="142">
        <f t="shared" ca="1" si="49"/>
        <v>-780.37590489551519</v>
      </c>
      <c r="T134" s="142">
        <f t="shared" ca="1" si="49"/>
        <v>-909.43262796584679</v>
      </c>
      <c r="U134" s="142">
        <f t="shared" ca="1" si="49"/>
        <v>-1034.8699417467117</v>
      </c>
      <c r="V134" s="142">
        <f t="shared" ca="1" si="49"/>
        <v>-1142.7056800480866</v>
      </c>
      <c r="W134" s="142">
        <f t="shared" ca="1" si="49"/>
        <v>-1225.4992514233529</v>
      </c>
      <c r="X134" s="142">
        <f t="shared" ca="1" si="49"/>
        <v>-1318.4699376175467</v>
      </c>
      <c r="Y134" s="142">
        <f t="shared" ca="1" si="49"/>
        <v>-1423.6529369135076</v>
      </c>
      <c r="Z134" s="142">
        <f t="shared" ref="Z134" ca="1" si="50">+Z135+Z136</f>
        <v>-1505.6260008797576</v>
      </c>
      <c r="AA134" s="142"/>
      <c r="AB134" s="143"/>
      <c r="AC134" s="143"/>
      <c r="AD134" s="143"/>
      <c r="AE134" s="143"/>
      <c r="AF134" s="143"/>
      <c r="AG134" s="143"/>
      <c r="AH134" s="143"/>
      <c r="AI134" s="143"/>
      <c r="AJ134" s="143"/>
      <c r="AK134" s="143"/>
      <c r="AL134" s="143"/>
      <c r="AM134" s="143"/>
      <c r="AN134" s="143"/>
      <c r="AO134" s="143"/>
      <c r="AP134" s="143"/>
      <c r="AQ134" s="143"/>
      <c r="AR134" s="143"/>
      <c r="AS134" s="143"/>
      <c r="AT134" s="143"/>
      <c r="AU134" s="143"/>
      <c r="AV134" s="143"/>
      <c r="AW134" s="143"/>
      <c r="AX134" s="143"/>
      <c r="AY134" s="143"/>
      <c r="AZ134" s="143"/>
      <c r="BA134" s="143"/>
    </row>
    <row r="135" spans="1:55">
      <c r="A135" s="574"/>
      <c r="B135" s="1808" t="s">
        <v>1130</v>
      </c>
      <c r="C135" s="666" t="s">
        <v>662</v>
      </c>
      <c r="D135" s="576"/>
      <c r="E135" s="593"/>
      <c r="F135" s="593"/>
      <c r="G135" s="593"/>
      <c r="H135" s="593"/>
      <c r="I135" s="593"/>
      <c r="J135" s="594"/>
      <c r="K135" s="594">
        <f>IF(ISTEXT('CF Raw'!F$11),'CF Raw'!F20/'Output-FR (check)'!$A$124,-'Output-FR (check)'!K25)</f>
        <v>0</v>
      </c>
      <c r="L135" s="594">
        <f>IF(ISTEXT('CF Raw'!G$11),'CF Raw'!G20/'Output-FR (check)'!$A$124,-'Output-FR (check)'!L25)</f>
        <v>0</v>
      </c>
      <c r="M135" s="594">
        <f>IF(ISTEXT('CF Raw'!H$11),'CF Raw'!H20/'Output-FR (check)'!$A$124,-'Output-FR (check)'!M25)</f>
        <v>0</v>
      </c>
      <c r="N135" s="594">
        <f>IF(ISTEXT('CF Raw'!I$11),'CF Raw'!I20/'Output-FR (check)'!$A$124,-'Output-FR (check)'!N25)</f>
        <v>0</v>
      </c>
      <c r="O135" s="594">
        <f>IF(ISTEXT('CF Raw'!J$11),'CF Raw'!J20/'Output-FR (check)'!$A$124,-'Output-FR (check)'!O25)</f>
        <v>0</v>
      </c>
      <c r="P135" s="595">
        <f>IF(ISTEXT('CF Raw'!K$11),'CF Raw'!K20/'Output-FR (check)'!$A$124,-'Output-FR (check)'!P25)</f>
        <v>0</v>
      </c>
      <c r="Q135" s="596">
        <f>IF(ISTEXT('CF Raw'!L$11),'CF Raw'!L20/'Output-FR (check)'!$A$124,-'Output-FR (check)'!Q25)</f>
        <v>-16.230570724666709</v>
      </c>
      <c r="R135" s="596">
        <f>IF(ISTEXT('CF Raw'!M$11),'CF Raw'!M20/'Output-FR (check)'!$A$124,-'Output-FR (check)'!R25)</f>
        <v>-12.02804724916732</v>
      </c>
      <c r="S135" s="596">
        <f>IF(ISTEXT('CF Raw'!N$11),'CF Raw'!N20/'Output-FR (check)'!$A$124,-'Output-FR (check)'!S25)</f>
        <v>-13.186811817571449</v>
      </c>
      <c r="T135" s="596">
        <f>IF(ISTEXT('CF Raw'!O$11),'CF Raw'!O20/'Output-FR (check)'!$A$124,-'Output-FR (check)'!T25)</f>
        <v>-14.336535169178703</v>
      </c>
      <c r="U135" s="596">
        <f>IF(ISTEXT('CF Raw'!P$11),'CF Raw'!P20/'Output-FR (check)'!$A$124,-'Output-FR (check)'!U25)</f>
        <v>-17.219893467666864</v>
      </c>
      <c r="V135" s="596">
        <f>IF(ISTEXT('CF Raw'!Q$11),'CF Raw'!Q20/'Output-FR (check)'!$A$124,-'Output-FR (check)'!V25)</f>
        <v>-17.021552919137449</v>
      </c>
      <c r="W135" s="596">
        <f>IF(ISTEXT('CF Raw'!R$11),'CF Raw'!R20/'Output-FR (check)'!$A$124,-'Output-FR (check)'!W25)</f>
        <v>-14.683428161063702</v>
      </c>
      <c r="X135" s="596">
        <f>IF(ISTEXT('CF Raw'!S$11),'CF Raw'!S20/'Output-FR (check)'!$A$124,-'Output-FR (check)'!X25)</f>
        <v>-14.473290754976617</v>
      </c>
      <c r="Y135" s="596">
        <f>IF(ISTEXT('CF Raw'!T$11),'CF Raw'!T20/'Output-FR (check)'!$A$124,-'Output-FR (check)'!Y25)</f>
        <v>-14.694309641502553</v>
      </c>
      <c r="Z135" s="596">
        <f>IF(ISTEXT('CF Raw'!U$11),'CF Raw'!U20/'Output-FR (check)'!$A$124,-'Output-FR (check)'!Z25)</f>
        <v>-15.039807808198393</v>
      </c>
      <c r="AA135" s="596"/>
      <c r="AB135" s="597"/>
      <c r="AC135" s="597"/>
      <c r="AD135" s="597"/>
      <c r="AE135" s="597"/>
      <c r="AF135" s="597"/>
      <c r="AG135" s="597"/>
      <c r="AH135" s="597"/>
      <c r="AI135" s="597"/>
      <c r="AJ135" s="597"/>
      <c r="AK135" s="597"/>
      <c r="AL135" s="597"/>
      <c r="AM135" s="597"/>
      <c r="AN135" s="597"/>
      <c r="AO135" s="597"/>
      <c r="AP135" s="597"/>
      <c r="AQ135" s="597"/>
      <c r="AR135" s="597"/>
      <c r="AS135" s="597"/>
      <c r="AT135" s="597"/>
      <c r="AU135" s="597"/>
      <c r="AV135" s="597"/>
      <c r="AW135" s="597"/>
      <c r="AX135" s="597"/>
      <c r="AY135" s="597"/>
      <c r="AZ135" s="597"/>
      <c r="BA135" s="597"/>
    </row>
    <row r="136" spans="1:55">
      <c r="A136" s="574"/>
      <c r="B136" s="1808" t="s">
        <v>1131</v>
      </c>
      <c r="C136" s="666"/>
      <c r="D136" s="576"/>
      <c r="E136" s="593"/>
      <c r="F136" s="593"/>
      <c r="G136" s="593"/>
      <c r="H136" s="593"/>
      <c r="I136" s="593"/>
      <c r="J136" s="594"/>
      <c r="K136" s="594">
        <f>IF(ISTEXT('CF Raw'!F$11),'CF Raw'!F21/'Output-FR (check)'!$A$124,-'Output-FR (check)'!K21)</f>
        <v>-117.699812006</v>
      </c>
      <c r="L136" s="594">
        <f>IF(ISTEXT('CF Raw'!G$11),'CF Raw'!G21/'Output-FR (check)'!$A$124,-'Output-FR (check)'!L21)</f>
        <v>-111.927584745</v>
      </c>
      <c r="M136" s="594">
        <f>IF(ISTEXT('CF Raw'!H$11),'CF Raw'!H21/'Output-FR (check)'!$A$124,-'Output-FR (check)'!M21)</f>
        <v>-130.835723223</v>
      </c>
      <c r="N136" s="594">
        <f>IF(ISTEXT('CF Raw'!I$11),'CF Raw'!I21/'Output-FR (check)'!$A$124,-'Output-FR (check)'!N21)</f>
        <v>-265.29046088000001</v>
      </c>
      <c r="O136" s="594">
        <f>IF(ISTEXT('CF Raw'!J$11),'CF Raw'!J21/'Output-FR (check)'!$A$124,-'Output-FR (check)'!O21)</f>
        <v>-518.47532930399996</v>
      </c>
      <c r="P136" s="595">
        <f>IF(ISTEXT('CF Raw'!K$11),'CF Raw'!K21/'Output-FR (check)'!$A$124,-'Output-FR (check)'!P21)</f>
        <v>-451.85853166099997</v>
      </c>
      <c r="Q136" s="596">
        <f ca="1">IF(ISTEXT('CF Raw'!L$11),'CF Raw'!L21/'Output-FR (check)'!$A$124,-'Output-FR (check)'!Q21)</f>
        <v>-612.61692171388484</v>
      </c>
      <c r="R136" s="596">
        <f ca="1">IF(ISTEXT('CF Raw'!M$11),'CF Raw'!M21/'Output-FR (check)'!$A$124,-'Output-FR (check)'!R21)</f>
        <v>-680.83090119855763</v>
      </c>
      <c r="S136" s="596">
        <f ca="1">IF(ISTEXT('CF Raw'!N$11),'CF Raw'!N21/'Output-FR (check)'!$A$124,-'Output-FR (check)'!S21)</f>
        <v>-767.18909307794377</v>
      </c>
      <c r="T136" s="596">
        <f ca="1">IF(ISTEXT('CF Raw'!O$11),'CF Raw'!O21/'Output-FR (check)'!$A$124,-'Output-FR (check)'!T21)</f>
        <v>-895.09609279666813</v>
      </c>
      <c r="U136" s="596">
        <f ca="1">IF(ISTEXT('CF Raw'!P$11),'CF Raw'!P21/'Output-FR (check)'!$A$124,-'Output-FR (check)'!U21)</f>
        <v>-1017.6500482790449</v>
      </c>
      <c r="V136" s="596">
        <f ca="1">IF(ISTEXT('CF Raw'!Q$11),'CF Raw'!Q21/'Output-FR (check)'!$A$124,-'Output-FR (check)'!V21)</f>
        <v>-1125.6841271289491</v>
      </c>
      <c r="W136" s="596">
        <f ca="1">IF(ISTEXT('CF Raw'!R$11),'CF Raw'!R21/'Output-FR (check)'!$A$124,-'Output-FR (check)'!W21)</f>
        <v>-1210.8158232622893</v>
      </c>
      <c r="X136" s="596">
        <f ca="1">IF(ISTEXT('CF Raw'!S$11),'CF Raw'!S21/'Output-FR (check)'!$A$124,-'Output-FR (check)'!X21)</f>
        <v>-1303.9966468625701</v>
      </c>
      <c r="Y136" s="596">
        <f ca="1">IF(ISTEXT('CF Raw'!T$11),'CF Raw'!T21/'Output-FR (check)'!$A$124,-'Output-FR (check)'!Y21)</f>
        <v>-1408.9586272720051</v>
      </c>
      <c r="Z136" s="596">
        <f ca="1">IF(ISTEXT('CF Raw'!U$11),'CF Raw'!U21/'Output-FR (check)'!$A$124,-'Output-FR (check)'!Z21)</f>
        <v>-1490.5861930715591</v>
      </c>
      <c r="AA136" s="596"/>
      <c r="AB136" s="597"/>
      <c r="AC136" s="597"/>
      <c r="AD136" s="597"/>
      <c r="AE136" s="597"/>
      <c r="AF136" s="597"/>
      <c r="AG136" s="597"/>
      <c r="AH136" s="597"/>
      <c r="AI136" s="597"/>
      <c r="AJ136" s="597"/>
      <c r="AK136" s="597"/>
      <c r="AL136" s="597"/>
      <c r="AM136" s="597"/>
      <c r="AN136" s="597"/>
      <c r="AO136" s="597"/>
      <c r="AP136" s="597"/>
      <c r="AQ136" s="597"/>
      <c r="AR136" s="597"/>
      <c r="AS136" s="597"/>
      <c r="AT136" s="597"/>
      <c r="AU136" s="597"/>
      <c r="AV136" s="597"/>
      <c r="AW136" s="597"/>
      <c r="AX136" s="597"/>
      <c r="AY136" s="597"/>
      <c r="AZ136" s="597"/>
      <c r="BA136" s="597"/>
    </row>
    <row r="137" spans="1:55" s="673" customFormat="1">
      <c r="A137" s="667"/>
      <c r="B137" s="1809" t="s">
        <v>1132</v>
      </c>
      <c r="C137" s="668"/>
      <c r="D137" s="669"/>
      <c r="E137" s="670"/>
      <c r="F137" s="670"/>
      <c r="G137" s="670"/>
      <c r="H137" s="670"/>
      <c r="I137" s="670"/>
      <c r="J137" s="1810"/>
      <c r="K137" s="1810">
        <f>-Input!K60</f>
        <v>0</v>
      </c>
      <c r="L137" s="1810">
        <f>-Input!L60</f>
        <v>0</v>
      </c>
      <c r="M137" s="1810">
        <f>-Input!M60</f>
        <v>0</v>
      </c>
      <c r="N137" s="1810">
        <f>-Input!N60</f>
        <v>0</v>
      </c>
      <c r="O137" s="1810">
        <f>-Input!O60</f>
        <v>0</v>
      </c>
      <c r="P137" s="2631">
        <f>-Input!P60</f>
        <v>0</v>
      </c>
      <c r="Q137" s="671">
        <f ca="1">-Input!Q60</f>
        <v>-2.5371452690944429E-2</v>
      </c>
      <c r="R137" s="671">
        <f ca="1">-Input!R60</f>
        <v>-8.7591255150297129E-2</v>
      </c>
      <c r="S137" s="671">
        <f ca="1">-Input!S60</f>
        <v>-9.2069872583320264E-2</v>
      </c>
      <c r="T137" s="671">
        <f ca="1">-Input!T60</f>
        <v>-6.6691363983486573E-2</v>
      </c>
      <c r="U137" s="671">
        <f ca="1">-Input!U60</f>
        <v>-0.13624507823653478</v>
      </c>
      <c r="V137" s="671">
        <f ca="1">-Input!V60</f>
        <v>-0.21662463254172398</v>
      </c>
      <c r="W137" s="671">
        <f ca="1">-Input!W60</f>
        <v>-0.26330702056865657</v>
      </c>
      <c r="X137" s="671">
        <f ca="1">-Input!X60</f>
        <v>-0.27322785146043432</v>
      </c>
      <c r="Y137" s="671">
        <f ca="1">-Input!Y60</f>
        <v>-0.1840830546276066</v>
      </c>
      <c r="Z137" s="671">
        <f ca="1">-Input!Z60</f>
        <v>-0.12633188719804878</v>
      </c>
      <c r="AA137" s="671"/>
      <c r="AB137" s="672"/>
      <c r="AC137" s="672"/>
      <c r="AD137" s="672"/>
      <c r="AE137" s="672"/>
      <c r="AF137" s="672"/>
      <c r="AG137" s="672"/>
      <c r="AH137" s="672"/>
      <c r="AI137" s="672"/>
      <c r="AJ137" s="672"/>
      <c r="AK137" s="672"/>
      <c r="AL137" s="672"/>
      <c r="AM137" s="672"/>
      <c r="AN137" s="672"/>
      <c r="AO137" s="672"/>
      <c r="AP137" s="672"/>
      <c r="AQ137" s="672"/>
      <c r="AR137" s="672"/>
      <c r="AS137" s="672"/>
      <c r="AT137" s="672"/>
      <c r="AU137" s="672"/>
      <c r="AV137" s="672"/>
      <c r="AW137" s="672"/>
      <c r="AX137" s="672"/>
      <c r="AY137" s="672"/>
      <c r="AZ137" s="672"/>
      <c r="BA137" s="672"/>
    </row>
    <row r="138" spans="1:55">
      <c r="A138" s="539"/>
      <c r="B138" s="664" t="s">
        <v>663</v>
      </c>
      <c r="C138" s="664"/>
      <c r="D138" s="41"/>
      <c r="E138" s="89"/>
      <c r="F138" s="89"/>
      <c r="G138" s="89"/>
      <c r="H138" s="89"/>
      <c r="I138" s="89"/>
      <c r="J138" s="90"/>
      <c r="K138" s="90">
        <f>IF(ISTEXT('CF Raw'!F$11),'CF Raw'!F22/'Output-FR (check)'!$A$124,'Output-FR (check)'!K23)</f>
        <v>87.172530234000007</v>
      </c>
      <c r="L138" s="90">
        <f>IF(ISTEXT('CF Raw'!G$11),'CF Raw'!G22/'Output-FR (check)'!$A$124,'Output-FR (check)'!L23)</f>
        <v>43.301059166000002</v>
      </c>
      <c r="M138" s="90">
        <f>IF(ISTEXT('CF Raw'!H$11),'CF Raw'!H22/'Output-FR (check)'!$A$124,'Output-FR (check)'!M23)</f>
        <v>18.580201013</v>
      </c>
      <c r="N138" s="90">
        <f>IF(ISTEXT('CF Raw'!I$11),'CF Raw'!I22/'Output-FR (check)'!$A$124,'Output-FR (check)'!N23)</f>
        <v>10.274784277</v>
      </c>
      <c r="O138" s="90">
        <f>IF(ISTEXT('CF Raw'!J$11),'CF Raw'!J22/'Output-FR (check)'!$A$124,'Output-FR (check)'!O23)</f>
        <v>10.155714106</v>
      </c>
      <c r="P138" s="568">
        <f>IF(ISTEXT('CF Raw'!K$11),'CF Raw'!K22/'Output-FR (check)'!$A$124,'Output-FR (check)'!P23)</f>
        <v>44.380805248999998</v>
      </c>
      <c r="Q138" s="142">
        <f ca="1">IF(ISTEXT('CF Raw'!L$11),'CF Raw'!L22/'Output-FR (check)'!$A$124,'Output-FR (check)'!Q23)</f>
        <v>74.699342046726755</v>
      </c>
      <c r="R138" s="142">
        <f ca="1">IF(ISTEXT('CF Raw'!M$11),'CF Raw'!M22/'Output-FR (check)'!$A$124,'Output-FR (check)'!R23)</f>
        <v>95.075078049127569</v>
      </c>
      <c r="S138" s="142">
        <f ca="1">IF(ISTEXT('CF Raw'!N$11),'CF Raw'!N22/'Output-FR (check)'!$A$124,'Output-FR (check)'!S23)</f>
        <v>101.60733791214767</v>
      </c>
      <c r="T138" s="142">
        <f ca="1">IF(ISTEXT('CF Raw'!O$11),'CF Raw'!O22/'Output-FR (check)'!$A$124,'Output-FR (check)'!T23)</f>
        <v>121.233125168139</v>
      </c>
      <c r="U138" s="142">
        <f ca="1">IF(ISTEXT('CF Raw'!P$11),'CF Raw'!P22/'Output-FR (check)'!$A$124,'Output-FR (check)'!U23)</f>
        <v>134.22264369569803</v>
      </c>
      <c r="V138" s="142">
        <f ca="1">IF(ISTEXT('CF Raw'!Q$11),'CF Raw'!Q22/'Output-FR (check)'!$A$124,'Output-FR (check)'!V23)</f>
        <v>125.78160668586584</v>
      </c>
      <c r="W138" s="142">
        <f ca="1">IF(ISTEXT('CF Raw'!R$11),'CF Raw'!R22/'Output-FR (check)'!$A$124,'Output-FR (check)'!W23)</f>
        <v>115.73305955399846</v>
      </c>
      <c r="X138" s="142">
        <f ca="1">IF(ISTEXT('CF Raw'!S$11),'CF Raw'!S22/'Output-FR (check)'!$A$124,'Output-FR (check)'!X23)</f>
        <v>112.09363874832491</v>
      </c>
      <c r="Y138" s="142">
        <f ca="1">IF(ISTEXT('CF Raw'!T$11),'CF Raw'!T22/'Output-FR (check)'!$A$124,'Output-FR (check)'!Y23)</f>
        <v>114.21263000439691</v>
      </c>
      <c r="Z138" s="142">
        <f ca="1">IF(ISTEXT('CF Raw'!U$11),'CF Raw'!U22/'Output-FR (check)'!$A$124,'Output-FR (check)'!Z23)</f>
        <v>119.26979793457255</v>
      </c>
      <c r="AA138" s="142"/>
      <c r="AB138" s="143"/>
      <c r="AC138" s="143"/>
      <c r="AD138" s="143"/>
      <c r="AE138" s="143"/>
      <c r="AF138" s="143"/>
      <c r="AG138" s="143"/>
      <c r="AH138" s="143"/>
      <c r="AI138" s="143"/>
      <c r="AJ138" s="143"/>
      <c r="AK138" s="143"/>
      <c r="AL138" s="143"/>
      <c r="AM138" s="143"/>
      <c r="AN138" s="143"/>
      <c r="AO138" s="143"/>
      <c r="AP138" s="143"/>
      <c r="AQ138" s="143"/>
      <c r="AR138" s="143"/>
      <c r="AS138" s="143"/>
      <c r="AT138" s="143"/>
      <c r="AU138" s="143"/>
      <c r="AV138" s="143"/>
      <c r="AW138" s="143"/>
      <c r="AX138" s="143"/>
      <c r="AY138" s="143"/>
      <c r="AZ138" s="143"/>
      <c r="BA138" s="143"/>
    </row>
    <row r="139" spans="1:55">
      <c r="A139" s="539"/>
      <c r="B139" s="664" t="s">
        <v>664</v>
      </c>
      <c r="C139" s="664"/>
      <c r="D139" s="41"/>
      <c r="E139" s="89"/>
      <c r="F139" s="89"/>
      <c r="G139" s="89"/>
      <c r="H139" s="89"/>
      <c r="I139" s="89"/>
      <c r="J139" s="90"/>
      <c r="K139" s="90">
        <f>IF(ISTEXT('CF Raw'!F$11),'CF Raw'!F24/$A$124,0)</f>
        <v>0</v>
      </c>
      <c r="L139" s="90">
        <f>IF(ISTEXT('CF Raw'!G$11),'CF Raw'!G24/$A$124,0)</f>
        <v>79.425415134000005</v>
      </c>
      <c r="M139" s="90">
        <f>IF(ISTEXT('CF Raw'!H$11),'CF Raw'!H24/$A$124,0)</f>
        <v>216.72827549199999</v>
      </c>
      <c r="N139" s="90">
        <f>IF(ISTEXT('CF Raw'!I$11),'CF Raw'!I24/$A$124,0)</f>
        <v>318.81692938700002</v>
      </c>
      <c r="O139" s="90">
        <f>IF(ISTEXT('CF Raw'!J$11),'CF Raw'!J24/$A$124,0)</f>
        <v>108.885894155</v>
      </c>
      <c r="P139" s="568">
        <f>IF(ISTEXT('CF Raw'!K$11),'CF Raw'!K24/$A$124,0)</f>
        <v>40.507658585000001</v>
      </c>
      <c r="Q139" s="142">
        <f>IF(ISTEXT('CF Raw'!L$11),'CF Raw'!L24/$A$124,0)</f>
        <v>0</v>
      </c>
      <c r="R139" s="142">
        <f>IF(ISTEXT('CF Raw'!M$11),'CF Raw'!M24/$A$124,0)</f>
        <v>0</v>
      </c>
      <c r="S139" s="142">
        <f>IF(ISTEXT('CF Raw'!N$11),'CF Raw'!N24/$A$124,0)</f>
        <v>0</v>
      </c>
      <c r="T139" s="142">
        <f>IF(ISTEXT('CF Raw'!O$11),'CF Raw'!O24/$A$124,0)</f>
        <v>0</v>
      </c>
      <c r="U139" s="142">
        <f>IF(ISTEXT('CF Raw'!P$11),'CF Raw'!P24/$A$124,0)</f>
        <v>0</v>
      </c>
      <c r="V139" s="142">
        <f>IF(ISTEXT('CF Raw'!Q$11),'CF Raw'!Q24/$A$124,0)</f>
        <v>0</v>
      </c>
      <c r="W139" s="142">
        <f>IF(ISTEXT('CF Raw'!R$11),'CF Raw'!R24/$A$124,0)</f>
        <v>0</v>
      </c>
      <c r="X139" s="142">
        <f>IF(ISTEXT('CF Raw'!S$11),'CF Raw'!S24/$A$124,0)</f>
        <v>0</v>
      </c>
      <c r="Y139" s="142">
        <f>IF(ISTEXT('CF Raw'!T$11),'CF Raw'!T24/$A$124,0)</f>
        <v>0</v>
      </c>
      <c r="Z139" s="142">
        <f>IF(ISTEXT('CF Raw'!U$11),'CF Raw'!U24/$A$124,0)</f>
        <v>0</v>
      </c>
      <c r="AA139" s="142"/>
      <c r="AB139" s="143"/>
      <c r="AC139" s="143"/>
      <c r="AD139" s="143"/>
      <c r="AE139" s="143"/>
      <c r="AF139" s="143"/>
      <c r="AG139" s="143"/>
      <c r="AH139" s="143"/>
      <c r="AI139" s="143"/>
      <c r="AJ139" s="143"/>
      <c r="AK139" s="143"/>
      <c r="AL139" s="143"/>
      <c r="AM139" s="143"/>
      <c r="AN139" s="143"/>
      <c r="AO139" s="143"/>
      <c r="AP139" s="143"/>
      <c r="AQ139" s="143"/>
      <c r="AR139" s="143"/>
      <c r="AS139" s="143"/>
      <c r="AT139" s="143"/>
      <c r="AU139" s="143"/>
      <c r="AV139" s="143"/>
      <c r="AW139" s="143"/>
      <c r="AX139" s="143"/>
      <c r="AY139" s="143"/>
      <c r="AZ139" s="143"/>
      <c r="BA139" s="143"/>
    </row>
    <row r="140" spans="1:55">
      <c r="A140" s="674"/>
      <c r="B140" s="665" t="s">
        <v>665</v>
      </c>
      <c r="C140" s="665" t="s">
        <v>666</v>
      </c>
      <c r="D140" s="20"/>
      <c r="E140" s="123"/>
      <c r="F140" s="123"/>
      <c r="G140" s="123"/>
      <c r="H140" s="123"/>
      <c r="I140" s="123"/>
      <c r="J140" s="339"/>
      <c r="K140" s="339">
        <f>+K128+K131+K132+K133+K134+K138+K139</f>
        <v>1757.8843178440002</v>
      </c>
      <c r="L140" s="339">
        <f t="shared" ref="L140:Q140" si="51">+L128+L131+L132+L133+L134+L138+L139</f>
        <v>2035.4684306190002</v>
      </c>
      <c r="M140" s="339">
        <f t="shared" si="51"/>
        <v>3476.5975735610004</v>
      </c>
      <c r="N140" s="339">
        <f t="shared" si="51"/>
        <v>6890.0908320010003</v>
      </c>
      <c r="O140" s="339">
        <f t="shared" si="51"/>
        <v>1682.5711472960011</v>
      </c>
      <c r="P140" s="661">
        <f t="shared" si="51"/>
        <v>1435.6023104050009</v>
      </c>
      <c r="Q140" s="340">
        <f t="shared" ca="1" si="51"/>
        <v>2933.2422465348513</v>
      </c>
      <c r="R140" s="340">
        <f t="shared" ref="R140:Y140" ca="1" si="52">+R128+R131+R132+R133+R134+R138+R139</f>
        <v>3327.5506773777174</v>
      </c>
      <c r="S140" s="340">
        <f t="shared" ca="1" si="52"/>
        <v>3194.8626425884095</v>
      </c>
      <c r="T140" s="340">
        <f t="shared" ca="1" si="52"/>
        <v>5043.6060622250388</v>
      </c>
      <c r="U140" s="340">
        <f t="shared" ca="1" si="52"/>
        <v>4131.3117615527226</v>
      </c>
      <c r="V140" s="340">
        <f t="shared" ca="1" si="52"/>
        <v>3425.9409567075481</v>
      </c>
      <c r="W140" s="340">
        <f t="shared" ca="1" si="52"/>
        <v>3296.8326411809371</v>
      </c>
      <c r="X140" s="340">
        <f t="shared" ca="1" si="52"/>
        <v>3691.8888216285945</v>
      </c>
      <c r="Y140" s="340">
        <f t="shared" ca="1" si="52"/>
        <v>4300.8481413371819</v>
      </c>
      <c r="Z140" s="340">
        <f t="shared" ref="Z140" ca="1" si="53">+Z128+Z131+Z132+Z133+Z134+Z138+Z139</f>
        <v>4209.2270986677713</v>
      </c>
      <c r="AA140" s="340"/>
      <c r="AB140" s="341"/>
      <c r="AC140" s="341"/>
      <c r="AD140" s="341"/>
      <c r="AE140" s="341"/>
      <c r="AF140" s="341"/>
      <c r="AG140" s="341"/>
      <c r="AH140" s="341"/>
      <c r="AI140" s="341"/>
      <c r="AJ140" s="341"/>
      <c r="AK140" s="341"/>
      <c r="AL140" s="341"/>
      <c r="AM140" s="341"/>
      <c r="AN140" s="341"/>
      <c r="AO140" s="341"/>
      <c r="AP140" s="341"/>
      <c r="AQ140" s="341"/>
      <c r="AR140" s="341"/>
      <c r="AS140" s="341"/>
      <c r="AT140" s="341"/>
      <c r="AU140" s="341"/>
      <c r="AV140" s="341"/>
      <c r="AW140" s="341"/>
      <c r="AX140" s="341"/>
      <c r="AY140" s="341"/>
      <c r="AZ140" s="341"/>
      <c r="BA140" s="341"/>
    </row>
    <row r="141" spans="1:55">
      <c r="A141" s="539"/>
      <c r="B141" s="664"/>
      <c r="C141" s="664"/>
      <c r="D141" s="41"/>
      <c r="E141" s="89"/>
      <c r="F141" s="89"/>
      <c r="G141" s="89"/>
      <c r="H141" s="89"/>
      <c r="I141" s="89"/>
      <c r="J141" s="89"/>
      <c r="K141" s="89"/>
      <c r="L141" s="89"/>
      <c r="M141" s="89"/>
      <c r="N141" s="89"/>
      <c r="O141" s="89"/>
      <c r="P141" s="188"/>
      <c r="Q141" s="143"/>
      <c r="R141" s="143"/>
      <c r="S141" s="143"/>
      <c r="T141" s="143"/>
      <c r="U141" s="143"/>
      <c r="V141" s="143"/>
      <c r="W141" s="143"/>
      <c r="X141" s="143"/>
      <c r="Y141" s="143"/>
      <c r="Z141" s="143"/>
      <c r="AA141" s="143"/>
      <c r="AB141" s="143"/>
      <c r="AC141" s="143"/>
      <c r="AD141" s="143"/>
      <c r="AE141" s="143"/>
      <c r="AF141" s="143"/>
      <c r="AG141" s="143"/>
      <c r="AH141" s="143"/>
      <c r="AI141" s="143"/>
      <c r="AJ141" s="143"/>
      <c r="AK141" s="143"/>
      <c r="AL141" s="143"/>
      <c r="AM141" s="143"/>
      <c r="AN141" s="143"/>
      <c r="AO141" s="143"/>
      <c r="AP141" s="143"/>
      <c r="AQ141" s="143"/>
      <c r="AR141" s="143"/>
      <c r="AS141" s="143"/>
      <c r="AT141" s="143"/>
      <c r="AU141" s="143"/>
      <c r="AV141" s="143"/>
      <c r="AW141" s="143"/>
      <c r="AX141" s="143"/>
      <c r="AY141" s="143"/>
      <c r="AZ141" s="143"/>
      <c r="BA141" s="143"/>
    </row>
    <row r="142" spans="1:55">
      <c r="A142" s="539"/>
      <c r="B142" s="664" t="s">
        <v>667</v>
      </c>
      <c r="C142" s="664" t="s">
        <v>668</v>
      </c>
      <c r="D142" s="41"/>
      <c r="E142" s="89"/>
      <c r="F142" s="89"/>
      <c r="G142" s="89"/>
      <c r="H142" s="89"/>
      <c r="I142" s="89"/>
      <c r="J142" s="90"/>
      <c r="K142" s="90">
        <f>IF(ISTEXT('CF Raw'!F$11),'CF Raw'!F26/'Output-FR (check)'!$A$124,('Output-FR (check)'!J63-'Output-FR (check)'!K63)+('Output-FR (check)'!J69-'Output-FR (check)'!K69)+('Output-FR (check)'!J65-'Output-FR (check)'!K65)+('Output-FR (check)'!J76-'Output-FR (check)'!K76))</f>
        <v>55.144219745000001</v>
      </c>
      <c r="L142" s="90">
        <f>IF(ISTEXT('CF Raw'!G$11),'CF Raw'!G26/'Output-FR (check)'!$A$124,('Output-FR (check)'!K63-'Output-FR (check)'!L63)+('Output-FR (check)'!K69-'Output-FR (check)'!L69)+('Output-FR (check)'!K65-'Output-FR (check)'!L65)+('Output-FR (check)'!K76-'Output-FR (check)'!L76))</f>
        <v>135.339605619</v>
      </c>
      <c r="M142" s="90">
        <f>IF(ISTEXT('CF Raw'!H$11),'CF Raw'!H26/'Output-FR (check)'!$A$124,('Output-FR (check)'!L63-'Output-FR (check)'!M63)+('Output-FR (check)'!L69-'Output-FR (check)'!M69)+('Output-FR (check)'!L65-'Output-FR (check)'!M65)+('Output-FR (check)'!L76-'Output-FR (check)'!M76))</f>
        <v>30.360921225999999</v>
      </c>
      <c r="N142" s="90">
        <f>IF(ISTEXT('CF Raw'!I$11),'CF Raw'!I26/'Output-FR (check)'!$A$124,('Output-FR (check)'!M63-'Output-FR (check)'!N63)+('Output-FR (check)'!M69-'Output-FR (check)'!N69)+('Output-FR (check)'!M65-'Output-FR (check)'!N65)+('Output-FR (check)'!M76-'Output-FR (check)'!N76))</f>
        <v>-50.564994075999998</v>
      </c>
      <c r="O142" s="90">
        <f>IF(ISTEXT('CF Raw'!J$11),'CF Raw'!J26/'Output-FR (check)'!$A$124,('Output-FR (check)'!N63-'Output-FR (check)'!O63)+('Output-FR (check)'!N69-'Output-FR (check)'!O69)+('Output-FR (check)'!N65-'Output-FR (check)'!O65)+('Output-FR (check)'!N76-'Output-FR (check)'!O76))</f>
        <v>-140.25581156300001</v>
      </c>
      <c r="P142" s="568">
        <f>IF(ISTEXT('CF Raw'!K$11),'CF Raw'!K26/'Output-FR (check)'!$A$124,('Output-FR (check)'!O63-'Output-FR (check)'!P63)+('Output-FR (check)'!O69-'Output-FR (check)'!P69)+('Output-FR (check)'!O65-'Output-FR (check)'!P65)+('Output-FR (check)'!O76-'Output-FR (check)'!P76))</f>
        <v>-40.518051653000001</v>
      </c>
      <c r="Q142" s="142">
        <f>IF(ISTEXT('CF Raw'!L$11),'CF Raw'!L26/'Output-FR (check)'!$A$124,('Output-FR (check)'!P63-'Output-FR (check)'!Q63)+('Output-FR (check)'!P69-'Output-FR (check)'!Q69)+('Output-FR (check)'!P65-'Output-FR (check)'!Q65)+('Output-FR (check)'!P76-'Output-FR (check)'!Q76))</f>
        <v>-379.25972266107351</v>
      </c>
      <c r="R142" s="142">
        <f>IF(ISTEXT('CF Raw'!M$11),'CF Raw'!M26/'Output-FR (check)'!$A$124,('Output-FR (check)'!Q63-'Output-FR (check)'!R63)+('Output-FR (check)'!Q69-'Output-FR (check)'!R69)+('Output-FR (check)'!Q65-'Output-FR (check)'!R65)+('Output-FR (check)'!Q76-'Output-FR (check)'!R76))</f>
        <v>-227.98500802757113</v>
      </c>
      <c r="S142" s="142">
        <f>IF(ISTEXT('CF Raw'!N$11),'CF Raw'!N26/'Output-FR (check)'!$A$124,('Output-FR (check)'!R63-'Output-FR (check)'!S63)+('Output-FR (check)'!R69-'Output-FR (check)'!S69)+('Output-FR (check)'!R65-'Output-FR (check)'!S65)+('Output-FR (check)'!R76-'Output-FR (check)'!S76))</f>
        <v>-198.27410562548567</v>
      </c>
      <c r="T142" s="142">
        <f>IF(ISTEXT('CF Raw'!O$11),'CF Raw'!O26/'Output-FR (check)'!$A$124,('Output-FR (check)'!S63-'Output-FR (check)'!T63)+('Output-FR (check)'!S69-'Output-FR (check)'!T69)+('Output-FR (check)'!S65-'Output-FR (check)'!T65)+('Output-FR (check)'!S76-'Output-FR (check)'!T76))</f>
        <v>-620.12070563775126</v>
      </c>
      <c r="U142" s="142">
        <f>IF(ISTEXT('CF Raw'!P$11),'CF Raw'!P26/'Output-FR (check)'!$A$124,('Output-FR (check)'!T63-'Output-FR (check)'!U63)+('Output-FR (check)'!T69-'Output-FR (check)'!U69)+('Output-FR (check)'!T65-'Output-FR (check)'!U65)+('Output-FR (check)'!T76-'Output-FR (check)'!U76))</f>
        <v>-25.875131979138999</v>
      </c>
      <c r="V142" s="142">
        <f>IF(ISTEXT('CF Raw'!Q$11),'CF Raw'!Q26/'Output-FR (check)'!$A$124,('Output-FR (check)'!U63-'Output-FR (check)'!V63)+('Output-FR (check)'!U69-'Output-FR (check)'!V69)+('Output-FR (check)'!U65-'Output-FR (check)'!V65)+('Output-FR (check)'!U76-'Output-FR (check)'!V76))</f>
        <v>-6.6015496287541993</v>
      </c>
      <c r="W142" s="142">
        <f>IF(ISTEXT('CF Raw'!R$11),'CF Raw'!R26/'Output-FR (check)'!$A$124,('Output-FR (check)'!V63-'Output-FR (check)'!W63)+('Output-FR (check)'!V69-'Output-FR (check)'!W69)+('Output-FR (check)'!V65-'Output-FR (check)'!W65)+('Output-FR (check)'!V76-'Output-FR (check)'!W76))</f>
        <v>-152.57681939162271</v>
      </c>
      <c r="X142" s="142">
        <f>IF(ISTEXT('CF Raw'!S$11),'CF Raw'!S26/'Output-FR (check)'!$A$124,('Output-FR (check)'!W63-'Output-FR (check)'!X63)+('Output-FR (check)'!W69-'Output-FR (check)'!X69)+('Output-FR (check)'!W65-'Output-FR (check)'!X65)+('Output-FR (check)'!W76-'Output-FR (check)'!X76))</f>
        <v>-201.13776760822029</v>
      </c>
      <c r="Y142" s="142">
        <f>IF(ISTEXT('CF Raw'!T$11),'CF Raw'!T26/'Output-FR (check)'!$A$124,('Output-FR (check)'!X63-'Output-FR (check)'!Y63)+('Output-FR (check)'!X69-'Output-FR (check)'!Y69)+('Output-FR (check)'!X65-'Output-FR (check)'!Y65)+('Output-FR (check)'!X76-'Output-FR (check)'!Y76))</f>
        <v>-299.20974128733508</v>
      </c>
      <c r="Z142" s="142">
        <f>IF(ISTEXT('CF Raw'!U$11),'CF Raw'!U26/'Output-FR (check)'!$A$124,('Output-FR (check)'!Y63-'Output-FR (check)'!Z63)+('Output-FR (check)'!Y69-'Output-FR (check)'!Z69)+('Output-FR (check)'!Y65-'Output-FR (check)'!Z65)+('Output-FR (check)'!Y76-'Output-FR (check)'!Z76))</f>
        <v>-187.67034510777856</v>
      </c>
      <c r="AA142" s="142"/>
      <c r="AB142" s="143"/>
      <c r="AC142" s="143"/>
      <c r="AD142" s="143"/>
      <c r="AE142" s="143"/>
      <c r="AF142" s="143"/>
      <c r="AG142" s="143"/>
      <c r="AH142" s="143"/>
      <c r="AI142" s="143"/>
      <c r="AJ142" s="143"/>
      <c r="AK142" s="143"/>
      <c r="AL142" s="143"/>
      <c r="AM142" s="143"/>
      <c r="AN142" s="143"/>
      <c r="AO142" s="143"/>
      <c r="AP142" s="143"/>
      <c r="AQ142" s="143"/>
      <c r="AR142" s="143"/>
      <c r="AS142" s="143"/>
      <c r="AT142" s="143"/>
      <c r="AU142" s="143"/>
      <c r="AV142" s="143"/>
      <c r="AW142" s="143"/>
      <c r="AX142" s="143"/>
      <c r="AY142" s="143"/>
      <c r="AZ142" s="143"/>
      <c r="BA142" s="143"/>
    </row>
    <row r="143" spans="1:55">
      <c r="A143" s="539"/>
      <c r="B143" s="664" t="s">
        <v>669</v>
      </c>
      <c r="C143" s="664" t="s">
        <v>670</v>
      </c>
      <c r="D143" s="41"/>
      <c r="E143" s="89"/>
      <c r="F143" s="89"/>
      <c r="G143" s="89"/>
      <c r="H143" s="89"/>
      <c r="I143" s="89"/>
      <c r="J143" s="90"/>
      <c r="K143" s="90">
        <f>IF(ISTEXT('CF Raw'!F$11),'CF Raw'!F27/'Output-FR (check)'!$A$124,'Output-FR (check)'!J64-'Output-FR (check)'!K64)</f>
        <v>-327.196044841</v>
      </c>
      <c r="L143" s="90">
        <f>IF(ISTEXT('CF Raw'!G$11),'CF Raw'!G27/'Output-FR (check)'!$A$124,'Output-FR (check)'!K64-'Output-FR (check)'!L64)</f>
        <v>475.40686354600001</v>
      </c>
      <c r="M143" s="90">
        <f>IF(ISTEXT('CF Raw'!H$11),'CF Raw'!H27/'Output-FR (check)'!$A$124,'Output-FR (check)'!L64-'Output-FR (check)'!M64)</f>
        <v>-1369.6472347389999</v>
      </c>
      <c r="N143" s="90">
        <f>IF(ISTEXT('CF Raw'!I$11),'CF Raw'!I27/'Output-FR (check)'!$A$124,'Output-FR (check)'!M64-'Output-FR (check)'!N64)</f>
        <v>-217.76526951599999</v>
      </c>
      <c r="O143" s="90">
        <f>IF(ISTEXT('CF Raw'!J$11),'CF Raw'!J27/'Output-FR (check)'!$A$124,'Output-FR (check)'!N64-'Output-FR (check)'!O64)</f>
        <v>229.64831252499999</v>
      </c>
      <c r="P143" s="568">
        <f>IF(ISTEXT('CF Raw'!K$11),'CF Raw'!K27/'Output-FR (check)'!$A$124,'Output-FR (check)'!O64-'Output-FR (check)'!P64)</f>
        <v>-616.69132462899995</v>
      </c>
      <c r="Q143" s="142">
        <f>IF(ISTEXT('CF Raw'!L$11),'CF Raw'!L27/'Output-FR (check)'!$A$124,'Output-FR (check)'!P64-'Output-FR (check)'!Q64)</f>
        <v>-982.55645167768034</v>
      </c>
      <c r="R143" s="142">
        <f>IF(ISTEXT('CF Raw'!M$11),'CF Raw'!M27/'Output-FR (check)'!$A$124,'Output-FR (check)'!Q64-'Output-FR (check)'!R64)</f>
        <v>-166.55698718771146</v>
      </c>
      <c r="S143" s="142">
        <f>IF(ISTEXT('CF Raw'!N$11),'CF Raw'!N27/'Output-FR (check)'!$A$124,'Output-FR (check)'!R64-'Output-FR (check)'!S64)</f>
        <v>110.82829431056098</v>
      </c>
      <c r="T143" s="142">
        <f>IF(ISTEXT('CF Raw'!O$11),'CF Raw'!O27/'Output-FR (check)'!$A$124,'Output-FR (check)'!S64-'Output-FR (check)'!T64)</f>
        <v>-930.9306126442948</v>
      </c>
      <c r="U143" s="142">
        <f>IF(ISTEXT('CF Raw'!P$11),'CF Raw'!P27/'Output-FR (check)'!$A$124,'Output-FR (check)'!T64-'Output-FR (check)'!U64)</f>
        <v>297.01375146143891</v>
      </c>
      <c r="V143" s="142">
        <f>IF(ISTEXT('CF Raw'!Q$11),'CF Raw'!Q27/'Output-FR (check)'!$A$124,'Output-FR (check)'!U64-'Output-FR (check)'!V64)</f>
        <v>145.2139608931484</v>
      </c>
      <c r="W143" s="142">
        <f>IF(ISTEXT('CF Raw'!R$11),'CF Raw'!R27/'Output-FR (check)'!$A$124,'Output-FR (check)'!V64-'Output-FR (check)'!W64)</f>
        <v>-238.57586059273308</v>
      </c>
      <c r="X143" s="142">
        <f>IF(ISTEXT('CF Raw'!S$11),'CF Raw'!S27/'Output-FR (check)'!$A$124,'Output-FR (check)'!W64-'Output-FR (check)'!X64)</f>
        <v>-54.215989054090642</v>
      </c>
      <c r="Y143" s="142">
        <f>IF(ISTEXT('CF Raw'!T$11),'CF Raw'!T27/'Output-FR (check)'!$A$124,'Output-FR (check)'!X64-'Output-FR (check)'!Y64)</f>
        <v>-159.42250961829905</v>
      </c>
      <c r="Z143" s="142">
        <f>IF(ISTEXT('CF Raw'!U$11),'CF Raw'!U27/'Output-FR (check)'!$A$124,'Output-FR (check)'!Y64-'Output-FR (check)'!Z64)</f>
        <v>-183.98396432622303</v>
      </c>
      <c r="AA143" s="142"/>
      <c r="AB143" s="143"/>
      <c r="AC143" s="143"/>
      <c r="AD143" s="143"/>
      <c r="AE143" s="143"/>
      <c r="AF143" s="143"/>
      <c r="AG143" s="143"/>
      <c r="AH143" s="143"/>
      <c r="AI143" s="143"/>
      <c r="AJ143" s="143"/>
      <c r="AK143" s="143"/>
      <c r="AL143" s="143"/>
      <c r="AM143" s="143"/>
      <c r="AN143" s="143"/>
      <c r="AO143" s="143"/>
      <c r="AP143" s="143"/>
      <c r="AQ143" s="143"/>
      <c r="AR143" s="143"/>
      <c r="AS143" s="143"/>
      <c r="AT143" s="143"/>
      <c r="AU143" s="143"/>
      <c r="AV143" s="143"/>
      <c r="AW143" s="143"/>
      <c r="AX143" s="143"/>
      <c r="AY143" s="143"/>
      <c r="AZ143" s="143"/>
      <c r="BA143" s="143"/>
    </row>
    <row r="144" spans="1:55">
      <c r="A144" s="539"/>
      <c r="B144" s="664" t="s">
        <v>671</v>
      </c>
      <c r="C144" s="664" t="s">
        <v>672</v>
      </c>
      <c r="D144" s="41"/>
      <c r="E144" s="89"/>
      <c r="F144" s="89"/>
      <c r="G144" s="89"/>
      <c r="H144" s="89"/>
      <c r="I144" s="89"/>
      <c r="J144" s="90"/>
      <c r="K144" s="90">
        <f>IF(ISTEXT('CF Raw'!F$11),'CF Raw'!F28/'Output-FR (check)'!$A$124,('Output-FR (check)'!K85-'Output-FR (check)'!J85)+('Output-FR (check)'!K86-'Output-FR (check)'!J86)+('Output-FR (check)'!K87-'Output-FR (check)'!J87)+('Output-FR (check)'!K91-'Output-FR (check)'!J91)+('Output-FR (check)'!K97-'Output-FR (check)'!J97))</f>
        <v>93.620644615000003</v>
      </c>
      <c r="L144" s="90">
        <f>IF(ISTEXT('CF Raw'!G$11),'CF Raw'!G28/'Output-FR (check)'!$A$124,('Output-FR (check)'!L85-'Output-FR (check)'!K85)+('Output-FR (check)'!L86-'Output-FR (check)'!K86)+('Output-FR (check)'!L87-'Output-FR (check)'!K87)+('Output-FR (check)'!L91-'Output-FR (check)'!K91)+('Output-FR (check)'!L97-'Output-FR (check)'!K97))</f>
        <v>-702.52530344299998</v>
      </c>
      <c r="M144" s="90">
        <f>IF(ISTEXT('CF Raw'!H$11),'CF Raw'!H28/'Output-FR (check)'!$A$124,('Output-FR (check)'!M85-'Output-FR (check)'!L85)+('Output-FR (check)'!M86-'Output-FR (check)'!L86)+('Output-FR (check)'!M87-'Output-FR (check)'!L87)+('Output-FR (check)'!M91-'Output-FR (check)'!L91)+('Output-FR (check)'!M97-'Output-FR (check)'!L97))</f>
        <v>988.21737829899996</v>
      </c>
      <c r="N144" s="90">
        <f>IF(ISTEXT('CF Raw'!I$11),'CF Raw'!I28/'Output-FR (check)'!$A$124,('Output-FR (check)'!N85-'Output-FR (check)'!M85)+('Output-FR (check)'!N86-'Output-FR (check)'!M86)+('Output-FR (check)'!N87-'Output-FR (check)'!M87)+('Output-FR (check)'!N91-'Output-FR (check)'!M91)+('Output-FR (check)'!N97-'Output-FR (check)'!M97))</f>
        <v>-413.86470790999999</v>
      </c>
      <c r="O144" s="90">
        <f>IF(ISTEXT('CF Raw'!J$11),'CF Raw'!J28/'Output-FR (check)'!$A$124,('Output-FR (check)'!O85-'Output-FR (check)'!N85)+('Output-FR (check)'!O86-'Output-FR (check)'!N86)+('Output-FR (check)'!O87-'Output-FR (check)'!N87)+('Output-FR (check)'!O91-'Output-FR (check)'!N91)+('Output-FR (check)'!O97-'Output-FR (check)'!N97))</f>
        <v>875.34577306100005</v>
      </c>
      <c r="P144" s="568">
        <f>IF(ISTEXT('CF Raw'!K$11),'CF Raw'!K28/'Output-FR (check)'!$A$124,('Output-FR (check)'!P85-'Output-FR (check)'!O85)+('Output-FR (check)'!P86-'Output-FR (check)'!O86)+('Output-FR (check)'!P87-'Output-FR (check)'!O87)+('Output-FR (check)'!P91-'Output-FR (check)'!O91)+('Output-FR (check)'!P97-'Output-FR (check)'!O97))</f>
        <v>-233.409692525</v>
      </c>
      <c r="Q144" s="142">
        <f>IF(ISTEXT('CF Raw'!L$11),'CF Raw'!L28/'Output-FR (check)'!$A$124,('Output-FR (check)'!Q85-'Output-FR (check)'!P85)+('Output-FR (check)'!Q86-'Output-FR (check)'!P86)+('Output-FR (check)'!Q87-'Output-FR (check)'!P87)+('Output-FR (check)'!Q91-'Output-FR (check)'!P91)+('Output-FR (check)'!Q97-'Output-FR (check)'!P97))</f>
        <v>482.36860966225692</v>
      </c>
      <c r="R144" s="142">
        <f>IF(ISTEXT('CF Raw'!M$11),'CF Raw'!M28/'Output-FR (check)'!$A$124,('Output-FR (check)'!R85-'Output-FR (check)'!Q85)+('Output-FR (check)'!R86-'Output-FR (check)'!Q86)+('Output-FR (check)'!R87-'Output-FR (check)'!Q87)+('Output-FR (check)'!R91-'Output-FR (check)'!Q91)+('Output-FR (check)'!R97-'Output-FR (check)'!Q97))</f>
        <v>64.408924761375062</v>
      </c>
      <c r="S144" s="142">
        <f>IF(ISTEXT('CF Raw'!N$11),'CF Raw'!N28/'Output-FR (check)'!$A$124,('Output-FR (check)'!S85-'Output-FR (check)'!R85)+('Output-FR (check)'!S86-'Output-FR (check)'!R86)+('Output-FR (check)'!S87-'Output-FR (check)'!R87)+('Output-FR (check)'!S91-'Output-FR (check)'!R91)+('Output-FR (check)'!S97-'Output-FR (check)'!R97))</f>
        <v>296.05492278757657</v>
      </c>
      <c r="T144" s="142">
        <f>IF(ISTEXT('CF Raw'!O$11),'CF Raw'!O28/'Output-FR (check)'!$A$124,('Output-FR (check)'!T85-'Output-FR (check)'!S85)+('Output-FR (check)'!T86-'Output-FR (check)'!S86)+('Output-FR (check)'!T87-'Output-FR (check)'!S87)+('Output-FR (check)'!T91-'Output-FR (check)'!S91)+('Output-FR (check)'!T97-'Output-FR (check)'!S97))</f>
        <v>789.37036399789122</v>
      </c>
      <c r="U144" s="142">
        <f>IF(ISTEXT('CF Raw'!P$11),'CF Raw'!P28/'Output-FR (check)'!$A$124,('Output-FR (check)'!U85-'Output-FR (check)'!T85)+('Output-FR (check)'!U86-'Output-FR (check)'!T86)+('Output-FR (check)'!U87-'Output-FR (check)'!T87)+('Output-FR (check)'!U91-'Output-FR (check)'!T91)+('Output-FR (check)'!U97-'Output-FR (check)'!T97))</f>
        <v>48.596936166157008</v>
      </c>
      <c r="V144" s="142">
        <f>IF(ISTEXT('CF Raw'!Q$11),'CF Raw'!Q28/'Output-FR (check)'!$A$124,('Output-FR (check)'!V85-'Output-FR (check)'!U85)+('Output-FR (check)'!V86-'Output-FR (check)'!U86)+('Output-FR (check)'!V87-'Output-FR (check)'!U87)+('Output-FR (check)'!V91-'Output-FR (check)'!U91)+('Output-FR (check)'!V97-'Output-FR (check)'!U97))</f>
        <v>-711.48948001288272</v>
      </c>
      <c r="W144" s="142">
        <f>IF(ISTEXT('CF Raw'!R$11),'CF Raw'!R28/'Output-FR (check)'!$A$124,('Output-FR (check)'!W85-'Output-FR (check)'!V85)+('Output-FR (check)'!W86-'Output-FR (check)'!V86)+('Output-FR (check)'!W87-'Output-FR (check)'!V87)+('Output-FR (check)'!W91-'Output-FR (check)'!V91)+('Output-FR (check)'!W97-'Output-FR (check)'!V97))</f>
        <v>-38.899512969616239</v>
      </c>
      <c r="X144" s="142">
        <f>IF(ISTEXT('CF Raw'!S$11),'CF Raw'!S28/'Output-FR (check)'!$A$124,('Output-FR (check)'!X85-'Output-FR (check)'!W85)+('Output-FR (check)'!X86-'Output-FR (check)'!W86)+('Output-FR (check)'!X87-'Output-FR (check)'!W87)+('Output-FR (check)'!X91-'Output-FR (check)'!W91)+('Output-FR (check)'!X97-'Output-FR (check)'!W97))</f>
        <v>59.352169282884176</v>
      </c>
      <c r="Y144" s="142">
        <f>IF(ISTEXT('CF Raw'!T$11),'CF Raw'!T28/'Output-FR (check)'!$A$124,('Output-FR (check)'!Y85-'Output-FR (check)'!X85)+('Output-FR (check)'!Y86-'Output-FR (check)'!X86)+('Output-FR (check)'!Y87-'Output-FR (check)'!X87)+('Output-FR (check)'!Y91-'Output-FR (check)'!X91)+('Output-FR (check)'!Y97-'Output-FR (check)'!X97))</f>
        <v>234.94094778740873</v>
      </c>
      <c r="Z144" s="142">
        <f>IF(ISTEXT('CF Raw'!U$11),'CF Raw'!U28/'Output-FR (check)'!$A$124,('Output-FR (check)'!Z85-'Output-FR (check)'!Y85)+('Output-FR (check)'!Z86-'Output-FR (check)'!Y86)+('Output-FR (check)'!Z87-'Output-FR (check)'!Y87)+('Output-FR (check)'!Z91-'Output-FR (check)'!Y91)+('Output-FR (check)'!Z97-'Output-FR (check)'!Y97))</f>
        <v>0.90822980208957915</v>
      </c>
      <c r="AA144" s="142"/>
      <c r="AB144" s="143"/>
      <c r="AC144" s="143"/>
      <c r="AD144" s="143"/>
      <c r="AE144" s="143"/>
      <c r="AF144" s="143"/>
      <c r="AG144" s="143"/>
      <c r="AH144" s="143"/>
      <c r="AI144" s="143"/>
      <c r="AJ144" s="143"/>
      <c r="AK144" s="143"/>
      <c r="AL144" s="143"/>
      <c r="AM144" s="143"/>
      <c r="AN144" s="143"/>
      <c r="AO144" s="143"/>
      <c r="AP144" s="143"/>
      <c r="AQ144" s="143"/>
      <c r="AR144" s="143"/>
      <c r="AS144" s="143"/>
      <c r="AT144" s="143"/>
      <c r="AU144" s="143"/>
      <c r="AV144" s="143"/>
      <c r="AW144" s="143"/>
      <c r="AX144" s="143"/>
      <c r="AY144" s="143"/>
      <c r="AZ144" s="143"/>
      <c r="BA144" s="143"/>
    </row>
    <row r="145" spans="1:53">
      <c r="A145" s="539"/>
      <c r="B145" s="664" t="s">
        <v>673</v>
      </c>
      <c r="C145" s="664" t="s">
        <v>674</v>
      </c>
      <c r="D145" s="41"/>
      <c r="E145" s="89"/>
      <c r="F145" s="89"/>
      <c r="G145" s="89"/>
      <c r="H145" s="89"/>
      <c r="I145" s="89"/>
      <c r="J145" s="90"/>
      <c r="K145" s="90">
        <f>IF(ISTEXT('CF Raw'!F$11),'CF Raw'!F29/'Output-FR (check)'!$A$124,)</f>
        <v>8.9429047260000001</v>
      </c>
      <c r="L145" s="90">
        <f>IF(ISTEXT('CF Raw'!G$11),'CF Raw'!G29/'Output-FR (check)'!$A$124,)</f>
        <v>20.815133774</v>
      </c>
      <c r="M145" s="90">
        <f>IF(ISTEXT('CF Raw'!H$11),'CF Raw'!H29/'Output-FR (check)'!$A$124,)</f>
        <v>-283.79099489800001</v>
      </c>
      <c r="N145" s="90">
        <f>IF(ISTEXT('CF Raw'!I$11),'CF Raw'!I29/'Output-FR (check)'!$A$124,)</f>
        <v>-5.6261660320000004</v>
      </c>
      <c r="O145" s="90">
        <f>IF(ISTEXT('CF Raw'!J$11),'CF Raw'!J29/'Output-FR (check)'!$A$124,)</f>
        <v>-1.7162262699999999</v>
      </c>
      <c r="P145" s="568">
        <f>IF(ISTEXT('CF Raw'!K$11),'CF Raw'!K29/'Output-FR (check)'!$A$124,)</f>
        <v>-20.966287787999999</v>
      </c>
      <c r="Q145" s="142">
        <f>IF(ISTEXT('CF Raw'!L$11),'CF Raw'!L29/'Output-FR (check)'!$A$124,)</f>
        <v>0</v>
      </c>
      <c r="R145" s="142">
        <f>IF(ISTEXT('CF Raw'!M$11),'CF Raw'!M29/'Output-FR (check)'!$A$124,)</f>
        <v>0</v>
      </c>
      <c r="S145" s="142">
        <f>IF(ISTEXT('CF Raw'!N$11),'CF Raw'!N29/'Output-FR (check)'!$A$124,)</f>
        <v>0</v>
      </c>
      <c r="T145" s="142">
        <f>IF(ISTEXT('CF Raw'!O$11),'CF Raw'!O29/'Output-FR (check)'!$A$124,)</f>
        <v>0</v>
      </c>
      <c r="U145" s="142">
        <f>IF(ISTEXT('CF Raw'!P$11),'CF Raw'!P29/'Output-FR (check)'!$A$124,)</f>
        <v>0</v>
      </c>
      <c r="V145" s="142">
        <f>IF(ISTEXT('CF Raw'!Q$11),'CF Raw'!Q29/'Output-FR (check)'!$A$124,)</f>
        <v>0</v>
      </c>
      <c r="W145" s="142">
        <f>IF(ISTEXT('CF Raw'!R$11),'CF Raw'!R29/'Output-FR (check)'!$A$124,)</f>
        <v>0</v>
      </c>
      <c r="X145" s="142">
        <f>IF(ISTEXT('CF Raw'!S$11),'CF Raw'!S29/'Output-FR (check)'!$A$124,)</f>
        <v>0</v>
      </c>
      <c r="Y145" s="142">
        <f>IF(ISTEXT('CF Raw'!T$11),'CF Raw'!T29/'Output-FR (check)'!$A$124,)</f>
        <v>0</v>
      </c>
      <c r="Z145" s="142">
        <f>IF(ISTEXT('CF Raw'!U$11),'CF Raw'!U29/'Output-FR (check)'!$A$124,)</f>
        <v>0</v>
      </c>
      <c r="AA145" s="142"/>
      <c r="AB145" s="143"/>
      <c r="AC145" s="143"/>
      <c r="AD145" s="143"/>
      <c r="AE145" s="143"/>
      <c r="AF145" s="143"/>
      <c r="AG145" s="143"/>
      <c r="AH145" s="143"/>
      <c r="AI145" s="143"/>
      <c r="AJ145" s="143"/>
      <c r="AK145" s="143"/>
      <c r="AL145" s="143"/>
      <c r="AM145" s="143"/>
      <c r="AN145" s="143"/>
      <c r="AO145" s="143"/>
      <c r="AP145" s="143"/>
      <c r="AQ145" s="143"/>
      <c r="AR145" s="143"/>
      <c r="AS145" s="143"/>
      <c r="AT145" s="143"/>
      <c r="AU145" s="143"/>
      <c r="AV145" s="143"/>
      <c r="AW145" s="143"/>
      <c r="AX145" s="143"/>
      <c r="AY145" s="143"/>
      <c r="AZ145" s="143"/>
      <c r="BA145" s="143"/>
    </row>
    <row r="146" spans="1:53">
      <c r="A146" s="539"/>
      <c r="B146" s="664" t="s">
        <v>675</v>
      </c>
      <c r="C146" s="664" t="s">
        <v>676</v>
      </c>
      <c r="D146" s="41"/>
      <c r="E146" s="89"/>
      <c r="F146" s="89"/>
      <c r="G146" s="89"/>
      <c r="H146" s="89"/>
      <c r="I146" s="89"/>
      <c r="J146" s="90"/>
      <c r="K146" s="90">
        <f>IF(ISTEXT('CF Raw'!F$11),'CF Raw'!F31/'Output-FR (check)'!$A$124,-K138)</f>
        <v>-100.441507397</v>
      </c>
      <c r="L146" s="90">
        <f>IF(ISTEXT('CF Raw'!G$11),'CF Raw'!G31/'Output-FR (check)'!$A$124,-L138)</f>
        <v>-57.259768946999998</v>
      </c>
      <c r="M146" s="90">
        <f>IF(ISTEXT('CF Raw'!H$11),'CF Raw'!H31/'Output-FR (check)'!$A$124,-M138)</f>
        <v>-22.321007371</v>
      </c>
      <c r="N146" s="90">
        <f>IF(ISTEXT('CF Raw'!I$11),'CF Raw'!I31/'Output-FR (check)'!$A$124,-N138)</f>
        <v>-11.563726807</v>
      </c>
      <c r="O146" s="90">
        <f>IF(ISTEXT('CF Raw'!J$11),'CF Raw'!J31/'Output-FR (check)'!$A$124,-O138)</f>
        <v>-9.7552347840000007</v>
      </c>
      <c r="P146" s="568">
        <f>IF(ISTEXT('CF Raw'!K$11),'CF Raw'!K31/'Output-FR (check)'!$A$124,-P138)</f>
        <v>-40.666671831999999</v>
      </c>
      <c r="Q146" s="142">
        <f ca="1">IF(ISTEXT('CF Raw'!L$11),'CF Raw'!L31/'Output-FR (check)'!$A$124,-Q138)</f>
        <v>-74.699342046726755</v>
      </c>
      <c r="R146" s="142">
        <f ca="1">IF(ISTEXT('CF Raw'!M$11),'CF Raw'!M31/'Output-FR (check)'!$A$124,-R138)</f>
        <v>-95.075078049127569</v>
      </c>
      <c r="S146" s="142">
        <f ca="1">IF(ISTEXT('CF Raw'!N$11),'CF Raw'!N31/'Output-FR (check)'!$A$124,-S138)</f>
        <v>-101.60733791214767</v>
      </c>
      <c r="T146" s="142">
        <f ca="1">IF(ISTEXT('CF Raw'!O$11),'CF Raw'!O31/'Output-FR (check)'!$A$124,-T138)</f>
        <v>-121.233125168139</v>
      </c>
      <c r="U146" s="142">
        <f ca="1">IF(ISTEXT('CF Raw'!P$11),'CF Raw'!P31/'Output-FR (check)'!$A$124,-U138)</f>
        <v>-134.22264369569803</v>
      </c>
      <c r="V146" s="142">
        <f ca="1">IF(ISTEXT('CF Raw'!Q$11),'CF Raw'!Q31/'Output-FR (check)'!$A$124,-V138)</f>
        <v>-125.78160668586584</v>
      </c>
      <c r="W146" s="142">
        <f ca="1">IF(ISTEXT('CF Raw'!R$11),'CF Raw'!R31/'Output-FR (check)'!$A$124,-W138)</f>
        <v>-115.73305955399846</v>
      </c>
      <c r="X146" s="142">
        <f ca="1">IF(ISTEXT('CF Raw'!S$11),'CF Raw'!S31/'Output-FR (check)'!$A$124,-X138)</f>
        <v>-112.09363874832491</v>
      </c>
      <c r="Y146" s="142">
        <f ca="1">IF(ISTEXT('CF Raw'!T$11),'CF Raw'!T31/'Output-FR (check)'!$A$124,-Y138)</f>
        <v>-114.21263000439691</v>
      </c>
      <c r="Z146" s="142">
        <f ca="1">IF(ISTEXT('CF Raw'!U$11),'CF Raw'!U31/'Output-FR (check)'!$A$124,-Z138)</f>
        <v>-119.26979793457255</v>
      </c>
      <c r="AA146" s="142"/>
      <c r="AB146" s="143"/>
      <c r="AC146" s="143"/>
      <c r="AD146" s="143"/>
      <c r="AE146" s="143"/>
      <c r="AF146" s="143"/>
      <c r="AG146" s="143"/>
      <c r="AH146" s="143"/>
      <c r="AI146" s="143"/>
      <c r="AJ146" s="143"/>
      <c r="AK146" s="143"/>
      <c r="AL146" s="143"/>
      <c r="AM146" s="143"/>
      <c r="AN146" s="143"/>
      <c r="AO146" s="143"/>
      <c r="AP146" s="143"/>
      <c r="AQ146" s="143"/>
      <c r="AR146" s="143"/>
      <c r="AS146" s="143"/>
      <c r="AT146" s="143"/>
      <c r="AU146" s="143"/>
      <c r="AV146" s="143"/>
      <c r="AW146" s="143"/>
      <c r="AX146" s="143"/>
      <c r="AY146" s="143"/>
      <c r="AZ146" s="143"/>
      <c r="BA146" s="143"/>
    </row>
    <row r="147" spans="1:53">
      <c r="A147" s="539"/>
      <c r="B147" s="664" t="s">
        <v>677</v>
      </c>
      <c r="C147" s="664"/>
      <c r="D147" s="41"/>
      <c r="E147" s="89"/>
      <c r="F147" s="89"/>
      <c r="G147" s="89"/>
      <c r="H147" s="89"/>
      <c r="I147" s="89"/>
      <c r="J147" s="90"/>
      <c r="K147" s="90">
        <f>IF(ISTEXT('CF Raw'!F$11),'CF Raw'!F32/'Output-FR (check)'!$A$124,-'Output-FR (check)'!K31)</f>
        <v>-52.400707339999997</v>
      </c>
      <c r="L147" s="90">
        <f>IF(ISTEXT('CF Raw'!G$11),'CF Raw'!G32/'Output-FR (check)'!$A$124,-'Output-FR (check)'!L31)</f>
        <v>-42.053571587999997</v>
      </c>
      <c r="M147" s="90">
        <f>IF(ISTEXT('CF Raw'!H$11),'CF Raw'!H32/'Output-FR (check)'!$A$124,-'Output-FR (check)'!M31)</f>
        <v>-78.860458511999994</v>
      </c>
      <c r="N147" s="90">
        <f>IF(ISTEXT('CF Raw'!I$11),'CF Raw'!I32/'Output-FR (check)'!$A$124,-'Output-FR (check)'!N31)</f>
        <v>-294.531395503</v>
      </c>
      <c r="O147" s="90">
        <f>IF(ISTEXT('CF Raw'!J$11),'CF Raw'!J32/'Output-FR (check)'!$A$124,-'Output-FR (check)'!O31)</f>
        <v>-153.897688305</v>
      </c>
      <c r="P147" s="568">
        <f>IF(ISTEXT('CF Raw'!K$11),'CF Raw'!K32/'Output-FR (check)'!$A$124,-'Output-FR (check)'!P31)</f>
        <v>-118.199727784</v>
      </c>
      <c r="Q147" s="142">
        <f ca="1">IF(ISTEXT('CF Raw'!L$11),'CF Raw'!L32/'Output-FR (check)'!$A$124,-'Output-FR (check)'!Q31)</f>
        <v>-410.29239504579402</v>
      </c>
      <c r="R147" s="142">
        <f ca="1">IF(ISTEXT('CF Raw'!M$11),'CF Raw'!M32/'Output-FR (check)'!$A$124,-'Output-FR (check)'!R31)</f>
        <v>-464.46102454408219</v>
      </c>
      <c r="S147" s="142">
        <f ca="1">IF(ISTEXT('CF Raw'!N$11),'CF Raw'!N32/'Output-FR (check)'!$A$124,-'Output-FR (check)'!S31)</f>
        <v>-543.71301239966942</v>
      </c>
      <c r="T147" s="142">
        <f ca="1">IF(ISTEXT('CF Raw'!O$11),'CF Raw'!O32/'Output-FR (check)'!$A$124,-'Output-FR (check)'!T31)</f>
        <v>-849.50504649601839</v>
      </c>
      <c r="U147" s="142">
        <f ca="1">IF(ISTEXT('CF Raw'!P$11),'CF Raw'!P32/'Output-FR (check)'!$A$124,-'Output-FR (check)'!U31)</f>
        <v>-726.31549603978658</v>
      </c>
      <c r="V147" s="142">
        <f ca="1">IF(ISTEXT('CF Raw'!Q$11),'CF Raw'!Q32/'Output-FR (check)'!$A$124,-'Output-FR (check)'!V31)</f>
        <v>-634.12631013509588</v>
      </c>
      <c r="W147" s="142">
        <f ca="1">IF(ISTEXT('CF Raw'!R$11),'CF Raw'!R32/'Output-FR (check)'!$A$124,-'Output-FR (check)'!W31)</f>
        <v>-634.71270201647599</v>
      </c>
      <c r="X147" s="142">
        <f ca="1">IF(ISTEXT('CF Raw'!S$11),'CF Raw'!S32/'Output-FR (check)'!$A$124,-'Output-FR (check)'!X31)</f>
        <v>-705.04474531789219</v>
      </c>
      <c r="Y147" s="142">
        <f ca="1">IF(ISTEXT('CF Raw'!T$11),'CF Raw'!T32/'Output-FR (check)'!$A$124,-'Output-FR (check)'!Y31)</f>
        <v>-812.53816749639418</v>
      </c>
      <c r="Z147" s="142">
        <f ca="1">IF(ISTEXT('CF Raw'!U$11),'CF Raw'!U32/'Output-FR (check)'!$A$124,-'Output-FR (check)'!Z31)</f>
        <v>-805.79972205547199</v>
      </c>
      <c r="AA147" s="142"/>
      <c r="AB147" s="143"/>
      <c r="AC147" s="143"/>
      <c r="AD147" s="143"/>
      <c r="AE147" s="143"/>
      <c r="AF147" s="143"/>
      <c r="AG147" s="143"/>
      <c r="AH147" s="143"/>
      <c r="AI147" s="143"/>
      <c r="AJ147" s="143"/>
      <c r="AK147" s="143"/>
      <c r="AL147" s="143"/>
      <c r="AM147" s="143"/>
      <c r="AN147" s="143"/>
      <c r="AO147" s="143"/>
      <c r="AP147" s="143"/>
      <c r="AQ147" s="143"/>
      <c r="AR147" s="143"/>
      <c r="AS147" s="143"/>
      <c r="AT147" s="143"/>
      <c r="AU147" s="143"/>
      <c r="AV147" s="143"/>
      <c r="AW147" s="143"/>
      <c r="AX147" s="143"/>
      <c r="AY147" s="143"/>
      <c r="AZ147" s="143"/>
      <c r="BA147" s="143"/>
    </row>
    <row r="148" spans="1:53">
      <c r="A148" s="539"/>
      <c r="B148" s="664" t="s">
        <v>678</v>
      </c>
      <c r="C148" s="664" t="s">
        <v>679</v>
      </c>
      <c r="D148" s="41"/>
      <c r="E148" s="89"/>
      <c r="F148" s="89"/>
      <c r="G148" s="89"/>
      <c r="H148" s="89"/>
      <c r="I148" s="89"/>
      <c r="J148" s="90"/>
      <c r="K148" s="90">
        <f>IF(ISTEXT('CF Raw'!F$11),'CF Raw'!F34/'Output-FR (check)'!$A$124,0)</f>
        <v>-64.794211118000007</v>
      </c>
      <c r="L148" s="90">
        <f>IF(ISTEXT('CF Raw'!G$11),'CF Raw'!G34/'Output-FR (check)'!$A$124,0)</f>
        <v>-84.561387710000005</v>
      </c>
      <c r="M148" s="90">
        <f>IF(ISTEXT('CF Raw'!H$11),'CF Raw'!H34/'Output-FR (check)'!$A$124,0)</f>
        <v>-171.728350922</v>
      </c>
      <c r="N148" s="90">
        <f>IF(ISTEXT('CF Raw'!I$11),'CF Raw'!I34/'Output-FR (check)'!$A$124,0)</f>
        <v>-164.564878859</v>
      </c>
      <c r="O148" s="90">
        <f>IF(ISTEXT('CF Raw'!J$11),'CF Raw'!J34/'Output-FR (check)'!$A$124,0)</f>
        <v>-168.98997993500001</v>
      </c>
      <c r="P148" s="568">
        <f>IF(ISTEXT('CF Raw'!K$11),'CF Raw'!K34/'Output-FR (check)'!$A$124,0)</f>
        <v>-287.60123430300001</v>
      </c>
      <c r="Q148" s="142">
        <f>IF(ISTEXT('CF Raw'!L$11),'CF Raw'!L34/'Output-FR (check)'!$A$124,0)</f>
        <v>0</v>
      </c>
      <c r="R148" s="142">
        <f>IF(ISTEXT('CF Raw'!M$11),'CF Raw'!M34/'Output-FR (check)'!$A$124,0)</f>
        <v>0</v>
      </c>
      <c r="S148" s="142">
        <f>IF(ISTEXT('CF Raw'!N$11),'CF Raw'!N34/'Output-FR (check)'!$A$124,0)</f>
        <v>0</v>
      </c>
      <c r="T148" s="142">
        <f>IF(ISTEXT('CF Raw'!O$11),'CF Raw'!O34/'Output-FR (check)'!$A$124,0)</f>
        <v>0</v>
      </c>
      <c r="U148" s="142">
        <f>IF(ISTEXT('CF Raw'!P$11),'CF Raw'!P34/'Output-FR (check)'!$A$124,0)</f>
        <v>0</v>
      </c>
      <c r="V148" s="142">
        <f>IF(ISTEXT('CF Raw'!Q$11),'CF Raw'!Q34/'Output-FR (check)'!$A$124,0)</f>
        <v>0</v>
      </c>
      <c r="W148" s="142">
        <f>IF(ISTEXT('CF Raw'!R$11),'CF Raw'!R34/'Output-FR (check)'!$A$124,0)</f>
        <v>0</v>
      </c>
      <c r="X148" s="142">
        <f>IF(ISTEXT('CF Raw'!S$11),'CF Raw'!S34/'Output-FR (check)'!$A$124,0)</f>
        <v>0</v>
      </c>
      <c r="Y148" s="142">
        <f>IF(ISTEXT('CF Raw'!T$11),'CF Raw'!T34/'Output-FR (check)'!$A$124,0)</f>
        <v>0</v>
      </c>
      <c r="Z148" s="142">
        <f>IF(ISTEXT('CF Raw'!U$11),'CF Raw'!U34/'Output-FR (check)'!$A$124,0)</f>
        <v>0</v>
      </c>
      <c r="AA148" s="142"/>
      <c r="AB148" s="143"/>
      <c r="AC148" s="143"/>
      <c r="AD148" s="143"/>
      <c r="AE148" s="143"/>
      <c r="AF148" s="143"/>
      <c r="AG148" s="143"/>
      <c r="AH148" s="143"/>
      <c r="AI148" s="143"/>
      <c r="AJ148" s="143"/>
      <c r="AK148" s="143"/>
      <c r="AL148" s="143"/>
      <c r="AM148" s="143"/>
      <c r="AN148" s="143"/>
      <c r="AO148" s="143"/>
      <c r="AP148" s="143"/>
      <c r="AQ148" s="143"/>
      <c r="AR148" s="143"/>
      <c r="AS148" s="143"/>
      <c r="AT148" s="143"/>
      <c r="AU148" s="143"/>
      <c r="AV148" s="143"/>
      <c r="AW148" s="143"/>
      <c r="AX148" s="143"/>
      <c r="AY148" s="143"/>
      <c r="AZ148" s="143"/>
      <c r="BA148" s="143"/>
    </row>
    <row r="149" spans="1:53">
      <c r="A149" s="539"/>
      <c r="B149" s="664" t="s">
        <v>680</v>
      </c>
      <c r="C149" s="664" t="s">
        <v>681</v>
      </c>
      <c r="D149" s="41"/>
      <c r="E149" s="89"/>
      <c r="F149" s="89"/>
      <c r="G149" s="89"/>
      <c r="H149" s="89"/>
      <c r="I149" s="89"/>
      <c r="J149" s="90"/>
      <c r="K149" s="90">
        <f>IF(ISTEXT('CF Raw'!F$11),'CF Raw'!F33/'Output-FR (check)'!$A$124,0)</f>
        <v>3.2437299999999998E-3</v>
      </c>
      <c r="L149" s="90">
        <f>IF(ISTEXT('CF Raw'!G$11),'CF Raw'!G33/'Output-FR (check)'!$A$124,0)</f>
        <v>0</v>
      </c>
      <c r="M149" s="90">
        <f>IF(ISTEXT('CF Raw'!H$11),'CF Raw'!H33/'Output-FR (check)'!$A$124,0)</f>
        <v>0</v>
      </c>
      <c r="N149" s="90">
        <f>IF(ISTEXT('CF Raw'!I$11),'CF Raw'!I33/'Output-FR (check)'!$A$124,0)</f>
        <v>0</v>
      </c>
      <c r="O149" s="90">
        <f>IF(ISTEXT('CF Raw'!J$11),'CF Raw'!J33/'Output-FR (check)'!$A$124,0)</f>
        <v>0</v>
      </c>
      <c r="P149" s="568">
        <f>IF(ISTEXT('CF Raw'!K$11),'CF Raw'!K33/'Output-FR (check)'!$A$124,0)</f>
        <v>0</v>
      </c>
      <c r="Q149" s="142">
        <f>IF(ISTEXT('CF Raw'!L$11),'CF Raw'!L33/'Output-FR (check)'!$A$124,0)</f>
        <v>0</v>
      </c>
      <c r="R149" s="142">
        <f>IF(ISTEXT('CF Raw'!M$11),'CF Raw'!M33/'Output-FR (check)'!$A$124,0)</f>
        <v>0</v>
      </c>
      <c r="S149" s="142">
        <f>IF(ISTEXT('CF Raw'!N$11),'CF Raw'!N33/'Output-FR (check)'!$A$124,0)</f>
        <v>0</v>
      </c>
      <c r="T149" s="142">
        <f>IF(ISTEXT('CF Raw'!O$11),'CF Raw'!O33/'Output-FR (check)'!$A$124,0)</f>
        <v>0</v>
      </c>
      <c r="U149" s="142">
        <f>IF(ISTEXT('CF Raw'!P$11),'CF Raw'!P33/'Output-FR (check)'!$A$124,0)</f>
        <v>0</v>
      </c>
      <c r="V149" s="142">
        <f>IF(ISTEXT('CF Raw'!Q$11),'CF Raw'!Q33/'Output-FR (check)'!$A$124,0)</f>
        <v>0</v>
      </c>
      <c r="W149" s="142">
        <f>IF(ISTEXT('CF Raw'!R$11),'CF Raw'!R33/'Output-FR (check)'!$A$124,0)</f>
        <v>0</v>
      </c>
      <c r="X149" s="142">
        <f>IF(ISTEXT('CF Raw'!S$11),'CF Raw'!S33/'Output-FR (check)'!$A$124,0)</f>
        <v>0</v>
      </c>
      <c r="Y149" s="142">
        <f>IF(ISTEXT('CF Raw'!T$11),'CF Raw'!T33/'Output-FR (check)'!$A$124,0)</f>
        <v>0</v>
      </c>
      <c r="Z149" s="142">
        <f>IF(ISTEXT('CF Raw'!U$11),'CF Raw'!U33/'Output-FR (check)'!$A$124,0)</f>
        <v>0</v>
      </c>
      <c r="AA149" s="142"/>
      <c r="AB149" s="143"/>
      <c r="AC149" s="143"/>
      <c r="AD149" s="143"/>
      <c r="AE149" s="143"/>
      <c r="AF149" s="143"/>
      <c r="AG149" s="143"/>
      <c r="AH149" s="143"/>
      <c r="AI149" s="143"/>
      <c r="AJ149" s="143"/>
      <c r="AK149" s="143"/>
      <c r="AL149" s="143"/>
      <c r="AM149" s="143"/>
      <c r="AN149" s="143"/>
      <c r="AO149" s="143"/>
      <c r="AP149" s="143"/>
      <c r="AQ149" s="143"/>
      <c r="AR149" s="143"/>
      <c r="AS149" s="143"/>
      <c r="AT149" s="143"/>
      <c r="AU149" s="143"/>
      <c r="AV149" s="143"/>
      <c r="AW149" s="143"/>
      <c r="AX149" s="143"/>
      <c r="AY149" s="143"/>
      <c r="AZ149" s="143"/>
      <c r="BA149" s="143"/>
    </row>
    <row r="150" spans="1:53">
      <c r="A150" s="539"/>
      <c r="B150" s="664" t="s">
        <v>429</v>
      </c>
      <c r="C150" s="664"/>
      <c r="D150" s="41"/>
      <c r="E150" s="89"/>
      <c r="F150" s="89"/>
      <c r="G150" s="89"/>
      <c r="H150" s="89"/>
      <c r="I150" s="89"/>
      <c r="J150" s="90"/>
      <c r="K150" s="90">
        <f>IF(ISTEXT('CF Raw'!F$11),'CF Raw'!F30/'Output-FR (check)'!$A$124,0)</f>
        <v>0</v>
      </c>
      <c r="L150" s="90">
        <f>IF(ISTEXT('CF Raw'!G$11),'CF Raw'!G30/'Output-FR (check)'!$A$124,0)</f>
        <v>0</v>
      </c>
      <c r="M150" s="90">
        <f>IF(ISTEXT('CF Raw'!H$11),'CF Raw'!H30/'Output-FR (check)'!$A$124,0)</f>
        <v>0</v>
      </c>
      <c r="N150" s="90">
        <f>IF(ISTEXT('CF Raw'!I$11),'CF Raw'!I30/'Output-FR (check)'!$A$124,0)</f>
        <v>0</v>
      </c>
      <c r="O150" s="90">
        <f>IF(ISTEXT('CF Raw'!J$11),'CF Raw'!J30/'Output-FR (check)'!$A$124,0)</f>
        <v>0</v>
      </c>
      <c r="P150" s="568">
        <f>IF(ISTEXT('CF Raw'!K$11),'CF Raw'!K30/'Output-FR (check)'!$A$124,0)</f>
        <v>0</v>
      </c>
      <c r="Q150" s="142">
        <f>IF(ISTEXT('CF Raw'!L$11),'CF Raw'!L30/'Output-FR (check)'!$A$124,0)</f>
        <v>0</v>
      </c>
      <c r="R150" s="142">
        <f>IF(ISTEXT('CF Raw'!M$11),'CF Raw'!M30/'Output-FR (check)'!$A$124,0)</f>
        <v>0</v>
      </c>
      <c r="S150" s="142">
        <f>IF(ISTEXT('CF Raw'!N$11),'CF Raw'!N30/'Output-FR (check)'!$A$124,0)</f>
        <v>0</v>
      </c>
      <c r="T150" s="142">
        <f>IF(ISTEXT('CF Raw'!O$11),'CF Raw'!O30/'Output-FR (check)'!$A$124,0)</f>
        <v>0</v>
      </c>
      <c r="U150" s="142">
        <f>IF(ISTEXT('CF Raw'!P$11),'CF Raw'!P30/'Output-FR (check)'!$A$124,0)</f>
        <v>0</v>
      </c>
      <c r="V150" s="142">
        <f>IF(ISTEXT('CF Raw'!Q$11),'CF Raw'!Q30/'Output-FR (check)'!$A$124,0)</f>
        <v>0</v>
      </c>
      <c r="W150" s="142">
        <f>IF(ISTEXT('CF Raw'!R$11),'CF Raw'!R30/'Output-FR (check)'!$A$124,0)</f>
        <v>0</v>
      </c>
      <c r="X150" s="142">
        <f>IF(ISTEXT('CF Raw'!S$11),'CF Raw'!S30/'Output-FR (check)'!$A$124,0)</f>
        <v>0</v>
      </c>
      <c r="Y150" s="142">
        <f>IF(ISTEXT('CF Raw'!T$11),'CF Raw'!T30/'Output-FR (check)'!$A$124,0)</f>
        <v>0</v>
      </c>
      <c r="Z150" s="142">
        <f>IF(ISTEXT('CF Raw'!U$11),'CF Raw'!U30/'Output-FR (check)'!$A$124,0)</f>
        <v>0</v>
      </c>
      <c r="AA150" s="142"/>
      <c r="AB150" s="143"/>
      <c r="AC150" s="143"/>
      <c r="AD150" s="143"/>
      <c r="AE150" s="143"/>
      <c r="AF150" s="143"/>
      <c r="AG150" s="143"/>
      <c r="AH150" s="143"/>
      <c r="AI150" s="143"/>
      <c r="AJ150" s="143"/>
      <c r="AK150" s="143"/>
      <c r="AL150" s="143"/>
      <c r="AM150" s="143"/>
      <c r="AN150" s="143"/>
      <c r="AO150" s="143"/>
      <c r="AP150" s="143"/>
      <c r="AQ150" s="143"/>
      <c r="AR150" s="143"/>
      <c r="AS150" s="143"/>
      <c r="AT150" s="143"/>
      <c r="AU150" s="143"/>
      <c r="AV150" s="143"/>
      <c r="AW150" s="143"/>
      <c r="AX150" s="143"/>
      <c r="AY150" s="143"/>
      <c r="AZ150" s="143"/>
      <c r="BA150" s="143"/>
    </row>
    <row r="151" spans="1:53">
      <c r="A151" s="539"/>
      <c r="B151" s="664" t="s">
        <v>597</v>
      </c>
      <c r="C151" s="664"/>
      <c r="D151" s="41"/>
      <c r="E151" s="89"/>
      <c r="F151" s="89"/>
      <c r="G151" s="89"/>
      <c r="H151" s="89"/>
      <c r="I151" s="89"/>
      <c r="J151" s="90"/>
      <c r="K151" s="90">
        <f>IF(ISTEXT('CF Raw'!F$11),0,-'Output-FR (check)'!K37)</f>
        <v>0</v>
      </c>
      <c r="L151" s="90">
        <f>IF(ISTEXT('CF Raw'!G$11),0,-'Output-FR (check)'!L37)</f>
        <v>0</v>
      </c>
      <c r="M151" s="90">
        <f>IF(ISTEXT('CF Raw'!H$11),0,-'Output-FR (check)'!M37)</f>
        <v>0</v>
      </c>
      <c r="N151" s="90">
        <f>IF(ISTEXT('CF Raw'!I$11),0,-'Output-FR (check)'!N37)</f>
        <v>0</v>
      </c>
      <c r="O151" s="90">
        <f>IF(ISTEXT('CF Raw'!J$11),0,-'Output-FR (check)'!O37)</f>
        <v>0</v>
      </c>
      <c r="P151" s="568">
        <f>IF(ISTEXT('CF Raw'!K$11),0,-'Output-FR (check)'!P37)</f>
        <v>0</v>
      </c>
      <c r="Q151" s="142">
        <f>IF(ISTEXT('CF Raw'!L$11),0,-'Output-FR (check)'!Q37)</f>
        <v>-188.90934246431667</v>
      </c>
      <c r="R151" s="142">
        <f>IF(ISTEXT('CF Raw'!M$11),0,-'Output-FR (check)'!R37)</f>
        <v>-192.2692655115911</v>
      </c>
      <c r="S151" s="142">
        <f>IF(ISTEXT('CF Raw'!N$11),0,-'Output-FR (check)'!S37)</f>
        <v>-240.53831705014494</v>
      </c>
      <c r="T151" s="142">
        <f>IF(ISTEXT('CF Raw'!O$11),0,-'Output-FR (check)'!T37)</f>
        <v>-416.97928201955125</v>
      </c>
      <c r="U151" s="142">
        <f>IF(ISTEXT('CF Raw'!P$11),0,-'Output-FR (check)'!U37)</f>
        <v>-319.00355568091612</v>
      </c>
      <c r="V151" s="142">
        <f>IF(ISTEXT('CF Raw'!Q$11),0,-'Output-FR (check)'!V37)</f>
        <v>-280.19111300813086</v>
      </c>
      <c r="W151" s="142">
        <f>IF(ISTEXT('CF Raw'!R$11),0,-'Output-FR (check)'!W37)</f>
        <v>-285.05992434408267</v>
      </c>
      <c r="X151" s="142">
        <f>IF(ISTEXT('CF Raw'!S$11),0,-'Output-FR (check)'!X37)</f>
        <v>-329.67447852104692</v>
      </c>
      <c r="Y151" s="142">
        <f>IF(ISTEXT('CF Raw'!T$11),0,-'Output-FR (check)'!Y37)</f>
        <v>-388.25893317829536</v>
      </c>
      <c r="Z151" s="142">
        <f>IF(ISTEXT('CF Raw'!U$11),0,-'Output-FR (check)'!Z37)</f>
        <v>-340.64146945037083</v>
      </c>
      <c r="AA151" s="142"/>
      <c r="AB151" s="143"/>
      <c r="AC151" s="143"/>
      <c r="AD151" s="143"/>
      <c r="AE151" s="143"/>
      <c r="AF151" s="143"/>
      <c r="AG151" s="143"/>
      <c r="AH151" s="143"/>
      <c r="AI151" s="143"/>
      <c r="AJ151" s="143"/>
      <c r="AK151" s="143"/>
      <c r="AL151" s="143"/>
      <c r="AM151" s="143"/>
      <c r="AN151" s="143"/>
      <c r="AO151" s="143"/>
      <c r="AP151" s="143"/>
      <c r="AQ151" s="143"/>
      <c r="AR151" s="143"/>
      <c r="AS151" s="143"/>
      <c r="AT151" s="143"/>
      <c r="AU151" s="143"/>
      <c r="AV151" s="143"/>
      <c r="AW151" s="143"/>
      <c r="AX151" s="143"/>
      <c r="AY151" s="143"/>
      <c r="AZ151" s="143"/>
      <c r="BA151" s="143"/>
    </row>
    <row r="152" spans="1:53">
      <c r="A152" s="539"/>
      <c r="B152" s="664"/>
      <c r="C152" s="664"/>
      <c r="D152" s="41"/>
      <c r="E152" s="89"/>
      <c r="F152" s="89"/>
      <c r="G152" s="89"/>
      <c r="H152" s="90"/>
      <c r="I152" s="89"/>
      <c r="J152" s="89"/>
      <c r="K152" s="89"/>
      <c r="L152" s="89"/>
      <c r="M152" s="89"/>
      <c r="N152" s="89"/>
      <c r="O152" s="89"/>
      <c r="P152" s="188"/>
      <c r="Q152" s="143"/>
      <c r="R152" s="143"/>
      <c r="S152" s="143"/>
      <c r="T152" s="143"/>
      <c r="U152" s="143"/>
      <c r="V152" s="143"/>
      <c r="W152" s="143"/>
      <c r="X152" s="143"/>
      <c r="Y152" s="143"/>
      <c r="Z152" s="143"/>
      <c r="AA152" s="143"/>
      <c r="AB152" s="143"/>
      <c r="AC152" s="143"/>
      <c r="AD152" s="143"/>
      <c r="AE152" s="143"/>
      <c r="AF152" s="143"/>
      <c r="AG152" s="143"/>
      <c r="AH152" s="143"/>
      <c r="AI152" s="143"/>
      <c r="AJ152" s="143"/>
      <c r="AK152" s="143"/>
      <c r="AL152" s="143"/>
      <c r="AM152" s="143"/>
      <c r="AN152" s="143"/>
      <c r="AO152" s="143"/>
      <c r="AP152" s="143"/>
      <c r="AQ152" s="143"/>
      <c r="AR152" s="143"/>
      <c r="AS152" s="143"/>
      <c r="AT152" s="143"/>
      <c r="AU152" s="143"/>
      <c r="AV152" s="143"/>
      <c r="AW152" s="143"/>
      <c r="AX152" s="143"/>
      <c r="AY152" s="143"/>
      <c r="AZ152" s="143"/>
      <c r="BA152" s="143"/>
    </row>
    <row r="153" spans="1:53">
      <c r="A153" s="674"/>
      <c r="B153" s="665" t="s">
        <v>682</v>
      </c>
      <c r="C153" s="665"/>
      <c r="D153" s="20"/>
      <c r="E153" s="123"/>
      <c r="F153" s="123"/>
      <c r="G153" s="123"/>
      <c r="H153" s="123"/>
      <c r="I153" s="123"/>
      <c r="J153" s="339"/>
      <c r="K153" s="339">
        <f>+SUM(K142:K150)</f>
        <v>-387.12145788000004</v>
      </c>
      <c r="L153" s="339">
        <f t="shared" ref="L153:Q153" si="54">+SUM(L142:L150)</f>
        <v>-254.838428749</v>
      </c>
      <c r="M153" s="339">
        <f t="shared" si="54"/>
        <v>-907.76974691699991</v>
      </c>
      <c r="N153" s="339">
        <f t="shared" si="54"/>
        <v>-1158.4811387029999</v>
      </c>
      <c r="O153" s="339">
        <f t="shared" si="54"/>
        <v>630.37914472900002</v>
      </c>
      <c r="P153" s="661">
        <f t="shared" si="54"/>
        <v>-1358.0529905139999</v>
      </c>
      <c r="Q153" s="340">
        <f t="shared" ca="1" si="54"/>
        <v>-1364.4393017690177</v>
      </c>
      <c r="R153" s="340">
        <f t="shared" ref="R153:Y153" ca="1" si="55">+SUM(R142:R150)</f>
        <v>-889.66917304711728</v>
      </c>
      <c r="S153" s="340">
        <f t="shared" ca="1" si="55"/>
        <v>-436.71123883916522</v>
      </c>
      <c r="T153" s="340">
        <f t="shared" ca="1" si="55"/>
        <v>-1732.4191259483121</v>
      </c>
      <c r="U153" s="340">
        <f t="shared" ca="1" si="55"/>
        <v>-540.80258408702764</v>
      </c>
      <c r="V153" s="340">
        <f t="shared" ca="1" si="55"/>
        <v>-1332.7849855694503</v>
      </c>
      <c r="W153" s="340">
        <f t="shared" ca="1" si="55"/>
        <v>-1180.4979545244464</v>
      </c>
      <c r="X153" s="340">
        <f t="shared" ca="1" si="55"/>
        <v>-1013.1399714456438</v>
      </c>
      <c r="Y153" s="340">
        <f t="shared" ca="1" si="55"/>
        <v>-1150.4421006190164</v>
      </c>
      <c r="Z153" s="340">
        <f t="shared" ref="Z153" ca="1" si="56">+SUM(Z142:Z150)</f>
        <v>-1295.8155996219566</v>
      </c>
      <c r="AA153" s="340"/>
      <c r="AB153" s="341"/>
      <c r="AC153" s="341"/>
      <c r="AD153" s="341"/>
      <c r="AE153" s="341"/>
      <c r="AF153" s="341"/>
      <c r="AG153" s="341"/>
      <c r="AH153" s="341"/>
      <c r="AI153" s="341"/>
      <c r="AJ153" s="341"/>
      <c r="AK153" s="341"/>
      <c r="AL153" s="341"/>
      <c r="AM153" s="341"/>
      <c r="AN153" s="341"/>
      <c r="AO153" s="341"/>
      <c r="AP153" s="341"/>
      <c r="AQ153" s="341"/>
      <c r="AR153" s="341"/>
      <c r="AS153" s="341"/>
      <c r="AT153" s="341"/>
      <c r="AU153" s="341"/>
      <c r="AV153" s="341"/>
      <c r="AW153" s="341"/>
      <c r="AX153" s="341"/>
      <c r="AY153" s="341"/>
      <c r="AZ153" s="341"/>
      <c r="BA153" s="341"/>
    </row>
    <row r="154" spans="1:53">
      <c r="A154" s="674"/>
      <c r="B154" s="677" t="s">
        <v>683</v>
      </c>
      <c r="C154" s="677" t="s">
        <v>684</v>
      </c>
      <c r="D154" s="678"/>
      <c r="E154" s="653"/>
      <c r="F154" s="653"/>
      <c r="G154" s="653"/>
      <c r="H154" s="653"/>
      <c r="I154" s="653"/>
      <c r="J154" s="654"/>
      <c r="K154" s="654">
        <f>K140+K151+K153</f>
        <v>1370.7628599640002</v>
      </c>
      <c r="L154" s="654">
        <f t="shared" ref="L154:Q154" si="57">L140+L151+L153</f>
        <v>1780.6300018700001</v>
      </c>
      <c r="M154" s="654">
        <f t="shared" si="57"/>
        <v>2568.8278266440007</v>
      </c>
      <c r="N154" s="654">
        <f t="shared" si="57"/>
        <v>5731.6096932979999</v>
      </c>
      <c r="O154" s="654">
        <f t="shared" si="57"/>
        <v>2312.9502920250011</v>
      </c>
      <c r="P154" s="655">
        <f t="shared" si="57"/>
        <v>77.549319891001005</v>
      </c>
      <c r="Q154" s="656">
        <f t="shared" ca="1" si="57"/>
        <v>1379.8936023015171</v>
      </c>
      <c r="R154" s="656">
        <f t="shared" ref="R154:Y154" ca="1" si="58">R140+R151+R153</f>
        <v>2245.6122388190088</v>
      </c>
      <c r="S154" s="656">
        <f t="shared" ca="1" si="58"/>
        <v>2517.6130866990993</v>
      </c>
      <c r="T154" s="656">
        <f t="shared" ca="1" si="58"/>
        <v>2894.2076542571749</v>
      </c>
      <c r="U154" s="656">
        <f t="shared" ca="1" si="58"/>
        <v>3271.5056217847787</v>
      </c>
      <c r="V154" s="656">
        <f t="shared" ca="1" si="58"/>
        <v>1812.9648581299671</v>
      </c>
      <c r="W154" s="656">
        <f t="shared" ca="1" si="58"/>
        <v>1831.2747623124083</v>
      </c>
      <c r="X154" s="656">
        <f t="shared" ca="1" si="58"/>
        <v>2349.0743716619036</v>
      </c>
      <c r="Y154" s="656">
        <f t="shared" ca="1" si="58"/>
        <v>2762.1471075398699</v>
      </c>
      <c r="Z154" s="656">
        <f t="shared" ref="Z154" ca="1" si="59">Z140+Z151+Z153</f>
        <v>2572.7700295954437</v>
      </c>
      <c r="AA154" s="656"/>
      <c r="AB154" s="657"/>
      <c r="AC154" s="657"/>
      <c r="AD154" s="657"/>
      <c r="AE154" s="657"/>
      <c r="AF154" s="657"/>
      <c r="AG154" s="657"/>
      <c r="AH154" s="657"/>
      <c r="AI154" s="657"/>
      <c r="AJ154" s="657"/>
      <c r="AK154" s="657"/>
      <c r="AL154" s="657"/>
      <c r="AM154" s="657"/>
      <c r="AN154" s="657"/>
      <c r="AO154" s="657"/>
      <c r="AP154" s="657"/>
      <c r="AQ154" s="657"/>
      <c r="AR154" s="657"/>
      <c r="AS154" s="657"/>
      <c r="AT154" s="657"/>
      <c r="AU154" s="657"/>
      <c r="AV154" s="657"/>
      <c r="AW154" s="657"/>
      <c r="AX154" s="657"/>
      <c r="AY154" s="657"/>
      <c r="AZ154" s="657"/>
      <c r="BA154" s="657"/>
    </row>
    <row r="155" spans="1:53">
      <c r="A155" s="384"/>
      <c r="B155" s="679" t="s">
        <v>383</v>
      </c>
      <c r="C155" s="679"/>
      <c r="D155" s="386"/>
      <c r="E155" s="386"/>
      <c r="F155" s="386"/>
      <c r="G155" s="386"/>
      <c r="H155" s="386"/>
      <c r="I155" s="386"/>
      <c r="J155" s="387"/>
      <c r="K155" s="387">
        <f>IF(ISTEXT('CF Raw'!F$11),K154-'CF Raw'!F35/'Output-FR (check)'!$A$124,"Chưa có BCTC")</f>
        <v>2.2737367544323206E-13</v>
      </c>
      <c r="L155" s="387">
        <f>IF(ISTEXT('CF Raw'!G$11),L154-'CF Raw'!G35/'Output-FR (check)'!$A$124,"Chưa có BCTC")</f>
        <v>2.2737367544323206E-13</v>
      </c>
      <c r="M155" s="387">
        <f>IF(ISTEXT('CF Raw'!H$11),M154-'CF Raw'!H35/'Output-FR (check)'!$A$124,"Chưa có BCTC")</f>
        <v>4.5474735088646412E-13</v>
      </c>
      <c r="N155" s="387">
        <f>IF(ISTEXT('CF Raw'!I$11),N154-'CF Raw'!I35/'Output-FR (check)'!$A$124,"Chưa có BCTC")</f>
        <v>0</v>
      </c>
      <c r="O155" s="387">
        <f>IF(ISTEXT('CF Raw'!J$11),O154-'CF Raw'!J35/'Output-FR (check)'!$A$124,"Chưa có BCTC")</f>
        <v>9.0949470177292824E-13</v>
      </c>
      <c r="P155" s="680">
        <f>IF(ISTEXT('CF Raw'!K$11),P154-'CF Raw'!K35/'Output-FR (check)'!$A$124,"Chưa có BCTC")</f>
        <v>1.0089706847793423E-12</v>
      </c>
      <c r="Q155" s="1484" t="str">
        <f>IF(ISTEXT('CF Raw'!L$11),Q154-'CF Raw'!L35/'Output-FR (check)'!$A$124,"Chưa có BCTC")</f>
        <v>Chưa có BCTC</v>
      </c>
      <c r="R155" s="1484" t="str">
        <f>IF(ISTEXT('CF Raw'!M$11),R154-'CF Raw'!M35/'Output-FR (check)'!$A$124,"Chưa có BCTC")</f>
        <v>Chưa có BCTC</v>
      </c>
      <c r="S155" s="1484" t="str">
        <f>IF(ISTEXT('CF Raw'!N$11),S154-'CF Raw'!N35/'Output-FR (check)'!$A$124,"Chưa có BCTC")</f>
        <v>Chưa có BCTC</v>
      </c>
      <c r="T155" s="1484" t="str">
        <f>IF(ISTEXT('CF Raw'!O$11),T154-'CF Raw'!O35/'Output-FR (check)'!$A$124,"Chưa có BCTC")</f>
        <v>Chưa có BCTC</v>
      </c>
      <c r="U155" s="1484" t="str">
        <f>IF(ISTEXT('CF Raw'!P$11),U154-'CF Raw'!P35/'Output-FR (check)'!$A$124,"Chưa có BCTC")</f>
        <v>Chưa có BCTC</v>
      </c>
      <c r="V155" s="1484" t="str">
        <f>IF(ISTEXT('CF Raw'!Q$11),V154-'CF Raw'!Q35/'Output-FR (check)'!$A$124,"Chưa có BCTC")</f>
        <v>Chưa có BCTC</v>
      </c>
      <c r="W155" s="1484" t="str">
        <f>IF(ISTEXT('CF Raw'!R$11),W154-'CF Raw'!R35/'Output-FR (check)'!$A$124,"Chưa có BCTC")</f>
        <v>Chưa có BCTC</v>
      </c>
      <c r="X155" s="1484" t="str">
        <f>IF(ISTEXT('CF Raw'!S$11),X154-'CF Raw'!S35/'Output-FR (check)'!$A$124,"Chưa có BCTC")</f>
        <v>Chưa có BCTC</v>
      </c>
      <c r="Y155" s="1484" t="str">
        <f>IF(ISTEXT('CF Raw'!T$11),Y154-'CF Raw'!T35/'Output-FR (check)'!$A$124,"Chưa có BCTC")</f>
        <v>Chưa có BCTC</v>
      </c>
      <c r="Z155" s="1484" t="str">
        <f>IF(ISTEXT('CF Raw'!U$11),Z154-'CF Raw'!U35/'Output-FR (check)'!$A$124,"Chưa có BCTC")</f>
        <v>Chưa có BCTC</v>
      </c>
      <c r="AA155" s="1484"/>
      <c r="AB155" s="1485"/>
      <c r="AC155" s="1485"/>
      <c r="AD155" s="1485"/>
      <c r="AE155" s="1485"/>
      <c r="AF155" s="1485"/>
      <c r="AG155" s="1485"/>
      <c r="AH155" s="1485"/>
      <c r="AI155" s="1485"/>
      <c r="AJ155" s="1485"/>
      <c r="AK155" s="1485"/>
      <c r="AL155" s="1485"/>
      <c r="AM155" s="1485"/>
      <c r="AN155" s="1485"/>
      <c r="AO155" s="1485"/>
      <c r="AP155" s="1485"/>
      <c r="AQ155" s="1485"/>
      <c r="AR155" s="1485"/>
      <c r="AS155" s="1485"/>
      <c r="AT155" s="1485"/>
      <c r="AU155" s="1485"/>
      <c r="AV155" s="1485"/>
      <c r="AW155" s="1485"/>
      <c r="AX155" s="1485"/>
      <c r="AY155" s="1485"/>
      <c r="AZ155" s="1485"/>
      <c r="BA155" s="1485"/>
    </row>
    <row r="156" spans="1:53">
      <c r="A156" s="539"/>
      <c r="B156" s="664"/>
      <c r="C156" s="664"/>
      <c r="D156" s="41"/>
      <c r="E156" s="41"/>
      <c r="F156" s="41"/>
      <c r="G156" s="41"/>
      <c r="H156" s="41"/>
      <c r="I156" s="41"/>
      <c r="J156" s="41"/>
      <c r="K156" s="41"/>
      <c r="L156" s="41"/>
      <c r="M156" s="41"/>
      <c r="N156" s="89"/>
      <c r="O156" s="89"/>
      <c r="P156" s="188"/>
      <c r="Q156" s="89"/>
      <c r="R156" s="89"/>
      <c r="S156" s="89"/>
      <c r="T156" s="89"/>
      <c r="U156" s="89"/>
      <c r="V156" s="89"/>
      <c r="W156" s="89"/>
      <c r="X156" s="89"/>
      <c r="Y156" s="89"/>
      <c r="Z156" s="89"/>
      <c r="AA156" s="143"/>
      <c r="AB156" s="143"/>
      <c r="AC156" s="143"/>
      <c r="AD156" s="143"/>
      <c r="AE156" s="143"/>
      <c r="AF156" s="143"/>
      <c r="AG156" s="143"/>
      <c r="AH156" s="143"/>
      <c r="AI156" s="143"/>
      <c r="AJ156" s="143"/>
      <c r="AK156" s="143"/>
      <c r="AL156" s="143"/>
      <c r="AM156" s="143"/>
      <c r="AN156" s="143"/>
      <c r="AO156" s="143"/>
      <c r="AP156" s="143"/>
      <c r="AQ156" s="143"/>
      <c r="AR156" s="143"/>
      <c r="AS156" s="143"/>
      <c r="AT156" s="143"/>
      <c r="AU156" s="143"/>
      <c r="AV156" s="143"/>
      <c r="AW156" s="143"/>
      <c r="AX156" s="143"/>
      <c r="AY156" s="143"/>
      <c r="AZ156" s="143"/>
      <c r="BA156" s="143"/>
    </row>
    <row r="157" spans="1:53">
      <c r="A157" s="539"/>
      <c r="B157" s="664" t="s">
        <v>685</v>
      </c>
      <c r="C157" s="664" t="s">
        <v>686</v>
      </c>
      <c r="D157" s="41"/>
      <c r="E157" s="89"/>
      <c r="F157" s="89"/>
      <c r="G157" s="89"/>
      <c r="H157" s="89"/>
      <c r="I157" s="89"/>
      <c r="J157" s="90"/>
      <c r="K157" s="90">
        <f>IF(ISTEXT('CF Raw'!F$11),('CF Raw'!F37+'CF Raw'!F38)/'Output-FR (check)'!$A$124,-'LT. Asset'!K9)</f>
        <v>-414.76276050299998</v>
      </c>
      <c r="L157" s="90">
        <f>IF(ISTEXT('CF Raw'!G$11),('CF Raw'!G37+'CF Raw'!G38)/'Output-FR (check)'!$A$124,-'LT. Asset'!L9)</f>
        <v>-272.86203394299997</v>
      </c>
      <c r="M157" s="90">
        <f>IF(ISTEXT('CF Raw'!H$11),('CF Raw'!H37+'CF Raw'!H38)/'Output-FR (check)'!$A$124,-'LT. Asset'!M9)</f>
        <v>-156.94816908799999</v>
      </c>
      <c r="N157" s="90">
        <f>IF(ISTEXT('CF Raw'!I$11),('CF Raw'!I37+'CF Raw'!I38)/'Output-FR (check)'!$A$124,-'LT. Asset'!N9)</f>
        <v>-143.78998269599998</v>
      </c>
      <c r="O157" s="90">
        <f>IF(ISTEXT('CF Raw'!J$11),('CF Raw'!J37+'CF Raw'!J38)/'Output-FR (check)'!$A$124,-'LT. Asset'!O9)</f>
        <v>-544.06761910399996</v>
      </c>
      <c r="P157" s="568">
        <f>IF(ISTEXT('CF Raw'!K$11),('CF Raw'!K37+'CF Raw'!K38)/'Output-FR (check)'!$A$124,-'LT. Asset'!P9)</f>
        <v>-787.05758273100002</v>
      </c>
      <c r="Q157" s="142">
        <f>IF(ISTEXT('CF Raw'!L$11),('CF Raw'!L37+'CF Raw'!L38)/'Output-FR (check)'!$A$124,-'LT. Asset'!Q9)</f>
        <v>-793.61444847162204</v>
      </c>
      <c r="R157" s="142">
        <f>IF(ISTEXT('CF Raw'!M$11),('CF Raw'!M37+'CF Raw'!M38)/'Output-FR (check)'!$A$124,-'LT. Asset'!R9)</f>
        <v>-719.4857840413008</v>
      </c>
      <c r="S157" s="142">
        <f>IF(ISTEXT('CF Raw'!N$11),('CF Raw'!N37+'CF Raw'!N38)/'Output-FR (check)'!$A$124,-'LT. Asset'!S9)</f>
        <v>-706.27265251081963</v>
      </c>
      <c r="T157" s="142">
        <f>IF(ISTEXT('CF Raw'!O$11),('CF Raw'!O37+'CF Raw'!O38)/'Output-FR (check)'!$A$124,-'LT. Asset'!T9)</f>
        <v>-1167.4691175791336</v>
      </c>
      <c r="U157" s="142">
        <f>IF(ISTEXT('CF Raw'!P$11),('CF Raw'!P37+'CF Raw'!P38)/'Output-FR (check)'!$A$124,-'LT. Asset'!U9)</f>
        <v>-452.06637167829581</v>
      </c>
      <c r="V157" s="142">
        <f>IF(ISTEXT('CF Raw'!Q$11),('CF Raw'!Q37+'CF Raw'!Q38)/'Output-FR (check)'!$A$124,-'LT. Asset'!V9)</f>
        <v>-367.64817422706108</v>
      </c>
      <c r="W157" s="142">
        <f>IF(ISTEXT('CF Raw'!R$11),('CF Raw'!R37+'CF Raw'!R38)/'Output-FR (check)'!$A$124,-'LT. Asset'!W9)</f>
        <v>-297.41873156308685</v>
      </c>
      <c r="X157" s="142">
        <f>IF(ISTEXT('CF Raw'!S$11),('CF Raw'!S37+'CF Raw'!S38)/'Output-FR (check)'!$A$124,-'LT. Asset'!X9)</f>
        <v>-332.72512452640376</v>
      </c>
      <c r="Y157" s="142">
        <f>IF(ISTEXT('CF Raw'!T$11),('CF Raw'!T37+'CF Raw'!T38)/'Output-FR (check)'!$A$124,-'LT. Asset'!Y9)</f>
        <v>-391.10138790970905</v>
      </c>
      <c r="Z157" s="142">
        <f>IF(ISTEXT('CF Raw'!U$11),('CF Raw'!U37+'CF Raw'!U38)/'Output-FR (check)'!$A$124,-'LT. Asset'!Z9)</f>
        <v>-379.0911800676617</v>
      </c>
      <c r="AA157" s="142"/>
      <c r="AB157" s="143"/>
      <c r="AC157" s="143"/>
      <c r="AD157" s="143"/>
      <c r="AE157" s="143"/>
      <c r="AF157" s="143"/>
      <c r="AG157" s="143"/>
      <c r="AH157" s="143"/>
      <c r="AI157" s="143"/>
      <c r="AJ157" s="143"/>
      <c r="AK157" s="143"/>
      <c r="AL157" s="143"/>
      <c r="AM157" s="143"/>
      <c r="AN157" s="143"/>
      <c r="AO157" s="143"/>
      <c r="AP157" s="143"/>
      <c r="AQ157" s="143"/>
      <c r="AR157" s="143"/>
      <c r="AS157" s="143"/>
      <c r="AT157" s="143"/>
      <c r="AU157" s="143"/>
      <c r="AV157" s="143"/>
      <c r="AW157" s="143"/>
      <c r="AX157" s="143"/>
      <c r="AY157" s="143"/>
      <c r="AZ157" s="143"/>
      <c r="BA157" s="143"/>
    </row>
    <row r="158" spans="1:53">
      <c r="A158" s="539"/>
      <c r="B158" s="664" t="s">
        <v>687</v>
      </c>
      <c r="C158" s="664" t="s">
        <v>688</v>
      </c>
      <c r="D158" s="41"/>
      <c r="E158" s="89"/>
      <c r="F158" s="89"/>
      <c r="G158" s="89"/>
      <c r="H158" s="89"/>
      <c r="I158" s="89"/>
      <c r="J158" s="90"/>
      <c r="K158" s="90">
        <f>IF(ISTEXT('CF Raw'!F$11),0,-K135)</f>
        <v>0</v>
      </c>
      <c r="L158" s="90">
        <f>IF(ISTEXT('CF Raw'!G$11),0,-L135)</f>
        <v>0</v>
      </c>
      <c r="M158" s="90">
        <f>IF(ISTEXT('CF Raw'!H$11),0,-M135)</f>
        <v>0</v>
      </c>
      <c r="N158" s="90">
        <f>IF(ISTEXT('CF Raw'!I$11),0,-N135)</f>
        <v>0</v>
      </c>
      <c r="O158" s="90">
        <f>IF(ISTEXT('CF Raw'!J$11),0,-O135)</f>
        <v>0</v>
      </c>
      <c r="P158" s="568">
        <f>IF(ISTEXT('CF Raw'!K$11),0,-P135)</f>
        <v>0</v>
      </c>
      <c r="Q158" s="142">
        <f>IF(ISTEXT('CF Raw'!L$11),0,-Q135)</f>
        <v>16.230570724666709</v>
      </c>
      <c r="R158" s="142">
        <f>IF(ISTEXT('CF Raw'!M$11),0,-R135)</f>
        <v>12.02804724916732</v>
      </c>
      <c r="S158" s="142">
        <f>IF(ISTEXT('CF Raw'!N$11),0,-S135)</f>
        <v>13.186811817571449</v>
      </c>
      <c r="T158" s="142">
        <f>IF(ISTEXT('CF Raw'!O$11),0,-T135)</f>
        <v>14.336535169178703</v>
      </c>
      <c r="U158" s="142">
        <f>IF(ISTEXT('CF Raw'!P$11),0,-U135)</f>
        <v>17.219893467666864</v>
      </c>
      <c r="V158" s="142">
        <f>IF(ISTEXT('CF Raw'!Q$11),0,-V135)</f>
        <v>17.021552919137449</v>
      </c>
      <c r="W158" s="142">
        <f>IF(ISTEXT('CF Raw'!R$11),0,-W135)</f>
        <v>14.683428161063702</v>
      </c>
      <c r="X158" s="142">
        <f>IF(ISTEXT('CF Raw'!S$11),0,-X135)</f>
        <v>14.473290754976617</v>
      </c>
      <c r="Y158" s="142">
        <f>IF(ISTEXT('CF Raw'!T$11),0,-Y135)</f>
        <v>14.694309641502553</v>
      </c>
      <c r="Z158" s="142">
        <f>IF(ISTEXT('CF Raw'!U$11),0,-Z135)</f>
        <v>15.039807808198393</v>
      </c>
      <c r="AA158" s="142"/>
      <c r="AB158" s="143"/>
      <c r="AC158" s="143"/>
      <c r="AD158" s="143"/>
      <c r="AE158" s="143"/>
      <c r="AF158" s="143"/>
      <c r="AG158" s="143"/>
      <c r="AH158" s="143"/>
      <c r="AI158" s="143"/>
      <c r="AJ158" s="143"/>
      <c r="AK158" s="143"/>
      <c r="AL158" s="143"/>
      <c r="AM158" s="143"/>
      <c r="AN158" s="143"/>
      <c r="AO158" s="143"/>
      <c r="AP158" s="143"/>
      <c r="AQ158" s="143"/>
      <c r="AR158" s="143"/>
      <c r="AS158" s="143"/>
      <c r="AT158" s="143"/>
      <c r="AU158" s="143"/>
      <c r="AV158" s="143"/>
      <c r="AW158" s="143"/>
      <c r="AX158" s="143"/>
      <c r="AY158" s="143"/>
      <c r="AZ158" s="143"/>
      <c r="BA158" s="143"/>
    </row>
    <row r="159" spans="1:53">
      <c r="A159" s="539"/>
      <c r="B159" s="664" t="s">
        <v>689</v>
      </c>
      <c r="C159" s="664"/>
      <c r="D159" s="41"/>
      <c r="E159" s="89"/>
      <c r="F159" s="89"/>
      <c r="G159" s="89"/>
      <c r="H159" s="89"/>
      <c r="I159" s="89"/>
      <c r="J159" s="90"/>
      <c r="K159" s="90">
        <f>IF(ISTEXT('CF Raw'!F$11),'CF Raw'!F43/'Output-FR (check)'!$A$124,-K136)</f>
        <v>124.404903886</v>
      </c>
      <c r="L159" s="90">
        <f>IF(ISTEXT('CF Raw'!G$11),'CF Raw'!G43/'Output-FR (check)'!$A$124,-L136)</f>
        <v>111.38555735</v>
      </c>
      <c r="M159" s="90">
        <f>IF(ISTEXT('CF Raw'!H$11),'CF Raw'!H43/'Output-FR (check)'!$A$124,-M136)</f>
        <v>114.722479389</v>
      </c>
      <c r="N159" s="90">
        <f>IF(ISTEXT('CF Raw'!I$11),'CF Raw'!I43/'Output-FR (check)'!$A$124,-N136)</f>
        <v>209.034334199</v>
      </c>
      <c r="O159" s="90">
        <f>IF(ISTEXT('CF Raw'!J$11),'CF Raw'!J43/'Output-FR (check)'!$A$124,-O136)</f>
        <v>504.958995061</v>
      </c>
      <c r="P159" s="568">
        <f>IF(ISTEXT('CF Raw'!K$11),'CF Raw'!K43/'Output-FR (check)'!$A$124,-P136)</f>
        <v>323.80295769000003</v>
      </c>
      <c r="Q159" s="142">
        <f ca="1">IF(ISTEXT('CF Raw'!L$11),'CF Raw'!L43/'Output-FR (check)'!$A$124,-Q136)</f>
        <v>612.61692171388484</v>
      </c>
      <c r="R159" s="142">
        <f ca="1">IF(ISTEXT('CF Raw'!M$11),'CF Raw'!M43/'Output-FR (check)'!$A$124,-R136)</f>
        <v>680.83090119855763</v>
      </c>
      <c r="S159" s="142">
        <f ca="1">IF(ISTEXT('CF Raw'!N$11),'CF Raw'!N43/'Output-FR (check)'!$A$124,-S136)</f>
        <v>767.18909307794377</v>
      </c>
      <c r="T159" s="142">
        <f ca="1">IF(ISTEXT('CF Raw'!O$11),'CF Raw'!O43/'Output-FR (check)'!$A$124,-T136)</f>
        <v>895.09609279666813</v>
      </c>
      <c r="U159" s="142">
        <f ca="1">IF(ISTEXT('CF Raw'!P$11),'CF Raw'!P43/'Output-FR (check)'!$A$124,-U136)</f>
        <v>1017.6500482790449</v>
      </c>
      <c r="V159" s="142">
        <f ca="1">IF(ISTEXT('CF Raw'!Q$11),'CF Raw'!Q43/'Output-FR (check)'!$A$124,-V136)</f>
        <v>1125.6841271289491</v>
      </c>
      <c r="W159" s="142">
        <f ca="1">IF(ISTEXT('CF Raw'!R$11),'CF Raw'!R43/'Output-FR (check)'!$A$124,-W136)</f>
        <v>1210.8158232622893</v>
      </c>
      <c r="X159" s="142">
        <f ca="1">IF(ISTEXT('CF Raw'!S$11),'CF Raw'!S43/'Output-FR (check)'!$A$124,-X136)</f>
        <v>1303.9966468625701</v>
      </c>
      <c r="Y159" s="142">
        <f ca="1">IF(ISTEXT('CF Raw'!T$11),'CF Raw'!T43/'Output-FR (check)'!$A$124,-Y136)</f>
        <v>1408.9586272720051</v>
      </c>
      <c r="Z159" s="142">
        <f ca="1">IF(ISTEXT('CF Raw'!U$11),'CF Raw'!U43/'Output-FR (check)'!$A$124,-Z136)</f>
        <v>1490.5861930715591</v>
      </c>
      <c r="AA159" s="142"/>
      <c r="AB159" s="143"/>
      <c r="AC159" s="143"/>
      <c r="AD159" s="143"/>
      <c r="AE159" s="143"/>
      <c r="AF159" s="143"/>
      <c r="AG159" s="143"/>
      <c r="AH159" s="143"/>
      <c r="AI159" s="143"/>
      <c r="AJ159" s="143"/>
      <c r="AK159" s="143"/>
      <c r="AL159" s="143"/>
      <c r="AM159" s="143"/>
      <c r="AN159" s="143"/>
      <c r="AO159" s="143"/>
      <c r="AP159" s="143"/>
      <c r="AQ159" s="143"/>
      <c r="AR159" s="143"/>
      <c r="AS159" s="143"/>
      <c r="AT159" s="143"/>
      <c r="AU159" s="143"/>
      <c r="AV159" s="143"/>
      <c r="AW159" s="143"/>
      <c r="AX159" s="143"/>
      <c r="AY159" s="143"/>
      <c r="AZ159" s="143"/>
      <c r="BA159" s="143"/>
    </row>
    <row r="160" spans="1:53">
      <c r="A160" s="539"/>
      <c r="B160" s="664" t="s">
        <v>690</v>
      </c>
      <c r="C160" s="664" t="s">
        <v>691</v>
      </c>
      <c r="D160" s="41"/>
      <c r="E160" s="89"/>
      <c r="F160" s="89"/>
      <c r="G160" s="89"/>
      <c r="H160" s="89"/>
      <c r="I160" s="89"/>
      <c r="J160" s="90"/>
      <c r="K160" s="90">
        <f>IF(ISTEXT('CF Raw'!F$11),('CF Raw'!F39+'CF Raw'!F40)/'Output-FR (check)'!$A$124,'Output-FR (check)'!J62-'Output-FR (check)'!K62)</f>
        <v>500</v>
      </c>
      <c r="L160" s="90">
        <f>IF(ISTEXT('CF Raw'!G$11),('CF Raw'!G39+'CF Raw'!G40)/'Output-FR (check)'!$A$124,'Output-FR (check)'!K62-'Output-FR (check)'!L62)</f>
        <v>-300</v>
      </c>
      <c r="M160" s="90">
        <f>IF(ISTEXT('CF Raw'!H$11),('CF Raw'!H39+'CF Raw'!H40)/'Output-FR (check)'!$A$124,'Output-FR (check)'!L62-'Output-FR (check)'!M62)</f>
        <v>-2060</v>
      </c>
      <c r="N160" s="90">
        <f>IF(ISTEXT('CF Raw'!I$11),('CF Raw'!I39+'CF Raw'!I40)/'Output-FR (check)'!$A$124,'Output-FR (check)'!M62-'Output-FR (check)'!N62)</f>
        <v>-2450</v>
      </c>
      <c r="O160" s="90">
        <f>IF(ISTEXT('CF Raw'!J$11),('CF Raw'!J39+'CF Raw'!J40)/'Output-FR (check)'!$A$124,'Output-FR (check)'!N62-'Output-FR (check)'!O62)</f>
        <v>-1430</v>
      </c>
      <c r="P160" s="568">
        <f>IF(ISTEXT('CF Raw'!K$11),('CF Raw'!K39+'CF Raw'!K40)/'Output-FR (check)'!$A$124,'Output-FR (check)'!O62-'Output-FR (check)'!P62)</f>
        <v>1202.9487671229999</v>
      </c>
      <c r="Q160" s="142">
        <f>IF(ISTEXT('CF Raw'!L$11),('CF Raw'!L39+'CF Raw'!L40)/'Output-FR (check)'!$A$124,'Output-FR (check)'!P62-'Output-FR (check)'!Q62)</f>
        <v>-201.47574057754446</v>
      </c>
      <c r="R160" s="142">
        <f>IF(ISTEXT('CF Raw'!M$11),('CF Raw'!M39+'CF Raw'!M40)/'Output-FR (check)'!$A$124,'Output-FR (check)'!Q62-'Output-FR (check)'!R62)</f>
        <v>-1128.5192823577718</v>
      </c>
      <c r="S160" s="142">
        <f>IF(ISTEXT('CF Raw'!N$11),('CF Raw'!N39+'CF Raw'!N40)/'Output-FR (check)'!$A$124,'Output-FR (check)'!R62-'Output-FR (check)'!S62)</f>
        <v>-1497.9486792330263</v>
      </c>
      <c r="T160" s="142">
        <f>IF(ISTEXT('CF Raw'!O$11),('CF Raw'!O39+'CF Raw'!O40)/'Output-FR (check)'!$A$124,'Output-FR (check)'!S62-'Output-FR (check)'!T62)</f>
        <v>-1960.5228992108932</v>
      </c>
      <c r="U160" s="142">
        <f>IF(ISTEXT('CF Raw'!P$11),('CF Raw'!P39+'CF Raw'!P40)/'Output-FR (check)'!$A$124,'Output-FR (check)'!T62-'Output-FR (check)'!U62)</f>
        <v>-1874.403452794224</v>
      </c>
      <c r="V160" s="142">
        <f>IF(ISTEXT('CF Raw'!Q$11),('CF Raw'!Q39+'CF Raw'!Q40)/'Output-FR (check)'!$A$124,'Output-FR (check)'!U62-'Output-FR (check)'!V62)</f>
        <v>-1440.7719844626208</v>
      </c>
      <c r="W160" s="142">
        <f>IF(ISTEXT('CF Raw'!R$11),('CF Raw'!R39+'CF Raw'!R40)/'Output-FR (check)'!$A$124,'Output-FR (check)'!V62-'Output-FR (check)'!W62)</f>
        <v>-1061.078300688805</v>
      </c>
      <c r="X160" s="142">
        <f>IF(ISTEXT('CF Raw'!S$11),('CF Raw'!S39+'CF Raw'!S40)/'Output-FR (check)'!$A$124,'Output-FR (check)'!W62-'Output-FR (check)'!X62)</f>
        <v>-1256.3873888528815</v>
      </c>
      <c r="Y160" s="142">
        <f>IF(ISTEXT('CF Raw'!T$11),('CF Raw'!T39+'CF Raw'!T40)/'Output-FR (check)'!$A$124,'Output-FR (check)'!X62-'Output-FR (check)'!Y62)</f>
        <v>-1235.7910114571532</v>
      </c>
      <c r="Z160" s="142">
        <f>IF(ISTEXT('CF Raw'!U$11),('CF Raw'!U39+'CF Raw'!U40)/'Output-FR (check)'!$A$124,'Output-FR (check)'!Y62-'Output-FR (check)'!Z62)</f>
        <v>-708.16834368365744</v>
      </c>
      <c r="AA160" s="142"/>
      <c r="AB160" s="143"/>
      <c r="AC160" s="143"/>
      <c r="AD160" s="143"/>
      <c r="AE160" s="143"/>
      <c r="AF160" s="143"/>
      <c r="AG160" s="143"/>
      <c r="AH160" s="143"/>
      <c r="AI160" s="143"/>
      <c r="AJ160" s="143"/>
      <c r="AK160" s="143"/>
      <c r="AL160" s="143"/>
      <c r="AM160" s="143"/>
      <c r="AN160" s="143"/>
      <c r="AO160" s="143"/>
      <c r="AP160" s="143"/>
      <c r="AQ160" s="143"/>
      <c r="AR160" s="143"/>
      <c r="AS160" s="143"/>
      <c r="AT160" s="143"/>
      <c r="AU160" s="143"/>
      <c r="AV160" s="143"/>
      <c r="AW160" s="143"/>
      <c r="AX160" s="143"/>
      <c r="AY160" s="143"/>
      <c r="AZ160" s="143"/>
      <c r="BA160" s="143"/>
    </row>
    <row r="161" spans="1:53">
      <c r="A161" s="539"/>
      <c r="B161" s="664" t="s">
        <v>692</v>
      </c>
      <c r="C161" s="664" t="s">
        <v>693</v>
      </c>
      <c r="D161" s="41"/>
      <c r="E161" s="89"/>
      <c r="F161" s="89"/>
      <c r="G161" s="89"/>
      <c r="H161" s="89"/>
      <c r="I161" s="89"/>
      <c r="J161" s="90"/>
      <c r="K161" s="90">
        <f>IF(ISTEXT('CF Raw'!F$11),('CF Raw'!F41+'CF Raw'!F42)/'Output-FR (check)'!$A$124,'Output-FR (check)'!J75-'Output-FR (check)'!K75)</f>
        <v>0</v>
      </c>
      <c r="L161" s="90">
        <f>IF(ISTEXT('CF Raw'!G$11),('CF Raw'!G41+'CF Raw'!G42)/'Output-FR (check)'!$A$124,'Output-FR (check)'!K75-'Output-FR (check)'!L75)</f>
        <v>0</v>
      </c>
      <c r="M161" s="90">
        <f>IF(ISTEXT('CF Raw'!H$11),('CF Raw'!H41+'CF Raw'!H42)/'Output-FR (check)'!$A$124,'Output-FR (check)'!L75-'Output-FR (check)'!M75)</f>
        <v>0</v>
      </c>
      <c r="N161" s="90">
        <f>IF(ISTEXT('CF Raw'!I$11),('CF Raw'!I41+'CF Raw'!I42)/'Output-FR (check)'!$A$124,'Output-FR (check)'!M75-'Output-FR (check)'!N75)</f>
        <v>0</v>
      </c>
      <c r="O161" s="90">
        <f>IF(ISTEXT('CF Raw'!J$11),('CF Raw'!J41+'CF Raw'!J42)/'Output-FR (check)'!$A$124,'Output-FR (check)'!N75-'Output-FR (check)'!O75)</f>
        <v>0</v>
      </c>
      <c r="P161" s="568">
        <f>IF(ISTEXT('CF Raw'!K$11),('CF Raw'!K41+'CF Raw'!K42)/'Output-FR (check)'!$A$124,'Output-FR (check)'!O75-'Output-FR (check)'!P75)</f>
        <v>-598.58379782099996</v>
      </c>
      <c r="Q161" s="142">
        <f>IF(ISTEXT('CF Raw'!L$11),('CF Raw'!L41+'CF Raw'!L42)/'Output-FR (check)'!$A$124,'Output-FR (check)'!P75-'Output-FR (check)'!Q75)</f>
        <v>0</v>
      </c>
      <c r="R161" s="142">
        <f>IF(ISTEXT('CF Raw'!M$11),('CF Raw'!M41+'CF Raw'!M42)/'Output-FR (check)'!$A$124,'Output-FR (check)'!Q75-'Output-FR (check)'!R75)</f>
        <v>0</v>
      </c>
      <c r="S161" s="142">
        <f>IF(ISTEXT('CF Raw'!N$11),('CF Raw'!N41+'CF Raw'!N42)/'Output-FR (check)'!$A$124,'Output-FR (check)'!R75-'Output-FR (check)'!S75)</f>
        <v>0</v>
      </c>
      <c r="T161" s="142">
        <f>IF(ISTEXT('CF Raw'!O$11),('CF Raw'!O41+'CF Raw'!O42)/'Output-FR (check)'!$A$124,'Output-FR (check)'!S75-'Output-FR (check)'!T75)</f>
        <v>0</v>
      </c>
      <c r="U161" s="142">
        <f>IF(ISTEXT('CF Raw'!P$11),('CF Raw'!P41+'CF Raw'!P42)/'Output-FR (check)'!$A$124,'Output-FR (check)'!T75-'Output-FR (check)'!U75)</f>
        <v>0</v>
      </c>
      <c r="V161" s="142">
        <f>IF(ISTEXT('CF Raw'!Q$11),('CF Raw'!Q41+'CF Raw'!Q42)/'Output-FR (check)'!$A$124,'Output-FR (check)'!U75-'Output-FR (check)'!V75)</f>
        <v>0</v>
      </c>
      <c r="W161" s="142">
        <f>IF(ISTEXT('CF Raw'!R$11),('CF Raw'!R41+'CF Raw'!R42)/'Output-FR (check)'!$A$124,'Output-FR (check)'!V75-'Output-FR (check)'!W75)</f>
        <v>0</v>
      </c>
      <c r="X161" s="142">
        <f>IF(ISTEXT('CF Raw'!S$11),('CF Raw'!S41+'CF Raw'!S42)/'Output-FR (check)'!$A$124,'Output-FR (check)'!W75-'Output-FR (check)'!X75)</f>
        <v>0</v>
      </c>
      <c r="Y161" s="142">
        <f>IF(ISTEXT('CF Raw'!T$11),('CF Raw'!T41+'CF Raw'!T42)/'Output-FR (check)'!$A$124,'Output-FR (check)'!X75-'Output-FR (check)'!Y75)</f>
        <v>0</v>
      </c>
      <c r="Z161" s="142">
        <f>IF(ISTEXT('CF Raw'!U$11),('CF Raw'!U41+'CF Raw'!U42)/'Output-FR (check)'!$A$124,'Output-FR (check)'!Y75-'Output-FR (check)'!Z75)</f>
        <v>0</v>
      </c>
      <c r="AA161" s="142"/>
      <c r="AB161" s="143"/>
      <c r="AC161" s="143"/>
      <c r="AD161" s="143"/>
      <c r="AE161" s="143"/>
      <c r="AF161" s="143"/>
      <c r="AG161" s="143"/>
      <c r="AH161" s="143"/>
      <c r="AI161" s="143"/>
      <c r="AJ161" s="143"/>
      <c r="AK161" s="143"/>
      <c r="AL161" s="143"/>
      <c r="AM161" s="143"/>
      <c r="AN161" s="143"/>
      <c r="AO161" s="143"/>
      <c r="AP161" s="143"/>
      <c r="AQ161" s="143"/>
      <c r="AR161" s="143"/>
      <c r="AS161" s="143"/>
      <c r="AT161" s="143"/>
      <c r="AU161" s="143"/>
      <c r="AV161" s="143"/>
      <c r="AW161" s="143"/>
      <c r="AX161" s="143"/>
      <c r="AY161" s="143"/>
      <c r="AZ161" s="143"/>
      <c r="BA161" s="143"/>
    </row>
    <row r="162" spans="1:53">
      <c r="A162" s="674"/>
      <c r="B162" s="677" t="s">
        <v>694</v>
      </c>
      <c r="C162" s="677" t="s">
        <v>695</v>
      </c>
      <c r="D162" s="678"/>
      <c r="E162" s="653"/>
      <c r="F162" s="653"/>
      <c r="G162" s="653"/>
      <c r="H162" s="653"/>
      <c r="I162" s="653"/>
      <c r="J162" s="654"/>
      <c r="K162" s="654">
        <f>SUM(K157:K161)</f>
        <v>209.64214338300002</v>
      </c>
      <c r="L162" s="654">
        <f t="shared" ref="L162:Q162" si="60">SUM(L157:L161)</f>
        <v>-461.47647659299997</v>
      </c>
      <c r="M162" s="654">
        <f t="shared" si="60"/>
        <v>-2102.2256896990002</v>
      </c>
      <c r="N162" s="654">
        <f t="shared" si="60"/>
        <v>-2384.755648497</v>
      </c>
      <c r="O162" s="654">
        <f t="shared" si="60"/>
        <v>-1469.108624043</v>
      </c>
      <c r="P162" s="655">
        <f t="shared" si="60"/>
        <v>141.11034426099991</v>
      </c>
      <c r="Q162" s="656">
        <f t="shared" ca="1" si="60"/>
        <v>-366.24269661061498</v>
      </c>
      <c r="R162" s="656">
        <f t="shared" ref="R162:Y162" ca="1" si="61">SUM(R157:R161)</f>
        <v>-1155.1461179513476</v>
      </c>
      <c r="S162" s="656">
        <f t="shared" ca="1" si="61"/>
        <v>-1423.8454268483306</v>
      </c>
      <c r="T162" s="656">
        <f t="shared" ca="1" si="61"/>
        <v>-2218.5593888241801</v>
      </c>
      <c r="U162" s="656">
        <f t="shared" ca="1" si="61"/>
        <v>-1291.5998827258081</v>
      </c>
      <c r="V162" s="656">
        <f t="shared" ca="1" si="61"/>
        <v>-665.71447864159541</v>
      </c>
      <c r="W162" s="656">
        <f t="shared" ca="1" si="61"/>
        <v>-132.99778082853891</v>
      </c>
      <c r="X162" s="656">
        <f t="shared" ca="1" si="61"/>
        <v>-270.6425757617385</v>
      </c>
      <c r="Y162" s="656">
        <f t="shared" ca="1" si="61"/>
        <v>-203.23946245335469</v>
      </c>
      <c r="Z162" s="656">
        <f t="shared" ref="Z162" ca="1" si="62">SUM(Z157:Z161)</f>
        <v>418.36647712843842</v>
      </c>
      <c r="AA162" s="656"/>
      <c r="AB162" s="657"/>
      <c r="AC162" s="657"/>
      <c r="AD162" s="657"/>
      <c r="AE162" s="657"/>
      <c r="AF162" s="657"/>
      <c r="AG162" s="657"/>
      <c r="AH162" s="657"/>
      <c r="AI162" s="657"/>
      <c r="AJ162" s="657"/>
      <c r="AK162" s="657"/>
      <c r="AL162" s="657"/>
      <c r="AM162" s="657"/>
      <c r="AN162" s="657"/>
      <c r="AO162" s="657"/>
      <c r="AP162" s="657"/>
      <c r="AQ162" s="657"/>
      <c r="AR162" s="657"/>
      <c r="AS162" s="657"/>
      <c r="AT162" s="657"/>
      <c r="AU162" s="657"/>
      <c r="AV162" s="657"/>
      <c r="AW162" s="657"/>
      <c r="AX162" s="657"/>
      <c r="AY162" s="657"/>
      <c r="AZ162" s="657"/>
      <c r="BA162" s="657"/>
    </row>
    <row r="163" spans="1:53">
      <c r="A163" s="539"/>
      <c r="B163" s="679" t="s">
        <v>383</v>
      </c>
      <c r="C163" s="664"/>
      <c r="D163" s="41"/>
      <c r="E163" s="386"/>
      <c r="F163" s="386"/>
      <c r="G163" s="386"/>
      <c r="H163" s="386"/>
      <c r="I163" s="386"/>
      <c r="J163" s="387"/>
      <c r="K163" s="387">
        <f>IF(ISTEXT('CF Raw'!F$11),K162-'CF Raw'!F36/'Output-FR (check)'!$A$124,"Chưa có BCTC")</f>
        <v>2.8421709430404007E-14</v>
      </c>
      <c r="L163" s="387">
        <f>IF(ISTEXT('CF Raw'!G$11),L162-'CF Raw'!G36/'Output-FR (check)'!$A$124,"Chưa có BCTC")</f>
        <v>0</v>
      </c>
      <c r="M163" s="387">
        <f>IF(ISTEXT('CF Raw'!H$11),M162-'CF Raw'!H36/'Output-FR (check)'!$A$124,"Chưa có BCTC")</f>
        <v>0</v>
      </c>
      <c r="N163" s="387">
        <f>IF(ISTEXT('CF Raw'!I$11),N162-'CF Raw'!I36/'Output-FR (check)'!$A$124,"Chưa có BCTC")</f>
        <v>0</v>
      </c>
      <c r="O163" s="387">
        <f>IF(ISTEXT('CF Raw'!J$11),O162-'CF Raw'!J36/'Output-FR (check)'!$A$124,"Chưa có BCTC")</f>
        <v>0</v>
      </c>
      <c r="P163" s="680">
        <f>IF(ISTEXT('CF Raw'!K$11),P162-'CF Raw'!K36/'Output-FR (check)'!$A$124,"Chưa có BCTC")</f>
        <v>-8.5265128291212022E-14</v>
      </c>
      <c r="Q163" s="1484" t="str">
        <f>IF(ISTEXT('CF Raw'!L$11),Q162-'CF Raw'!L36/'Output-FR (check)'!$A$124,"Chưa có BCTC")</f>
        <v>Chưa có BCTC</v>
      </c>
      <c r="R163" s="1484" t="str">
        <f>IF(ISTEXT('CF Raw'!M$11),R162-'CF Raw'!M36/'Output-FR (check)'!$A$124,"Chưa có BCTC")</f>
        <v>Chưa có BCTC</v>
      </c>
      <c r="S163" s="1484" t="str">
        <f>IF(ISTEXT('CF Raw'!N$11),S162-'CF Raw'!N36/'Output-FR (check)'!$A$124,"Chưa có BCTC")</f>
        <v>Chưa có BCTC</v>
      </c>
      <c r="T163" s="1484" t="str">
        <f>IF(ISTEXT('CF Raw'!O$11),T162-'CF Raw'!O36/'Output-FR (check)'!$A$124,"Chưa có BCTC")</f>
        <v>Chưa có BCTC</v>
      </c>
      <c r="U163" s="1484" t="str">
        <f>IF(ISTEXT('CF Raw'!P$11),U162-'CF Raw'!P36/'Output-FR (check)'!$A$124,"Chưa có BCTC")</f>
        <v>Chưa có BCTC</v>
      </c>
      <c r="V163" s="1484" t="str">
        <f>IF(ISTEXT('CF Raw'!Q$11),V162-'CF Raw'!Q36/'Output-FR (check)'!$A$124,"Chưa có BCTC")</f>
        <v>Chưa có BCTC</v>
      </c>
      <c r="W163" s="1484" t="str">
        <f>IF(ISTEXT('CF Raw'!R$11),W162-'CF Raw'!R36/'Output-FR (check)'!$A$124,"Chưa có BCTC")</f>
        <v>Chưa có BCTC</v>
      </c>
      <c r="X163" s="1484" t="str">
        <f>IF(ISTEXT('CF Raw'!S$11),X162-'CF Raw'!S36/'Output-FR (check)'!$A$124,"Chưa có BCTC")</f>
        <v>Chưa có BCTC</v>
      </c>
      <c r="Y163" s="1484" t="str">
        <f>IF(ISTEXT('CF Raw'!T$11),Y162-'CF Raw'!T36/'Output-FR (check)'!$A$124,"Chưa có BCTC")</f>
        <v>Chưa có BCTC</v>
      </c>
      <c r="Z163" s="1484" t="str">
        <f>IF(ISTEXT('CF Raw'!U$11),Z162-'CF Raw'!U36/'Output-FR (check)'!$A$124,"Chưa có BCTC")</f>
        <v>Chưa có BCTC</v>
      </c>
      <c r="AA163" s="1485"/>
      <c r="AB163" s="1485"/>
      <c r="AC163" s="1485"/>
      <c r="AD163" s="1485"/>
      <c r="AE163" s="1485"/>
      <c r="AF163" s="1485"/>
      <c r="AG163" s="1485"/>
      <c r="AH163" s="1485"/>
      <c r="AI163" s="1485"/>
      <c r="AJ163" s="1485"/>
      <c r="AK163" s="1485"/>
      <c r="AL163" s="1485"/>
      <c r="AM163" s="1485"/>
      <c r="AN163" s="1485"/>
      <c r="AO163" s="1485"/>
      <c r="AP163" s="1485"/>
      <c r="AQ163" s="1485"/>
      <c r="AR163" s="1485"/>
      <c r="AS163" s="1485"/>
      <c r="AT163" s="1485"/>
      <c r="AU163" s="1485"/>
      <c r="AV163" s="1485"/>
      <c r="AW163" s="1485"/>
      <c r="AX163" s="1485"/>
      <c r="AY163" s="1485"/>
      <c r="AZ163" s="1485"/>
      <c r="BA163" s="1485"/>
    </row>
    <row r="164" spans="1:53">
      <c r="A164" s="539"/>
      <c r="B164" s="664"/>
      <c r="C164" s="664"/>
      <c r="D164" s="41"/>
      <c r="E164" s="89"/>
      <c r="F164" s="89"/>
      <c r="G164" s="89"/>
      <c r="H164" s="89"/>
      <c r="I164" s="89"/>
      <c r="J164" s="89"/>
      <c r="K164" s="89"/>
      <c r="L164" s="89"/>
      <c r="M164" s="89"/>
      <c r="N164" s="89"/>
      <c r="O164" s="89"/>
      <c r="P164" s="188"/>
      <c r="Q164" s="89"/>
      <c r="R164" s="89"/>
      <c r="S164" s="89"/>
      <c r="T164" s="89"/>
      <c r="U164" s="89"/>
      <c r="V164" s="89"/>
      <c r="W164" s="89"/>
      <c r="X164" s="89"/>
      <c r="Y164" s="89"/>
      <c r="Z164" s="89"/>
      <c r="AA164" s="143"/>
      <c r="AB164" s="143"/>
      <c r="AC164" s="143"/>
      <c r="AD164" s="143"/>
      <c r="AE164" s="143"/>
      <c r="AF164" s="143"/>
      <c r="AG164" s="143"/>
      <c r="AH164" s="143"/>
      <c r="AI164" s="143"/>
      <c r="AJ164" s="143"/>
      <c r="AK164" s="143"/>
      <c r="AL164" s="143"/>
      <c r="AM164" s="143"/>
      <c r="AN164" s="143"/>
      <c r="AO164" s="143"/>
      <c r="AP164" s="143"/>
      <c r="AQ164" s="143"/>
      <c r="AR164" s="143"/>
      <c r="AS164" s="143"/>
      <c r="AT164" s="143"/>
      <c r="AU164" s="143"/>
      <c r="AV164" s="143"/>
      <c r="AW164" s="143"/>
      <c r="AX164" s="143"/>
      <c r="AY164" s="143"/>
      <c r="AZ164" s="143"/>
      <c r="BA164" s="143"/>
    </row>
    <row r="165" spans="1:53">
      <c r="A165" s="539"/>
      <c r="B165" s="664" t="s">
        <v>1133</v>
      </c>
      <c r="C165" s="664"/>
      <c r="D165" s="41"/>
      <c r="E165" s="89"/>
      <c r="F165" s="89"/>
      <c r="G165" s="89"/>
      <c r="H165" s="89"/>
      <c r="I165" s="89"/>
      <c r="J165" s="90"/>
      <c r="K165" s="90">
        <f>IF(ISTEXT('CF Raw'!F$11),('CF Raw'!F47+'CF Raw'!F48)/'Output-FR (check)'!$A$124,'Output-FR (check)'!K82-'Output-FR (check)'!J82+K92-J92)</f>
        <v>-916.70386144000008</v>
      </c>
      <c r="L165" s="90">
        <f>IF(ISTEXT('CF Raw'!G$11),('CF Raw'!G47+'CF Raw'!G48)/'Output-FR (check)'!$A$124,'Output-FR (check)'!L82-'Output-FR (check)'!K82+L92-K92)</f>
        <v>-960.55125682999983</v>
      </c>
      <c r="M165" s="90">
        <f>IF(ISTEXT('CF Raw'!H$11),('CF Raw'!H47+'CF Raw'!H48)/'Output-FR (check)'!$A$124,'Output-FR (check)'!M82-'Output-FR (check)'!L82+M92-L92)</f>
        <v>-123.6687409719998</v>
      </c>
      <c r="N165" s="90">
        <f>IF(ISTEXT('CF Raw'!I$11),('CF Raw'!I47+'CF Raw'!I48)/'Output-FR (check)'!$A$124,'Output-FR (check)'!N82-'Output-FR (check)'!M82+N92-M92)</f>
        <v>-682.80508751799994</v>
      </c>
      <c r="O165" s="90">
        <f>IF(ISTEXT('CF Raw'!J$11),('CF Raw'!J47+'CF Raw'!J48)/'Output-FR (check)'!$A$124,'Output-FR (check)'!O82-'Output-FR (check)'!N82+O92-N92)</f>
        <v>835.86052247400005</v>
      </c>
      <c r="P165" s="568">
        <f>IF(ISTEXT('CF Raw'!K$11),('CF Raw'!K47+'CF Raw'!K48)/'Output-FR (check)'!$A$124,'Output-FR (check)'!P82-'Output-FR (check)'!O82+P92-O92)</f>
        <v>437.05549722299997</v>
      </c>
      <c r="Q165" s="142">
        <f ca="1">IF(ISTEXT('CF Raw'!L$11),('CF Raw'!L47+'CF Raw'!L48)/'Output-FR (check)'!$A$124,'Output-FR (check)'!Q82-'Output-FR (check)'!P82+Q92-P92)</f>
        <v>630.06922863919328</v>
      </c>
      <c r="R165" s="142">
        <f ca="1">IF(ISTEXT('CF Raw'!M$11),('CF Raw'!M47+'CF Raw'!M48)/'Output-FR (check)'!$A$124,'Output-FR (check)'!R82-'Output-FR (check)'!Q82+R92-Q92)</f>
        <v>203.63133696922068</v>
      </c>
      <c r="S165" s="142">
        <f ca="1">IF(ISTEXT('CF Raw'!N$11),('CF Raw'!N47+'CF Raw'!N48)/'Output-FR (check)'!$A$124,'Output-FR (check)'!S82-'Output-FR (check)'!R82+S92-R92)</f>
        <v>-48.192580162103695</v>
      </c>
      <c r="T165" s="142">
        <f ca="1">IF(ISTEXT('CF Raw'!O$11),('CF Raw'!O47+'CF Raw'!O48)/'Output-FR (check)'!$A$124,'Output-FR (check)'!T82-'Output-FR (check)'!S82+T92-S92)</f>
        <v>816.91299275350252</v>
      </c>
      <c r="U165" s="142">
        <f ca="1">IF(ISTEXT('CF Raw'!P$11),('CF Raw'!P47+'CF Raw'!P48)/'Output-FR (check)'!$A$124,'Output-FR (check)'!U82-'Output-FR (check)'!T82+U92-T92)</f>
        <v>-85.484825933154752</v>
      </c>
      <c r="V165" s="142">
        <f ca="1">IF(ISTEXT('CF Raw'!Q$11),('CF Raw'!Q47+'CF Raw'!Q48)/'Output-FR (check)'!$A$124,'Output-FR (check)'!V82-'Output-FR (check)'!U82+V92-U92)</f>
        <v>-244.86624235862837</v>
      </c>
      <c r="W165" s="142">
        <f ca="1">IF(ISTEXT('CF Raw'!R$11),('CF Raw'!R47+'CF Raw'!R48)/'Output-FR (check)'!$A$124,'Output-FR (check)'!W82-'Output-FR (check)'!V82+W92-V92)</f>
        <v>-69.347705318378758</v>
      </c>
      <c r="X165" s="142">
        <f ca="1">IF(ISTEXT('CF Raw'!S$11),('CF Raw'!S47+'CF Raw'!S48)/'Output-FR (check)'!$A$124,'Output-FR (check)'!X82-'Output-FR (check)'!W82+X92-W92)</f>
        <v>55.802603568722134</v>
      </c>
      <c r="Y165" s="142">
        <f ca="1">IF(ISTEXT('CF Raw'!T$11),('CF Raw'!T47+'CF Raw'!T48)/'Output-FR (check)'!$A$124,'Output-FR (check)'!Y82-'Output-FR (check)'!X82+Y92-X92)</f>
        <v>98.294286073507919</v>
      </c>
      <c r="Z165" s="142">
        <f ca="1">IF(ISTEXT('CF Raw'!U$11),('CF Raw'!U47+'CF Raw'!U48)/'Output-FR (check)'!$A$124,'Output-FR (check)'!Z82-'Output-FR (check)'!Y82+Z92-Y92)</f>
        <v>132.17931563921354</v>
      </c>
      <c r="AA165" s="142"/>
      <c r="AB165" s="143"/>
      <c r="AC165" s="143"/>
      <c r="AD165" s="143"/>
      <c r="AE165" s="143"/>
      <c r="AF165" s="143"/>
      <c r="AG165" s="143"/>
      <c r="AH165" s="143"/>
      <c r="AI165" s="143"/>
      <c r="AJ165" s="143"/>
      <c r="AK165" s="143"/>
      <c r="AL165" s="143"/>
      <c r="AM165" s="143"/>
      <c r="AN165" s="143"/>
      <c r="AO165" s="143"/>
      <c r="AP165" s="143"/>
      <c r="AQ165" s="143"/>
      <c r="AR165" s="143"/>
      <c r="AS165" s="143"/>
      <c r="AT165" s="143"/>
      <c r="AU165" s="143"/>
      <c r="AV165" s="143"/>
      <c r="AW165" s="143"/>
      <c r="AX165" s="143"/>
      <c r="AY165" s="143"/>
      <c r="AZ165" s="143"/>
      <c r="BA165" s="143"/>
    </row>
    <row r="166" spans="1:53">
      <c r="A166" s="539"/>
      <c r="B166" s="664" t="s">
        <v>696</v>
      </c>
      <c r="C166" s="664" t="s">
        <v>697</v>
      </c>
      <c r="D166" s="41"/>
      <c r="E166" s="89"/>
      <c r="F166" s="89"/>
      <c r="G166" s="89"/>
      <c r="H166" s="89"/>
      <c r="I166" s="89"/>
      <c r="J166" s="90"/>
      <c r="K166" s="90"/>
      <c r="L166" s="90"/>
      <c r="M166" s="90"/>
      <c r="N166" s="90"/>
      <c r="O166" s="90"/>
      <c r="P166" s="568"/>
      <c r="Q166" s="142">
        <f ca="1">'Output-FR (check)'!Q82-'Output-FR (check)'!P82</f>
        <v>398.49558594556515</v>
      </c>
      <c r="R166" s="142">
        <f ca="1">'Output-FR (check)'!R82-'Output-FR (check)'!Q82</f>
        <v>57.724395594605767</v>
      </c>
      <c r="S166" s="142">
        <f ca="1">'Output-FR (check)'!S82-'Output-FR (check)'!R82</f>
        <v>-134.89971096615523</v>
      </c>
      <c r="T166" s="142">
        <f ca="1">'Output-FR (check)'!T82-'Output-FR (check)'!S82</f>
        <v>586.31089380324329</v>
      </c>
      <c r="U166" s="142">
        <f ca="1">'Output-FR (check)'!U82-'Output-FR (check)'!T82</f>
        <v>17.308467150686738</v>
      </c>
      <c r="V166" s="142">
        <f ca="1">'Output-FR (check)'!V82-'Output-FR (check)'!U82</f>
        <v>-109.00223054083585</v>
      </c>
      <c r="W166" s="142">
        <f ca="1">'Output-FR (check)'!W82-'Output-FR (check)'!V82</f>
        <v>60.978228296258521</v>
      </c>
      <c r="X166" s="142">
        <f ca="1">'Output-FR (check)'!X82-'Output-FR (check)'!W82</f>
        <v>142.47875379971902</v>
      </c>
      <c r="Y166" s="142">
        <f ca="1">'Output-FR (check)'!Y82-'Output-FR (check)'!X82</f>
        <v>119.09067642800301</v>
      </c>
      <c r="Z166" s="142">
        <f ca="1">'Output-FR (check)'!Z82-'Output-FR (check)'!Y82</f>
        <v>125.26455396504434</v>
      </c>
      <c r="AA166" s="142"/>
      <c r="AB166" s="143"/>
      <c r="AC166" s="143"/>
      <c r="AD166" s="143"/>
      <c r="AE166" s="143"/>
      <c r="AF166" s="143"/>
      <c r="AG166" s="143"/>
      <c r="AH166" s="143"/>
      <c r="AI166" s="143"/>
      <c r="AJ166" s="143"/>
      <c r="AK166" s="143"/>
      <c r="AL166" s="143"/>
      <c r="AM166" s="143"/>
      <c r="AN166" s="143"/>
      <c r="AO166" s="143"/>
      <c r="AP166" s="143"/>
      <c r="AQ166" s="143"/>
      <c r="AR166" s="143"/>
      <c r="AS166" s="143"/>
      <c r="AT166" s="143"/>
      <c r="AU166" s="143"/>
      <c r="AV166" s="143"/>
      <c r="AW166" s="143"/>
      <c r="AX166" s="143"/>
      <c r="AY166" s="143"/>
      <c r="AZ166" s="143"/>
      <c r="BA166" s="143"/>
    </row>
    <row r="167" spans="1:53">
      <c r="A167" s="539"/>
      <c r="B167" s="664" t="s">
        <v>698</v>
      </c>
      <c r="C167" s="664" t="s">
        <v>699</v>
      </c>
      <c r="D167" s="41"/>
      <c r="E167" s="89"/>
      <c r="F167" s="89"/>
      <c r="G167" s="89"/>
      <c r="H167" s="89"/>
      <c r="I167" s="89"/>
      <c r="J167" s="89"/>
      <c r="K167" s="89"/>
      <c r="L167" s="89"/>
      <c r="M167" s="89"/>
      <c r="N167" s="90"/>
      <c r="O167" s="90"/>
      <c r="P167" s="568"/>
      <c r="Q167" s="142">
        <f>+'Output-FR (check)'!Q92-'Output-FR (check)'!P92</f>
        <v>231.57364269362807</v>
      </c>
      <c r="R167" s="142">
        <f>+'Output-FR (check)'!R92-'Output-FR (check)'!Q92</f>
        <v>145.90694137461492</v>
      </c>
      <c r="S167" s="142">
        <f>+'Output-FR (check)'!S92-'Output-FR (check)'!R92</f>
        <v>86.707130804051531</v>
      </c>
      <c r="T167" s="142">
        <f>+'Output-FR (check)'!T92-'Output-FR (check)'!S92</f>
        <v>230.60209895025935</v>
      </c>
      <c r="U167" s="142">
        <f>+'Output-FR (check)'!U92-'Output-FR (check)'!T92</f>
        <v>-102.79329308384149</v>
      </c>
      <c r="V167" s="142">
        <f>+'Output-FR (check)'!V92-'Output-FR (check)'!U92</f>
        <v>-135.86401181779252</v>
      </c>
      <c r="W167" s="142">
        <f>+'Output-FR (check)'!W92-'Output-FR (check)'!V92</f>
        <v>-130.32593361463728</v>
      </c>
      <c r="X167" s="142">
        <f>+'Output-FR (check)'!X92-'Output-FR (check)'!W92</f>
        <v>-86.676150230996882</v>
      </c>
      <c r="Y167" s="142">
        <f>+'Output-FR (check)'!Y92-'Output-FR (check)'!X92</f>
        <v>-20.796390354495088</v>
      </c>
      <c r="Z167" s="142">
        <f>+'Output-FR (check)'!Z92-'Output-FR (check)'!Y92</f>
        <v>6.9147616741691991</v>
      </c>
      <c r="AA167" s="142"/>
      <c r="AB167" s="143"/>
      <c r="AC167" s="143"/>
      <c r="AD167" s="143"/>
      <c r="AE167" s="143"/>
      <c r="AF167" s="143"/>
      <c r="AG167" s="143"/>
      <c r="AH167" s="143"/>
      <c r="AI167" s="143"/>
      <c r="AJ167" s="143"/>
      <c r="AK167" s="143"/>
      <c r="AL167" s="143"/>
      <c r="AM167" s="143"/>
      <c r="AN167" s="143"/>
      <c r="AO167" s="143"/>
      <c r="AP167" s="143"/>
      <c r="AQ167" s="143"/>
      <c r="AR167" s="143"/>
      <c r="AS167" s="143"/>
      <c r="AT167" s="143"/>
      <c r="AU167" s="143"/>
      <c r="AV167" s="143"/>
      <c r="AW167" s="143"/>
      <c r="AX167" s="143"/>
      <c r="AY167" s="143"/>
      <c r="AZ167" s="143"/>
      <c r="BA167" s="143"/>
    </row>
    <row r="168" spans="1:53">
      <c r="A168" s="574"/>
      <c r="B168" s="682" t="s">
        <v>700</v>
      </c>
      <c r="C168" s="682" t="s">
        <v>701</v>
      </c>
      <c r="D168" s="576"/>
      <c r="E168" s="593"/>
      <c r="F168" s="593"/>
      <c r="G168" s="593"/>
      <c r="H168" s="593"/>
      <c r="I168" s="593"/>
      <c r="J168" s="593"/>
      <c r="K168" s="593"/>
      <c r="L168" s="593"/>
      <c r="M168" s="593"/>
      <c r="N168" s="593"/>
      <c r="O168" s="593"/>
      <c r="P168" s="649"/>
      <c r="Q168" s="597"/>
      <c r="R168" s="597"/>
      <c r="S168" s="597"/>
      <c r="T168" s="597"/>
      <c r="U168" s="597"/>
      <c r="V168" s="597"/>
      <c r="W168" s="597"/>
      <c r="X168" s="597"/>
      <c r="Y168" s="597"/>
      <c r="Z168" s="597"/>
      <c r="AA168" s="597"/>
      <c r="AB168" s="597"/>
      <c r="AC168" s="597"/>
      <c r="AD168" s="597"/>
      <c r="AE168" s="597"/>
      <c r="AF168" s="597"/>
      <c r="AG168" s="597"/>
      <c r="AH168" s="597"/>
      <c r="AI168" s="597"/>
      <c r="AJ168" s="597"/>
      <c r="AK168" s="597"/>
      <c r="AL168" s="597"/>
      <c r="AM168" s="597"/>
      <c r="AN168" s="597"/>
      <c r="AO168" s="597"/>
      <c r="AP168" s="597"/>
      <c r="AQ168" s="597"/>
      <c r="AR168" s="597"/>
      <c r="AS168" s="597"/>
      <c r="AT168" s="597"/>
      <c r="AU168" s="597"/>
      <c r="AV168" s="597"/>
      <c r="AW168" s="597"/>
      <c r="AX168" s="597"/>
      <c r="AY168" s="597"/>
      <c r="AZ168" s="597"/>
      <c r="BA168" s="597"/>
    </row>
    <row r="169" spans="1:53">
      <c r="A169" s="574"/>
      <c r="B169" s="682" t="s">
        <v>702</v>
      </c>
      <c r="C169" s="682" t="s">
        <v>703</v>
      </c>
      <c r="D169" s="576"/>
      <c r="E169" s="593"/>
      <c r="F169" s="593"/>
      <c r="G169" s="593"/>
      <c r="H169" s="593"/>
      <c r="I169" s="593"/>
      <c r="J169" s="593"/>
      <c r="K169" s="593"/>
      <c r="L169" s="593"/>
      <c r="M169" s="593"/>
      <c r="N169" s="593"/>
      <c r="O169" s="593"/>
      <c r="P169" s="649"/>
      <c r="Q169" s="597"/>
      <c r="R169" s="597"/>
      <c r="S169" s="597"/>
      <c r="T169" s="597"/>
      <c r="U169" s="597"/>
      <c r="V169" s="597"/>
      <c r="W169" s="597"/>
      <c r="X169" s="597"/>
      <c r="Y169" s="597"/>
      <c r="Z169" s="597"/>
      <c r="AA169" s="597"/>
      <c r="AB169" s="597"/>
      <c r="AC169" s="597"/>
      <c r="AD169" s="597"/>
      <c r="AE169" s="597"/>
      <c r="AF169" s="597"/>
      <c r="AG169" s="597"/>
      <c r="AH169" s="597"/>
      <c r="AI169" s="597"/>
      <c r="AJ169" s="597"/>
      <c r="AK169" s="597"/>
      <c r="AL169" s="597"/>
      <c r="AM169" s="597"/>
      <c r="AN169" s="597"/>
      <c r="AO169" s="597"/>
      <c r="AP169" s="597"/>
      <c r="AQ169" s="597"/>
      <c r="AR169" s="597"/>
      <c r="AS169" s="597"/>
      <c r="AT169" s="597"/>
      <c r="AU169" s="597"/>
      <c r="AV169" s="597"/>
      <c r="AW169" s="597"/>
      <c r="AX169" s="597"/>
      <c r="AY169" s="597"/>
      <c r="AZ169" s="597"/>
      <c r="BA169" s="597"/>
    </row>
    <row r="170" spans="1:53">
      <c r="A170" s="574"/>
      <c r="B170" s="682" t="s">
        <v>704</v>
      </c>
      <c r="C170" s="682" t="s">
        <v>705</v>
      </c>
      <c r="D170" s="576"/>
      <c r="E170" s="593"/>
      <c r="F170" s="593"/>
      <c r="G170" s="593"/>
      <c r="H170" s="593"/>
      <c r="I170" s="593"/>
      <c r="J170" s="593"/>
      <c r="K170" s="593"/>
      <c r="L170" s="593"/>
      <c r="M170" s="593"/>
      <c r="N170" s="593"/>
      <c r="O170" s="593"/>
      <c r="P170" s="649"/>
      <c r="Q170" s="597"/>
      <c r="R170" s="597"/>
      <c r="S170" s="597"/>
      <c r="T170" s="597"/>
      <c r="U170" s="597"/>
      <c r="V170" s="597"/>
      <c r="W170" s="597"/>
      <c r="X170" s="597"/>
      <c r="Y170" s="597"/>
      <c r="Z170" s="597"/>
      <c r="AA170" s="597"/>
      <c r="AB170" s="597"/>
      <c r="AC170" s="597"/>
      <c r="AD170" s="597"/>
      <c r="AE170" s="597"/>
      <c r="AF170" s="597"/>
      <c r="AG170" s="597"/>
      <c r="AH170" s="597"/>
      <c r="AI170" s="597"/>
      <c r="AJ170" s="597"/>
      <c r="AK170" s="597"/>
      <c r="AL170" s="597"/>
      <c r="AM170" s="597"/>
      <c r="AN170" s="597"/>
      <c r="AO170" s="597"/>
      <c r="AP170" s="597"/>
      <c r="AQ170" s="597"/>
      <c r="AR170" s="597"/>
      <c r="AS170" s="597"/>
      <c r="AT170" s="597"/>
      <c r="AU170" s="597"/>
      <c r="AV170" s="597"/>
      <c r="AW170" s="597"/>
      <c r="AX170" s="597"/>
      <c r="AY170" s="597"/>
      <c r="AZ170" s="597"/>
      <c r="BA170" s="597"/>
    </row>
    <row r="171" spans="1:53">
      <c r="A171" s="476"/>
      <c r="B171" s="664" t="s">
        <v>706</v>
      </c>
      <c r="C171" s="664" t="s">
        <v>707</v>
      </c>
      <c r="D171" s="41"/>
      <c r="E171" s="89"/>
      <c r="F171" s="89"/>
      <c r="G171" s="89"/>
      <c r="H171" s="89"/>
      <c r="I171" s="89"/>
      <c r="J171" s="90"/>
      <c r="K171" s="90">
        <f>'Output-FR (check)'!K96-'Output-FR (check)'!J96</f>
        <v>0</v>
      </c>
      <c r="L171" s="90">
        <f>'Output-FR (check)'!L96-'Output-FR (check)'!K96</f>
        <v>0</v>
      </c>
      <c r="M171" s="90">
        <f>'Output-FR (check)'!M96-'Output-FR (check)'!L96</f>
        <v>0</v>
      </c>
      <c r="N171" s="90">
        <f>'Output-FR (check)'!N96-'Output-FR (check)'!M96</f>
        <v>0</v>
      </c>
      <c r="O171" s="90">
        <f>'Output-FR (check)'!O96-'Output-FR (check)'!N96</f>
        <v>0</v>
      </c>
      <c r="P171" s="568">
        <f>'Output-FR (check)'!P96-'Output-FR (check)'!O96</f>
        <v>0</v>
      </c>
      <c r="Q171" s="142">
        <f>'Output-FR (check)'!Q96-'Output-FR (check)'!P96</f>
        <v>0</v>
      </c>
      <c r="R171" s="142">
        <f>'Output-FR (check)'!R96-'Output-FR (check)'!Q96</f>
        <v>0</v>
      </c>
      <c r="S171" s="142">
        <f>'Output-FR (check)'!S96-'Output-FR (check)'!R96</f>
        <v>0</v>
      </c>
      <c r="T171" s="142">
        <f>'Output-FR (check)'!T96-'Output-FR (check)'!S96</f>
        <v>0</v>
      </c>
      <c r="U171" s="142">
        <f>'Output-FR (check)'!U96-'Output-FR (check)'!T96</f>
        <v>0</v>
      </c>
      <c r="V171" s="142">
        <f>'Output-FR (check)'!V96-'Output-FR (check)'!U96</f>
        <v>0</v>
      </c>
      <c r="W171" s="142">
        <f>'Output-FR (check)'!W96-'Output-FR (check)'!V96</f>
        <v>0</v>
      </c>
      <c r="X171" s="142">
        <f>'Output-FR (check)'!X96-'Output-FR (check)'!W96</f>
        <v>0</v>
      </c>
      <c r="Y171" s="142">
        <f>'Output-FR (check)'!Y96-'Output-FR (check)'!X96</f>
        <v>0</v>
      </c>
      <c r="Z171" s="142">
        <f>'Output-FR (check)'!Z96-'Output-FR (check)'!Y96</f>
        <v>0</v>
      </c>
      <c r="AA171" s="142"/>
      <c r="AB171" s="143"/>
      <c r="AC171" s="143"/>
      <c r="AD171" s="143"/>
      <c r="AE171" s="143"/>
      <c r="AF171" s="143"/>
      <c r="AG171" s="143"/>
      <c r="AH171" s="143"/>
      <c r="AI171" s="143"/>
      <c r="AJ171" s="143"/>
      <c r="AK171" s="143"/>
      <c r="AL171" s="143"/>
      <c r="AM171" s="143"/>
      <c r="AN171" s="143"/>
      <c r="AO171" s="143"/>
      <c r="AP171" s="143"/>
      <c r="AQ171" s="143"/>
      <c r="AR171" s="143"/>
      <c r="AS171" s="143"/>
      <c r="AT171" s="143"/>
      <c r="AU171" s="143"/>
      <c r="AV171" s="143"/>
      <c r="AW171" s="143"/>
      <c r="AX171" s="143"/>
      <c r="AY171" s="143"/>
      <c r="AZ171" s="143"/>
      <c r="BA171" s="143"/>
    </row>
    <row r="172" spans="1:53">
      <c r="A172" s="539"/>
      <c r="B172" s="5" t="s">
        <v>602</v>
      </c>
      <c r="C172" s="5" t="s">
        <v>708</v>
      </c>
      <c r="D172" s="41"/>
      <c r="E172" s="89"/>
      <c r="F172" s="89"/>
      <c r="G172" s="89"/>
      <c r="H172" s="89"/>
      <c r="I172" s="89"/>
      <c r="J172" s="90"/>
      <c r="K172" s="90">
        <f>IF(ISTEXT('CF Raw'!F$11),'CF Raw'!F50/'Output-FR (check)'!$A$124,K173+K174)</f>
        <v>-478.08180879999998</v>
      </c>
      <c r="L172" s="90">
        <f>IF(ISTEXT('CF Raw'!G$11),'CF Raw'!G50/'Output-FR (check)'!$A$124,L173+L174)</f>
        <v>-319.48562320000002</v>
      </c>
      <c r="M172" s="90">
        <f>IF(ISTEXT('CF Raw'!H$11),'CF Raw'!H50/'Output-FR (check)'!$A$124,M173+M174)</f>
        <v>-425.32459269999998</v>
      </c>
      <c r="N172" s="90">
        <f>IF(ISTEXT('CF Raw'!I$11),'CF Raw'!I50/'Output-FR (check)'!$A$124,N173+N174)</f>
        <v>-948.28119816000003</v>
      </c>
      <c r="O172" s="90">
        <f>IF(ISTEXT('CF Raw'!J$11),'CF Raw'!J50/'Output-FR (check)'!$A$124,O173+O174)</f>
        <v>-1589.8829951499999</v>
      </c>
      <c r="P172" s="568">
        <f>IF(ISTEXT('CF Raw'!K$11),'CF Raw'!K50/'Output-FR (check)'!$A$124,P173+P174)</f>
        <v>-1058.905716</v>
      </c>
      <c r="Q172" s="142">
        <f>IF(ISTEXT('CF Raw'!L$11),'CF Raw'!L50/'Output-FR (check)'!$A$124,Q173+Q174)</f>
        <v>-1058.8</v>
      </c>
      <c r="R172" s="142">
        <f>IF(ISTEXT('CF Raw'!M$11),'CF Raw'!M50/'Output-FR (check)'!$A$124,R173+R174)</f>
        <v>-1323.5</v>
      </c>
      <c r="S172" s="142">
        <f>IF(ISTEXT('CF Raw'!N$11),'CF Raw'!N50/'Output-FR (check)'!$A$124,S173+S174)</f>
        <v>-1588.1999999999998</v>
      </c>
      <c r="T172" s="142">
        <f>IF(ISTEXT('CF Raw'!O$11),'CF Raw'!O50/'Output-FR (check)'!$A$124,T173+T174)</f>
        <v>-1588.1999999999998</v>
      </c>
      <c r="U172" s="142">
        <f>IF(ISTEXT('CF Raw'!P$11),'CF Raw'!P50/'Output-FR (check)'!$A$124,U173+U174)</f>
        <v>-1852.8999999999999</v>
      </c>
      <c r="V172" s="142">
        <f>IF(ISTEXT('CF Raw'!Q$11),'CF Raw'!Q50/'Output-FR (check)'!$A$124,V173+V174)</f>
        <v>-1852.8999999999999</v>
      </c>
      <c r="W172" s="142">
        <f>IF(ISTEXT('CF Raw'!R$11),'CF Raw'!R50/'Output-FR (check)'!$A$124,W173+W174)</f>
        <v>-1588.1999999999998</v>
      </c>
      <c r="X172" s="142">
        <f>IF(ISTEXT('CF Raw'!S$11),'CF Raw'!S50/'Output-FR (check)'!$A$124,X173+X174)</f>
        <v>-2117.6</v>
      </c>
      <c r="Y172" s="142">
        <f>IF(ISTEXT('CF Raw'!T$11),'CF Raw'!T50/'Output-FR (check)'!$A$124,Y173+Y174)</f>
        <v>-2647</v>
      </c>
      <c r="Z172" s="142">
        <f>IF(ISTEXT('CF Raw'!U$11),'CF Raw'!U50/'Output-FR (check)'!$A$124,Z173+Z174)</f>
        <v>-3176.3999999999996</v>
      </c>
      <c r="AA172" s="142"/>
      <c r="AB172" s="143"/>
      <c r="AC172" s="143"/>
      <c r="AD172" s="143"/>
      <c r="AE172" s="143"/>
      <c r="AF172" s="143"/>
      <c r="AG172" s="143"/>
      <c r="AH172" s="143"/>
      <c r="AI172" s="143"/>
      <c r="AJ172" s="143"/>
      <c r="AK172" s="143"/>
      <c r="AL172" s="143"/>
      <c r="AM172" s="143"/>
      <c r="AN172" s="143"/>
      <c r="AO172" s="143"/>
      <c r="AP172" s="143"/>
      <c r="AQ172" s="143"/>
      <c r="AR172" s="143"/>
      <c r="AS172" s="143"/>
      <c r="AT172" s="143"/>
      <c r="AU172" s="143"/>
      <c r="AV172" s="143"/>
      <c r="AW172" s="143"/>
      <c r="AX172" s="143"/>
      <c r="AY172" s="143"/>
      <c r="AZ172" s="143"/>
      <c r="BA172" s="143"/>
    </row>
    <row r="173" spans="1:53">
      <c r="A173" s="574"/>
      <c r="B173" s="682" t="s">
        <v>600</v>
      </c>
      <c r="C173" s="682" t="s">
        <v>404</v>
      </c>
      <c r="D173" s="576"/>
      <c r="E173" s="593"/>
      <c r="F173" s="593"/>
      <c r="G173" s="593"/>
      <c r="H173" s="593"/>
      <c r="I173" s="593"/>
      <c r="J173" s="594"/>
      <c r="K173" s="594">
        <f>-'Output-FR (check)'!K39</f>
        <v>0</v>
      </c>
      <c r="L173" s="594">
        <f>-'Output-FR (check)'!L39</f>
        <v>0</v>
      </c>
      <c r="M173" s="594">
        <f>-'Output-FR (check)'!M39</f>
        <v>0</v>
      </c>
      <c r="N173" s="594">
        <f>-'Output-FR (check)'!N39</f>
        <v>0</v>
      </c>
      <c r="O173" s="594">
        <f>-'Output-FR (check)'!O39</f>
        <v>0</v>
      </c>
      <c r="P173" s="595">
        <f>-'Output-FR (check)'!P39</f>
        <v>0</v>
      </c>
      <c r="Q173" s="596">
        <f>-'Output-FR (check)'!Q39</f>
        <v>0</v>
      </c>
      <c r="R173" s="596">
        <f>-'Output-FR (check)'!R39</f>
        <v>0</v>
      </c>
      <c r="S173" s="596">
        <f>-'Output-FR (check)'!S39</f>
        <v>0</v>
      </c>
      <c r="T173" s="596">
        <f>-'Output-FR (check)'!T39</f>
        <v>0</v>
      </c>
      <c r="U173" s="596">
        <f>-'Output-FR (check)'!U39</f>
        <v>0</v>
      </c>
      <c r="V173" s="596">
        <f>-'Output-FR (check)'!V39</f>
        <v>0</v>
      </c>
      <c r="W173" s="596">
        <f>-'Output-FR (check)'!W39</f>
        <v>0</v>
      </c>
      <c r="X173" s="596">
        <f>-'Output-FR (check)'!X39</f>
        <v>0</v>
      </c>
      <c r="Y173" s="596">
        <f>-'Output-FR (check)'!Y39</f>
        <v>0</v>
      </c>
      <c r="Z173" s="596">
        <f>-'Output-FR (check)'!Z39</f>
        <v>0</v>
      </c>
      <c r="AA173" s="596"/>
      <c r="AB173" s="597"/>
      <c r="AC173" s="597"/>
      <c r="AD173" s="597"/>
      <c r="AE173" s="597"/>
      <c r="AF173" s="597"/>
      <c r="AG173" s="597"/>
      <c r="AH173" s="597"/>
      <c r="AI173" s="597"/>
      <c r="AJ173" s="597"/>
      <c r="AK173" s="597"/>
      <c r="AL173" s="597"/>
      <c r="AM173" s="597"/>
      <c r="AN173" s="597"/>
      <c r="AO173" s="597"/>
      <c r="AP173" s="597"/>
      <c r="AQ173" s="597"/>
      <c r="AR173" s="597"/>
      <c r="AS173" s="597"/>
      <c r="AT173" s="597"/>
      <c r="AU173" s="597"/>
      <c r="AV173" s="597"/>
      <c r="AW173" s="597"/>
      <c r="AX173" s="597"/>
      <c r="AY173" s="597"/>
      <c r="AZ173" s="597"/>
      <c r="BA173" s="597"/>
    </row>
    <row r="174" spans="1:53">
      <c r="A174" s="574"/>
      <c r="B174" s="682" t="s">
        <v>709</v>
      </c>
      <c r="C174" s="682" t="s">
        <v>410</v>
      </c>
      <c r="D174" s="576"/>
      <c r="E174" s="593"/>
      <c r="F174" s="593"/>
      <c r="G174" s="593"/>
      <c r="H174" s="593"/>
      <c r="I174" s="593"/>
      <c r="J174" s="594"/>
      <c r="K174" s="594">
        <f>-'Output-FR (check)'!K42</f>
        <v>-317.64</v>
      </c>
      <c r="L174" s="594">
        <f>-'Output-FR (check)'!L42</f>
        <v>-423.52</v>
      </c>
      <c r="M174" s="594">
        <f>-'Output-FR (check)'!M42</f>
        <v>-952.92</v>
      </c>
      <c r="N174" s="594">
        <f>-'Output-FR (check)'!N42</f>
        <v>-1588.2</v>
      </c>
      <c r="O174" s="594">
        <f>-'Output-FR (check)'!O42</f>
        <v>-1058.8</v>
      </c>
      <c r="P174" s="595">
        <f>-'Output-FR (check)'!P42</f>
        <v>-1058.8</v>
      </c>
      <c r="Q174" s="596">
        <f>-'Output-FR (check)'!Q42</f>
        <v>-1058.8</v>
      </c>
      <c r="R174" s="596">
        <f>-'Output-FR (check)'!R42</f>
        <v>-1323.5</v>
      </c>
      <c r="S174" s="596">
        <f>-'Output-FR (check)'!S42</f>
        <v>-1588.1999999999998</v>
      </c>
      <c r="T174" s="596">
        <f>-'Output-FR (check)'!T42</f>
        <v>-1588.1999999999998</v>
      </c>
      <c r="U174" s="596">
        <f>-'Output-FR (check)'!U42</f>
        <v>-1852.8999999999999</v>
      </c>
      <c r="V174" s="596">
        <f>-'Output-FR (check)'!V42</f>
        <v>-1852.8999999999999</v>
      </c>
      <c r="W174" s="596">
        <f>-'Output-FR (check)'!W42</f>
        <v>-1588.1999999999998</v>
      </c>
      <c r="X174" s="596">
        <f>-'Output-FR (check)'!X42</f>
        <v>-2117.6</v>
      </c>
      <c r="Y174" s="596">
        <f>-'Output-FR (check)'!Y42</f>
        <v>-2647</v>
      </c>
      <c r="Z174" s="596">
        <f>-'Output-FR (check)'!Z42</f>
        <v>-3176.3999999999996</v>
      </c>
      <c r="AA174" s="596"/>
      <c r="AB174" s="597"/>
      <c r="AC174" s="597"/>
      <c r="AD174" s="597"/>
      <c r="AE174" s="597"/>
      <c r="AF174" s="597"/>
      <c r="AG174" s="597"/>
      <c r="AH174" s="597"/>
      <c r="AI174" s="597"/>
      <c r="AJ174" s="597"/>
      <c r="AK174" s="597"/>
      <c r="AL174" s="597"/>
      <c r="AM174" s="597"/>
      <c r="AN174" s="597"/>
      <c r="AO174" s="597"/>
      <c r="AP174" s="597"/>
      <c r="AQ174" s="597"/>
      <c r="AR174" s="597"/>
      <c r="AS174" s="597"/>
      <c r="AT174" s="597"/>
      <c r="AU174" s="597"/>
      <c r="AV174" s="597"/>
      <c r="AW174" s="597"/>
      <c r="AX174" s="597"/>
      <c r="AY174" s="597"/>
      <c r="AZ174" s="597"/>
      <c r="BA174" s="597"/>
    </row>
    <row r="175" spans="1:53">
      <c r="A175" s="539"/>
      <c r="B175" s="5" t="s">
        <v>710</v>
      </c>
      <c r="C175" s="5" t="s">
        <v>711</v>
      </c>
      <c r="D175" s="41"/>
      <c r="E175" s="89"/>
      <c r="F175" s="89"/>
      <c r="G175" s="89"/>
      <c r="H175" s="89"/>
      <c r="I175" s="89"/>
      <c r="J175" s="90"/>
      <c r="K175" s="90">
        <f>IF(ISTEXT('CF Raw'!F$11),('CF Raw'!F45+'CF Raw'!F46)/'Output-FR (check)'!$A$124,SUM(K176:K178))</f>
        <v>0</v>
      </c>
      <c r="L175" s="90">
        <f>IF(ISTEXT('CF Raw'!G$11),('CF Raw'!G45+'CF Raw'!G46)/'Output-FR (check)'!$A$124,SUM(L176:L178))</f>
        <v>0</v>
      </c>
      <c r="M175" s="90">
        <f>IF(ISTEXT('CF Raw'!H$11),('CF Raw'!H45+'CF Raw'!H46)/'Output-FR (check)'!$A$124,SUM(M176:M178))</f>
        <v>0</v>
      </c>
      <c r="N175" s="90">
        <f>IF(ISTEXT('CF Raw'!I$11),('CF Raw'!I45+'CF Raw'!I46)/'Output-FR (check)'!$A$124,SUM(N176:N178))</f>
        <v>0</v>
      </c>
      <c r="O175" s="90">
        <f>IF(ISTEXT('CF Raw'!J$11),('CF Raw'!J45+'CF Raw'!J46)/'Output-FR (check)'!$A$124,SUM(O176:O178))</f>
        <v>0</v>
      </c>
      <c r="P175" s="568">
        <f>IF(ISTEXT('CF Raw'!K$11),('CF Raw'!K45+'CF Raw'!K46)/'Output-FR (check)'!$A$124,SUM(P176:P178))</f>
        <v>0</v>
      </c>
      <c r="Q175" s="142">
        <f>IF(ISTEXT('CF Raw'!L$11),('CF Raw'!L45+'CF Raw'!L46)/'Output-FR (check)'!$A$124,SUM(Q176:Q178))</f>
        <v>203.29959586357472</v>
      </c>
      <c r="R175" s="142">
        <f>IF(ISTEXT('CF Raw'!M$11),('CF Raw'!M45+'CF Raw'!M46)/'Output-FR (check)'!$A$124,SUM(R176:R178))</f>
        <v>471.93698393082104</v>
      </c>
      <c r="S175" s="142">
        <f>IF(ISTEXT('CF Raw'!N$11),('CF Raw'!N45+'CF Raw'!N46)/'Output-FR (check)'!$A$124,SUM(S176:S178))</f>
        <v>542.17100848431346</v>
      </c>
      <c r="T175" s="142">
        <f>IF(ISTEXT('CF Raw'!O$11),('CF Raw'!O45+'CF Raw'!O46)/'Output-FR (check)'!$A$124,SUM(T176:T178))</f>
        <v>795.20413102958446</v>
      </c>
      <c r="U175" s="142">
        <f>IF(ISTEXT('CF Raw'!P$11),('CF Raw'!P45+'CF Raw'!P46)/'Output-FR (check)'!$A$124,SUM(U176:U178))</f>
        <v>448.24401280667644</v>
      </c>
      <c r="V175" s="142">
        <f>IF(ISTEXT('CF Raw'!Q$11),('CF Raw'!Q45+'CF Raw'!Q46)/'Output-FR (check)'!$A$124,SUM(V176:V178))</f>
        <v>488.58597395927791</v>
      </c>
      <c r="W175" s="142">
        <f>IF(ISTEXT('CF Raw'!R$11),('CF Raw'!R45+'CF Raw'!R46)/'Output-FR (check)'!$A$124,SUM(W176:W178))</f>
        <v>236.69276071805052</v>
      </c>
      <c r="X175" s="142">
        <f>IF(ISTEXT('CF Raw'!S$11),('CF Raw'!S45+'CF Raw'!S46)/'Output-FR (check)'!$A$124,SUM(X176:X178))</f>
        <v>246.16047114677258</v>
      </c>
      <c r="Y175" s="142">
        <f>IF(ISTEXT('CF Raw'!T$11),('CF Raw'!T45+'CF Raw'!T46)/'Output-FR (check)'!$A$124,SUM(Y176:Y178))</f>
        <v>256.00688999264275</v>
      </c>
      <c r="Z175" s="142">
        <f>IF(ISTEXT('CF Raw'!U$11),('CF Raw'!U45+'CF Raw'!U46)/'Output-FR (check)'!$A$124,SUM(Z176:Z178))</f>
        <v>266.24716559234912</v>
      </c>
      <c r="AA175" s="142"/>
      <c r="AB175" s="143"/>
      <c r="AC175" s="143"/>
      <c r="AD175" s="143"/>
      <c r="AE175" s="143"/>
      <c r="AF175" s="143"/>
      <c r="AG175" s="143"/>
      <c r="AH175" s="143"/>
      <c r="AI175" s="143"/>
      <c r="AJ175" s="143"/>
      <c r="AK175" s="143"/>
      <c r="AL175" s="143"/>
      <c r="AM175" s="143"/>
      <c r="AN175" s="143"/>
      <c r="AO175" s="143"/>
      <c r="AP175" s="143"/>
      <c r="AQ175" s="143"/>
      <c r="AR175" s="143"/>
      <c r="AS175" s="143"/>
      <c r="AT175" s="143"/>
      <c r="AU175" s="143"/>
      <c r="AV175" s="143"/>
      <c r="AW175" s="143"/>
      <c r="AX175" s="143"/>
      <c r="AY175" s="143"/>
      <c r="AZ175" s="143"/>
      <c r="BA175" s="143"/>
    </row>
    <row r="176" spans="1:53">
      <c r="A176" s="574"/>
      <c r="B176" s="574"/>
      <c r="C176" s="682" t="s">
        <v>713</v>
      </c>
      <c r="D176" s="576"/>
      <c r="E176" s="593"/>
      <c r="F176" s="593"/>
      <c r="G176" s="593"/>
      <c r="H176" s="593"/>
      <c r="I176" s="593"/>
      <c r="J176" s="594"/>
      <c r="K176" s="594">
        <f>+'Output-FR (check)'!K106-'Output-FR (check)'!J106</f>
        <v>0</v>
      </c>
      <c r="L176" s="594">
        <f>+'Output-FR (check)'!L106-'Output-FR (check)'!K106</f>
        <v>0</v>
      </c>
      <c r="M176" s="594">
        <f>+'Output-FR (check)'!M106-'Output-FR (check)'!L106</f>
        <v>0</v>
      </c>
      <c r="N176" s="594">
        <f>+'Output-FR (check)'!N106-'Output-FR (check)'!M106</f>
        <v>0</v>
      </c>
      <c r="O176" s="594">
        <f>+'Output-FR (check)'!O106-'Output-FR (check)'!N106</f>
        <v>0</v>
      </c>
      <c r="P176" s="595">
        <f>+'Output-FR (check)'!P106-'Output-FR (check)'!O106</f>
        <v>0</v>
      </c>
      <c r="Q176" s="596">
        <f>+'Output-FR (check)'!Q106-'Output-FR (check)'!P106</f>
        <v>0</v>
      </c>
      <c r="R176" s="596">
        <f>+'Output-FR (check)'!R106-'Output-FR (check)'!Q106</f>
        <v>0</v>
      </c>
      <c r="S176" s="596">
        <f>+'Output-FR (check)'!S106-'Output-FR (check)'!R106</f>
        <v>0</v>
      </c>
      <c r="T176" s="596">
        <f>+'Output-FR (check)'!T106-'Output-FR (check)'!S106</f>
        <v>0</v>
      </c>
      <c r="U176" s="596">
        <f>+'Output-FR (check)'!U106-'Output-FR (check)'!T106</f>
        <v>0</v>
      </c>
      <c r="V176" s="596">
        <f>+'Output-FR (check)'!V106-'Output-FR (check)'!U106</f>
        <v>0</v>
      </c>
      <c r="W176" s="596">
        <f>+'Output-FR (check)'!W106-'Output-FR (check)'!V106</f>
        <v>0</v>
      </c>
      <c r="X176" s="596">
        <f>+'Output-FR (check)'!X106-'Output-FR (check)'!W106</f>
        <v>0</v>
      </c>
      <c r="Y176" s="596">
        <f>+'Output-FR (check)'!Y106-'Output-FR (check)'!X106</f>
        <v>0</v>
      </c>
      <c r="Z176" s="596">
        <f>+'Output-FR (check)'!Z106-'Output-FR (check)'!Y106</f>
        <v>0</v>
      </c>
      <c r="AA176" s="596"/>
      <c r="AB176" s="597"/>
      <c r="AC176" s="597"/>
      <c r="AD176" s="597"/>
      <c r="AE176" s="597"/>
      <c r="AF176" s="597"/>
      <c r="AG176" s="597"/>
      <c r="AH176" s="597"/>
      <c r="AI176" s="597"/>
      <c r="AJ176" s="597"/>
      <c r="AK176" s="597"/>
      <c r="AL176" s="597"/>
      <c r="AM176" s="597"/>
      <c r="AN176" s="597"/>
      <c r="AO176" s="597"/>
      <c r="AP176" s="597"/>
      <c r="AQ176" s="597"/>
      <c r="AR176" s="597"/>
      <c r="AS176" s="597"/>
      <c r="AT176" s="597"/>
      <c r="AU176" s="597"/>
      <c r="AV176" s="597"/>
      <c r="AW176" s="597"/>
      <c r="AX176" s="597"/>
      <c r="AY176" s="597"/>
      <c r="AZ176" s="597"/>
      <c r="BA176" s="597"/>
    </row>
    <row r="177" spans="1:53">
      <c r="A177" s="574"/>
      <c r="B177" s="574"/>
      <c r="C177" s="682" t="s">
        <v>715</v>
      </c>
      <c r="D177" s="576"/>
      <c r="E177" s="593"/>
      <c r="F177" s="593"/>
      <c r="G177" s="593"/>
      <c r="H177" s="593"/>
      <c r="I177" s="593"/>
      <c r="J177" s="594"/>
      <c r="K177" s="594">
        <f>('Output-FR (check)'!K107-'Output-FR (check)'!J107)</f>
        <v>5294</v>
      </c>
      <c r="L177" s="594">
        <f>('Output-FR (check)'!L107-'Output-FR (check)'!K107)</f>
        <v>0</v>
      </c>
      <c r="M177" s="594">
        <f>('Output-FR (check)'!M107-'Output-FR (check)'!L107)</f>
        <v>0</v>
      </c>
      <c r="N177" s="594">
        <f>('Output-FR (check)'!N107-'Output-FR (check)'!M107)</f>
        <v>0</v>
      </c>
      <c r="O177" s="594">
        <f>('Output-FR (check)'!O107-'Output-FR (check)'!N107)</f>
        <v>0</v>
      </c>
      <c r="P177" s="595">
        <f>('Output-FR (check)'!P107-'Output-FR (check)'!O107)</f>
        <v>0</v>
      </c>
      <c r="Q177" s="596">
        <f>('Output-FR (check)'!Q107-'Output-FR (check)'!P107)</f>
        <v>0</v>
      </c>
      <c r="R177" s="596">
        <f>('Output-FR (check)'!R107-'Output-FR (check)'!Q107)</f>
        <v>0</v>
      </c>
      <c r="S177" s="596">
        <f>('Output-FR (check)'!S107-'Output-FR (check)'!R107)</f>
        <v>0</v>
      </c>
      <c r="T177" s="596">
        <f>('Output-FR (check)'!T107-'Output-FR (check)'!S107)</f>
        <v>0</v>
      </c>
      <c r="U177" s="596">
        <f>('Output-FR (check)'!U107-'Output-FR (check)'!T107)</f>
        <v>0</v>
      </c>
      <c r="V177" s="596">
        <f>('Output-FR (check)'!V107-'Output-FR (check)'!U107)</f>
        <v>0</v>
      </c>
      <c r="W177" s="596">
        <f>('Output-FR (check)'!W107-'Output-FR (check)'!V107)</f>
        <v>0</v>
      </c>
      <c r="X177" s="596">
        <f>('Output-FR (check)'!X107-'Output-FR (check)'!W107)</f>
        <v>0</v>
      </c>
      <c r="Y177" s="596">
        <f>('Output-FR (check)'!Y107-'Output-FR (check)'!X107)</f>
        <v>0</v>
      </c>
      <c r="Z177" s="596">
        <f>('Output-FR (check)'!Z107-'Output-FR (check)'!Y107)</f>
        <v>0</v>
      </c>
      <c r="AA177" s="596"/>
      <c r="AB177" s="597"/>
      <c r="AC177" s="597"/>
      <c r="AD177" s="597"/>
      <c r="AE177" s="597"/>
      <c r="AF177" s="597"/>
      <c r="AG177" s="597"/>
      <c r="AH177" s="597"/>
      <c r="AI177" s="597"/>
      <c r="AJ177" s="597"/>
      <c r="AK177" s="597"/>
      <c r="AL177" s="597"/>
      <c r="AM177" s="597"/>
      <c r="AN177" s="597"/>
      <c r="AO177" s="597"/>
      <c r="AP177" s="597"/>
      <c r="AQ177" s="597"/>
      <c r="AR177" s="597"/>
      <c r="AS177" s="597"/>
      <c r="AT177" s="597"/>
      <c r="AU177" s="597"/>
      <c r="AV177" s="597"/>
      <c r="AW177" s="597"/>
      <c r="AX177" s="597"/>
      <c r="AY177" s="597"/>
      <c r="AZ177" s="597"/>
      <c r="BA177" s="597"/>
    </row>
    <row r="178" spans="1:53">
      <c r="A178" s="574"/>
      <c r="B178" s="574"/>
      <c r="C178" s="682" t="s">
        <v>717</v>
      </c>
      <c r="D178" s="576"/>
      <c r="E178" s="593"/>
      <c r="F178" s="593"/>
      <c r="G178" s="593"/>
      <c r="H178" s="593"/>
      <c r="I178" s="593"/>
      <c r="J178" s="594"/>
      <c r="K178" s="594">
        <f>+('Output-FR (check)'!K108-'Output-FR (check)'!J108)+('Output-FR (check)'!K110-'Output-FR (check)'!J110)/Input!$B$1</f>
        <v>356.20372633699986</v>
      </c>
      <c r="L178" s="594">
        <f>+('Output-FR (check)'!L108-'Output-FR (check)'!K108)+('Output-FR (check)'!L110-'Output-FR (check)'!K110)/Input!$B$1</f>
        <v>66.429112258000259</v>
      </c>
      <c r="M178" s="594">
        <f>+('Output-FR (check)'!M108-'Output-FR (check)'!L108)+('Output-FR (check)'!M110-'Output-FR (check)'!L110)/Input!$B$1</f>
        <v>546.89085463699962</v>
      </c>
      <c r="N178" s="594">
        <f>+('Output-FR (check)'!N108-'Output-FR (check)'!M108)+('Output-FR (check)'!N110-'Output-FR (check)'!M110)/Input!$B$1</f>
        <v>1294.3267297470004</v>
      </c>
      <c r="O178" s="594">
        <f>+('Output-FR (check)'!O108-'Output-FR (check)'!N108)+('Output-FR (check)'!O110-'Output-FR (check)'!N110)/Input!$B$1</f>
        <v>333.0904002909997</v>
      </c>
      <c r="P178" s="595">
        <f>+('Output-FR (check)'!P108-'Output-FR (check)'!O108)+('Output-FR (check)'!P110-'Output-FR (check)'!O110)/Input!$B$1</f>
        <v>370.93648860700068</v>
      </c>
      <c r="Q178" s="596">
        <f>+('Output-FR (check)'!Q108-'Output-FR (check)'!P108)+('Output-FR (check)'!Q110-'Output-FR (check)'!P110)/Input!$B$1</f>
        <v>203.29959586357472</v>
      </c>
      <c r="R178" s="596">
        <f>+('Output-FR (check)'!R108-'Output-FR (check)'!Q108)+('Output-FR (check)'!R110-'Output-FR (check)'!Q110)/Input!$B$1</f>
        <v>471.93698393082104</v>
      </c>
      <c r="S178" s="596">
        <f>+('Output-FR (check)'!S108-'Output-FR (check)'!R108)+('Output-FR (check)'!S110-'Output-FR (check)'!R110)/Input!$B$1</f>
        <v>542.17100848431346</v>
      </c>
      <c r="T178" s="596">
        <f>+('Output-FR (check)'!T108-'Output-FR (check)'!S108)+('Output-FR (check)'!T110-'Output-FR (check)'!S110)/Input!$B$1</f>
        <v>795.20413102958446</v>
      </c>
      <c r="U178" s="596">
        <f>+('Output-FR (check)'!U108-'Output-FR (check)'!T108)+('Output-FR (check)'!U110-'Output-FR (check)'!T110)/Input!$B$1</f>
        <v>448.24401280667644</v>
      </c>
      <c r="V178" s="596">
        <f>+('Output-FR (check)'!V108-'Output-FR (check)'!U108)+('Output-FR (check)'!V110-'Output-FR (check)'!U110)/Input!$B$1</f>
        <v>488.58597395927791</v>
      </c>
      <c r="W178" s="596">
        <f>+('Output-FR (check)'!W108-'Output-FR (check)'!V108)+('Output-FR (check)'!W110-'Output-FR (check)'!V110)/Input!$B$1</f>
        <v>236.69276071805052</v>
      </c>
      <c r="X178" s="596">
        <f>+('Output-FR (check)'!X108-'Output-FR (check)'!W108)+('Output-FR (check)'!X110-'Output-FR (check)'!W110)/Input!$B$1</f>
        <v>246.16047114677258</v>
      </c>
      <c r="Y178" s="596">
        <f>+('Output-FR (check)'!Y108-'Output-FR (check)'!X108)+('Output-FR (check)'!Y110-'Output-FR (check)'!X110)/Input!$B$1</f>
        <v>256.00688999264275</v>
      </c>
      <c r="Z178" s="596">
        <f>+('Output-FR (check)'!Z108-'Output-FR (check)'!Y108)+('Output-FR (check)'!Z110-'Output-FR (check)'!Y110)/Input!$B$1</f>
        <v>266.24716559234912</v>
      </c>
      <c r="AA178" s="596"/>
      <c r="AB178" s="597"/>
      <c r="AC178" s="597"/>
      <c r="AD178" s="597"/>
      <c r="AE178" s="597"/>
      <c r="AF178" s="597"/>
      <c r="AG178" s="597"/>
      <c r="AH178" s="597"/>
      <c r="AI178" s="597"/>
      <c r="AJ178" s="597"/>
      <c r="AK178" s="597"/>
      <c r="AL178" s="597"/>
      <c r="AM178" s="597"/>
      <c r="AN178" s="597"/>
      <c r="AO178" s="597"/>
      <c r="AP178" s="597"/>
      <c r="AQ178" s="597"/>
      <c r="AR178" s="597"/>
      <c r="AS178" s="597"/>
      <c r="AT178" s="597"/>
      <c r="AU178" s="597"/>
      <c r="AV178" s="597"/>
      <c r="AW178" s="597"/>
      <c r="AX178" s="597"/>
      <c r="AY178" s="597"/>
      <c r="AZ178" s="597"/>
      <c r="BA178" s="597"/>
    </row>
    <row r="179" spans="1:53">
      <c r="A179" s="574"/>
      <c r="B179" s="5" t="s">
        <v>718</v>
      </c>
      <c r="C179" s="682"/>
      <c r="D179" s="576"/>
      <c r="E179" s="593"/>
      <c r="F179" s="593"/>
      <c r="G179" s="593"/>
      <c r="H179" s="593"/>
      <c r="I179" s="593"/>
      <c r="J179" s="90"/>
      <c r="K179" s="90">
        <f>IF(ISTEXT('CF Raw'!F11),'CF Raw'!F49,0)</f>
        <v>0</v>
      </c>
      <c r="L179" s="90">
        <f>IF(ISTEXT('CF Raw'!G11),'CF Raw'!G49,0)</f>
        <v>0</v>
      </c>
      <c r="M179" s="90">
        <f>IF(ISTEXT('CF Raw'!H11),'CF Raw'!H49,0)</f>
        <v>0</v>
      </c>
      <c r="N179" s="90">
        <f>IF(ISTEXT('CF Raw'!I11),'CF Raw'!I49,0)</f>
        <v>0</v>
      </c>
      <c r="O179" s="90">
        <f>IF(ISTEXT('CF Raw'!J11),'CF Raw'!J49,0)</f>
        <v>0</v>
      </c>
      <c r="P179" s="568">
        <f>IF(ISTEXT('CF Raw'!K11),'CF Raw'!K49,0)</f>
        <v>-2.911059244</v>
      </c>
      <c r="Q179" s="142">
        <f>IF(ISTEXT('CF Raw'!L11),'CF Raw'!L49,0)</f>
        <v>0</v>
      </c>
      <c r="R179" s="142">
        <f>IF(ISTEXT('CF Raw'!M11),'CF Raw'!M49,0)</f>
        <v>0</v>
      </c>
      <c r="S179" s="142">
        <f>IF(ISTEXT('CF Raw'!N11),'CF Raw'!N49,0)</f>
        <v>0</v>
      </c>
      <c r="T179" s="142">
        <f>IF(ISTEXT('CF Raw'!O11),'CF Raw'!O49,0)</f>
        <v>0</v>
      </c>
      <c r="U179" s="142">
        <f>IF(ISTEXT('CF Raw'!P11),'CF Raw'!P49,0)</f>
        <v>0</v>
      </c>
      <c r="V179" s="142">
        <f>IF(ISTEXT('CF Raw'!Q11),'CF Raw'!Q49,0)</f>
        <v>0</v>
      </c>
      <c r="W179" s="142">
        <f>IF(ISTEXT('CF Raw'!R11),'CF Raw'!R49,0)</f>
        <v>0</v>
      </c>
      <c r="X179" s="142">
        <f>IF(ISTEXT('CF Raw'!S11),'CF Raw'!S49,0)</f>
        <v>0</v>
      </c>
      <c r="Y179" s="142">
        <f>IF(ISTEXT('CF Raw'!T11),'CF Raw'!T49,0)</f>
        <v>0</v>
      </c>
      <c r="Z179" s="142">
        <f>IF(ISTEXT('CF Raw'!U11),'CF Raw'!U49,0)</f>
        <v>0</v>
      </c>
      <c r="AA179" s="142"/>
      <c r="AB179" s="597"/>
      <c r="AC179" s="597"/>
      <c r="AD179" s="597"/>
      <c r="AE179" s="597"/>
      <c r="AF179" s="597"/>
      <c r="AG179" s="597"/>
      <c r="AH179" s="597"/>
      <c r="AI179" s="597"/>
      <c r="AJ179" s="597"/>
      <c r="AK179" s="597"/>
      <c r="AL179" s="597"/>
      <c r="AM179" s="597"/>
      <c r="AN179" s="597"/>
      <c r="AO179" s="597"/>
      <c r="AP179" s="597"/>
      <c r="AQ179" s="597"/>
      <c r="AR179" s="597"/>
      <c r="AS179" s="597"/>
      <c r="AT179" s="597"/>
      <c r="AU179" s="597"/>
      <c r="AV179" s="597"/>
      <c r="AW179" s="597"/>
      <c r="AX179" s="597"/>
      <c r="AY179" s="597"/>
      <c r="AZ179" s="597"/>
      <c r="BA179" s="597"/>
    </row>
    <row r="180" spans="1:53">
      <c r="A180" s="674"/>
      <c r="B180" s="683" t="s">
        <v>719</v>
      </c>
      <c r="C180" s="683" t="s">
        <v>720</v>
      </c>
      <c r="D180" s="678"/>
      <c r="E180" s="653"/>
      <c r="F180" s="653"/>
      <c r="G180" s="653"/>
      <c r="H180" s="653"/>
      <c r="I180" s="654"/>
      <c r="J180" s="654"/>
      <c r="K180" s="654">
        <f>+K165+K171+K172+K175+K179</f>
        <v>-1394.7856702399999</v>
      </c>
      <c r="L180" s="654">
        <f t="shared" ref="L180:Q180" si="63">+L165+L171+L172+L175+L179</f>
        <v>-1280.0368800299998</v>
      </c>
      <c r="M180" s="654">
        <f t="shared" si="63"/>
        <v>-548.99333367199984</v>
      </c>
      <c r="N180" s="654">
        <f t="shared" si="63"/>
        <v>-1631.086285678</v>
      </c>
      <c r="O180" s="654">
        <f t="shared" si="63"/>
        <v>-754.02247267599989</v>
      </c>
      <c r="P180" s="655">
        <f t="shared" si="63"/>
        <v>-624.76127802099995</v>
      </c>
      <c r="Q180" s="656">
        <f t="shared" ca="1" si="63"/>
        <v>-225.43117549723195</v>
      </c>
      <c r="R180" s="656">
        <f t="shared" ref="R180" ca="1" si="64">+R165+R171+R172+R175+R179</f>
        <v>-647.93167909995827</v>
      </c>
      <c r="S180" s="656">
        <f t="shared" ref="S180" ca="1" si="65">+S165+S171+S172+S175+S179</f>
        <v>-1094.2215716777901</v>
      </c>
      <c r="T180" s="656">
        <f t="shared" ref="T180" ca="1" si="66">+T165+T171+T172+T175+T179</f>
        <v>23.917123783087163</v>
      </c>
      <c r="U180" s="656">
        <f t="shared" ref="U180" ca="1" si="67">+U165+U171+U172+U175+U179</f>
        <v>-1490.1408131264782</v>
      </c>
      <c r="V180" s="656">
        <f t="shared" ref="V180" ca="1" si="68">+V165+V171+V172+V175+V179</f>
        <v>-1609.1802683993501</v>
      </c>
      <c r="W180" s="656">
        <f t="shared" ref="W180" ca="1" si="69">+W165+W171+W172+W175+W179</f>
        <v>-1420.8549446003281</v>
      </c>
      <c r="X180" s="656">
        <f t="shared" ref="X180" ca="1" si="70">+X165+X171+X172+X175+X179</f>
        <v>-1815.6369252845052</v>
      </c>
      <c r="Y180" s="656">
        <f t="shared" ref="Y180:Z180" ca="1" si="71">+Y165+Y171+Y172+Y175+Y179</f>
        <v>-2292.6988239338493</v>
      </c>
      <c r="Z180" s="656">
        <f t="shared" ca="1" si="71"/>
        <v>-2777.9735187684369</v>
      </c>
      <c r="AA180" s="656"/>
      <c r="AB180" s="657"/>
      <c r="AC180" s="657"/>
      <c r="AD180" s="657"/>
      <c r="AE180" s="657"/>
      <c r="AF180" s="657"/>
      <c r="AG180" s="657"/>
      <c r="AH180" s="657"/>
      <c r="AI180" s="657"/>
      <c r="AJ180" s="657"/>
      <c r="AK180" s="657"/>
      <c r="AL180" s="657"/>
      <c r="AM180" s="657"/>
      <c r="AN180" s="657"/>
      <c r="AO180" s="657"/>
      <c r="AP180" s="657"/>
      <c r="AQ180" s="657"/>
      <c r="AR180" s="657"/>
      <c r="AS180" s="657"/>
      <c r="AT180" s="657"/>
      <c r="AU180" s="657"/>
      <c r="AV180" s="657"/>
      <c r="AW180" s="657"/>
      <c r="AX180" s="657"/>
      <c r="AY180" s="657"/>
      <c r="AZ180" s="657"/>
      <c r="BA180" s="657"/>
    </row>
    <row r="181" spans="1:53">
      <c r="A181" s="684"/>
      <c r="B181" s="679" t="s">
        <v>383</v>
      </c>
      <c r="C181" s="664"/>
      <c r="D181" s="41"/>
      <c r="E181" s="386"/>
      <c r="F181" s="386"/>
      <c r="G181" s="386"/>
      <c r="H181" s="386"/>
      <c r="I181" s="386"/>
      <c r="J181" s="387"/>
      <c r="K181" s="387">
        <f>IF(ISTEXT('CF Raw'!F$11),K180-'CF Raw'!F44/'Output-FR (check)'!$A$124,"Chưa có BCTC")</f>
        <v>0</v>
      </c>
      <c r="L181" s="387">
        <f>IF(ISTEXT('CF Raw'!G$11),L180-'CF Raw'!G44/'Output-FR (check)'!$A$124,"Chưa có BCTC")</f>
        <v>2.2737367544323206E-13</v>
      </c>
      <c r="M181" s="387">
        <f>IF(ISTEXT('CF Raw'!H$11),M180-'CF Raw'!H44/'Output-FR (check)'!$A$124,"Chưa có BCTC")</f>
        <v>1.1368683772161603E-13</v>
      </c>
      <c r="N181" s="387">
        <f>IF(ISTEXT('CF Raw'!I$11),N180-'CF Raw'!I44/'Output-FR (check)'!$A$124,"Chưa có BCTC")</f>
        <v>0</v>
      </c>
      <c r="O181" s="387">
        <f>IF(ISTEXT('CF Raw'!J$11),O180-'CF Raw'!J44/'Output-FR (check)'!$A$124,"Chưa có BCTC")</f>
        <v>1.1368683772161603E-13</v>
      </c>
      <c r="P181" s="680">
        <f>IF(ISTEXT('CF Raw'!K$11),P180-'CF Raw'!K44/'Output-FR (check)'!$A$124,"Chưa có BCTC")</f>
        <v>0</v>
      </c>
      <c r="Q181" s="1484" t="str">
        <f>IF(ISTEXT('CF Raw'!L$11),Q180-'CF Raw'!L44/'Output-FR (check)'!$A$124,"Chưa có BCTC")</f>
        <v>Chưa có BCTC</v>
      </c>
      <c r="R181" s="1484" t="str">
        <f>IF(ISTEXT('CF Raw'!M$11),R180-'CF Raw'!M44/'Output-FR (check)'!$A$124,"Chưa có BCTC")</f>
        <v>Chưa có BCTC</v>
      </c>
      <c r="S181" s="1484" t="str">
        <f>IF(ISTEXT('CF Raw'!N$11),S180-'CF Raw'!N44/'Output-FR (check)'!$A$124,"Chưa có BCTC")</f>
        <v>Chưa có BCTC</v>
      </c>
      <c r="T181" s="1484" t="str">
        <f>IF(ISTEXT('CF Raw'!O$11),T180-'CF Raw'!O44/'Output-FR (check)'!$A$124,"Chưa có BCTC")</f>
        <v>Chưa có BCTC</v>
      </c>
      <c r="U181" s="1484" t="str">
        <f>IF(ISTEXT('CF Raw'!P$11),U180-'CF Raw'!P44/'Output-FR (check)'!$A$124,"Chưa có BCTC")</f>
        <v>Chưa có BCTC</v>
      </c>
      <c r="V181" s="1484" t="str">
        <f>IF(ISTEXT('CF Raw'!Q$11),V180-'CF Raw'!Q44/'Output-FR (check)'!$A$124,"Chưa có BCTC")</f>
        <v>Chưa có BCTC</v>
      </c>
      <c r="W181" s="1484" t="str">
        <f>IF(ISTEXT('CF Raw'!R$11),W180-'CF Raw'!R44/'Output-FR (check)'!$A$124,"Chưa có BCTC")</f>
        <v>Chưa có BCTC</v>
      </c>
      <c r="X181" s="1484" t="str">
        <f>IF(ISTEXT('CF Raw'!S$11),X180-'CF Raw'!S44/'Output-FR (check)'!$A$124,"Chưa có BCTC")</f>
        <v>Chưa có BCTC</v>
      </c>
      <c r="Y181" s="1484" t="str">
        <f>IF(ISTEXT('CF Raw'!T$11),Y180-'CF Raw'!T44/'Output-FR (check)'!$A$124,"Chưa có BCTC")</f>
        <v>Chưa có BCTC</v>
      </c>
      <c r="Z181" s="1484" t="str">
        <f>IF(ISTEXT('CF Raw'!U$11),Z180-'CF Raw'!U44/'Output-FR (check)'!$A$124,"Chưa có BCTC")</f>
        <v>Chưa có BCTC</v>
      </c>
      <c r="AA181" s="1484"/>
      <c r="AB181" s="1485"/>
      <c r="AC181" s="1485"/>
      <c r="AD181" s="1485"/>
      <c r="AE181" s="1485"/>
      <c r="AF181" s="1485"/>
      <c r="AG181" s="1485"/>
      <c r="AH181" s="1485"/>
      <c r="AI181" s="1485"/>
      <c r="AJ181" s="1485"/>
      <c r="AK181" s="1485"/>
      <c r="AL181" s="1485"/>
      <c r="AM181" s="1485"/>
      <c r="AN181" s="1485"/>
      <c r="AO181" s="1485"/>
      <c r="AP181" s="1485"/>
      <c r="AQ181" s="1485"/>
      <c r="AR181" s="1485"/>
      <c r="AS181" s="1485"/>
      <c r="AT181" s="1485"/>
      <c r="AU181" s="1485"/>
      <c r="AV181" s="1485"/>
      <c r="AW181" s="1485"/>
      <c r="AX181" s="1485"/>
      <c r="AY181" s="1485"/>
      <c r="AZ181" s="1485"/>
      <c r="BA181" s="1485"/>
    </row>
    <row r="182" spans="1:53">
      <c r="A182" s="539"/>
      <c r="B182" s="5"/>
      <c r="C182" s="5"/>
      <c r="D182" s="41"/>
      <c r="E182" s="89"/>
      <c r="F182" s="89"/>
      <c r="G182" s="89"/>
      <c r="H182" s="89"/>
      <c r="I182" s="89"/>
      <c r="J182" s="89"/>
      <c r="K182" s="89"/>
      <c r="L182" s="89"/>
      <c r="M182" s="89"/>
      <c r="N182" s="89"/>
      <c r="O182" s="89"/>
      <c r="P182" s="188"/>
      <c r="Q182" s="89"/>
      <c r="R182" s="89"/>
      <c r="S182" s="89"/>
      <c r="T182" s="89"/>
      <c r="U182" s="89"/>
      <c r="V182" s="89"/>
      <c r="W182" s="89"/>
      <c r="X182" s="89"/>
      <c r="Y182" s="89"/>
      <c r="Z182" s="89"/>
      <c r="AA182" s="143"/>
      <c r="AB182" s="143"/>
      <c r="AC182" s="143"/>
      <c r="AD182" s="143"/>
      <c r="AE182" s="143"/>
      <c r="AF182" s="143"/>
      <c r="AG182" s="143"/>
      <c r="AH182" s="143"/>
      <c r="AI182" s="143"/>
      <c r="AJ182" s="143"/>
      <c r="AK182" s="143"/>
      <c r="AL182" s="143"/>
      <c r="AM182" s="143"/>
      <c r="AN182" s="143"/>
      <c r="AO182" s="143"/>
      <c r="AP182" s="143"/>
      <c r="AQ182" s="143"/>
      <c r="AR182" s="143"/>
      <c r="AS182" s="143"/>
      <c r="AT182" s="143"/>
      <c r="AU182" s="143"/>
      <c r="AV182" s="143"/>
      <c r="AW182" s="143"/>
      <c r="AX182" s="143"/>
      <c r="AY182" s="143"/>
      <c r="AZ182" s="143"/>
      <c r="BA182" s="143"/>
    </row>
    <row r="183" spans="1:53">
      <c r="A183" s="539"/>
      <c r="B183" s="5" t="s">
        <v>721</v>
      </c>
      <c r="C183" s="5" t="s">
        <v>722</v>
      </c>
      <c r="D183" s="41"/>
      <c r="E183" s="89"/>
      <c r="F183" s="89"/>
      <c r="G183" s="89"/>
      <c r="H183" s="89"/>
      <c r="I183" s="89"/>
      <c r="J183" s="90"/>
      <c r="K183" s="90">
        <f>+K154+K162+K180</f>
        <v>185.61933310700033</v>
      </c>
      <c r="L183" s="90">
        <f t="shared" ref="L183:Q183" si="72">+L154+L162+L180</f>
        <v>39.116645247000406</v>
      </c>
      <c r="M183" s="90">
        <f t="shared" si="72"/>
        <v>-82.391196726999397</v>
      </c>
      <c r="N183" s="90">
        <f t="shared" si="72"/>
        <v>1715.7677591229999</v>
      </c>
      <c r="O183" s="90">
        <f t="shared" si="72"/>
        <v>89.819195306001234</v>
      </c>
      <c r="P183" s="568">
        <f t="shared" si="72"/>
        <v>-406.10161386899904</v>
      </c>
      <c r="Q183" s="142">
        <f t="shared" ca="1" si="72"/>
        <v>788.21973019367022</v>
      </c>
      <c r="R183" s="142">
        <f t="shared" ref="R183:Y183" ca="1" si="73">+R154+R162+R180</f>
        <v>442.5344417677029</v>
      </c>
      <c r="S183" s="142">
        <f t="shared" ca="1" si="73"/>
        <v>-0.45391182702132937</v>
      </c>
      <c r="T183" s="142">
        <f t="shared" ca="1" si="73"/>
        <v>699.56538921608194</v>
      </c>
      <c r="U183" s="142">
        <f t="shared" ca="1" si="73"/>
        <v>489.76492593249236</v>
      </c>
      <c r="V183" s="142">
        <f t="shared" ca="1" si="73"/>
        <v>-461.92988891097843</v>
      </c>
      <c r="W183" s="142">
        <f t="shared" ca="1" si="73"/>
        <v>277.4220368835413</v>
      </c>
      <c r="X183" s="142">
        <f t="shared" ca="1" si="73"/>
        <v>262.79487061565987</v>
      </c>
      <c r="Y183" s="142">
        <f t="shared" ca="1" si="73"/>
        <v>266.20882115266568</v>
      </c>
      <c r="Z183" s="142">
        <f t="shared" ref="Z183" ca="1" si="74">+Z154+Z162+Z180</f>
        <v>213.16298795544526</v>
      </c>
      <c r="AA183" s="142"/>
      <c r="AB183" s="143"/>
      <c r="AC183" s="143"/>
      <c r="AD183" s="143"/>
      <c r="AE183" s="143"/>
      <c r="AF183" s="143"/>
      <c r="AG183" s="143"/>
      <c r="AH183" s="143"/>
      <c r="AI183" s="143"/>
      <c r="AJ183" s="143"/>
      <c r="AK183" s="143"/>
      <c r="AL183" s="143"/>
      <c r="AM183" s="143"/>
      <c r="AN183" s="143"/>
      <c r="AO183" s="143"/>
      <c r="AP183" s="143"/>
      <c r="AQ183" s="143"/>
      <c r="AR183" s="143"/>
      <c r="AS183" s="143"/>
      <c r="AT183" s="143"/>
      <c r="AU183" s="143"/>
      <c r="AV183" s="143"/>
      <c r="AW183" s="143"/>
      <c r="AX183" s="143"/>
      <c r="AY183" s="143"/>
      <c r="AZ183" s="143"/>
      <c r="BA183" s="143"/>
    </row>
    <row r="184" spans="1:53">
      <c r="A184" s="539"/>
      <c r="B184" s="5" t="s">
        <v>723</v>
      </c>
      <c r="C184" s="5" t="s">
        <v>724</v>
      </c>
      <c r="D184" s="41"/>
      <c r="E184" s="89"/>
      <c r="F184" s="89"/>
      <c r="G184" s="89"/>
      <c r="H184" s="89"/>
      <c r="I184" s="89"/>
      <c r="J184" s="90"/>
      <c r="K184" s="90">
        <f>IF(ISTEXT('CF Raw'!F$11),'CF Raw'!F53/'Output-FR (check)'!$A$124,'Output-FR (check)'!J59)</f>
        <v>285.77246315500003</v>
      </c>
      <c r="L184" s="90">
        <f>IF(ISTEXT('CF Raw'!G$11),'CF Raw'!G53/'Output-FR (check)'!$A$124,'Output-FR (check)'!K59)</f>
        <v>471.173323541</v>
      </c>
      <c r="M184" s="90">
        <f>IF(ISTEXT('CF Raw'!H$11),'CF Raw'!H53/'Output-FR (check)'!$A$124,'Output-FR (check)'!L59)</f>
        <v>509.99535087300001</v>
      </c>
      <c r="N184" s="90">
        <f>IF(ISTEXT('CF Raw'!I$11),'CF Raw'!I53/'Output-FR (check)'!$A$124,'Output-FR (check)'!M59)</f>
        <v>427.65273090400001</v>
      </c>
      <c r="O184" s="90">
        <f>IF(ISTEXT('CF Raw'!J$11),'CF Raw'!J53/'Output-FR (check)'!$A$124,'Output-FR (check)'!N59)</f>
        <v>2125.6252915599998</v>
      </c>
      <c r="P184" s="568">
        <f>IF(ISTEXT('CF Raw'!K$11),'CF Raw'!K53/'Output-FR (check)'!$A$124,'Output-FR (check)'!O59)</f>
        <v>2284.3997887720002</v>
      </c>
      <c r="Q184" s="142">
        <f>IF(ISTEXT('CF Raw'!L$11),'CF Raw'!L53/'Output-FR (check)'!$A$124,'Output-FR (check)'!P59)</f>
        <v>1903.248325989</v>
      </c>
      <c r="R184" s="142">
        <f ca="1">IF(ISTEXT('CF Raw'!M$11),'CF Raw'!M53/'Output-FR (check)'!$A$124,'Output-FR (check)'!Q59)</f>
        <v>2701.1738918776446</v>
      </c>
      <c r="S184" s="142">
        <f ca="1">IF(ISTEXT('CF Raw'!N$11),'CF Raw'!N53/'Output-FR (check)'!$A$124,'Output-FR (check)'!R59)</f>
        <v>3135.0965236377901</v>
      </c>
      <c r="T184" s="142">
        <f ca="1">IF(ISTEXT('CF Raw'!O$11),'CF Raw'!O53/'Output-FR (check)'!$A$124,'Output-FR (check)'!S59)</f>
        <v>3137.4176211543613</v>
      </c>
      <c r="U184" s="142">
        <f ca="1">IF(ISTEXT('CF Raw'!P$11),'CF Raw'!P53/'Output-FR (check)'!$A$124,'Output-FR (check)'!T59)</f>
        <v>3867.4171858535392</v>
      </c>
      <c r="V184" s="142">
        <f ca="1">IF(ISTEXT('CF Raw'!Q$11),'CF Raw'!Q53/'Output-FR (check)'!$A$124,'Output-FR (check)'!U59)</f>
        <v>4329.2237196818278</v>
      </c>
      <c r="W184" s="142">
        <f ca="1">IF(ISTEXT('CF Raw'!R$11),'CF Raw'!R53/'Output-FR (check)'!$A$124,'Output-FR (check)'!V59)</f>
        <v>3844.848142300692</v>
      </c>
      <c r="X184" s="142">
        <f ca="1">IF(ISTEXT('CF Raw'!S$11),'CF Raw'!S53/'Output-FR (check)'!$A$124,'Output-FR (check)'!W59)</f>
        <v>4112.178659523629</v>
      </c>
      <c r="Y184" s="142">
        <f ca="1">IF(ISTEXT('CF Raw'!T$11),'CF Raw'!T53/'Output-FR (check)'!$A$124,'Output-FR (check)'!X59)</f>
        <v>4373.6470410809279</v>
      </c>
      <c r="Z184" s="142">
        <f ca="1">IF(ISTEXT('CF Raw'!U$11),'CF Raw'!U53/'Output-FR (check)'!$A$124,'Output-FR (check)'!Y59)</f>
        <v>4640.8002786566958</v>
      </c>
      <c r="AA184" s="142"/>
      <c r="AB184" s="143"/>
      <c r="AC184" s="143"/>
      <c r="AD184" s="143"/>
      <c r="AE184" s="143"/>
      <c r="AF184" s="143"/>
      <c r="AG184" s="143"/>
      <c r="AH184" s="143"/>
      <c r="AI184" s="143"/>
      <c r="AJ184" s="143"/>
      <c r="AK184" s="143"/>
      <c r="AL184" s="143"/>
      <c r="AM184" s="143"/>
      <c r="AN184" s="143"/>
      <c r="AO184" s="143"/>
      <c r="AP184" s="143"/>
      <c r="AQ184" s="143"/>
      <c r="AR184" s="143"/>
      <c r="AS184" s="143"/>
      <c r="AT184" s="143"/>
      <c r="AU184" s="143"/>
      <c r="AV184" s="143"/>
      <c r="AW184" s="143"/>
      <c r="AX184" s="143"/>
      <c r="AY184" s="143"/>
      <c r="AZ184" s="143"/>
      <c r="BA184" s="143"/>
    </row>
    <row r="185" spans="1:53">
      <c r="A185" s="539"/>
      <c r="B185" s="5" t="s">
        <v>725</v>
      </c>
      <c r="C185" s="5"/>
      <c r="D185" s="41"/>
      <c r="E185" s="89"/>
      <c r="F185" s="89"/>
      <c r="G185" s="89"/>
      <c r="H185" s="90"/>
      <c r="I185" s="90"/>
      <c r="J185" s="90"/>
      <c r="K185" s="90">
        <f>IF(ISTEXT('CF Raw'!F$11),'CF Raw'!F54/'Output-FR (check)'!$A$124,0)</f>
        <v>-0.21847272100000001</v>
      </c>
      <c r="L185" s="90">
        <f>IF(ISTEXT('CF Raw'!G$11),'CF Raw'!G54/'Output-FR (check)'!$A$124,0)</f>
        <v>-0.29461791500000001</v>
      </c>
      <c r="M185" s="90">
        <f>IF(ISTEXT('CF Raw'!H$11),'CF Raw'!H54/'Output-FR (check)'!$A$124,0)</f>
        <v>4.8576757999999998E-2</v>
      </c>
      <c r="N185" s="90">
        <f>IF(ISTEXT('CF Raw'!I$11),'CF Raw'!I54/'Output-FR (check)'!$A$124,0)</f>
        <v>-17.795198466999999</v>
      </c>
      <c r="O185" s="90">
        <f>IF(ISTEXT('CF Raw'!J$11),'CF Raw'!J54/'Output-FR (check)'!$A$124,0)</f>
        <v>68.955301906000003</v>
      </c>
      <c r="P185" s="568">
        <f>IF(ISTEXT('CF Raw'!K$11),'CF Raw'!K54/'Output-FR (check)'!$A$124,0)</f>
        <v>24.950151086000002</v>
      </c>
      <c r="Q185" s="142">
        <f ca="1">IF(ISTEXT('CF Raw'!L$11),'CF Raw'!L54/'Output-FR (check)'!$A$124,Q59-Q183-Q184)</f>
        <v>9.7058356949742119</v>
      </c>
      <c r="R185" s="142">
        <f ca="1">IF(ISTEXT('CF Raw'!M$11),'CF Raw'!M54/'Output-FR (check)'!$A$124,R59-R183-R184)</f>
        <v>-8.6118100075573238</v>
      </c>
      <c r="S185" s="142">
        <f ca="1">IF(ISTEXT('CF Raw'!N$11),'CF Raw'!N54/'Output-FR (check)'!$A$124,S59-S183-S184)</f>
        <v>2.775009343592501</v>
      </c>
      <c r="T185" s="142">
        <f ca="1">IF(ISTEXT('CF Raw'!O$11),'CF Raw'!O54/'Output-FR (check)'!$A$124,T59-T183-T184)</f>
        <v>30.434175483096169</v>
      </c>
      <c r="U185" s="142">
        <f ca="1">IF(ISTEXT('CF Raw'!P$11),'CF Raw'!P54/'Output-FR (check)'!$A$124,U59-U183-U184)</f>
        <v>-27.958392104203995</v>
      </c>
      <c r="V185" s="142">
        <f ca="1">IF(ISTEXT('CF Raw'!Q$11),'CF Raw'!Q54/'Output-FR (check)'!$A$124,V59-V183-V184)</f>
        <v>-22.44568847015762</v>
      </c>
      <c r="W185" s="142">
        <f ca="1">IF(ISTEXT('CF Raw'!R$11),'CF Raw'!R54/'Output-FR (check)'!$A$124,W59-W183-W184)</f>
        <v>-10.091519660604263</v>
      </c>
      <c r="X185" s="142">
        <f ca="1">IF(ISTEXT('CF Raw'!S$11),'CF Raw'!S54/'Output-FR (check)'!$A$124,X59-X183-X184)</f>
        <v>-1.3264890583604938</v>
      </c>
      <c r="Y185" s="142">
        <f ca="1">IF(ISTEXT('CF Raw'!T$11),'CF Raw'!T54/'Output-FR (check)'!$A$124,Y59-Y183-Y184)</f>
        <v>0.94441642310175666</v>
      </c>
      <c r="Z185" s="142">
        <f ca="1">IF(ISTEXT('CF Raw'!U$11),'CF Raw'!U54/'Output-FR (check)'!$A$124,Z59-Z183-Z184)</f>
        <v>-13.488943174370434</v>
      </c>
      <c r="AA185" s="142"/>
      <c r="AB185" s="143"/>
      <c r="AC185" s="143"/>
      <c r="AD185" s="143"/>
      <c r="AE185" s="143"/>
      <c r="AF185" s="143"/>
      <c r="AG185" s="143"/>
      <c r="AH185" s="143"/>
      <c r="AI185" s="143"/>
      <c r="AJ185" s="143"/>
      <c r="AK185" s="143"/>
      <c r="AL185" s="143"/>
      <c r="AM185" s="143"/>
      <c r="AN185" s="143"/>
      <c r="AO185" s="143"/>
      <c r="AP185" s="143"/>
      <c r="AQ185" s="143"/>
      <c r="AR185" s="143"/>
      <c r="AS185" s="143"/>
      <c r="AT185" s="143"/>
      <c r="AU185" s="143"/>
      <c r="AV185" s="143"/>
      <c r="AW185" s="143"/>
      <c r="AX185" s="143"/>
      <c r="AY185" s="143"/>
      <c r="AZ185" s="143"/>
      <c r="BA185" s="143"/>
    </row>
    <row r="186" spans="1:53" ht="13.8" thickBot="1">
      <c r="A186" s="674"/>
      <c r="B186" s="18" t="s">
        <v>726</v>
      </c>
      <c r="C186" s="18" t="s">
        <v>727</v>
      </c>
      <c r="D186" s="20"/>
      <c r="E186" s="123"/>
      <c r="F186" s="123"/>
      <c r="G186" s="123"/>
      <c r="H186" s="123"/>
      <c r="I186" s="123"/>
      <c r="J186" s="339"/>
      <c r="K186" s="339">
        <f>+K183+K184+K185</f>
        <v>471.17332354100034</v>
      </c>
      <c r="L186" s="339">
        <f t="shared" ref="L186:Q186" si="75">+L183+L184+L185</f>
        <v>509.9953508730004</v>
      </c>
      <c r="M186" s="339">
        <f t="shared" si="75"/>
        <v>427.65273090400063</v>
      </c>
      <c r="N186" s="339">
        <f t="shared" si="75"/>
        <v>2125.6252915599998</v>
      </c>
      <c r="O186" s="339">
        <f t="shared" si="75"/>
        <v>2284.3997887720011</v>
      </c>
      <c r="P186" s="661">
        <f t="shared" si="75"/>
        <v>1903.2483259890012</v>
      </c>
      <c r="Q186" s="340">
        <f t="shared" ca="1" si="75"/>
        <v>2701.1738918776446</v>
      </c>
      <c r="R186" s="340">
        <f t="shared" ref="R186" ca="1" si="76">+R183+R184+R185</f>
        <v>3135.0965236377901</v>
      </c>
      <c r="S186" s="340">
        <f t="shared" ref="S186" ca="1" si="77">+S183+S184+S185</f>
        <v>3137.4176211543613</v>
      </c>
      <c r="T186" s="340">
        <f t="shared" ref="T186" ca="1" si="78">+T183+T184+T185</f>
        <v>3867.4171858535396</v>
      </c>
      <c r="U186" s="340">
        <f t="shared" ref="U186" ca="1" si="79">+U183+U184+U185</f>
        <v>4329.2237196818278</v>
      </c>
      <c r="V186" s="340">
        <f t="shared" ref="V186" ca="1" si="80">+V183+V184+V185</f>
        <v>3844.8481423006915</v>
      </c>
      <c r="W186" s="340">
        <f t="shared" ref="W186" ca="1" si="81">+W183+W184+W185</f>
        <v>4112.1786595236299</v>
      </c>
      <c r="X186" s="340">
        <f t="shared" ref="X186" ca="1" si="82">+X183+X184+X185</f>
        <v>4373.6470410809279</v>
      </c>
      <c r="Y186" s="340">
        <f t="shared" ref="Y186:Z186" ca="1" si="83">+Y183+Y184+Y185</f>
        <v>4640.8002786566949</v>
      </c>
      <c r="Z186" s="340">
        <f t="shared" ca="1" si="83"/>
        <v>4840.4743234377711</v>
      </c>
      <c r="AA186" s="340"/>
      <c r="AB186" s="341"/>
      <c r="AC186" s="341"/>
      <c r="AD186" s="341"/>
      <c r="AE186" s="341"/>
      <c r="AF186" s="341"/>
      <c r="AG186" s="341"/>
      <c r="AH186" s="341"/>
      <c r="AI186" s="341"/>
      <c r="AJ186" s="341"/>
      <c r="AK186" s="341"/>
      <c r="AL186" s="341"/>
      <c r="AM186" s="341"/>
      <c r="AN186" s="341"/>
      <c r="AO186" s="341"/>
      <c r="AP186" s="341"/>
      <c r="AQ186" s="341"/>
      <c r="AR186" s="341"/>
      <c r="AS186" s="341"/>
      <c r="AT186" s="341"/>
      <c r="AU186" s="341"/>
      <c r="AV186" s="341"/>
      <c r="AW186" s="341"/>
      <c r="AX186" s="341"/>
      <c r="AY186" s="341"/>
      <c r="AZ186" s="341"/>
      <c r="BA186" s="341"/>
    </row>
    <row r="187" spans="1:53" ht="13.8" thickTop="1">
      <c r="A187" s="384"/>
      <c r="B187" s="1811" t="s">
        <v>383</v>
      </c>
      <c r="C187" s="1812"/>
      <c r="D187" s="1813"/>
      <c r="E187" s="691"/>
      <c r="F187" s="691"/>
      <c r="G187" s="691"/>
      <c r="H187" s="691"/>
      <c r="I187" s="691"/>
      <c r="J187" s="1814"/>
      <c r="K187" s="1814">
        <f>+K186-'Output-FR (check)'!K59</f>
        <v>0</v>
      </c>
      <c r="L187" s="1814">
        <f>+L186-'Output-FR (check)'!L59</f>
        <v>0</v>
      </c>
      <c r="M187" s="1814">
        <f>+M186-'Output-FR (check)'!M59</f>
        <v>6.2527760746888816E-13</v>
      </c>
      <c r="N187" s="1814">
        <f>+N186-'Output-FR (check)'!N59</f>
        <v>0</v>
      </c>
      <c r="O187" s="1814">
        <f>+O186-'Output-FR (check)'!O59</f>
        <v>0</v>
      </c>
      <c r="P187" s="625">
        <f>+P186-'Output-FR (check)'!P59</f>
        <v>0</v>
      </c>
      <c r="Q187" s="1819">
        <f ca="1">+Q186-'Output-FR (check)'!Q59</f>
        <v>0</v>
      </c>
      <c r="R187" s="1819">
        <f ca="1">+R186-'Output-FR (check)'!R59</f>
        <v>0</v>
      </c>
      <c r="S187" s="1819">
        <f ca="1">+S186-'Output-FR (check)'!S59</f>
        <v>0</v>
      </c>
      <c r="T187" s="1819">
        <f ca="1">+T186-'Output-FR (check)'!T59</f>
        <v>0</v>
      </c>
      <c r="U187" s="1819">
        <f ca="1">+U186-'Output-FR (check)'!U59</f>
        <v>0</v>
      </c>
      <c r="V187" s="1819">
        <f ca="1">+V186-'Output-FR (check)'!V59</f>
        <v>0</v>
      </c>
      <c r="W187" s="1819">
        <f ca="1">+W186-'Output-FR (check)'!W59</f>
        <v>0</v>
      </c>
      <c r="X187" s="1819">
        <f ca="1">+X186-'Output-FR (check)'!X59</f>
        <v>0</v>
      </c>
      <c r="Y187" s="1819">
        <f ca="1">+Y186-'Output-FR (check)'!Y59</f>
        <v>0</v>
      </c>
      <c r="Z187" s="1819">
        <f ca="1">+Z186-'Output-FR (check)'!Z59</f>
        <v>0</v>
      </c>
      <c r="AA187" s="1819"/>
      <c r="AB187" s="1487"/>
      <c r="AC187" s="1487"/>
      <c r="AD187" s="1487"/>
      <c r="AE187" s="1487"/>
      <c r="AF187" s="1487"/>
      <c r="AG187" s="1487"/>
      <c r="AH187" s="1487"/>
      <c r="AI187" s="1487"/>
      <c r="AJ187" s="1487"/>
      <c r="AK187" s="1487"/>
      <c r="AL187" s="1487"/>
      <c r="AM187" s="1487"/>
      <c r="AN187" s="1487"/>
      <c r="AO187" s="1487"/>
      <c r="AP187" s="1487"/>
      <c r="AQ187" s="1487"/>
      <c r="AR187" s="1487"/>
      <c r="AS187" s="1487"/>
      <c r="AT187" s="1487"/>
      <c r="AU187" s="1487"/>
      <c r="AV187" s="1487"/>
      <c r="AW187" s="1487"/>
      <c r="AX187" s="1487"/>
      <c r="AY187" s="1487"/>
      <c r="AZ187" s="1487"/>
      <c r="BA187" s="1487"/>
    </row>
    <row r="188" spans="1:53">
      <c r="M188" s="539"/>
      <c r="P188" s="634"/>
    </row>
    <row r="189" spans="1:53">
      <c r="M189" s="539"/>
      <c r="P189" s="634"/>
    </row>
    <row r="190" spans="1:53">
      <c r="M190" s="539"/>
      <c r="P190" s="634"/>
    </row>
    <row r="191" spans="1:53">
      <c r="M191" s="539"/>
      <c r="P191" s="634"/>
    </row>
    <row r="192" spans="1:53">
      <c r="M192" s="539"/>
      <c r="P192" s="634"/>
    </row>
    <row r="193" spans="13:16">
      <c r="M193" s="539"/>
      <c r="P193" s="634"/>
    </row>
    <row r="194" spans="13:16">
      <c r="M194" s="539"/>
      <c r="P194" s="634"/>
    </row>
    <row r="195" spans="13:16">
      <c r="M195" s="539"/>
      <c r="P195" s="634"/>
    </row>
    <row r="196" spans="13:16">
      <c r="M196" s="539"/>
      <c r="P196" s="634"/>
    </row>
    <row r="197" spans="13:16">
      <c r="M197" s="539"/>
      <c r="P197" s="634"/>
    </row>
    <row r="198" spans="13:16">
      <c r="M198" s="539"/>
      <c r="P198" s="634"/>
    </row>
    <row r="199" spans="13:16">
      <c r="M199" s="539"/>
      <c r="P199" s="634"/>
    </row>
    <row r="200" spans="13:16">
      <c r="M200" s="539"/>
      <c r="P200" s="634"/>
    </row>
    <row r="201" spans="13:16">
      <c r="M201" s="539"/>
      <c r="P201" s="634"/>
    </row>
    <row r="202" spans="13:16">
      <c r="M202" s="539"/>
      <c r="P202" s="634"/>
    </row>
    <row r="203" spans="13:16">
      <c r="M203" s="539"/>
      <c r="P203" s="634"/>
    </row>
    <row r="204" spans="13:16">
      <c r="M204" s="539"/>
      <c r="P204" s="634"/>
    </row>
    <row r="205" spans="13:16">
      <c r="M205" s="539"/>
      <c r="P205" s="634"/>
    </row>
    <row r="206" spans="13:16">
      <c r="M206" s="539"/>
      <c r="P206" s="634"/>
    </row>
    <row r="207" spans="13:16">
      <c r="M207" s="539"/>
      <c r="P207" s="634"/>
    </row>
    <row r="208" spans="13:16">
      <c r="M208" s="539"/>
      <c r="P208" s="634"/>
    </row>
    <row r="209" spans="13:16">
      <c r="M209" s="539"/>
      <c r="P209" s="634"/>
    </row>
    <row r="210" spans="13:16">
      <c r="M210" s="539"/>
      <c r="P210" s="634"/>
    </row>
    <row r="211" spans="13:16">
      <c r="M211" s="539"/>
      <c r="P211" s="634"/>
    </row>
    <row r="212" spans="13:16">
      <c r="M212" s="539"/>
      <c r="P212" s="634"/>
    </row>
    <row r="213" spans="13:16">
      <c r="M213" s="539"/>
      <c r="P213" s="634"/>
    </row>
    <row r="214" spans="13:16">
      <c r="M214" s="539"/>
      <c r="P214" s="634"/>
    </row>
    <row r="215" spans="13:16">
      <c r="M215" s="539"/>
      <c r="P215" s="634"/>
    </row>
    <row r="216" spans="13:16">
      <c r="M216" s="539"/>
      <c r="P216" s="634"/>
    </row>
    <row r="217" spans="13:16">
      <c r="M217" s="539"/>
      <c r="P217" s="634"/>
    </row>
    <row r="218" spans="13:16">
      <c r="M218" s="539"/>
      <c r="P218" s="634"/>
    </row>
    <row r="219" spans="13:16">
      <c r="M219" s="539"/>
      <c r="P219" s="634"/>
    </row>
    <row r="220" spans="13:16">
      <c r="M220" s="539"/>
      <c r="P220" s="634"/>
    </row>
    <row r="221" spans="13:16">
      <c r="M221" s="539"/>
      <c r="P221" s="634"/>
    </row>
    <row r="222" spans="13:16">
      <c r="M222" s="539"/>
      <c r="P222" s="634"/>
    </row>
    <row r="223" spans="13:16">
      <c r="M223" s="539"/>
      <c r="P223" s="634"/>
    </row>
    <row r="224" spans="13:16">
      <c r="M224" s="539"/>
      <c r="P224" s="634"/>
    </row>
    <row r="225" spans="13:16">
      <c r="M225" s="539"/>
      <c r="P225" s="634"/>
    </row>
    <row r="226" spans="13:16">
      <c r="M226" s="539"/>
      <c r="P226" s="634"/>
    </row>
    <row r="227" spans="13:16">
      <c r="M227" s="539"/>
      <c r="P227" s="634"/>
    </row>
    <row r="228" spans="13:16">
      <c r="M228" s="539"/>
      <c r="P228" s="634"/>
    </row>
    <row r="229" spans="13:16">
      <c r="M229" s="539"/>
      <c r="P229" s="634"/>
    </row>
    <row r="230" spans="13:16">
      <c r="M230" s="539"/>
      <c r="P230" s="634"/>
    </row>
    <row r="231" spans="13:16">
      <c r="M231" s="539"/>
      <c r="P231" s="634"/>
    </row>
    <row r="232" spans="13:16">
      <c r="M232" s="539"/>
      <c r="P232" s="634"/>
    </row>
    <row r="233" spans="13:16">
      <c r="M233" s="539"/>
      <c r="P233" s="634"/>
    </row>
    <row r="234" spans="13:16">
      <c r="M234" s="539"/>
      <c r="P234" s="634"/>
    </row>
    <row r="235" spans="13:16">
      <c r="M235" s="539"/>
      <c r="P235" s="634"/>
    </row>
    <row r="236" spans="13:16">
      <c r="M236" s="539"/>
      <c r="P236" s="634"/>
    </row>
    <row r="237" spans="13:16">
      <c r="M237" s="539"/>
      <c r="P237" s="634"/>
    </row>
    <row r="238" spans="13:16">
      <c r="M238" s="539"/>
      <c r="P238" s="634"/>
    </row>
    <row r="239" spans="13:16">
      <c r="M239" s="539"/>
      <c r="P239" s="634"/>
    </row>
    <row r="240" spans="13:16">
      <c r="M240" s="539"/>
      <c r="P240" s="634"/>
    </row>
    <row r="241" spans="13:16">
      <c r="M241" s="539"/>
      <c r="P241" s="634"/>
    </row>
    <row r="242" spans="13:16">
      <c r="M242" s="539"/>
      <c r="P242" s="634"/>
    </row>
    <row r="243" spans="13:16">
      <c r="M243" s="539"/>
      <c r="P243" s="634"/>
    </row>
    <row r="244" spans="13:16">
      <c r="M244" s="539"/>
      <c r="P244" s="634"/>
    </row>
    <row r="245" spans="13:16">
      <c r="M245" s="539"/>
      <c r="P245" s="634"/>
    </row>
    <row r="246" spans="13:16">
      <c r="M246" s="539"/>
      <c r="P246" s="634"/>
    </row>
    <row r="247" spans="13:16">
      <c r="M247" s="539"/>
      <c r="P247" s="634"/>
    </row>
    <row r="248" spans="13:16">
      <c r="M248" s="539"/>
      <c r="P248" s="634"/>
    </row>
    <row r="249" spans="13:16">
      <c r="M249" s="539"/>
      <c r="P249" s="634"/>
    </row>
    <row r="250" spans="13:16">
      <c r="M250" s="539"/>
      <c r="P250" s="634"/>
    </row>
    <row r="251" spans="13:16">
      <c r="M251" s="539"/>
      <c r="P251" s="634"/>
    </row>
    <row r="252" spans="13:16">
      <c r="M252" s="539"/>
      <c r="P252" s="634"/>
    </row>
    <row r="253" spans="13:16">
      <c r="M253" s="539"/>
      <c r="P253" s="634"/>
    </row>
    <row r="254" spans="13:16">
      <c r="M254" s="539"/>
      <c r="P254" s="634"/>
    </row>
    <row r="255" spans="13:16">
      <c r="M255" s="539"/>
      <c r="P255" s="634"/>
    </row>
    <row r="256" spans="13:16">
      <c r="M256" s="539"/>
      <c r="P256" s="634"/>
    </row>
    <row r="257" spans="13:16">
      <c r="M257" s="539"/>
      <c r="P257" s="634"/>
    </row>
    <row r="258" spans="13:16">
      <c r="M258" s="539"/>
      <c r="P258" s="634"/>
    </row>
    <row r="259" spans="13:16">
      <c r="M259" s="539"/>
      <c r="P259" s="634"/>
    </row>
    <row r="260" spans="13:16">
      <c r="M260" s="539"/>
      <c r="P260" s="634"/>
    </row>
    <row r="261" spans="13:16">
      <c r="M261" s="539"/>
      <c r="P261" s="634"/>
    </row>
    <row r="262" spans="13:16">
      <c r="M262" s="539"/>
      <c r="P262" s="634"/>
    </row>
    <row r="263" spans="13:16">
      <c r="M263" s="539"/>
      <c r="P263" s="634"/>
    </row>
    <row r="264" spans="13:16">
      <c r="M264" s="539"/>
      <c r="P264" s="634"/>
    </row>
    <row r="265" spans="13:16">
      <c r="M265" s="539"/>
      <c r="P265" s="634"/>
    </row>
    <row r="266" spans="13:16">
      <c r="M266" s="539"/>
      <c r="P266" s="634"/>
    </row>
    <row r="267" spans="13:16">
      <c r="M267" s="539"/>
      <c r="P267" s="634"/>
    </row>
    <row r="268" spans="13:16">
      <c r="M268" s="539"/>
      <c r="P268" s="634"/>
    </row>
    <row r="269" spans="13:16">
      <c r="M269" s="539"/>
      <c r="P269" s="634"/>
    </row>
    <row r="270" spans="13:16">
      <c r="M270" s="539"/>
      <c r="P270" s="634"/>
    </row>
    <row r="271" spans="13:16">
      <c r="M271" s="539"/>
      <c r="P271" s="634"/>
    </row>
    <row r="272" spans="13:16">
      <c r="M272" s="539"/>
      <c r="P272" s="634"/>
    </row>
    <row r="273" spans="13:16">
      <c r="M273" s="539"/>
      <c r="P273" s="634"/>
    </row>
    <row r="274" spans="13:16">
      <c r="M274" s="539"/>
      <c r="P274" s="634"/>
    </row>
    <row r="275" spans="13:16">
      <c r="M275" s="539"/>
      <c r="P275" s="634"/>
    </row>
    <row r="276" spans="13:16">
      <c r="M276" s="539"/>
      <c r="P276" s="634"/>
    </row>
    <row r="277" spans="13:16">
      <c r="M277" s="539"/>
      <c r="P277" s="634"/>
    </row>
    <row r="278" spans="13:16">
      <c r="M278" s="539"/>
      <c r="P278" s="634"/>
    </row>
    <row r="279" spans="13:16">
      <c r="M279" s="539"/>
      <c r="P279" s="634"/>
    </row>
    <row r="280" spans="13:16">
      <c r="M280" s="539"/>
      <c r="P280" s="634"/>
    </row>
    <row r="281" spans="13:16">
      <c r="M281" s="539"/>
      <c r="P281" s="634"/>
    </row>
    <row r="282" spans="13:16">
      <c r="M282" s="539"/>
      <c r="P282" s="634"/>
    </row>
    <row r="283" spans="13:16">
      <c r="M283" s="539"/>
      <c r="P283" s="634"/>
    </row>
    <row r="284" spans="13:16">
      <c r="M284" s="539"/>
      <c r="P284" s="634"/>
    </row>
    <row r="285" spans="13:16">
      <c r="M285" s="539"/>
      <c r="P285" s="634"/>
    </row>
    <row r="286" spans="13:16">
      <c r="M286" s="539"/>
      <c r="P286" s="634"/>
    </row>
    <row r="287" spans="13:16">
      <c r="M287" s="539"/>
      <c r="P287" s="634"/>
    </row>
    <row r="288" spans="13:16">
      <c r="M288" s="539"/>
      <c r="P288" s="634"/>
    </row>
    <row r="289" spans="13:16">
      <c r="M289" s="539"/>
      <c r="P289" s="634"/>
    </row>
    <row r="290" spans="13:16">
      <c r="M290" s="539"/>
      <c r="P290" s="634"/>
    </row>
    <row r="291" spans="13:16">
      <c r="M291" s="539"/>
      <c r="P291" s="634"/>
    </row>
    <row r="292" spans="13:16">
      <c r="M292" s="539"/>
      <c r="P292" s="634"/>
    </row>
    <row r="293" spans="13:16">
      <c r="M293" s="539"/>
      <c r="P293" s="634"/>
    </row>
    <row r="294" spans="13:16">
      <c r="M294" s="539"/>
      <c r="P294" s="634"/>
    </row>
    <row r="295" spans="13:16">
      <c r="M295" s="539"/>
      <c r="P295" s="634"/>
    </row>
    <row r="296" spans="13:16">
      <c r="M296" s="539"/>
      <c r="P296" s="634"/>
    </row>
    <row r="297" spans="13:16">
      <c r="M297" s="539"/>
      <c r="P297" s="634"/>
    </row>
    <row r="298" spans="13:16">
      <c r="M298" s="539"/>
      <c r="P298" s="634"/>
    </row>
    <row r="299" spans="13:16">
      <c r="M299" s="539"/>
      <c r="P299" s="634"/>
    </row>
    <row r="300" spans="13:16">
      <c r="M300" s="539"/>
      <c r="P300" s="634"/>
    </row>
    <row r="301" spans="13:16">
      <c r="M301" s="539"/>
      <c r="P301" s="634"/>
    </row>
    <row r="302" spans="13:16">
      <c r="M302" s="539"/>
      <c r="P302" s="634"/>
    </row>
    <row r="303" spans="13:16">
      <c r="M303" s="539"/>
      <c r="P303" s="634"/>
    </row>
    <row r="304" spans="13:16">
      <c r="M304" s="539"/>
      <c r="P304" s="634"/>
    </row>
    <row r="305" spans="13:16">
      <c r="M305" s="539"/>
      <c r="P305" s="634"/>
    </row>
    <row r="306" spans="13:16">
      <c r="M306" s="539"/>
      <c r="P306" s="634"/>
    </row>
    <row r="307" spans="13:16">
      <c r="M307" s="539"/>
      <c r="P307" s="634"/>
    </row>
    <row r="308" spans="13:16">
      <c r="M308" s="539"/>
      <c r="P308" s="634"/>
    </row>
    <row r="309" spans="13:16">
      <c r="M309" s="539"/>
      <c r="P309" s="634"/>
    </row>
    <row r="310" spans="13:16">
      <c r="M310" s="539"/>
      <c r="P310" s="634"/>
    </row>
    <row r="311" spans="13:16">
      <c r="M311" s="539"/>
      <c r="P311" s="634"/>
    </row>
    <row r="312" spans="13:16">
      <c r="M312" s="539"/>
      <c r="P312" s="634"/>
    </row>
    <row r="313" spans="13:16">
      <c r="M313" s="539"/>
      <c r="P313" s="634"/>
    </row>
    <row r="314" spans="13:16">
      <c r="M314" s="539"/>
      <c r="P314" s="634"/>
    </row>
    <row r="315" spans="13:16">
      <c r="M315" s="539"/>
      <c r="P315" s="634"/>
    </row>
    <row r="316" spans="13:16">
      <c r="M316" s="539"/>
      <c r="P316" s="634"/>
    </row>
    <row r="317" spans="13:16">
      <c r="M317" s="539"/>
      <c r="P317" s="634"/>
    </row>
    <row r="318" spans="13:16">
      <c r="M318" s="539"/>
      <c r="P318" s="634"/>
    </row>
    <row r="319" spans="13:16">
      <c r="M319" s="539"/>
      <c r="P319" s="634"/>
    </row>
    <row r="320" spans="13:16">
      <c r="M320" s="539"/>
      <c r="P320" s="634"/>
    </row>
    <row r="321" spans="13:16">
      <c r="M321" s="539"/>
      <c r="P321" s="634"/>
    </row>
    <row r="322" spans="13:16">
      <c r="M322" s="539"/>
      <c r="P322" s="634"/>
    </row>
    <row r="323" spans="13:16">
      <c r="M323" s="539"/>
      <c r="P323" s="634"/>
    </row>
    <row r="324" spans="13:16">
      <c r="M324" s="539"/>
      <c r="P324" s="634"/>
    </row>
    <row r="325" spans="13:16">
      <c r="M325" s="539"/>
      <c r="P325" s="634"/>
    </row>
    <row r="326" spans="13:16">
      <c r="M326" s="539"/>
      <c r="P326" s="634"/>
    </row>
    <row r="327" spans="13:16">
      <c r="M327" s="539"/>
      <c r="P327" s="634"/>
    </row>
    <row r="328" spans="13:16">
      <c r="M328" s="539"/>
      <c r="P328" s="634"/>
    </row>
    <row r="329" spans="13:16">
      <c r="M329" s="539"/>
      <c r="P329" s="634"/>
    </row>
    <row r="330" spans="13:16">
      <c r="M330" s="539"/>
      <c r="P330" s="634"/>
    </row>
    <row r="331" spans="13:16">
      <c r="M331" s="539"/>
      <c r="P331" s="634"/>
    </row>
    <row r="332" spans="13:16">
      <c r="P332" s="634"/>
    </row>
    <row r="333" spans="13:16">
      <c r="P333" s="634"/>
    </row>
    <row r="334" spans="13:16">
      <c r="P334" s="634"/>
    </row>
    <row r="335" spans="13:16">
      <c r="P335" s="634"/>
    </row>
    <row r="336" spans="13:16">
      <c r="P336" s="634"/>
    </row>
    <row r="337" spans="16:16">
      <c r="P337" s="634"/>
    </row>
    <row r="338" spans="16:16">
      <c r="P338" s="634"/>
    </row>
    <row r="339" spans="16:16">
      <c r="P339" s="634"/>
    </row>
    <row r="340" spans="16:16">
      <c r="P340" s="634"/>
    </row>
    <row r="341" spans="16:16">
      <c r="P341" s="634"/>
    </row>
    <row r="342" spans="16:16">
      <c r="P342" s="634"/>
    </row>
    <row r="343" spans="16:16">
      <c r="P343" s="634"/>
    </row>
    <row r="344" spans="16:16">
      <c r="P344" s="634"/>
    </row>
    <row r="345" spans="16:16">
      <c r="P345" s="634"/>
    </row>
    <row r="346" spans="16:16">
      <c r="P346" s="634"/>
    </row>
    <row r="347" spans="16:16">
      <c r="P347" s="634"/>
    </row>
    <row r="348" spans="16:16">
      <c r="P348" s="634"/>
    </row>
    <row r="349" spans="16:16">
      <c r="P349" s="634"/>
    </row>
    <row r="350" spans="16:16">
      <c r="P350" s="634"/>
    </row>
    <row r="351" spans="16:16">
      <c r="P351" s="634"/>
    </row>
    <row r="352" spans="16:16">
      <c r="P352" s="634"/>
    </row>
    <row r="353" spans="16:16">
      <c r="P353" s="634"/>
    </row>
    <row r="354" spans="16:16">
      <c r="P354" s="634"/>
    </row>
    <row r="355" spans="16:16">
      <c r="P355" s="634"/>
    </row>
    <row r="356" spans="16:16">
      <c r="P356" s="634"/>
    </row>
    <row r="357" spans="16:16">
      <c r="P357" s="634"/>
    </row>
    <row r="358" spans="16:16">
      <c r="P358" s="634"/>
    </row>
    <row r="359" spans="16:16">
      <c r="P359" s="634"/>
    </row>
    <row r="360" spans="16:16">
      <c r="P360" s="634"/>
    </row>
    <row r="361" spans="16:16">
      <c r="P361" s="634"/>
    </row>
    <row r="362" spans="16:16">
      <c r="P362" s="634"/>
    </row>
    <row r="363" spans="16:16">
      <c r="P363" s="634"/>
    </row>
    <row r="364" spans="16:16">
      <c r="P364" s="634"/>
    </row>
    <row r="365" spans="16:16">
      <c r="P365" s="634"/>
    </row>
    <row r="366" spans="16:16">
      <c r="P366" s="634"/>
    </row>
    <row r="367" spans="16:16">
      <c r="P367" s="634"/>
    </row>
    <row r="368" spans="16:16">
      <c r="P368" s="634"/>
    </row>
    <row r="369" spans="16:16">
      <c r="P369" s="634"/>
    </row>
  </sheetData>
  <mergeCells count="6">
    <mergeCell ref="B2:B3"/>
    <mergeCell ref="C2:C3"/>
    <mergeCell ref="B56:B57"/>
    <mergeCell ref="C56:C57"/>
    <mergeCell ref="B125:B126"/>
    <mergeCell ref="C125:C12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A5D81-826B-4655-B847-0293491B6DD9}">
  <dimension ref="B2:X578"/>
  <sheetViews>
    <sheetView topLeftCell="A4" zoomScale="76" zoomScaleNormal="76" workbookViewId="0">
      <selection activeCell="Q24" sqref="Q24"/>
    </sheetView>
  </sheetViews>
  <sheetFormatPr defaultColWidth="9.109375" defaultRowHeight="14.4"/>
  <cols>
    <col min="1" max="1" width="2.6640625" style="1411" customWidth="1"/>
    <col min="2" max="2" width="12.44140625" style="1411" bestFit="1" customWidth="1"/>
    <col min="3" max="3" width="9.33203125" style="1411" bestFit="1" customWidth="1"/>
    <col min="4" max="4" width="8.44140625" style="1412" bestFit="1" customWidth="1"/>
    <col min="5" max="5" width="4.6640625" style="1412" customWidth="1"/>
    <col min="6" max="6" width="9.33203125" style="1411" bestFit="1" customWidth="1"/>
    <col min="7" max="7" width="8.44140625" style="1411" bestFit="1" customWidth="1"/>
    <col min="8" max="9" width="11.109375" style="1411" customWidth="1"/>
    <col min="10" max="10" width="16.6640625" style="1411" customWidth="1"/>
    <col min="11" max="11" width="14.5546875" style="1411" customWidth="1"/>
    <col min="12" max="12" width="12.5546875" style="1411" customWidth="1"/>
    <col min="13" max="14" width="10.33203125" style="1411" customWidth="1"/>
    <col min="15" max="15" width="9.109375" style="1411"/>
    <col min="16" max="16" width="18.109375" style="1411" bestFit="1" customWidth="1"/>
    <col min="17" max="17" width="16.5546875" style="1411" bestFit="1" customWidth="1"/>
    <col min="18" max="18" width="14.5546875" style="1411" bestFit="1" customWidth="1"/>
    <col min="19" max="20" width="9.109375" style="1411"/>
    <col min="21" max="21" width="11.88671875" style="1411" customWidth="1"/>
    <col min="22" max="22" width="14.109375" style="1411" customWidth="1"/>
    <col min="23" max="23" width="17.109375" style="1411" customWidth="1"/>
    <col min="24" max="24" width="14.77734375" style="1411" customWidth="1"/>
    <col min="25" max="16384" width="9.109375" style="1411"/>
  </cols>
  <sheetData>
    <row r="2" spans="2:24" ht="28.8">
      <c r="B2" s="1410" t="s">
        <v>900</v>
      </c>
      <c r="J2" s="1413"/>
      <c r="P2" s="1410" t="s">
        <v>901</v>
      </c>
    </row>
    <row r="3" spans="2:24" s="1414" customFormat="1" ht="13.5" customHeight="1">
      <c r="B3" s="1410"/>
      <c r="C3" s="1411"/>
      <c r="D3" s="1412"/>
      <c r="E3" s="1412"/>
      <c r="F3" s="1411"/>
      <c r="G3" s="1411"/>
      <c r="P3" s="1411"/>
      <c r="Q3" s="1411"/>
      <c r="R3" s="1411"/>
      <c r="S3" s="1411"/>
      <c r="T3" s="1411"/>
      <c r="U3" s="1411"/>
      <c r="V3" s="1411"/>
      <c r="W3" s="1411"/>
      <c r="X3" s="1411"/>
    </row>
    <row r="4" spans="2:24" s="1418" customFormat="1" ht="15" thickBot="1">
      <c r="B4" s="1415"/>
      <c r="C4" s="2744" t="s">
        <v>902</v>
      </c>
      <c r="D4" s="2744"/>
      <c r="E4" s="1416"/>
      <c r="F4" s="2744" t="s">
        <v>903</v>
      </c>
      <c r="G4" s="2744"/>
      <c r="H4" s="1417"/>
      <c r="I4" s="1417"/>
      <c r="J4" s="2744" t="s">
        <v>904</v>
      </c>
      <c r="K4" s="2745"/>
      <c r="L4" s="1417"/>
      <c r="P4" s="1419" t="s">
        <v>905</v>
      </c>
      <c r="Q4" s="1419"/>
    </row>
    <row r="5" spans="2:24" ht="15" thickTop="1">
      <c r="B5" s="1420" t="s">
        <v>906</v>
      </c>
      <c r="C5" s="1421" t="s">
        <v>907</v>
      </c>
      <c r="D5" s="1421" t="s">
        <v>908</v>
      </c>
      <c r="E5" s="1421"/>
      <c r="F5" s="1421" t="s">
        <v>907</v>
      </c>
      <c r="G5" s="1421" t="s">
        <v>908</v>
      </c>
      <c r="H5" s="1422"/>
      <c r="I5" s="1422"/>
      <c r="J5" s="1423" t="s">
        <v>909</v>
      </c>
      <c r="K5" s="1424" t="s">
        <v>910</v>
      </c>
      <c r="L5" s="1424" t="s">
        <v>911</v>
      </c>
      <c r="P5" s="1425" t="s">
        <v>912</v>
      </c>
      <c r="Q5" s="1425">
        <v>0.31317372866397941</v>
      </c>
    </row>
    <row r="6" spans="2:24">
      <c r="B6" s="1426">
        <v>44598</v>
      </c>
      <c r="C6" s="1427"/>
      <c r="D6" s="1428" t="e">
        <f>C6/C7-1</f>
        <v>#DIV/0!</v>
      </c>
      <c r="E6" s="1429"/>
      <c r="F6" s="1427"/>
      <c r="G6" s="1428" t="e">
        <f>F6/F7-1</f>
        <v>#DIV/0!</v>
      </c>
      <c r="H6" s="1426">
        <v>44598</v>
      </c>
      <c r="I6" s="1422"/>
      <c r="J6" s="1430" t="e">
        <f>STDEV(D6:D577)</f>
        <v>#DIV/0!</v>
      </c>
      <c r="K6" s="1430" t="e">
        <f>STDEV(G6:G577)</f>
        <v>#DIV/0!</v>
      </c>
      <c r="L6" s="1431" t="e">
        <f>J6/K6</f>
        <v>#DIV/0!</v>
      </c>
      <c r="M6" s="1432" t="e">
        <f>F6/F7-1</f>
        <v>#DIV/0!</v>
      </c>
      <c r="N6" s="1411">
        <f>H6-B6</f>
        <v>0</v>
      </c>
      <c r="P6" s="1425" t="s">
        <v>913</v>
      </c>
      <c r="Q6" s="1425">
        <v>9.8077784325299802E-2</v>
      </c>
    </row>
    <row r="7" spans="2:24">
      <c r="B7" s="1426">
        <v>44591</v>
      </c>
      <c r="C7" s="1427"/>
      <c r="D7" s="1428" t="e">
        <f t="shared" ref="D7:D70" si="0">C7/C8-1</f>
        <v>#DIV/0!</v>
      </c>
      <c r="F7" s="1427"/>
      <c r="G7" s="1428" t="e">
        <f t="shared" ref="G7:G70" si="1">F7/F8-1</f>
        <v>#DIV/0!</v>
      </c>
      <c r="H7" s="1426">
        <v>44591</v>
      </c>
      <c r="M7" s="1432" t="e">
        <f t="shared" ref="M7:M70" si="2">F7/F8-1</f>
        <v>#DIV/0!</v>
      </c>
      <c r="N7" s="1411">
        <f t="shared" ref="N7:N70" si="3">H7-B7</f>
        <v>0</v>
      </c>
      <c r="P7" s="1425" t="s">
        <v>914</v>
      </c>
      <c r="Q7" s="1425">
        <v>9.6492683770511234E-2</v>
      </c>
    </row>
    <row r="8" spans="2:24">
      <c r="B8" s="1426">
        <v>44584</v>
      </c>
      <c r="C8" s="1427"/>
      <c r="D8" s="1428" t="e">
        <f t="shared" si="0"/>
        <v>#DIV/0!</v>
      </c>
      <c r="F8" s="1427"/>
      <c r="G8" s="1428" t="e">
        <f t="shared" si="1"/>
        <v>#DIV/0!</v>
      </c>
      <c r="H8" s="1426">
        <v>44584</v>
      </c>
      <c r="I8" s="1418" t="s">
        <v>915</v>
      </c>
      <c r="J8" s="1433" t="s">
        <v>916</v>
      </c>
      <c r="K8" s="1434"/>
      <c r="L8" s="1434"/>
      <c r="M8" s="1432" t="e">
        <f t="shared" si="2"/>
        <v>#DIV/0!</v>
      </c>
      <c r="N8" s="1411">
        <f t="shared" si="3"/>
        <v>0</v>
      </c>
      <c r="P8" s="1425" t="s">
        <v>917</v>
      </c>
      <c r="Q8" s="1425">
        <v>2.1149260673880073E-2</v>
      </c>
    </row>
    <row r="9" spans="2:24" ht="15" thickBot="1">
      <c r="B9" s="1426">
        <v>44577</v>
      </c>
      <c r="C9" s="1427"/>
      <c r="D9" s="1428" t="e">
        <f t="shared" si="0"/>
        <v>#DIV/0!</v>
      </c>
      <c r="F9" s="1427"/>
      <c r="G9" s="1428" t="e">
        <f t="shared" si="1"/>
        <v>#DIV/0!</v>
      </c>
      <c r="H9" s="1426">
        <v>44577</v>
      </c>
      <c r="J9" s="1435" t="s">
        <v>918</v>
      </c>
      <c r="K9" s="1435"/>
      <c r="L9" s="1436">
        <v>5.96E-2</v>
      </c>
      <c r="M9" s="1432" t="e">
        <f t="shared" si="2"/>
        <v>#DIV/0!</v>
      </c>
      <c r="N9" s="1411">
        <f t="shared" si="3"/>
        <v>0</v>
      </c>
      <c r="P9" s="1437" t="s">
        <v>919</v>
      </c>
      <c r="Q9" s="1437">
        <v>571</v>
      </c>
    </row>
    <row r="10" spans="2:24">
      <c r="B10" s="1426">
        <v>44570</v>
      </c>
      <c r="C10" s="1427"/>
      <c r="D10" s="1428" t="e">
        <f t="shared" si="0"/>
        <v>#DIV/0!</v>
      </c>
      <c r="F10" s="1427"/>
      <c r="G10" s="1428" t="e">
        <f t="shared" si="1"/>
        <v>#DIV/0!</v>
      </c>
      <c r="H10" s="1426">
        <v>44570</v>
      </c>
      <c r="J10" s="1422" t="s">
        <v>920</v>
      </c>
      <c r="K10" s="1422"/>
      <c r="L10" s="1438" t="e">
        <f>L6</f>
        <v>#DIV/0!</v>
      </c>
      <c r="M10" s="1432" t="e">
        <f t="shared" si="2"/>
        <v>#DIV/0!</v>
      </c>
      <c r="N10" s="1411">
        <f t="shared" si="3"/>
        <v>0</v>
      </c>
    </row>
    <row r="11" spans="2:24" ht="15" thickBot="1">
      <c r="B11" s="1426">
        <v>44563</v>
      </c>
      <c r="C11" s="1427"/>
      <c r="D11" s="1428" t="e">
        <f t="shared" si="0"/>
        <v>#DIV/0!</v>
      </c>
      <c r="F11" s="1427"/>
      <c r="G11" s="1428" t="e">
        <f t="shared" si="1"/>
        <v>#DIV/0!</v>
      </c>
      <c r="H11" s="1426">
        <v>44563</v>
      </c>
      <c r="J11" s="1439" t="s">
        <v>921</v>
      </c>
      <c r="K11" s="1439"/>
      <c r="L11" s="1440" t="e">
        <f>L9*L10</f>
        <v>#DIV/0!</v>
      </c>
      <c r="M11" s="1432" t="e">
        <f t="shared" si="2"/>
        <v>#DIV/0!</v>
      </c>
      <c r="N11" s="1411">
        <f t="shared" si="3"/>
        <v>0</v>
      </c>
      <c r="P11" s="1411" t="s">
        <v>922</v>
      </c>
    </row>
    <row r="12" spans="2:24">
      <c r="B12" s="1426">
        <v>44556</v>
      </c>
      <c r="C12" s="1427"/>
      <c r="D12" s="1428" t="e">
        <f t="shared" si="0"/>
        <v>#DIV/0!</v>
      </c>
      <c r="F12" s="1427"/>
      <c r="G12" s="1428" t="e">
        <f t="shared" si="1"/>
        <v>#DIV/0!</v>
      </c>
      <c r="H12" s="1426">
        <v>44556</v>
      </c>
      <c r="M12" s="1432" t="e">
        <f t="shared" si="2"/>
        <v>#DIV/0!</v>
      </c>
      <c r="N12" s="1411">
        <f t="shared" si="3"/>
        <v>0</v>
      </c>
      <c r="P12" s="1441"/>
      <c r="Q12" s="1441" t="s">
        <v>923</v>
      </c>
      <c r="R12" s="1441" t="s">
        <v>924</v>
      </c>
      <c r="S12" s="1441" t="s">
        <v>925</v>
      </c>
      <c r="T12" s="1441" t="s">
        <v>926</v>
      </c>
      <c r="U12" s="1441" t="s">
        <v>927</v>
      </c>
    </row>
    <row r="13" spans="2:24">
      <c r="B13" s="1426">
        <v>44549</v>
      </c>
      <c r="C13" s="1427"/>
      <c r="D13" s="1428" t="e">
        <f t="shared" si="0"/>
        <v>#DIV/0!</v>
      </c>
      <c r="F13" s="1427"/>
      <c r="G13" s="1428" t="e">
        <f t="shared" si="1"/>
        <v>#DIV/0!</v>
      </c>
      <c r="H13" s="1426">
        <v>44549</v>
      </c>
      <c r="I13" s="1418" t="s">
        <v>928</v>
      </c>
      <c r="J13" s="1433" t="s">
        <v>929</v>
      </c>
      <c r="K13" s="1434"/>
      <c r="L13" s="1434"/>
      <c r="M13" s="1432" t="e">
        <f t="shared" si="2"/>
        <v>#DIV/0!</v>
      </c>
      <c r="N13" s="1411">
        <f t="shared" si="3"/>
        <v>0</v>
      </c>
      <c r="P13" s="1411" t="s">
        <v>930</v>
      </c>
      <c r="Q13" s="1425">
        <v>1</v>
      </c>
      <c r="R13" s="1425">
        <v>2.7676056490453793E-2</v>
      </c>
      <c r="S13" s="1425">
        <v>2.7676056490453793E-2</v>
      </c>
      <c r="T13" s="1425">
        <v>61.874802850208809</v>
      </c>
      <c r="U13" s="1425">
        <v>1.8504548022036519E-14</v>
      </c>
    </row>
    <row r="14" spans="2:24">
      <c r="B14" s="1426">
        <v>44542</v>
      </c>
      <c r="C14" s="1427"/>
      <c r="D14" s="1428" t="e">
        <f t="shared" si="0"/>
        <v>#DIV/0!</v>
      </c>
      <c r="F14" s="1427"/>
      <c r="G14" s="1428" t="e">
        <f t="shared" si="1"/>
        <v>#DIV/0!</v>
      </c>
      <c r="H14" s="1426">
        <v>44542</v>
      </c>
      <c r="J14" s="1435" t="s">
        <v>918</v>
      </c>
      <c r="K14" s="1435"/>
      <c r="L14" s="1442">
        <f>L9</f>
        <v>5.96E-2</v>
      </c>
      <c r="M14" s="1432" t="e">
        <f t="shared" si="2"/>
        <v>#DIV/0!</v>
      </c>
      <c r="N14" s="1411">
        <f t="shared" si="3"/>
        <v>0</v>
      </c>
      <c r="P14" s="1411" t="s">
        <v>931</v>
      </c>
      <c r="Q14" s="1425">
        <v>569</v>
      </c>
      <c r="R14" s="1425">
        <v>0.25450870819243449</v>
      </c>
      <c r="S14" s="1425">
        <v>4.4729122705173022E-4</v>
      </c>
      <c r="T14" s="1425"/>
      <c r="U14" s="1425"/>
    </row>
    <row r="15" spans="2:24" ht="15" thickBot="1">
      <c r="B15" s="1426">
        <v>44535</v>
      </c>
      <c r="C15" s="1427"/>
      <c r="D15" s="1428" t="e">
        <f t="shared" si="0"/>
        <v>#DIV/0!</v>
      </c>
      <c r="F15" s="1427"/>
      <c r="G15" s="1428" t="e">
        <f t="shared" si="1"/>
        <v>#DIV/0!</v>
      </c>
      <c r="H15" s="1426">
        <v>44535</v>
      </c>
      <c r="J15" s="1422" t="s">
        <v>932</v>
      </c>
      <c r="K15" s="1422"/>
      <c r="L15" s="1443">
        <v>2.1399999999999999E-2</v>
      </c>
      <c r="M15" s="1432" t="e">
        <f t="shared" si="2"/>
        <v>#DIV/0!</v>
      </c>
      <c r="N15" s="1411">
        <f t="shared" si="3"/>
        <v>0</v>
      </c>
      <c r="P15" s="1444" t="s">
        <v>933</v>
      </c>
      <c r="Q15" s="1437">
        <v>570</v>
      </c>
      <c r="R15" s="1437">
        <v>0.28218476468288828</v>
      </c>
      <c r="S15" s="1437"/>
      <c r="T15" s="1437"/>
      <c r="U15" s="1437"/>
    </row>
    <row r="16" spans="2:24" ht="15" thickBot="1">
      <c r="B16" s="1426">
        <v>44528</v>
      </c>
      <c r="C16" s="1427"/>
      <c r="D16" s="1428" t="e">
        <f t="shared" si="0"/>
        <v>#DIV/0!</v>
      </c>
      <c r="F16" s="1427"/>
      <c r="G16" s="1428" t="e">
        <f t="shared" si="1"/>
        <v>#DIV/0!</v>
      </c>
      <c r="H16" s="1426">
        <v>44528</v>
      </c>
      <c r="J16" s="1422" t="s">
        <v>920</v>
      </c>
      <c r="K16" s="1422"/>
      <c r="L16" s="1445">
        <v>1.23</v>
      </c>
      <c r="M16" s="1432" t="e">
        <f t="shared" si="2"/>
        <v>#DIV/0!</v>
      </c>
      <c r="N16" s="1411">
        <f t="shared" si="3"/>
        <v>0</v>
      </c>
    </row>
    <row r="17" spans="2:24">
      <c r="B17" s="1426">
        <v>44521</v>
      </c>
      <c r="C17" s="1427"/>
      <c r="D17" s="1428" t="e">
        <f t="shared" si="0"/>
        <v>#DIV/0!</v>
      </c>
      <c r="F17" s="1427"/>
      <c r="G17" s="1428" t="e">
        <f t="shared" si="1"/>
        <v>#DIV/0!</v>
      </c>
      <c r="H17" s="1426">
        <v>44521</v>
      </c>
      <c r="J17" s="1439" t="s">
        <v>921</v>
      </c>
      <c r="K17" s="1439"/>
      <c r="L17" s="1440">
        <f>L14+L15*L16</f>
        <v>8.5921999999999998E-2</v>
      </c>
      <c r="M17" s="1432" t="e">
        <f t="shared" si="2"/>
        <v>#DIV/0!</v>
      </c>
      <c r="N17" s="1411">
        <f t="shared" si="3"/>
        <v>0</v>
      </c>
      <c r="P17" s="1441"/>
      <c r="Q17" s="1441" t="s">
        <v>934</v>
      </c>
      <c r="R17" s="1441" t="s">
        <v>917</v>
      </c>
      <c r="S17" s="1441" t="s">
        <v>935</v>
      </c>
      <c r="T17" s="1441" t="s">
        <v>936</v>
      </c>
      <c r="U17" s="1441" t="s">
        <v>937</v>
      </c>
      <c r="V17" s="1441" t="s">
        <v>938</v>
      </c>
      <c r="W17" s="1441" t="s">
        <v>939</v>
      </c>
      <c r="X17" s="1441" t="s">
        <v>940</v>
      </c>
    </row>
    <row r="18" spans="2:24">
      <c r="B18" s="1426">
        <v>44514</v>
      </c>
      <c r="C18" s="1427"/>
      <c r="D18" s="1428" t="e">
        <f t="shared" si="0"/>
        <v>#DIV/0!</v>
      </c>
      <c r="F18" s="1427"/>
      <c r="G18" s="1428" t="e">
        <f t="shared" si="1"/>
        <v>#DIV/0!</v>
      </c>
      <c r="H18" s="1426">
        <v>44514</v>
      </c>
      <c r="M18" s="1432" t="e">
        <f t="shared" si="2"/>
        <v>#DIV/0!</v>
      </c>
      <c r="N18" s="1411">
        <f t="shared" si="3"/>
        <v>0</v>
      </c>
      <c r="P18" s="1411" t="s">
        <v>941</v>
      </c>
      <c r="Q18" s="1425">
        <v>1.8738108001391575E-3</v>
      </c>
      <c r="R18" s="1425">
        <v>8.8809106721328445E-4</v>
      </c>
      <c r="S18" s="1425">
        <v>2.1099309173539318</v>
      </c>
      <c r="T18" s="1425">
        <v>3.5300282676485523E-2</v>
      </c>
      <c r="U18" s="1425">
        <v>1.2947391512740393E-4</v>
      </c>
      <c r="V18" s="1425">
        <v>3.6181476851509112E-3</v>
      </c>
      <c r="W18" s="1425">
        <v>1.2947391512740393E-4</v>
      </c>
      <c r="X18" s="1425">
        <v>3.6181476851509112E-3</v>
      </c>
    </row>
    <row r="19" spans="2:24" ht="15" thickBot="1">
      <c r="B19" s="1426">
        <v>44507</v>
      </c>
      <c r="C19" s="1427"/>
      <c r="D19" s="1428" t="e">
        <f t="shared" si="0"/>
        <v>#DIV/0!</v>
      </c>
      <c r="F19" s="1427"/>
      <c r="G19" s="1428" t="e">
        <f t="shared" si="1"/>
        <v>#DIV/0!</v>
      </c>
      <c r="H19" s="1426">
        <v>44507</v>
      </c>
      <c r="I19" s="1418" t="s">
        <v>942</v>
      </c>
      <c r="J19" s="1433" t="s">
        <v>929</v>
      </c>
      <c r="K19" s="1433"/>
      <c r="L19" s="1433"/>
      <c r="M19" s="1432" t="e">
        <f t="shared" si="2"/>
        <v>#DIV/0!</v>
      </c>
      <c r="N19" s="1411">
        <f t="shared" si="3"/>
        <v>0</v>
      </c>
      <c r="P19" s="1444" t="s">
        <v>943</v>
      </c>
      <c r="Q19" s="1437">
        <v>0.26322786532426645</v>
      </c>
      <c r="R19" s="1437">
        <v>3.346377624999762E-2</v>
      </c>
      <c r="S19" s="1437">
        <v>7.8660538296028433</v>
      </c>
      <c r="T19" s="1437">
        <v>1.8504548022029832E-14</v>
      </c>
      <c r="U19" s="1437">
        <v>0.19750025992472642</v>
      </c>
      <c r="V19" s="1437">
        <v>0.32895547072380649</v>
      </c>
      <c r="W19" s="1437">
        <v>0.19750025992472642</v>
      </c>
      <c r="X19" s="1437">
        <v>0.32895547072380649</v>
      </c>
    </row>
    <row r="20" spans="2:24">
      <c r="B20" s="1426">
        <v>44500</v>
      </c>
      <c r="C20" s="1427"/>
      <c r="D20" s="1428" t="e">
        <f t="shared" si="0"/>
        <v>#DIV/0!</v>
      </c>
      <c r="F20" s="1427"/>
      <c r="G20" s="1428" t="e">
        <f t="shared" si="1"/>
        <v>#DIV/0!</v>
      </c>
      <c r="H20" s="1426">
        <v>44500</v>
      </c>
      <c r="J20" s="1435" t="s">
        <v>918</v>
      </c>
      <c r="K20" s="1435"/>
      <c r="L20" s="1442">
        <f>L14</f>
        <v>5.96E-2</v>
      </c>
      <c r="M20" s="1432" t="e">
        <f t="shared" si="2"/>
        <v>#DIV/0!</v>
      </c>
      <c r="N20" s="1411">
        <f t="shared" si="3"/>
        <v>0</v>
      </c>
    </row>
    <row r="21" spans="2:24">
      <c r="B21" s="1426">
        <v>44493</v>
      </c>
      <c r="C21" s="1427"/>
      <c r="D21" s="1428" t="e">
        <f t="shared" si="0"/>
        <v>#DIV/0!</v>
      </c>
      <c r="F21" s="1427"/>
      <c r="G21" s="1428" t="e">
        <f t="shared" si="1"/>
        <v>#DIV/0!</v>
      </c>
      <c r="H21" s="1426">
        <v>44493</v>
      </c>
      <c r="J21" s="1422" t="s">
        <v>944</v>
      </c>
      <c r="K21" s="1422"/>
      <c r="L21" s="1428">
        <v>4.0599999999999997E-2</v>
      </c>
      <c r="M21" s="1432" t="e">
        <f t="shared" si="2"/>
        <v>#DIV/0!</v>
      </c>
      <c r="N21" s="1411">
        <f t="shared" si="3"/>
        <v>0</v>
      </c>
      <c r="Q21" s="1446" t="s">
        <v>945</v>
      </c>
      <c r="R21" s="1446"/>
    </row>
    <row r="22" spans="2:24">
      <c r="B22" s="1426">
        <v>44486</v>
      </c>
      <c r="C22" s="1427"/>
      <c r="D22" s="1428" t="e">
        <f t="shared" si="0"/>
        <v>#DIV/0!</v>
      </c>
      <c r="F22" s="1427"/>
      <c r="G22" s="1428" t="e">
        <f t="shared" si="1"/>
        <v>#DIV/0!</v>
      </c>
      <c r="H22" s="1426">
        <v>44486</v>
      </c>
      <c r="J22" s="1422" t="s">
        <v>920</v>
      </c>
      <c r="K22" s="1422"/>
      <c r="L22" s="1438">
        <f>L16</f>
        <v>1.23</v>
      </c>
      <c r="M22" s="1432" t="e">
        <f t="shared" si="2"/>
        <v>#DIV/0!</v>
      </c>
      <c r="N22" s="1411">
        <f t="shared" si="3"/>
        <v>0</v>
      </c>
      <c r="P22" s="1447" t="s">
        <v>946</v>
      </c>
      <c r="Q22" s="1448">
        <v>1.05</v>
      </c>
      <c r="R22" s="1448"/>
      <c r="S22" s="1411" t="e">
        <f>SLOPE(S30:S289,T30:T289)</f>
        <v>#DIV/0!</v>
      </c>
      <c r="T22" s="2748" t="s">
        <v>1513</v>
      </c>
      <c r="U22" s="2748"/>
      <c r="V22" s="2748"/>
      <c r="W22" s="2748"/>
    </row>
    <row r="23" spans="2:24">
      <c r="B23" s="1426">
        <v>44479</v>
      </c>
      <c r="C23" s="1427"/>
      <c r="D23" s="1428" t="e">
        <f t="shared" si="0"/>
        <v>#DIV/0!</v>
      </c>
      <c r="F23" s="1427"/>
      <c r="G23" s="1428" t="e">
        <f t="shared" si="1"/>
        <v>#DIV/0!</v>
      </c>
      <c r="H23" s="1426">
        <v>44479</v>
      </c>
      <c r="J23" s="1439" t="s">
        <v>921</v>
      </c>
      <c r="K23" s="1439"/>
      <c r="L23" s="1440">
        <f>L20+L21*L22</f>
        <v>0.109538</v>
      </c>
      <c r="M23" s="1432" t="e">
        <f t="shared" si="2"/>
        <v>#DIV/0!</v>
      </c>
      <c r="N23" s="1411">
        <f t="shared" si="3"/>
        <v>0</v>
      </c>
      <c r="P23" s="1447" t="s">
        <v>947</v>
      </c>
      <c r="Q23" s="1448">
        <f>DCF!M45</f>
        <v>0.13295579699530313</v>
      </c>
      <c r="R23" s="1448"/>
    </row>
    <row r="24" spans="2:24">
      <c r="B24" s="1426">
        <v>44472</v>
      </c>
      <c r="C24" s="1427"/>
      <c r="D24" s="1428" t="e">
        <f t="shared" si="0"/>
        <v>#DIV/0!</v>
      </c>
      <c r="F24" s="1427"/>
      <c r="G24" s="1428" t="e">
        <f t="shared" si="1"/>
        <v>#DIV/0!</v>
      </c>
      <c r="H24" s="1426">
        <v>44472</v>
      </c>
      <c r="M24" s="1432" t="e">
        <f t="shared" si="2"/>
        <v>#DIV/0!</v>
      </c>
      <c r="N24" s="1411">
        <f t="shared" si="3"/>
        <v>0</v>
      </c>
      <c r="P24" s="1447" t="s">
        <v>948</v>
      </c>
      <c r="Q24" s="1449">
        <f>Input!Q89</f>
        <v>0.15652879143065074</v>
      </c>
      <c r="R24" s="1450"/>
    </row>
    <row r="25" spans="2:24">
      <c r="B25" s="1426">
        <v>44465</v>
      </c>
      <c r="C25" s="1427"/>
      <c r="D25" s="1428" t="e">
        <f t="shared" si="0"/>
        <v>#DIV/0!</v>
      </c>
      <c r="F25" s="1427"/>
      <c r="G25" s="1428" t="e">
        <f t="shared" si="1"/>
        <v>#DIV/0!</v>
      </c>
      <c r="H25" s="1426">
        <v>44465</v>
      </c>
      <c r="I25" s="1418"/>
      <c r="J25" s="1433"/>
      <c r="K25" s="1433"/>
      <c r="L25" s="1433"/>
      <c r="M25" s="1432" t="e">
        <f t="shared" si="2"/>
        <v>#DIV/0!</v>
      </c>
      <c r="N25" s="1411">
        <f t="shared" si="3"/>
        <v>0</v>
      </c>
      <c r="P25" s="1451" t="s">
        <v>949</v>
      </c>
      <c r="Q25" s="1452">
        <f>Q22/(1+Q23*(1-Q24))</f>
        <v>0.94412201552536512</v>
      </c>
      <c r="R25" s="1452"/>
    </row>
    <row r="26" spans="2:24">
      <c r="B26" s="1426">
        <v>44458</v>
      </c>
      <c r="C26" s="1427"/>
      <c r="D26" s="1428" t="e">
        <f t="shared" si="0"/>
        <v>#DIV/0!</v>
      </c>
      <c r="F26" s="1427"/>
      <c r="G26" s="1428" t="e">
        <f t="shared" si="1"/>
        <v>#DIV/0!</v>
      </c>
      <c r="H26" s="1426">
        <v>44458</v>
      </c>
      <c r="K26" s="1432"/>
      <c r="L26" s="1432"/>
      <c r="M26" s="1432" t="e">
        <f t="shared" si="2"/>
        <v>#DIV/0!</v>
      </c>
      <c r="N26" s="1411">
        <f t="shared" si="3"/>
        <v>0</v>
      </c>
      <c r="P26" s="1453"/>
      <c r="Q26" s="1454"/>
      <c r="R26" s="1454"/>
    </row>
    <row r="27" spans="2:24">
      <c r="B27" s="1426">
        <v>44451</v>
      </c>
      <c r="C27" s="1427"/>
      <c r="D27" s="1428" t="e">
        <f t="shared" si="0"/>
        <v>#DIV/0!</v>
      </c>
      <c r="F27" s="1427"/>
      <c r="G27" s="1428" t="e">
        <f t="shared" si="1"/>
        <v>#DIV/0!</v>
      </c>
      <c r="H27" s="1426">
        <v>44451</v>
      </c>
      <c r="L27" s="1432"/>
      <c r="M27" s="1432" t="e">
        <f t="shared" si="2"/>
        <v>#DIV/0!</v>
      </c>
      <c r="N27" s="1411">
        <f t="shared" si="3"/>
        <v>0</v>
      </c>
      <c r="P27" s="1453"/>
      <c r="Q27" s="1454"/>
      <c r="R27" s="1454"/>
    </row>
    <row r="28" spans="2:24">
      <c r="B28" s="1426">
        <v>44444</v>
      </c>
      <c r="C28" s="1427"/>
      <c r="D28" s="1428" t="e">
        <f t="shared" si="0"/>
        <v>#DIV/0!</v>
      </c>
      <c r="F28" s="1427"/>
      <c r="G28" s="1428" t="e">
        <f t="shared" si="1"/>
        <v>#DIV/0!</v>
      </c>
      <c r="H28" s="1426">
        <v>44444</v>
      </c>
      <c r="L28" s="1455"/>
      <c r="M28" s="1432" t="e">
        <f t="shared" si="2"/>
        <v>#DIV/0!</v>
      </c>
      <c r="N28" s="1411">
        <f t="shared" si="3"/>
        <v>0</v>
      </c>
      <c r="P28" s="2746" t="s">
        <v>950</v>
      </c>
      <c r="Q28" s="2746"/>
      <c r="R28" s="2746"/>
      <c r="S28" s="2747" t="s">
        <v>951</v>
      </c>
      <c r="T28" s="2747"/>
    </row>
    <row r="29" spans="2:24">
      <c r="B29" s="1426">
        <v>44437</v>
      </c>
      <c r="C29" s="1427"/>
      <c r="D29" s="1428" t="e">
        <f t="shared" si="0"/>
        <v>#DIV/0!</v>
      </c>
      <c r="F29" s="1427"/>
      <c r="G29" s="1428" t="e">
        <f t="shared" si="1"/>
        <v>#DIV/0!</v>
      </c>
      <c r="H29" s="1426">
        <v>44437</v>
      </c>
      <c r="J29" s="1453"/>
      <c r="K29" s="1453"/>
      <c r="L29" s="1456"/>
      <c r="M29" s="1432" t="e">
        <f t="shared" si="2"/>
        <v>#DIV/0!</v>
      </c>
      <c r="N29" s="1411">
        <f t="shared" si="3"/>
        <v>0</v>
      </c>
      <c r="P29" s="1457" t="s">
        <v>906</v>
      </c>
      <c r="Q29" s="1458" t="s">
        <v>1155</v>
      </c>
      <c r="R29" s="1458" t="s">
        <v>952</v>
      </c>
      <c r="S29" s="1459" t="str">
        <f>Q29</f>
        <v>DCM</v>
      </c>
      <c r="T29" s="1459" t="s">
        <v>952</v>
      </c>
    </row>
    <row r="30" spans="2:24">
      <c r="B30" s="1426">
        <v>44430</v>
      </c>
      <c r="C30" s="1427"/>
      <c r="D30" s="1428" t="e">
        <f t="shared" si="0"/>
        <v>#DIV/0!</v>
      </c>
      <c r="F30" s="1427"/>
      <c r="G30" s="1428" t="e">
        <f t="shared" si="1"/>
        <v>#DIV/0!</v>
      </c>
      <c r="H30" s="1426">
        <v>44430</v>
      </c>
      <c r="M30" s="1432" t="e">
        <f t="shared" si="2"/>
        <v>#DIV/0!</v>
      </c>
      <c r="N30" s="1411">
        <f t="shared" si="3"/>
        <v>0</v>
      </c>
      <c r="P30" s="1426">
        <v>44598</v>
      </c>
      <c r="Q30" s="1460"/>
      <c r="R30" s="1427"/>
      <c r="S30" s="1461" t="e">
        <f>Q30/Q31-1</f>
        <v>#DIV/0!</v>
      </c>
      <c r="T30" s="1461" t="e">
        <f>R30/R31-1</f>
        <v>#DIV/0!</v>
      </c>
    </row>
    <row r="31" spans="2:24">
      <c r="B31" s="1426">
        <v>44423</v>
      </c>
      <c r="C31" s="1427"/>
      <c r="D31" s="1428" t="e">
        <f t="shared" si="0"/>
        <v>#DIV/0!</v>
      </c>
      <c r="F31" s="1427"/>
      <c r="G31" s="1428" t="e">
        <f t="shared" si="1"/>
        <v>#DIV/0!</v>
      </c>
      <c r="H31" s="1426">
        <v>44423</v>
      </c>
      <c r="I31" s="1418"/>
      <c r="J31" s="1433"/>
      <c r="K31" s="1433"/>
      <c r="L31" s="1433"/>
      <c r="M31" s="1432" t="e">
        <f t="shared" si="2"/>
        <v>#DIV/0!</v>
      </c>
      <c r="N31" s="1411">
        <f t="shared" si="3"/>
        <v>0</v>
      </c>
      <c r="P31" s="1426">
        <v>44584</v>
      </c>
      <c r="Q31" s="1460"/>
      <c r="R31" s="1427"/>
      <c r="S31" s="1461" t="e">
        <f t="shared" ref="S31:T94" si="4">Q31/Q32-1</f>
        <v>#DIV/0!</v>
      </c>
      <c r="T31" s="1461" t="e">
        <f t="shared" si="4"/>
        <v>#DIV/0!</v>
      </c>
    </row>
    <row r="32" spans="2:24">
      <c r="B32" s="1426">
        <v>44416</v>
      </c>
      <c r="C32" s="1427"/>
      <c r="D32" s="1428" t="e">
        <f t="shared" si="0"/>
        <v>#DIV/0!</v>
      </c>
      <c r="F32" s="1427"/>
      <c r="G32" s="1428" t="e">
        <f t="shared" si="1"/>
        <v>#DIV/0!</v>
      </c>
      <c r="H32" s="1426">
        <v>44416</v>
      </c>
      <c r="L32" s="1432"/>
      <c r="M32" s="1432" t="e">
        <f t="shared" si="2"/>
        <v>#DIV/0!</v>
      </c>
      <c r="N32" s="1411">
        <f t="shared" si="3"/>
        <v>0</v>
      </c>
      <c r="P32" s="1426">
        <v>44577</v>
      </c>
      <c r="Q32" s="1460"/>
      <c r="R32" s="1427"/>
      <c r="S32" s="1461" t="e">
        <f t="shared" si="4"/>
        <v>#DIV/0!</v>
      </c>
      <c r="T32" s="1461" t="e">
        <f t="shared" si="4"/>
        <v>#DIV/0!</v>
      </c>
    </row>
    <row r="33" spans="2:20">
      <c r="B33" s="1426">
        <v>44409</v>
      </c>
      <c r="C33" s="1427"/>
      <c r="D33" s="1428" t="e">
        <f t="shared" si="0"/>
        <v>#DIV/0!</v>
      </c>
      <c r="F33" s="1427"/>
      <c r="G33" s="1428" t="e">
        <f t="shared" si="1"/>
        <v>#DIV/0!</v>
      </c>
      <c r="H33" s="1426">
        <v>44409</v>
      </c>
      <c r="L33" s="1432"/>
      <c r="M33" s="1432" t="e">
        <f t="shared" si="2"/>
        <v>#DIV/0!</v>
      </c>
      <c r="N33" s="1411">
        <f t="shared" si="3"/>
        <v>0</v>
      </c>
      <c r="P33" s="1426">
        <v>44570</v>
      </c>
      <c r="Q33" s="1460"/>
      <c r="R33" s="1427"/>
      <c r="S33" s="1461" t="e">
        <f t="shared" si="4"/>
        <v>#DIV/0!</v>
      </c>
      <c r="T33" s="1461" t="e">
        <f t="shared" si="4"/>
        <v>#DIV/0!</v>
      </c>
    </row>
    <row r="34" spans="2:20">
      <c r="B34" s="1426">
        <v>44402</v>
      </c>
      <c r="C34" s="1427"/>
      <c r="D34" s="1428" t="e">
        <f t="shared" si="0"/>
        <v>#DIV/0!</v>
      </c>
      <c r="F34" s="1427"/>
      <c r="G34" s="1428" t="e">
        <f t="shared" si="1"/>
        <v>#DIV/0!</v>
      </c>
      <c r="H34" s="1426">
        <v>44402</v>
      </c>
      <c r="L34" s="1455"/>
      <c r="M34" s="1432" t="e">
        <f t="shared" si="2"/>
        <v>#DIV/0!</v>
      </c>
      <c r="N34" s="1411">
        <f t="shared" si="3"/>
        <v>0</v>
      </c>
      <c r="P34" s="1426">
        <v>44563</v>
      </c>
      <c r="Q34" s="1460"/>
      <c r="R34" s="1427"/>
      <c r="S34" s="1461" t="e">
        <f t="shared" si="4"/>
        <v>#DIV/0!</v>
      </c>
      <c r="T34" s="1461" t="e">
        <f t="shared" si="4"/>
        <v>#DIV/0!</v>
      </c>
    </row>
    <row r="35" spans="2:20">
      <c r="B35" s="1426">
        <v>44395</v>
      </c>
      <c r="C35" s="1427"/>
      <c r="D35" s="1428" t="e">
        <f t="shared" si="0"/>
        <v>#DIV/0!</v>
      </c>
      <c r="F35" s="1427"/>
      <c r="G35" s="1428" t="e">
        <f t="shared" si="1"/>
        <v>#DIV/0!</v>
      </c>
      <c r="H35" s="1426">
        <v>44395</v>
      </c>
      <c r="J35" s="1453"/>
      <c r="K35" s="1453"/>
      <c r="L35" s="1456"/>
      <c r="M35" s="1432" t="e">
        <f t="shared" si="2"/>
        <v>#DIV/0!</v>
      </c>
      <c r="N35" s="1411">
        <f t="shared" si="3"/>
        <v>0</v>
      </c>
      <c r="P35" s="1426">
        <v>44556</v>
      </c>
      <c r="Q35" s="1460"/>
      <c r="R35" s="1427"/>
      <c r="S35" s="1461" t="e">
        <f t="shared" si="4"/>
        <v>#DIV/0!</v>
      </c>
      <c r="T35" s="1461" t="e">
        <f t="shared" si="4"/>
        <v>#DIV/0!</v>
      </c>
    </row>
    <row r="36" spans="2:20">
      <c r="B36" s="1426">
        <v>44388</v>
      </c>
      <c r="C36" s="1427"/>
      <c r="D36" s="1428" t="e">
        <f t="shared" si="0"/>
        <v>#DIV/0!</v>
      </c>
      <c r="F36" s="1427"/>
      <c r="G36" s="1428" t="e">
        <f t="shared" si="1"/>
        <v>#DIV/0!</v>
      </c>
      <c r="H36" s="1426">
        <v>44388</v>
      </c>
      <c r="M36" s="1432" t="e">
        <f t="shared" si="2"/>
        <v>#DIV/0!</v>
      </c>
      <c r="N36" s="1411">
        <f t="shared" si="3"/>
        <v>0</v>
      </c>
      <c r="P36" s="1426">
        <v>44549</v>
      </c>
      <c r="Q36" s="1460"/>
      <c r="R36" s="1427"/>
      <c r="S36" s="1461" t="e">
        <f t="shared" si="4"/>
        <v>#DIV/0!</v>
      </c>
      <c r="T36" s="1461" t="e">
        <f t="shared" si="4"/>
        <v>#DIV/0!</v>
      </c>
    </row>
    <row r="37" spans="2:20">
      <c r="B37" s="1426">
        <v>44381</v>
      </c>
      <c r="C37" s="1427"/>
      <c r="D37" s="1428" t="e">
        <f t="shared" si="0"/>
        <v>#DIV/0!</v>
      </c>
      <c r="F37" s="1427"/>
      <c r="G37" s="1428" t="e">
        <f t="shared" si="1"/>
        <v>#DIV/0!</v>
      </c>
      <c r="H37" s="1426">
        <v>44381</v>
      </c>
      <c r="J37" s="1453"/>
      <c r="K37" s="1453"/>
      <c r="L37" s="1456"/>
      <c r="M37" s="1432" t="e">
        <f t="shared" si="2"/>
        <v>#DIV/0!</v>
      </c>
      <c r="N37" s="1411">
        <f t="shared" si="3"/>
        <v>0</v>
      </c>
      <c r="P37" s="1426">
        <v>44542</v>
      </c>
      <c r="Q37" s="1460"/>
      <c r="R37" s="1427"/>
      <c r="S37" s="1461" t="e">
        <f t="shared" si="4"/>
        <v>#DIV/0!</v>
      </c>
      <c r="T37" s="1461" t="e">
        <f t="shared" si="4"/>
        <v>#DIV/0!</v>
      </c>
    </row>
    <row r="38" spans="2:20">
      <c r="B38" s="1426">
        <v>44374</v>
      </c>
      <c r="C38" s="1427"/>
      <c r="D38" s="1428" t="e">
        <f t="shared" si="0"/>
        <v>#DIV/0!</v>
      </c>
      <c r="F38" s="1427"/>
      <c r="G38" s="1428" t="e">
        <f t="shared" si="1"/>
        <v>#DIV/0!</v>
      </c>
      <c r="H38" s="1426">
        <v>44374</v>
      </c>
      <c r="M38" s="1432" t="e">
        <f t="shared" si="2"/>
        <v>#DIV/0!</v>
      </c>
      <c r="N38" s="1411">
        <f t="shared" si="3"/>
        <v>0</v>
      </c>
      <c r="P38" s="1426">
        <v>44535</v>
      </c>
      <c r="Q38" s="1460"/>
      <c r="R38" s="1427"/>
      <c r="S38" s="1461" t="e">
        <f t="shared" si="4"/>
        <v>#DIV/0!</v>
      </c>
      <c r="T38" s="1461" t="e">
        <f t="shared" si="4"/>
        <v>#DIV/0!</v>
      </c>
    </row>
    <row r="39" spans="2:20">
      <c r="B39" s="1426">
        <v>44367</v>
      </c>
      <c r="C39" s="1427"/>
      <c r="D39" s="1428" t="e">
        <f t="shared" si="0"/>
        <v>#DIV/0!</v>
      </c>
      <c r="F39" s="1427"/>
      <c r="G39" s="1428" t="e">
        <f t="shared" si="1"/>
        <v>#DIV/0!</v>
      </c>
      <c r="H39" s="1426">
        <v>44367</v>
      </c>
      <c r="J39" s="1453"/>
      <c r="K39" s="1456"/>
      <c r="L39" s="1456"/>
      <c r="M39" s="1432" t="e">
        <f t="shared" si="2"/>
        <v>#DIV/0!</v>
      </c>
      <c r="N39" s="1411">
        <f t="shared" si="3"/>
        <v>0</v>
      </c>
      <c r="P39" s="1426">
        <v>44528</v>
      </c>
      <c r="Q39" s="1460"/>
      <c r="R39" s="1427"/>
      <c r="S39" s="1461" t="e">
        <f t="shared" si="4"/>
        <v>#DIV/0!</v>
      </c>
      <c r="T39" s="1461" t="e">
        <f t="shared" si="4"/>
        <v>#DIV/0!</v>
      </c>
    </row>
    <row r="40" spans="2:20">
      <c r="B40" s="1426">
        <v>44360</v>
      </c>
      <c r="C40" s="1427"/>
      <c r="D40" s="1428" t="e">
        <f t="shared" si="0"/>
        <v>#DIV/0!</v>
      </c>
      <c r="F40" s="1427"/>
      <c r="G40" s="1428" t="e">
        <f t="shared" si="1"/>
        <v>#DIV/0!</v>
      </c>
      <c r="H40" s="1426">
        <v>44360</v>
      </c>
      <c r="M40" s="1432" t="e">
        <f t="shared" si="2"/>
        <v>#DIV/0!</v>
      </c>
      <c r="N40" s="1411">
        <f t="shared" si="3"/>
        <v>0</v>
      </c>
      <c r="P40" s="1426">
        <v>44521</v>
      </c>
      <c r="Q40" s="1460"/>
      <c r="R40" s="1427"/>
      <c r="S40" s="1461" t="e">
        <f t="shared" si="4"/>
        <v>#DIV/0!</v>
      </c>
      <c r="T40" s="1461" t="e">
        <f t="shared" si="4"/>
        <v>#DIV/0!</v>
      </c>
    </row>
    <row r="41" spans="2:20">
      <c r="B41" s="1426">
        <v>44353</v>
      </c>
      <c r="C41" s="1427"/>
      <c r="D41" s="1428" t="e">
        <f t="shared" si="0"/>
        <v>#DIV/0!</v>
      </c>
      <c r="F41" s="1427"/>
      <c r="G41" s="1428" t="e">
        <f t="shared" si="1"/>
        <v>#DIV/0!</v>
      </c>
      <c r="H41" s="1426">
        <v>44353</v>
      </c>
      <c r="M41" s="1432" t="e">
        <f t="shared" si="2"/>
        <v>#DIV/0!</v>
      </c>
      <c r="N41" s="1411">
        <f t="shared" si="3"/>
        <v>0</v>
      </c>
      <c r="P41" s="1426">
        <v>44514</v>
      </c>
      <c r="Q41" s="1460"/>
      <c r="R41" s="1427"/>
      <c r="S41" s="1461" t="e">
        <f t="shared" si="4"/>
        <v>#DIV/0!</v>
      </c>
      <c r="T41" s="1461" t="e">
        <f t="shared" si="4"/>
        <v>#DIV/0!</v>
      </c>
    </row>
    <row r="42" spans="2:20">
      <c r="B42" s="1426">
        <v>44346</v>
      </c>
      <c r="C42" s="1427"/>
      <c r="D42" s="1428" t="e">
        <f t="shared" si="0"/>
        <v>#DIV/0!</v>
      </c>
      <c r="F42" s="1427"/>
      <c r="G42" s="1428" t="e">
        <f t="shared" si="1"/>
        <v>#DIV/0!</v>
      </c>
      <c r="H42" s="1426">
        <v>44346</v>
      </c>
      <c r="M42" s="1432" t="e">
        <f t="shared" si="2"/>
        <v>#DIV/0!</v>
      </c>
      <c r="N42" s="1411">
        <f t="shared" si="3"/>
        <v>0</v>
      </c>
      <c r="P42" s="1426">
        <v>44507</v>
      </c>
      <c r="Q42" s="1460"/>
      <c r="R42" s="1427"/>
      <c r="S42" s="1461" t="e">
        <f t="shared" si="4"/>
        <v>#DIV/0!</v>
      </c>
      <c r="T42" s="1461" t="e">
        <f t="shared" si="4"/>
        <v>#DIV/0!</v>
      </c>
    </row>
    <row r="43" spans="2:20">
      <c r="B43" s="1426">
        <v>44339</v>
      </c>
      <c r="C43" s="1427"/>
      <c r="D43" s="1428" t="e">
        <f t="shared" si="0"/>
        <v>#DIV/0!</v>
      </c>
      <c r="F43" s="1427"/>
      <c r="G43" s="1428" t="e">
        <f t="shared" si="1"/>
        <v>#DIV/0!</v>
      </c>
      <c r="H43" s="1426">
        <v>44339</v>
      </c>
      <c r="M43" s="1432" t="e">
        <f t="shared" si="2"/>
        <v>#DIV/0!</v>
      </c>
      <c r="N43" s="1411">
        <f t="shared" si="3"/>
        <v>0</v>
      </c>
      <c r="P43" s="1426">
        <v>44500</v>
      </c>
      <c r="Q43" s="1460"/>
      <c r="R43" s="1427"/>
      <c r="S43" s="1461" t="e">
        <f t="shared" si="4"/>
        <v>#DIV/0!</v>
      </c>
      <c r="T43" s="1461" t="e">
        <f t="shared" si="4"/>
        <v>#DIV/0!</v>
      </c>
    </row>
    <row r="44" spans="2:20">
      <c r="B44" s="1426">
        <v>44332</v>
      </c>
      <c r="C44" s="1427"/>
      <c r="D44" s="1428" t="e">
        <f t="shared" si="0"/>
        <v>#DIV/0!</v>
      </c>
      <c r="F44" s="1427"/>
      <c r="G44" s="1428" t="e">
        <f t="shared" si="1"/>
        <v>#DIV/0!</v>
      </c>
      <c r="H44" s="1426">
        <v>44332</v>
      </c>
      <c r="M44" s="1432" t="e">
        <f t="shared" si="2"/>
        <v>#DIV/0!</v>
      </c>
      <c r="N44" s="1411">
        <f t="shared" si="3"/>
        <v>0</v>
      </c>
      <c r="P44" s="1426">
        <v>44493</v>
      </c>
      <c r="Q44" s="1460"/>
      <c r="R44" s="1427"/>
      <c r="S44" s="1461" t="e">
        <f t="shared" si="4"/>
        <v>#DIV/0!</v>
      </c>
      <c r="T44" s="1461" t="e">
        <f t="shared" si="4"/>
        <v>#DIV/0!</v>
      </c>
    </row>
    <row r="45" spans="2:20">
      <c r="B45" s="1426">
        <v>44325</v>
      </c>
      <c r="C45" s="1427"/>
      <c r="D45" s="1428" t="e">
        <f t="shared" si="0"/>
        <v>#DIV/0!</v>
      </c>
      <c r="F45" s="1427"/>
      <c r="G45" s="1428" t="e">
        <f t="shared" si="1"/>
        <v>#DIV/0!</v>
      </c>
      <c r="H45" s="1426">
        <v>44325</v>
      </c>
      <c r="M45" s="1432" t="e">
        <f t="shared" si="2"/>
        <v>#DIV/0!</v>
      </c>
      <c r="N45" s="1411">
        <f t="shared" si="3"/>
        <v>0</v>
      </c>
      <c r="P45" s="1426">
        <v>44486</v>
      </c>
      <c r="Q45" s="1460"/>
      <c r="R45" s="1427"/>
      <c r="S45" s="1461" t="e">
        <f t="shared" si="4"/>
        <v>#DIV/0!</v>
      </c>
      <c r="T45" s="1461" t="e">
        <f t="shared" si="4"/>
        <v>#DIV/0!</v>
      </c>
    </row>
    <row r="46" spans="2:20">
      <c r="B46" s="1426">
        <v>44318</v>
      </c>
      <c r="C46" s="1427"/>
      <c r="D46" s="1428" t="e">
        <f t="shared" si="0"/>
        <v>#DIV/0!</v>
      </c>
      <c r="F46" s="1427"/>
      <c r="G46" s="1428" t="e">
        <f t="shared" si="1"/>
        <v>#DIV/0!</v>
      </c>
      <c r="H46" s="1426">
        <v>44318</v>
      </c>
      <c r="M46" s="1432" t="e">
        <f t="shared" si="2"/>
        <v>#DIV/0!</v>
      </c>
      <c r="N46" s="1411">
        <f t="shared" si="3"/>
        <v>0</v>
      </c>
      <c r="P46" s="1426">
        <v>44479</v>
      </c>
      <c r="Q46" s="1460"/>
      <c r="R46" s="1427"/>
      <c r="S46" s="1461" t="e">
        <f t="shared" si="4"/>
        <v>#DIV/0!</v>
      </c>
      <c r="T46" s="1461" t="e">
        <f t="shared" si="4"/>
        <v>#DIV/0!</v>
      </c>
    </row>
    <row r="47" spans="2:20">
      <c r="B47" s="1426">
        <v>44311</v>
      </c>
      <c r="C47" s="1427"/>
      <c r="D47" s="1428" t="e">
        <f t="shared" si="0"/>
        <v>#DIV/0!</v>
      </c>
      <c r="F47" s="1427"/>
      <c r="G47" s="1428" t="e">
        <f t="shared" si="1"/>
        <v>#DIV/0!</v>
      </c>
      <c r="H47" s="1426">
        <v>44311</v>
      </c>
      <c r="M47" s="1432" t="e">
        <f t="shared" si="2"/>
        <v>#DIV/0!</v>
      </c>
      <c r="N47" s="1411">
        <f t="shared" si="3"/>
        <v>0</v>
      </c>
      <c r="P47" s="1426">
        <v>44472</v>
      </c>
      <c r="Q47" s="1460"/>
      <c r="R47" s="1427"/>
      <c r="S47" s="1461" t="e">
        <f t="shared" si="4"/>
        <v>#DIV/0!</v>
      </c>
      <c r="T47" s="1461" t="e">
        <f t="shared" si="4"/>
        <v>#DIV/0!</v>
      </c>
    </row>
    <row r="48" spans="2:20">
      <c r="B48" s="1426">
        <v>44304</v>
      </c>
      <c r="C48" s="1427"/>
      <c r="D48" s="1428" t="e">
        <f t="shared" si="0"/>
        <v>#DIV/0!</v>
      </c>
      <c r="F48" s="1427"/>
      <c r="G48" s="1428" t="e">
        <f t="shared" si="1"/>
        <v>#DIV/0!</v>
      </c>
      <c r="H48" s="1426">
        <v>44304</v>
      </c>
      <c r="M48" s="1432" t="e">
        <f t="shared" si="2"/>
        <v>#DIV/0!</v>
      </c>
      <c r="N48" s="1411">
        <f t="shared" si="3"/>
        <v>0</v>
      </c>
      <c r="P48" s="1426">
        <v>44465</v>
      </c>
      <c r="Q48" s="1460"/>
      <c r="R48" s="1427"/>
      <c r="S48" s="1461" t="e">
        <f t="shared" si="4"/>
        <v>#DIV/0!</v>
      </c>
      <c r="T48" s="1461" t="e">
        <f t="shared" si="4"/>
        <v>#DIV/0!</v>
      </c>
    </row>
    <row r="49" spans="2:20">
      <c r="B49" s="1426">
        <v>44297</v>
      </c>
      <c r="C49" s="1427"/>
      <c r="D49" s="1428" t="e">
        <f t="shared" si="0"/>
        <v>#DIV/0!</v>
      </c>
      <c r="F49" s="1427"/>
      <c r="G49" s="1428" t="e">
        <f t="shared" si="1"/>
        <v>#DIV/0!</v>
      </c>
      <c r="H49" s="1426">
        <v>44297</v>
      </c>
      <c r="M49" s="1432" t="e">
        <f t="shared" si="2"/>
        <v>#DIV/0!</v>
      </c>
      <c r="N49" s="1411">
        <f t="shared" si="3"/>
        <v>0</v>
      </c>
      <c r="P49" s="1426">
        <v>44458</v>
      </c>
      <c r="Q49" s="1460"/>
      <c r="R49" s="1427"/>
      <c r="S49" s="1461" t="e">
        <f t="shared" si="4"/>
        <v>#DIV/0!</v>
      </c>
      <c r="T49" s="1461" t="e">
        <f t="shared" si="4"/>
        <v>#DIV/0!</v>
      </c>
    </row>
    <row r="50" spans="2:20">
      <c r="B50" s="1426">
        <v>44290</v>
      </c>
      <c r="C50" s="1427"/>
      <c r="D50" s="1428" t="e">
        <f t="shared" si="0"/>
        <v>#DIV/0!</v>
      </c>
      <c r="F50" s="1427"/>
      <c r="G50" s="1428" t="e">
        <f t="shared" si="1"/>
        <v>#DIV/0!</v>
      </c>
      <c r="H50" s="1426">
        <v>44290</v>
      </c>
      <c r="M50" s="1432" t="e">
        <f t="shared" si="2"/>
        <v>#DIV/0!</v>
      </c>
      <c r="N50" s="1411">
        <f t="shared" si="3"/>
        <v>0</v>
      </c>
      <c r="P50" s="1426">
        <v>44451</v>
      </c>
      <c r="Q50" s="1460"/>
      <c r="R50" s="1427"/>
      <c r="S50" s="1461" t="e">
        <f t="shared" si="4"/>
        <v>#DIV/0!</v>
      </c>
      <c r="T50" s="1461" t="e">
        <f t="shared" si="4"/>
        <v>#DIV/0!</v>
      </c>
    </row>
    <row r="51" spans="2:20">
      <c r="B51" s="1426">
        <v>44283</v>
      </c>
      <c r="C51" s="1427"/>
      <c r="D51" s="1428" t="e">
        <f t="shared" si="0"/>
        <v>#DIV/0!</v>
      </c>
      <c r="F51" s="1427"/>
      <c r="G51" s="1428" t="e">
        <f t="shared" si="1"/>
        <v>#DIV/0!</v>
      </c>
      <c r="H51" s="1426">
        <v>44283</v>
      </c>
      <c r="M51" s="1432" t="e">
        <f t="shared" si="2"/>
        <v>#DIV/0!</v>
      </c>
      <c r="N51" s="1411">
        <f t="shared" si="3"/>
        <v>0</v>
      </c>
      <c r="P51" s="1426">
        <v>44444</v>
      </c>
      <c r="Q51" s="1460"/>
      <c r="R51" s="1427"/>
      <c r="S51" s="1461" t="e">
        <f t="shared" si="4"/>
        <v>#DIV/0!</v>
      </c>
      <c r="T51" s="1461" t="e">
        <f t="shared" si="4"/>
        <v>#DIV/0!</v>
      </c>
    </row>
    <row r="52" spans="2:20">
      <c r="B52" s="1426">
        <v>44276</v>
      </c>
      <c r="C52" s="1427"/>
      <c r="D52" s="1428" t="e">
        <f t="shared" si="0"/>
        <v>#DIV/0!</v>
      </c>
      <c r="F52" s="1427"/>
      <c r="G52" s="1428" t="e">
        <f t="shared" si="1"/>
        <v>#DIV/0!</v>
      </c>
      <c r="H52" s="1426">
        <v>44276</v>
      </c>
      <c r="M52" s="1432" t="e">
        <f t="shared" si="2"/>
        <v>#DIV/0!</v>
      </c>
      <c r="N52" s="1411">
        <f t="shared" si="3"/>
        <v>0</v>
      </c>
      <c r="P52" s="1426">
        <v>44437</v>
      </c>
      <c r="Q52" s="1460"/>
      <c r="R52" s="1427"/>
      <c r="S52" s="1461" t="e">
        <f t="shared" si="4"/>
        <v>#DIV/0!</v>
      </c>
      <c r="T52" s="1461" t="e">
        <f t="shared" si="4"/>
        <v>#DIV/0!</v>
      </c>
    </row>
    <row r="53" spans="2:20">
      <c r="B53" s="1426">
        <v>44269</v>
      </c>
      <c r="C53" s="1427"/>
      <c r="D53" s="1428" t="e">
        <f t="shared" si="0"/>
        <v>#DIV/0!</v>
      </c>
      <c r="F53" s="1427"/>
      <c r="G53" s="1428" t="e">
        <f t="shared" si="1"/>
        <v>#DIV/0!</v>
      </c>
      <c r="H53" s="1426">
        <v>44269</v>
      </c>
      <c r="M53" s="1432" t="e">
        <f t="shared" si="2"/>
        <v>#DIV/0!</v>
      </c>
      <c r="N53" s="1411">
        <f t="shared" si="3"/>
        <v>0</v>
      </c>
      <c r="P53" s="1426">
        <v>44430</v>
      </c>
      <c r="Q53" s="1460"/>
      <c r="R53" s="1427"/>
      <c r="S53" s="1461" t="e">
        <f t="shared" si="4"/>
        <v>#DIV/0!</v>
      </c>
      <c r="T53" s="1461" t="e">
        <f t="shared" si="4"/>
        <v>#DIV/0!</v>
      </c>
    </row>
    <row r="54" spans="2:20">
      <c r="B54" s="1426">
        <v>44262</v>
      </c>
      <c r="C54" s="1427"/>
      <c r="D54" s="1428" t="e">
        <f t="shared" si="0"/>
        <v>#DIV/0!</v>
      </c>
      <c r="F54" s="1427"/>
      <c r="G54" s="1428" t="e">
        <f t="shared" si="1"/>
        <v>#DIV/0!</v>
      </c>
      <c r="H54" s="1426">
        <v>44262</v>
      </c>
      <c r="M54" s="1432" t="e">
        <f t="shared" si="2"/>
        <v>#DIV/0!</v>
      </c>
      <c r="N54" s="1411">
        <f t="shared" si="3"/>
        <v>0</v>
      </c>
      <c r="P54" s="1426">
        <v>44423</v>
      </c>
      <c r="Q54" s="1460"/>
      <c r="R54" s="1427"/>
      <c r="S54" s="1461" t="e">
        <f t="shared" si="4"/>
        <v>#DIV/0!</v>
      </c>
      <c r="T54" s="1461" t="e">
        <f t="shared" si="4"/>
        <v>#DIV/0!</v>
      </c>
    </row>
    <row r="55" spans="2:20">
      <c r="B55" s="1426">
        <v>44255</v>
      </c>
      <c r="C55" s="1427"/>
      <c r="D55" s="1428" t="e">
        <f t="shared" si="0"/>
        <v>#DIV/0!</v>
      </c>
      <c r="F55" s="1427"/>
      <c r="G55" s="1428" t="e">
        <f t="shared" si="1"/>
        <v>#DIV/0!</v>
      </c>
      <c r="H55" s="1426">
        <v>44255</v>
      </c>
      <c r="M55" s="1432" t="e">
        <f t="shared" si="2"/>
        <v>#DIV/0!</v>
      </c>
      <c r="N55" s="1411">
        <f t="shared" si="3"/>
        <v>0</v>
      </c>
      <c r="P55" s="1426">
        <v>44416</v>
      </c>
      <c r="Q55" s="1460"/>
      <c r="R55" s="1427"/>
      <c r="S55" s="1461" t="e">
        <f t="shared" si="4"/>
        <v>#DIV/0!</v>
      </c>
      <c r="T55" s="1461" t="e">
        <f t="shared" si="4"/>
        <v>#DIV/0!</v>
      </c>
    </row>
    <row r="56" spans="2:20">
      <c r="B56" s="1426">
        <v>44248</v>
      </c>
      <c r="C56" s="1427"/>
      <c r="D56" s="1428" t="e">
        <f t="shared" si="0"/>
        <v>#DIV/0!</v>
      </c>
      <c r="F56" s="1427"/>
      <c r="G56" s="1428" t="e">
        <f t="shared" si="1"/>
        <v>#DIV/0!</v>
      </c>
      <c r="H56" s="1426">
        <v>44248</v>
      </c>
      <c r="M56" s="1432" t="e">
        <f t="shared" si="2"/>
        <v>#DIV/0!</v>
      </c>
      <c r="N56" s="1411">
        <f t="shared" si="3"/>
        <v>0</v>
      </c>
      <c r="P56" s="1426">
        <v>44409</v>
      </c>
      <c r="Q56" s="1460"/>
      <c r="R56" s="1427"/>
      <c r="S56" s="1461" t="e">
        <f t="shared" si="4"/>
        <v>#DIV/0!</v>
      </c>
      <c r="T56" s="1461" t="e">
        <f t="shared" si="4"/>
        <v>#DIV/0!</v>
      </c>
    </row>
    <row r="57" spans="2:20">
      <c r="B57" s="1426">
        <v>44241</v>
      </c>
      <c r="C57" s="1427"/>
      <c r="D57" s="1428" t="e">
        <f t="shared" si="0"/>
        <v>#DIV/0!</v>
      </c>
      <c r="F57" s="1427"/>
      <c r="G57" s="1428" t="e">
        <f t="shared" si="1"/>
        <v>#DIV/0!</v>
      </c>
      <c r="H57" s="1426">
        <v>44241</v>
      </c>
      <c r="M57" s="1432" t="e">
        <f t="shared" si="2"/>
        <v>#DIV/0!</v>
      </c>
      <c r="N57" s="1411">
        <f t="shared" si="3"/>
        <v>0</v>
      </c>
      <c r="P57" s="1426">
        <v>44402</v>
      </c>
      <c r="Q57" s="1460"/>
      <c r="R57" s="1427"/>
      <c r="S57" s="1461" t="e">
        <f t="shared" si="4"/>
        <v>#DIV/0!</v>
      </c>
      <c r="T57" s="1461" t="e">
        <f t="shared" si="4"/>
        <v>#DIV/0!</v>
      </c>
    </row>
    <row r="58" spans="2:20">
      <c r="B58" s="1426">
        <v>44234</v>
      </c>
      <c r="C58" s="1427"/>
      <c r="D58" s="1428" t="e">
        <f t="shared" si="0"/>
        <v>#DIV/0!</v>
      </c>
      <c r="F58" s="1427"/>
      <c r="G58" s="1428" t="e">
        <f t="shared" si="1"/>
        <v>#DIV/0!</v>
      </c>
      <c r="H58" s="1426">
        <v>44234</v>
      </c>
      <c r="M58" s="1432" t="e">
        <f t="shared" si="2"/>
        <v>#DIV/0!</v>
      </c>
      <c r="N58" s="1411">
        <f t="shared" si="3"/>
        <v>0</v>
      </c>
      <c r="P58" s="1426">
        <v>44395</v>
      </c>
      <c r="Q58" s="1460"/>
      <c r="R58" s="1427"/>
      <c r="S58" s="1461" t="e">
        <f t="shared" si="4"/>
        <v>#DIV/0!</v>
      </c>
      <c r="T58" s="1461" t="e">
        <f t="shared" si="4"/>
        <v>#DIV/0!</v>
      </c>
    </row>
    <row r="59" spans="2:20">
      <c r="B59" s="1426">
        <v>44227</v>
      </c>
      <c r="C59" s="1427"/>
      <c r="D59" s="1428" t="e">
        <f t="shared" si="0"/>
        <v>#DIV/0!</v>
      </c>
      <c r="F59" s="1427"/>
      <c r="G59" s="1428" t="e">
        <f t="shared" si="1"/>
        <v>#DIV/0!</v>
      </c>
      <c r="H59" s="1426">
        <v>44227</v>
      </c>
      <c r="M59" s="1432" t="e">
        <f t="shared" si="2"/>
        <v>#DIV/0!</v>
      </c>
      <c r="N59" s="1411">
        <f t="shared" si="3"/>
        <v>0</v>
      </c>
      <c r="P59" s="1426">
        <v>44388</v>
      </c>
      <c r="Q59" s="1460"/>
      <c r="R59" s="1427"/>
      <c r="S59" s="1461" t="e">
        <f t="shared" si="4"/>
        <v>#DIV/0!</v>
      </c>
      <c r="T59" s="1461" t="e">
        <f t="shared" si="4"/>
        <v>#DIV/0!</v>
      </c>
    </row>
    <row r="60" spans="2:20">
      <c r="B60" s="1426">
        <v>44220</v>
      </c>
      <c r="C60" s="1427"/>
      <c r="D60" s="1428" t="e">
        <f t="shared" si="0"/>
        <v>#DIV/0!</v>
      </c>
      <c r="F60" s="1427"/>
      <c r="G60" s="1428" t="e">
        <f t="shared" si="1"/>
        <v>#DIV/0!</v>
      </c>
      <c r="H60" s="1426">
        <v>44220</v>
      </c>
      <c r="M60" s="1432" t="e">
        <f t="shared" si="2"/>
        <v>#DIV/0!</v>
      </c>
      <c r="N60" s="1411">
        <f t="shared" si="3"/>
        <v>0</v>
      </c>
      <c r="P60" s="1426">
        <v>44381</v>
      </c>
      <c r="Q60" s="1460"/>
      <c r="R60" s="1427"/>
      <c r="S60" s="1461" t="e">
        <f t="shared" si="4"/>
        <v>#DIV/0!</v>
      </c>
      <c r="T60" s="1461" t="e">
        <f t="shared" si="4"/>
        <v>#DIV/0!</v>
      </c>
    </row>
    <row r="61" spans="2:20">
      <c r="B61" s="1426">
        <v>44213</v>
      </c>
      <c r="C61" s="1427"/>
      <c r="D61" s="1428" t="e">
        <f t="shared" si="0"/>
        <v>#DIV/0!</v>
      </c>
      <c r="F61" s="1427"/>
      <c r="G61" s="1428" t="e">
        <f t="shared" si="1"/>
        <v>#DIV/0!</v>
      </c>
      <c r="H61" s="1426">
        <v>44213</v>
      </c>
      <c r="M61" s="1432" t="e">
        <f t="shared" si="2"/>
        <v>#DIV/0!</v>
      </c>
      <c r="N61" s="1411">
        <f t="shared" si="3"/>
        <v>0</v>
      </c>
      <c r="P61" s="1426">
        <v>44374</v>
      </c>
      <c r="Q61" s="1460"/>
      <c r="R61" s="1427"/>
      <c r="S61" s="1461" t="e">
        <f t="shared" si="4"/>
        <v>#DIV/0!</v>
      </c>
      <c r="T61" s="1461" t="e">
        <f t="shared" si="4"/>
        <v>#DIV/0!</v>
      </c>
    </row>
    <row r="62" spans="2:20">
      <c r="B62" s="1426">
        <v>44206</v>
      </c>
      <c r="C62" s="1427"/>
      <c r="D62" s="1428" t="e">
        <f t="shared" si="0"/>
        <v>#DIV/0!</v>
      </c>
      <c r="F62" s="1427"/>
      <c r="G62" s="1428" t="e">
        <f t="shared" si="1"/>
        <v>#DIV/0!</v>
      </c>
      <c r="H62" s="1426">
        <v>44206</v>
      </c>
      <c r="M62" s="1432" t="e">
        <f t="shared" si="2"/>
        <v>#DIV/0!</v>
      </c>
      <c r="N62" s="1411">
        <f t="shared" si="3"/>
        <v>0</v>
      </c>
      <c r="P62" s="1426">
        <v>44367</v>
      </c>
      <c r="Q62" s="1460"/>
      <c r="R62" s="1427"/>
      <c r="S62" s="1461" t="e">
        <f t="shared" si="4"/>
        <v>#DIV/0!</v>
      </c>
      <c r="T62" s="1461" t="e">
        <f t="shared" si="4"/>
        <v>#DIV/0!</v>
      </c>
    </row>
    <row r="63" spans="2:20">
      <c r="B63" s="1426">
        <v>44199</v>
      </c>
      <c r="C63" s="1427"/>
      <c r="D63" s="1428" t="e">
        <f t="shared" si="0"/>
        <v>#DIV/0!</v>
      </c>
      <c r="F63" s="1427"/>
      <c r="G63" s="1428" t="e">
        <f t="shared" si="1"/>
        <v>#DIV/0!</v>
      </c>
      <c r="H63" s="1426">
        <v>44199</v>
      </c>
      <c r="M63" s="1432" t="e">
        <f t="shared" si="2"/>
        <v>#DIV/0!</v>
      </c>
      <c r="N63" s="1411">
        <f t="shared" si="3"/>
        <v>0</v>
      </c>
      <c r="P63" s="1426">
        <v>44360</v>
      </c>
      <c r="Q63" s="1460"/>
      <c r="R63" s="1427"/>
      <c r="S63" s="1461" t="e">
        <f t="shared" si="4"/>
        <v>#DIV/0!</v>
      </c>
      <c r="T63" s="1461" t="e">
        <f t="shared" si="4"/>
        <v>#DIV/0!</v>
      </c>
    </row>
    <row r="64" spans="2:20">
      <c r="B64" s="1426">
        <v>44192</v>
      </c>
      <c r="C64" s="1427"/>
      <c r="D64" s="1428" t="e">
        <f t="shared" si="0"/>
        <v>#DIV/0!</v>
      </c>
      <c r="F64" s="1427"/>
      <c r="G64" s="1428" t="e">
        <f t="shared" si="1"/>
        <v>#DIV/0!</v>
      </c>
      <c r="H64" s="1426">
        <v>44192</v>
      </c>
      <c r="M64" s="1432" t="e">
        <f t="shared" si="2"/>
        <v>#DIV/0!</v>
      </c>
      <c r="N64" s="1411">
        <f t="shared" si="3"/>
        <v>0</v>
      </c>
      <c r="P64" s="1426">
        <v>44353</v>
      </c>
      <c r="Q64" s="1460"/>
      <c r="R64" s="1427"/>
      <c r="S64" s="1461" t="e">
        <f t="shared" si="4"/>
        <v>#DIV/0!</v>
      </c>
      <c r="T64" s="1461" t="e">
        <f t="shared" si="4"/>
        <v>#DIV/0!</v>
      </c>
    </row>
    <row r="65" spans="2:20">
      <c r="B65" s="1426">
        <v>44185</v>
      </c>
      <c r="C65" s="1427"/>
      <c r="D65" s="1428" t="e">
        <f t="shared" si="0"/>
        <v>#DIV/0!</v>
      </c>
      <c r="F65" s="1427"/>
      <c r="G65" s="1428" t="e">
        <f t="shared" si="1"/>
        <v>#DIV/0!</v>
      </c>
      <c r="H65" s="1426">
        <v>44185</v>
      </c>
      <c r="M65" s="1432" t="e">
        <f t="shared" si="2"/>
        <v>#DIV/0!</v>
      </c>
      <c r="N65" s="1411">
        <f t="shared" si="3"/>
        <v>0</v>
      </c>
      <c r="P65" s="1426">
        <v>44346</v>
      </c>
      <c r="Q65" s="1460"/>
      <c r="R65" s="1427"/>
      <c r="S65" s="1461" t="e">
        <f t="shared" si="4"/>
        <v>#DIV/0!</v>
      </c>
      <c r="T65" s="1461" t="e">
        <f t="shared" si="4"/>
        <v>#DIV/0!</v>
      </c>
    </row>
    <row r="66" spans="2:20">
      <c r="B66" s="1426">
        <v>44178</v>
      </c>
      <c r="C66" s="1427"/>
      <c r="D66" s="1428" t="e">
        <f t="shared" si="0"/>
        <v>#DIV/0!</v>
      </c>
      <c r="F66" s="1427"/>
      <c r="G66" s="1428" t="e">
        <f t="shared" si="1"/>
        <v>#DIV/0!</v>
      </c>
      <c r="H66" s="1426">
        <v>44178</v>
      </c>
      <c r="M66" s="1432" t="e">
        <f t="shared" si="2"/>
        <v>#DIV/0!</v>
      </c>
      <c r="N66" s="1411">
        <f t="shared" si="3"/>
        <v>0</v>
      </c>
      <c r="P66" s="1426">
        <v>44339</v>
      </c>
      <c r="Q66" s="1460"/>
      <c r="R66" s="1427"/>
      <c r="S66" s="1461" t="e">
        <f t="shared" si="4"/>
        <v>#DIV/0!</v>
      </c>
      <c r="T66" s="1461" t="e">
        <f t="shared" si="4"/>
        <v>#DIV/0!</v>
      </c>
    </row>
    <row r="67" spans="2:20">
      <c r="B67" s="1426">
        <v>44171</v>
      </c>
      <c r="C67" s="1427"/>
      <c r="D67" s="1428" t="e">
        <f t="shared" si="0"/>
        <v>#DIV/0!</v>
      </c>
      <c r="F67" s="1427"/>
      <c r="G67" s="1428" t="e">
        <f t="shared" si="1"/>
        <v>#DIV/0!</v>
      </c>
      <c r="H67" s="1426">
        <v>44171</v>
      </c>
      <c r="M67" s="1432" t="e">
        <f t="shared" si="2"/>
        <v>#DIV/0!</v>
      </c>
      <c r="N67" s="1411">
        <f t="shared" si="3"/>
        <v>0</v>
      </c>
      <c r="P67" s="1426">
        <v>44332</v>
      </c>
      <c r="Q67" s="1460"/>
      <c r="R67" s="1427"/>
      <c r="S67" s="1461" t="e">
        <f t="shared" si="4"/>
        <v>#DIV/0!</v>
      </c>
      <c r="T67" s="1461" t="e">
        <f t="shared" si="4"/>
        <v>#DIV/0!</v>
      </c>
    </row>
    <row r="68" spans="2:20">
      <c r="B68" s="1426">
        <v>44164</v>
      </c>
      <c r="C68" s="1427"/>
      <c r="D68" s="1428" t="e">
        <f t="shared" si="0"/>
        <v>#DIV/0!</v>
      </c>
      <c r="F68" s="1427"/>
      <c r="G68" s="1428" t="e">
        <f t="shared" si="1"/>
        <v>#DIV/0!</v>
      </c>
      <c r="H68" s="1426">
        <v>44164</v>
      </c>
      <c r="M68" s="1432" t="e">
        <f t="shared" si="2"/>
        <v>#DIV/0!</v>
      </c>
      <c r="N68" s="1411">
        <f t="shared" si="3"/>
        <v>0</v>
      </c>
      <c r="P68" s="1426">
        <v>44325</v>
      </c>
      <c r="Q68" s="1460"/>
      <c r="R68" s="1427"/>
      <c r="S68" s="1461" t="e">
        <f t="shared" si="4"/>
        <v>#DIV/0!</v>
      </c>
      <c r="T68" s="1461" t="e">
        <f t="shared" si="4"/>
        <v>#DIV/0!</v>
      </c>
    </row>
    <row r="69" spans="2:20">
      <c r="B69" s="1426">
        <v>44157</v>
      </c>
      <c r="C69" s="1427"/>
      <c r="D69" s="1428" t="e">
        <f t="shared" si="0"/>
        <v>#DIV/0!</v>
      </c>
      <c r="F69" s="1427"/>
      <c r="G69" s="1428" t="e">
        <f t="shared" si="1"/>
        <v>#DIV/0!</v>
      </c>
      <c r="H69" s="1426">
        <v>44157</v>
      </c>
      <c r="M69" s="1432" t="e">
        <f t="shared" si="2"/>
        <v>#DIV/0!</v>
      </c>
      <c r="N69" s="1411">
        <f t="shared" si="3"/>
        <v>0</v>
      </c>
      <c r="P69" s="1426">
        <v>44318</v>
      </c>
      <c r="Q69" s="1460"/>
      <c r="R69" s="1427"/>
      <c r="S69" s="1461" t="e">
        <f t="shared" si="4"/>
        <v>#DIV/0!</v>
      </c>
      <c r="T69" s="1461" t="e">
        <f t="shared" si="4"/>
        <v>#DIV/0!</v>
      </c>
    </row>
    <row r="70" spans="2:20">
      <c r="B70" s="1426">
        <v>44150</v>
      </c>
      <c r="C70" s="1425"/>
      <c r="D70" s="1428" t="e">
        <f t="shared" si="0"/>
        <v>#DIV/0!</v>
      </c>
      <c r="F70" s="1427"/>
      <c r="G70" s="1428" t="e">
        <f t="shared" si="1"/>
        <v>#DIV/0!</v>
      </c>
      <c r="H70" s="1426">
        <v>44150</v>
      </c>
      <c r="M70" s="1432" t="e">
        <f t="shared" si="2"/>
        <v>#DIV/0!</v>
      </c>
      <c r="N70" s="1411">
        <f t="shared" si="3"/>
        <v>0</v>
      </c>
      <c r="P70" s="1426">
        <v>44311</v>
      </c>
      <c r="Q70" s="1460"/>
      <c r="R70" s="1427"/>
      <c r="S70" s="1461" t="e">
        <f t="shared" si="4"/>
        <v>#DIV/0!</v>
      </c>
      <c r="T70" s="1461" t="e">
        <f t="shared" si="4"/>
        <v>#DIV/0!</v>
      </c>
    </row>
    <row r="71" spans="2:20">
      <c r="B71" s="1426">
        <v>44143</v>
      </c>
      <c r="C71" s="1425"/>
      <c r="D71" s="1428" t="e">
        <f t="shared" ref="D71:D134" si="5">C71/C72-1</f>
        <v>#DIV/0!</v>
      </c>
      <c r="F71" s="1427"/>
      <c r="G71" s="1428" t="e">
        <f t="shared" ref="G71:G134" si="6">F71/F72-1</f>
        <v>#DIV/0!</v>
      </c>
      <c r="H71" s="1426">
        <v>44143</v>
      </c>
      <c r="M71" s="1432" t="e">
        <f t="shared" ref="M71:M134" si="7">F71/F72-1</f>
        <v>#DIV/0!</v>
      </c>
      <c r="N71" s="1411">
        <f t="shared" ref="N71:N134" si="8">H71-B71</f>
        <v>0</v>
      </c>
      <c r="P71" s="1426">
        <v>44304</v>
      </c>
      <c r="Q71" s="1460"/>
      <c r="R71" s="1427"/>
      <c r="S71" s="1461" t="e">
        <f t="shared" si="4"/>
        <v>#DIV/0!</v>
      </c>
      <c r="T71" s="1461" t="e">
        <f t="shared" si="4"/>
        <v>#DIV/0!</v>
      </c>
    </row>
    <row r="72" spans="2:20">
      <c r="B72" s="1426">
        <v>44136</v>
      </c>
      <c r="C72" s="1425"/>
      <c r="D72" s="1428" t="e">
        <f t="shared" si="5"/>
        <v>#DIV/0!</v>
      </c>
      <c r="F72" s="1427"/>
      <c r="G72" s="1428" t="e">
        <f t="shared" si="6"/>
        <v>#DIV/0!</v>
      </c>
      <c r="H72" s="1426">
        <v>44136</v>
      </c>
      <c r="M72" s="1432" t="e">
        <f t="shared" si="7"/>
        <v>#DIV/0!</v>
      </c>
      <c r="N72" s="1411">
        <f t="shared" si="8"/>
        <v>0</v>
      </c>
      <c r="P72" s="1426">
        <v>44297</v>
      </c>
      <c r="Q72" s="1460"/>
      <c r="R72" s="1427"/>
      <c r="S72" s="1461" t="e">
        <f t="shared" si="4"/>
        <v>#DIV/0!</v>
      </c>
      <c r="T72" s="1461" t="e">
        <f t="shared" si="4"/>
        <v>#DIV/0!</v>
      </c>
    </row>
    <row r="73" spans="2:20">
      <c r="B73" s="1426">
        <v>44129</v>
      </c>
      <c r="C73" s="1425"/>
      <c r="D73" s="1428" t="e">
        <f t="shared" si="5"/>
        <v>#DIV/0!</v>
      </c>
      <c r="F73" s="1427"/>
      <c r="G73" s="1428" t="e">
        <f t="shared" si="6"/>
        <v>#DIV/0!</v>
      </c>
      <c r="H73" s="1426">
        <v>44129</v>
      </c>
      <c r="M73" s="1432" t="e">
        <f t="shared" si="7"/>
        <v>#DIV/0!</v>
      </c>
      <c r="N73" s="1411">
        <f t="shared" si="8"/>
        <v>0</v>
      </c>
      <c r="P73" s="1426">
        <v>44290</v>
      </c>
      <c r="Q73" s="1460"/>
      <c r="R73" s="1427"/>
      <c r="S73" s="1461" t="e">
        <f t="shared" si="4"/>
        <v>#DIV/0!</v>
      </c>
      <c r="T73" s="1461" t="e">
        <f t="shared" si="4"/>
        <v>#DIV/0!</v>
      </c>
    </row>
    <row r="74" spans="2:20">
      <c r="B74" s="1426">
        <v>44122</v>
      </c>
      <c r="C74" s="1425"/>
      <c r="D74" s="1428" t="e">
        <f t="shared" si="5"/>
        <v>#DIV/0!</v>
      </c>
      <c r="F74" s="1427"/>
      <c r="G74" s="1428" t="e">
        <f t="shared" si="6"/>
        <v>#DIV/0!</v>
      </c>
      <c r="H74" s="1426">
        <v>44122</v>
      </c>
      <c r="M74" s="1432" t="e">
        <f t="shared" si="7"/>
        <v>#DIV/0!</v>
      </c>
      <c r="N74" s="1411">
        <f t="shared" si="8"/>
        <v>0</v>
      </c>
      <c r="P74" s="1426">
        <v>44283</v>
      </c>
      <c r="Q74" s="1460"/>
      <c r="R74" s="1427"/>
      <c r="S74" s="1461" t="e">
        <f t="shared" si="4"/>
        <v>#DIV/0!</v>
      </c>
      <c r="T74" s="1461" t="e">
        <f t="shared" si="4"/>
        <v>#DIV/0!</v>
      </c>
    </row>
    <row r="75" spans="2:20">
      <c r="B75" s="1426">
        <v>44115</v>
      </c>
      <c r="C75" s="1425"/>
      <c r="D75" s="1428" t="e">
        <f t="shared" si="5"/>
        <v>#DIV/0!</v>
      </c>
      <c r="F75" s="1427"/>
      <c r="G75" s="1428" t="e">
        <f t="shared" si="6"/>
        <v>#DIV/0!</v>
      </c>
      <c r="H75" s="1426">
        <v>44115</v>
      </c>
      <c r="M75" s="1432" t="e">
        <f t="shared" si="7"/>
        <v>#DIV/0!</v>
      </c>
      <c r="N75" s="1411">
        <f t="shared" si="8"/>
        <v>0</v>
      </c>
      <c r="P75" s="1426">
        <v>44276</v>
      </c>
      <c r="Q75" s="1460"/>
      <c r="R75" s="1427"/>
      <c r="S75" s="1461" t="e">
        <f t="shared" si="4"/>
        <v>#DIV/0!</v>
      </c>
      <c r="T75" s="1461" t="e">
        <f t="shared" si="4"/>
        <v>#DIV/0!</v>
      </c>
    </row>
    <row r="76" spans="2:20">
      <c r="B76" s="1426">
        <v>44108</v>
      </c>
      <c r="C76" s="1425"/>
      <c r="D76" s="1428" t="e">
        <f t="shared" si="5"/>
        <v>#DIV/0!</v>
      </c>
      <c r="F76" s="1427"/>
      <c r="G76" s="1428" t="e">
        <f t="shared" si="6"/>
        <v>#DIV/0!</v>
      </c>
      <c r="H76" s="1426">
        <v>44108</v>
      </c>
      <c r="M76" s="1432" t="e">
        <f t="shared" si="7"/>
        <v>#DIV/0!</v>
      </c>
      <c r="N76" s="1411">
        <f t="shared" si="8"/>
        <v>0</v>
      </c>
      <c r="P76" s="1426">
        <v>44269</v>
      </c>
      <c r="Q76" s="1460"/>
      <c r="R76" s="1427"/>
      <c r="S76" s="1461" t="e">
        <f t="shared" si="4"/>
        <v>#DIV/0!</v>
      </c>
      <c r="T76" s="1461" t="e">
        <f t="shared" si="4"/>
        <v>#DIV/0!</v>
      </c>
    </row>
    <row r="77" spans="2:20">
      <c r="B77" s="1426">
        <v>44101</v>
      </c>
      <c r="C77" s="1425"/>
      <c r="D77" s="1428" t="e">
        <f t="shared" si="5"/>
        <v>#DIV/0!</v>
      </c>
      <c r="F77" s="1427"/>
      <c r="G77" s="1428" t="e">
        <f t="shared" si="6"/>
        <v>#DIV/0!</v>
      </c>
      <c r="H77" s="1426">
        <v>44101</v>
      </c>
      <c r="M77" s="1432" t="e">
        <f t="shared" si="7"/>
        <v>#DIV/0!</v>
      </c>
      <c r="N77" s="1411">
        <f t="shared" si="8"/>
        <v>0</v>
      </c>
      <c r="P77" s="1426">
        <v>44262</v>
      </c>
      <c r="Q77" s="1460"/>
      <c r="R77" s="1427"/>
      <c r="S77" s="1461" t="e">
        <f t="shared" si="4"/>
        <v>#DIV/0!</v>
      </c>
      <c r="T77" s="1461" t="e">
        <f t="shared" si="4"/>
        <v>#DIV/0!</v>
      </c>
    </row>
    <row r="78" spans="2:20">
      <c r="B78" s="1426">
        <v>44094</v>
      </c>
      <c r="C78" s="1425"/>
      <c r="D78" s="1428" t="e">
        <f t="shared" si="5"/>
        <v>#DIV/0!</v>
      </c>
      <c r="F78" s="1427"/>
      <c r="G78" s="1428" t="e">
        <f t="shared" si="6"/>
        <v>#DIV/0!</v>
      </c>
      <c r="H78" s="1426">
        <v>44094</v>
      </c>
      <c r="M78" s="1432" t="e">
        <f t="shared" si="7"/>
        <v>#DIV/0!</v>
      </c>
      <c r="N78" s="1411">
        <f t="shared" si="8"/>
        <v>0</v>
      </c>
      <c r="P78" s="1426">
        <v>44255</v>
      </c>
      <c r="Q78" s="1460"/>
      <c r="R78" s="1427"/>
      <c r="S78" s="1461" t="e">
        <f t="shared" si="4"/>
        <v>#DIV/0!</v>
      </c>
      <c r="T78" s="1461" t="e">
        <f t="shared" si="4"/>
        <v>#DIV/0!</v>
      </c>
    </row>
    <row r="79" spans="2:20">
      <c r="B79" s="1426">
        <v>44087</v>
      </c>
      <c r="C79" s="1425"/>
      <c r="D79" s="1428" t="e">
        <f t="shared" si="5"/>
        <v>#DIV/0!</v>
      </c>
      <c r="F79" s="1427"/>
      <c r="G79" s="1428" t="e">
        <f t="shared" si="6"/>
        <v>#DIV/0!</v>
      </c>
      <c r="H79" s="1426">
        <v>44087</v>
      </c>
      <c r="M79" s="1432" t="e">
        <f t="shared" si="7"/>
        <v>#DIV/0!</v>
      </c>
      <c r="N79" s="1411">
        <f t="shared" si="8"/>
        <v>0</v>
      </c>
      <c r="P79" s="1426">
        <v>44248</v>
      </c>
      <c r="Q79" s="1460"/>
      <c r="R79" s="1427"/>
      <c r="S79" s="1461" t="e">
        <f t="shared" si="4"/>
        <v>#DIV/0!</v>
      </c>
      <c r="T79" s="1461" t="e">
        <f t="shared" si="4"/>
        <v>#DIV/0!</v>
      </c>
    </row>
    <row r="80" spans="2:20">
      <c r="B80" s="1426">
        <v>44080</v>
      </c>
      <c r="C80" s="1425"/>
      <c r="D80" s="1428" t="e">
        <f t="shared" si="5"/>
        <v>#DIV/0!</v>
      </c>
      <c r="F80" s="1427"/>
      <c r="G80" s="1428" t="e">
        <f t="shared" si="6"/>
        <v>#DIV/0!</v>
      </c>
      <c r="H80" s="1426">
        <v>44080</v>
      </c>
      <c r="M80" s="1432" t="e">
        <f t="shared" si="7"/>
        <v>#DIV/0!</v>
      </c>
      <c r="N80" s="1411">
        <f t="shared" si="8"/>
        <v>0</v>
      </c>
      <c r="P80" s="1426">
        <v>44241</v>
      </c>
      <c r="Q80" s="1460"/>
      <c r="R80" s="1427"/>
      <c r="S80" s="1461" t="e">
        <f t="shared" si="4"/>
        <v>#DIV/0!</v>
      </c>
      <c r="T80" s="1461" t="e">
        <f t="shared" si="4"/>
        <v>#DIV/0!</v>
      </c>
    </row>
    <row r="81" spans="2:20">
      <c r="B81" s="1426">
        <v>44073</v>
      </c>
      <c r="C81" s="1425"/>
      <c r="D81" s="1428" t="e">
        <f t="shared" si="5"/>
        <v>#DIV/0!</v>
      </c>
      <c r="F81" s="1427"/>
      <c r="G81" s="1428" t="e">
        <f t="shared" si="6"/>
        <v>#DIV/0!</v>
      </c>
      <c r="H81" s="1426">
        <v>44073</v>
      </c>
      <c r="M81" s="1432" t="e">
        <f t="shared" si="7"/>
        <v>#DIV/0!</v>
      </c>
      <c r="N81" s="1411">
        <f t="shared" si="8"/>
        <v>0</v>
      </c>
      <c r="P81" s="1426">
        <v>44234</v>
      </c>
      <c r="Q81" s="1460"/>
      <c r="R81" s="1427"/>
      <c r="S81" s="1461" t="e">
        <f t="shared" si="4"/>
        <v>#DIV/0!</v>
      </c>
      <c r="T81" s="1461" t="e">
        <f t="shared" si="4"/>
        <v>#DIV/0!</v>
      </c>
    </row>
    <row r="82" spans="2:20">
      <c r="B82" s="1426">
        <v>44066</v>
      </c>
      <c r="C82" s="1425"/>
      <c r="D82" s="1428" t="e">
        <f t="shared" si="5"/>
        <v>#DIV/0!</v>
      </c>
      <c r="F82" s="1427"/>
      <c r="G82" s="1428" t="e">
        <f t="shared" si="6"/>
        <v>#DIV/0!</v>
      </c>
      <c r="H82" s="1426">
        <v>44066</v>
      </c>
      <c r="M82" s="1432" t="e">
        <f t="shared" si="7"/>
        <v>#DIV/0!</v>
      </c>
      <c r="N82" s="1411">
        <f t="shared" si="8"/>
        <v>0</v>
      </c>
      <c r="P82" s="1426">
        <v>44227</v>
      </c>
      <c r="Q82" s="1460"/>
      <c r="R82" s="1427"/>
      <c r="S82" s="1461" t="e">
        <f t="shared" si="4"/>
        <v>#DIV/0!</v>
      </c>
      <c r="T82" s="1461" t="e">
        <f t="shared" si="4"/>
        <v>#DIV/0!</v>
      </c>
    </row>
    <row r="83" spans="2:20">
      <c r="B83" s="1426">
        <v>44059</v>
      </c>
      <c r="C83" s="1425"/>
      <c r="D83" s="1428" t="e">
        <f t="shared" si="5"/>
        <v>#DIV/0!</v>
      </c>
      <c r="F83" s="1427"/>
      <c r="G83" s="1428" t="e">
        <f t="shared" si="6"/>
        <v>#DIV/0!</v>
      </c>
      <c r="H83" s="1426">
        <v>44059</v>
      </c>
      <c r="M83" s="1432" t="e">
        <f t="shared" si="7"/>
        <v>#DIV/0!</v>
      </c>
      <c r="N83" s="1411">
        <f t="shared" si="8"/>
        <v>0</v>
      </c>
      <c r="P83" s="1426">
        <v>44220</v>
      </c>
      <c r="Q83" s="1460"/>
      <c r="R83" s="1427"/>
      <c r="S83" s="1461" t="e">
        <f t="shared" si="4"/>
        <v>#DIV/0!</v>
      </c>
      <c r="T83" s="1461" t="e">
        <f t="shared" si="4"/>
        <v>#DIV/0!</v>
      </c>
    </row>
    <row r="84" spans="2:20">
      <c r="B84" s="1426">
        <v>44052</v>
      </c>
      <c r="C84" s="1425"/>
      <c r="D84" s="1428" t="e">
        <f t="shared" si="5"/>
        <v>#DIV/0!</v>
      </c>
      <c r="F84" s="1427"/>
      <c r="G84" s="1428" t="e">
        <f t="shared" si="6"/>
        <v>#DIV/0!</v>
      </c>
      <c r="H84" s="1426">
        <v>44052</v>
      </c>
      <c r="M84" s="1432" t="e">
        <f t="shared" si="7"/>
        <v>#DIV/0!</v>
      </c>
      <c r="N84" s="1411">
        <f t="shared" si="8"/>
        <v>0</v>
      </c>
      <c r="P84" s="1426">
        <v>44213</v>
      </c>
      <c r="Q84" s="1460"/>
      <c r="R84" s="1427"/>
      <c r="S84" s="1461" t="e">
        <f t="shared" si="4"/>
        <v>#DIV/0!</v>
      </c>
      <c r="T84" s="1461" t="e">
        <f t="shared" si="4"/>
        <v>#DIV/0!</v>
      </c>
    </row>
    <row r="85" spans="2:20">
      <c r="B85" s="1426">
        <v>44045</v>
      </c>
      <c r="C85" s="1425"/>
      <c r="D85" s="1428" t="e">
        <f t="shared" si="5"/>
        <v>#DIV/0!</v>
      </c>
      <c r="F85" s="1427"/>
      <c r="G85" s="1428" t="e">
        <f t="shared" si="6"/>
        <v>#DIV/0!</v>
      </c>
      <c r="H85" s="1426">
        <v>44045</v>
      </c>
      <c r="M85" s="1432" t="e">
        <f t="shared" si="7"/>
        <v>#DIV/0!</v>
      </c>
      <c r="N85" s="1411">
        <f t="shared" si="8"/>
        <v>0</v>
      </c>
      <c r="P85" s="1426">
        <v>44206</v>
      </c>
      <c r="Q85" s="1460"/>
      <c r="R85" s="1427"/>
      <c r="S85" s="1461" t="e">
        <f t="shared" si="4"/>
        <v>#DIV/0!</v>
      </c>
      <c r="T85" s="1461" t="e">
        <f t="shared" si="4"/>
        <v>#DIV/0!</v>
      </c>
    </row>
    <row r="86" spans="2:20">
      <c r="B86" s="1426">
        <v>44038</v>
      </c>
      <c r="C86" s="1425"/>
      <c r="D86" s="1428" t="e">
        <f t="shared" si="5"/>
        <v>#DIV/0!</v>
      </c>
      <c r="F86" s="1427"/>
      <c r="G86" s="1428" t="e">
        <f t="shared" si="6"/>
        <v>#DIV/0!</v>
      </c>
      <c r="H86" s="1426">
        <v>44038</v>
      </c>
      <c r="M86" s="1432" t="e">
        <f t="shared" si="7"/>
        <v>#DIV/0!</v>
      </c>
      <c r="N86" s="1411">
        <f t="shared" si="8"/>
        <v>0</v>
      </c>
      <c r="P86" s="1426">
        <v>44199</v>
      </c>
      <c r="Q86" s="1460"/>
      <c r="R86" s="1427"/>
      <c r="S86" s="1461" t="e">
        <f t="shared" si="4"/>
        <v>#DIV/0!</v>
      </c>
      <c r="T86" s="1461" t="e">
        <f t="shared" si="4"/>
        <v>#DIV/0!</v>
      </c>
    </row>
    <row r="87" spans="2:20">
      <c r="B87" s="1426">
        <v>44031</v>
      </c>
      <c r="C87" s="1425"/>
      <c r="D87" s="1428" t="e">
        <f t="shared" si="5"/>
        <v>#DIV/0!</v>
      </c>
      <c r="F87" s="1427"/>
      <c r="G87" s="1428" t="e">
        <f t="shared" si="6"/>
        <v>#DIV/0!</v>
      </c>
      <c r="H87" s="1426">
        <v>44031</v>
      </c>
      <c r="M87" s="1432" t="e">
        <f t="shared" si="7"/>
        <v>#DIV/0!</v>
      </c>
      <c r="N87" s="1411">
        <f t="shared" si="8"/>
        <v>0</v>
      </c>
      <c r="P87" s="1426">
        <v>44192</v>
      </c>
      <c r="Q87" s="1460"/>
      <c r="R87" s="1427"/>
      <c r="S87" s="1461" t="e">
        <f t="shared" si="4"/>
        <v>#DIV/0!</v>
      </c>
      <c r="T87" s="1461" t="e">
        <f t="shared" si="4"/>
        <v>#DIV/0!</v>
      </c>
    </row>
    <row r="88" spans="2:20">
      <c r="B88" s="1426">
        <v>44024</v>
      </c>
      <c r="C88" s="1425"/>
      <c r="D88" s="1428" t="e">
        <f t="shared" si="5"/>
        <v>#DIV/0!</v>
      </c>
      <c r="F88" s="1427"/>
      <c r="G88" s="1428" t="e">
        <f t="shared" si="6"/>
        <v>#DIV/0!</v>
      </c>
      <c r="H88" s="1426">
        <v>44024</v>
      </c>
      <c r="M88" s="1432" t="e">
        <f t="shared" si="7"/>
        <v>#DIV/0!</v>
      </c>
      <c r="N88" s="1411">
        <f t="shared" si="8"/>
        <v>0</v>
      </c>
      <c r="P88" s="1426">
        <v>44185</v>
      </c>
      <c r="Q88" s="1460"/>
      <c r="R88" s="1427"/>
      <c r="S88" s="1461" t="e">
        <f t="shared" si="4"/>
        <v>#DIV/0!</v>
      </c>
      <c r="T88" s="1461" t="e">
        <f t="shared" si="4"/>
        <v>#DIV/0!</v>
      </c>
    </row>
    <row r="89" spans="2:20">
      <c r="B89" s="1426">
        <v>44017</v>
      </c>
      <c r="C89" s="1425"/>
      <c r="D89" s="1428" t="e">
        <f t="shared" si="5"/>
        <v>#DIV/0!</v>
      </c>
      <c r="F89" s="1427"/>
      <c r="G89" s="1428" t="e">
        <f t="shared" si="6"/>
        <v>#DIV/0!</v>
      </c>
      <c r="H89" s="1426">
        <v>44017</v>
      </c>
      <c r="M89" s="1432" t="e">
        <f t="shared" si="7"/>
        <v>#DIV/0!</v>
      </c>
      <c r="N89" s="1411">
        <f t="shared" si="8"/>
        <v>0</v>
      </c>
      <c r="P89" s="1426">
        <v>44178</v>
      </c>
      <c r="Q89" s="1460"/>
      <c r="R89" s="1427"/>
      <c r="S89" s="1461" t="e">
        <f t="shared" si="4"/>
        <v>#DIV/0!</v>
      </c>
      <c r="T89" s="1461" t="e">
        <f t="shared" si="4"/>
        <v>#DIV/0!</v>
      </c>
    </row>
    <row r="90" spans="2:20">
      <c r="B90" s="1426">
        <v>44010</v>
      </c>
      <c r="C90" s="1425"/>
      <c r="D90" s="1428" t="e">
        <f t="shared" si="5"/>
        <v>#DIV/0!</v>
      </c>
      <c r="F90" s="1427"/>
      <c r="G90" s="1428" t="e">
        <f t="shared" si="6"/>
        <v>#DIV/0!</v>
      </c>
      <c r="H90" s="1426">
        <v>44010</v>
      </c>
      <c r="M90" s="1432" t="e">
        <f t="shared" si="7"/>
        <v>#DIV/0!</v>
      </c>
      <c r="N90" s="1411">
        <f t="shared" si="8"/>
        <v>0</v>
      </c>
      <c r="P90" s="1426">
        <v>44171</v>
      </c>
      <c r="Q90" s="1460"/>
      <c r="R90" s="1427"/>
      <c r="S90" s="1461" t="e">
        <f t="shared" si="4"/>
        <v>#DIV/0!</v>
      </c>
      <c r="T90" s="1461" t="e">
        <f t="shared" si="4"/>
        <v>#DIV/0!</v>
      </c>
    </row>
    <row r="91" spans="2:20">
      <c r="B91" s="1426">
        <v>44003</v>
      </c>
      <c r="C91" s="1425"/>
      <c r="D91" s="1428" t="e">
        <f t="shared" si="5"/>
        <v>#DIV/0!</v>
      </c>
      <c r="F91" s="1427"/>
      <c r="G91" s="1428" t="e">
        <f t="shared" si="6"/>
        <v>#DIV/0!</v>
      </c>
      <c r="H91" s="1426">
        <v>44003</v>
      </c>
      <c r="M91" s="1432" t="e">
        <f t="shared" si="7"/>
        <v>#DIV/0!</v>
      </c>
      <c r="N91" s="1411">
        <f t="shared" si="8"/>
        <v>0</v>
      </c>
      <c r="P91" s="1426">
        <v>44164</v>
      </c>
      <c r="Q91" s="1460"/>
      <c r="R91" s="1427"/>
      <c r="S91" s="1461" t="e">
        <f t="shared" si="4"/>
        <v>#DIV/0!</v>
      </c>
      <c r="T91" s="1461" t="e">
        <f t="shared" si="4"/>
        <v>#DIV/0!</v>
      </c>
    </row>
    <row r="92" spans="2:20">
      <c r="B92" s="1426">
        <v>43996</v>
      </c>
      <c r="C92" s="1425"/>
      <c r="D92" s="1428" t="e">
        <f t="shared" si="5"/>
        <v>#DIV/0!</v>
      </c>
      <c r="F92" s="1427"/>
      <c r="G92" s="1428" t="e">
        <f t="shared" si="6"/>
        <v>#DIV/0!</v>
      </c>
      <c r="H92" s="1426">
        <v>43996</v>
      </c>
      <c r="M92" s="1432" t="e">
        <f t="shared" si="7"/>
        <v>#DIV/0!</v>
      </c>
      <c r="N92" s="1411">
        <f t="shared" si="8"/>
        <v>0</v>
      </c>
      <c r="P92" s="1426">
        <v>44157</v>
      </c>
      <c r="Q92" s="1460"/>
      <c r="R92" s="1427"/>
      <c r="S92" s="1461" t="e">
        <f t="shared" si="4"/>
        <v>#DIV/0!</v>
      </c>
      <c r="T92" s="1461" t="e">
        <f t="shared" si="4"/>
        <v>#DIV/0!</v>
      </c>
    </row>
    <row r="93" spans="2:20">
      <c r="B93" s="1426">
        <v>43989</v>
      </c>
      <c r="C93" s="1425"/>
      <c r="D93" s="1428" t="e">
        <f t="shared" si="5"/>
        <v>#DIV/0!</v>
      </c>
      <c r="F93" s="1427"/>
      <c r="G93" s="1428" t="e">
        <f t="shared" si="6"/>
        <v>#DIV/0!</v>
      </c>
      <c r="H93" s="1426">
        <v>43989</v>
      </c>
      <c r="M93" s="1432" t="e">
        <f t="shared" si="7"/>
        <v>#DIV/0!</v>
      </c>
      <c r="N93" s="1411">
        <f t="shared" si="8"/>
        <v>0</v>
      </c>
      <c r="P93" s="1426">
        <v>44150</v>
      </c>
      <c r="Q93" s="1460"/>
      <c r="R93" s="1425"/>
      <c r="S93" s="1461" t="e">
        <f t="shared" si="4"/>
        <v>#DIV/0!</v>
      </c>
      <c r="T93" s="1461" t="e">
        <f t="shared" si="4"/>
        <v>#DIV/0!</v>
      </c>
    </row>
    <row r="94" spans="2:20">
      <c r="B94" s="1426">
        <v>43982</v>
      </c>
      <c r="C94" s="1425"/>
      <c r="D94" s="1428" t="e">
        <f t="shared" si="5"/>
        <v>#DIV/0!</v>
      </c>
      <c r="F94" s="1427"/>
      <c r="G94" s="1428" t="e">
        <f t="shared" si="6"/>
        <v>#DIV/0!</v>
      </c>
      <c r="H94" s="1426">
        <v>43982</v>
      </c>
      <c r="M94" s="1432" t="e">
        <f t="shared" si="7"/>
        <v>#DIV/0!</v>
      </c>
      <c r="N94" s="1411">
        <f t="shared" si="8"/>
        <v>0</v>
      </c>
      <c r="P94" s="1426">
        <v>44143</v>
      </c>
      <c r="Q94" s="1460"/>
      <c r="R94" s="1425"/>
      <c r="S94" s="1461" t="e">
        <f t="shared" si="4"/>
        <v>#DIV/0!</v>
      </c>
      <c r="T94" s="1461" t="e">
        <f t="shared" si="4"/>
        <v>#DIV/0!</v>
      </c>
    </row>
    <row r="95" spans="2:20">
      <c r="B95" s="1426">
        <v>43975</v>
      </c>
      <c r="C95" s="1425"/>
      <c r="D95" s="1428" t="e">
        <f t="shared" si="5"/>
        <v>#DIV/0!</v>
      </c>
      <c r="F95" s="1427"/>
      <c r="G95" s="1428" t="e">
        <f t="shared" si="6"/>
        <v>#DIV/0!</v>
      </c>
      <c r="H95" s="1426">
        <v>43975</v>
      </c>
      <c r="M95" s="1432" t="e">
        <f t="shared" si="7"/>
        <v>#DIV/0!</v>
      </c>
      <c r="N95" s="1411">
        <f t="shared" si="8"/>
        <v>0</v>
      </c>
      <c r="P95" s="1426">
        <v>44136</v>
      </c>
      <c r="Q95" s="1460"/>
      <c r="R95" s="1425"/>
      <c r="S95" s="1461" t="e">
        <f t="shared" ref="S95:T158" si="9">Q95/Q96-1</f>
        <v>#DIV/0!</v>
      </c>
      <c r="T95" s="1461" t="e">
        <f t="shared" si="9"/>
        <v>#DIV/0!</v>
      </c>
    </row>
    <row r="96" spans="2:20">
      <c r="B96" s="1426">
        <v>43968</v>
      </c>
      <c r="C96" s="1425"/>
      <c r="D96" s="1428" t="e">
        <f t="shared" si="5"/>
        <v>#DIV/0!</v>
      </c>
      <c r="F96" s="1427"/>
      <c r="G96" s="1428" t="e">
        <f t="shared" si="6"/>
        <v>#DIV/0!</v>
      </c>
      <c r="H96" s="1426">
        <v>43968</v>
      </c>
      <c r="M96" s="1432" t="e">
        <f t="shared" si="7"/>
        <v>#DIV/0!</v>
      </c>
      <c r="N96" s="1411">
        <f t="shared" si="8"/>
        <v>0</v>
      </c>
      <c r="P96" s="1426">
        <v>44129</v>
      </c>
      <c r="Q96" s="1460"/>
      <c r="R96" s="1425"/>
      <c r="S96" s="1461" t="e">
        <f t="shared" si="9"/>
        <v>#DIV/0!</v>
      </c>
      <c r="T96" s="1461" t="e">
        <f t="shared" si="9"/>
        <v>#DIV/0!</v>
      </c>
    </row>
    <row r="97" spans="2:20">
      <c r="B97" s="1426">
        <v>43961</v>
      </c>
      <c r="C97" s="1425"/>
      <c r="D97" s="1428" t="e">
        <f t="shared" si="5"/>
        <v>#DIV/0!</v>
      </c>
      <c r="F97" s="1427"/>
      <c r="G97" s="1428" t="e">
        <f t="shared" si="6"/>
        <v>#DIV/0!</v>
      </c>
      <c r="H97" s="1426">
        <v>43961</v>
      </c>
      <c r="M97" s="1432" t="e">
        <f t="shared" si="7"/>
        <v>#DIV/0!</v>
      </c>
      <c r="N97" s="1411">
        <f t="shared" si="8"/>
        <v>0</v>
      </c>
      <c r="P97" s="1426">
        <v>44122</v>
      </c>
      <c r="Q97" s="1460"/>
      <c r="R97" s="1425"/>
      <c r="S97" s="1461" t="e">
        <f t="shared" si="9"/>
        <v>#DIV/0!</v>
      </c>
      <c r="T97" s="1461" t="e">
        <f t="shared" si="9"/>
        <v>#DIV/0!</v>
      </c>
    </row>
    <row r="98" spans="2:20">
      <c r="B98" s="1426">
        <v>43954</v>
      </c>
      <c r="C98" s="1425"/>
      <c r="D98" s="1428" t="e">
        <f t="shared" si="5"/>
        <v>#DIV/0!</v>
      </c>
      <c r="F98" s="1427"/>
      <c r="G98" s="1428" t="e">
        <f t="shared" si="6"/>
        <v>#DIV/0!</v>
      </c>
      <c r="H98" s="1426">
        <v>43954</v>
      </c>
      <c r="M98" s="1432" t="e">
        <f t="shared" si="7"/>
        <v>#DIV/0!</v>
      </c>
      <c r="N98" s="1411">
        <f t="shared" si="8"/>
        <v>0</v>
      </c>
      <c r="P98" s="1426">
        <v>44115</v>
      </c>
      <c r="Q98" s="1460"/>
      <c r="R98" s="1425"/>
      <c r="S98" s="1461" t="e">
        <f t="shared" si="9"/>
        <v>#DIV/0!</v>
      </c>
      <c r="T98" s="1461" t="e">
        <f t="shared" si="9"/>
        <v>#DIV/0!</v>
      </c>
    </row>
    <row r="99" spans="2:20">
      <c r="B99" s="1426">
        <v>43947</v>
      </c>
      <c r="C99" s="1425"/>
      <c r="D99" s="1428" t="e">
        <f t="shared" si="5"/>
        <v>#DIV/0!</v>
      </c>
      <c r="F99" s="1427"/>
      <c r="G99" s="1428" t="e">
        <f t="shared" si="6"/>
        <v>#DIV/0!</v>
      </c>
      <c r="H99" s="1426">
        <v>43947</v>
      </c>
      <c r="M99" s="1432" t="e">
        <f t="shared" si="7"/>
        <v>#DIV/0!</v>
      </c>
      <c r="N99" s="1411">
        <f t="shared" si="8"/>
        <v>0</v>
      </c>
      <c r="P99" s="1426">
        <v>44108</v>
      </c>
      <c r="Q99" s="1460"/>
      <c r="R99" s="1425"/>
      <c r="S99" s="1461" t="e">
        <f t="shared" si="9"/>
        <v>#DIV/0!</v>
      </c>
      <c r="T99" s="1461" t="e">
        <f t="shared" si="9"/>
        <v>#DIV/0!</v>
      </c>
    </row>
    <row r="100" spans="2:20">
      <c r="B100" s="1426">
        <v>43940</v>
      </c>
      <c r="C100" s="1425"/>
      <c r="D100" s="1428" t="e">
        <f t="shared" si="5"/>
        <v>#DIV/0!</v>
      </c>
      <c r="F100" s="1427"/>
      <c r="G100" s="1428" t="e">
        <f t="shared" si="6"/>
        <v>#DIV/0!</v>
      </c>
      <c r="H100" s="1426">
        <v>43940</v>
      </c>
      <c r="M100" s="1432" t="e">
        <f t="shared" si="7"/>
        <v>#DIV/0!</v>
      </c>
      <c r="N100" s="1411">
        <f t="shared" si="8"/>
        <v>0</v>
      </c>
      <c r="P100" s="1426">
        <v>44101</v>
      </c>
      <c r="Q100" s="1460"/>
      <c r="R100" s="1425"/>
      <c r="S100" s="1461" t="e">
        <f t="shared" si="9"/>
        <v>#DIV/0!</v>
      </c>
      <c r="T100" s="1461" t="e">
        <f t="shared" si="9"/>
        <v>#DIV/0!</v>
      </c>
    </row>
    <row r="101" spans="2:20">
      <c r="B101" s="1426">
        <v>43933</v>
      </c>
      <c r="C101" s="1425"/>
      <c r="D101" s="1428" t="e">
        <f t="shared" si="5"/>
        <v>#DIV/0!</v>
      </c>
      <c r="F101" s="1427"/>
      <c r="G101" s="1428" t="e">
        <f t="shared" si="6"/>
        <v>#DIV/0!</v>
      </c>
      <c r="H101" s="1426">
        <v>43933</v>
      </c>
      <c r="M101" s="1432" t="e">
        <f t="shared" si="7"/>
        <v>#DIV/0!</v>
      </c>
      <c r="N101" s="1411">
        <f t="shared" si="8"/>
        <v>0</v>
      </c>
      <c r="P101" s="1426">
        <v>44094</v>
      </c>
      <c r="Q101" s="1460"/>
      <c r="R101" s="1425"/>
      <c r="S101" s="1461" t="e">
        <f t="shared" si="9"/>
        <v>#DIV/0!</v>
      </c>
      <c r="T101" s="1461" t="e">
        <f t="shared" si="9"/>
        <v>#DIV/0!</v>
      </c>
    </row>
    <row r="102" spans="2:20">
      <c r="B102" s="1426">
        <v>43926</v>
      </c>
      <c r="C102" s="1425"/>
      <c r="D102" s="1428" t="e">
        <f t="shared" si="5"/>
        <v>#DIV/0!</v>
      </c>
      <c r="F102" s="1427"/>
      <c r="G102" s="1428" t="e">
        <f t="shared" si="6"/>
        <v>#DIV/0!</v>
      </c>
      <c r="H102" s="1426">
        <v>43926</v>
      </c>
      <c r="M102" s="1432" t="e">
        <f t="shared" si="7"/>
        <v>#DIV/0!</v>
      </c>
      <c r="N102" s="1411">
        <f t="shared" si="8"/>
        <v>0</v>
      </c>
      <c r="P102" s="1426">
        <v>44087</v>
      </c>
      <c r="Q102" s="1460"/>
      <c r="R102" s="1425"/>
      <c r="S102" s="1461" t="e">
        <f t="shared" si="9"/>
        <v>#DIV/0!</v>
      </c>
      <c r="T102" s="1461" t="e">
        <f t="shared" si="9"/>
        <v>#DIV/0!</v>
      </c>
    </row>
    <row r="103" spans="2:20">
      <c r="B103" s="1426">
        <v>43919</v>
      </c>
      <c r="C103" s="1425"/>
      <c r="D103" s="1428" t="e">
        <f t="shared" si="5"/>
        <v>#DIV/0!</v>
      </c>
      <c r="F103" s="1427"/>
      <c r="G103" s="1428" t="e">
        <f t="shared" si="6"/>
        <v>#DIV/0!</v>
      </c>
      <c r="H103" s="1426">
        <v>43919</v>
      </c>
      <c r="M103" s="1432" t="e">
        <f t="shared" si="7"/>
        <v>#DIV/0!</v>
      </c>
      <c r="N103" s="1411">
        <f t="shared" si="8"/>
        <v>0</v>
      </c>
      <c r="P103" s="1426">
        <v>44080</v>
      </c>
      <c r="Q103" s="1460"/>
      <c r="R103" s="1425"/>
      <c r="S103" s="1461" t="e">
        <f t="shared" si="9"/>
        <v>#DIV/0!</v>
      </c>
      <c r="T103" s="1461" t="e">
        <f t="shared" si="9"/>
        <v>#DIV/0!</v>
      </c>
    </row>
    <row r="104" spans="2:20">
      <c r="B104" s="1426">
        <v>43912</v>
      </c>
      <c r="C104" s="1425"/>
      <c r="D104" s="1428" t="e">
        <f t="shared" si="5"/>
        <v>#DIV/0!</v>
      </c>
      <c r="F104" s="1427"/>
      <c r="G104" s="1428" t="e">
        <f t="shared" si="6"/>
        <v>#DIV/0!</v>
      </c>
      <c r="H104" s="1426">
        <v>43912</v>
      </c>
      <c r="M104" s="1432" t="e">
        <f t="shared" si="7"/>
        <v>#DIV/0!</v>
      </c>
      <c r="N104" s="1411">
        <f t="shared" si="8"/>
        <v>0</v>
      </c>
      <c r="P104" s="1426">
        <v>44073</v>
      </c>
      <c r="Q104" s="1460"/>
      <c r="R104" s="1425"/>
      <c r="S104" s="1461" t="e">
        <f t="shared" si="9"/>
        <v>#DIV/0!</v>
      </c>
      <c r="T104" s="1461" t="e">
        <f t="shared" si="9"/>
        <v>#DIV/0!</v>
      </c>
    </row>
    <row r="105" spans="2:20">
      <c r="B105" s="1426">
        <v>43905</v>
      </c>
      <c r="C105" s="1425"/>
      <c r="D105" s="1428" t="e">
        <f t="shared" si="5"/>
        <v>#DIV/0!</v>
      </c>
      <c r="F105" s="1427"/>
      <c r="G105" s="1428" t="e">
        <f t="shared" si="6"/>
        <v>#DIV/0!</v>
      </c>
      <c r="H105" s="1426">
        <v>43905</v>
      </c>
      <c r="M105" s="1432" t="e">
        <f t="shared" si="7"/>
        <v>#DIV/0!</v>
      </c>
      <c r="N105" s="1411">
        <f t="shared" si="8"/>
        <v>0</v>
      </c>
      <c r="P105" s="1426">
        <v>44066</v>
      </c>
      <c r="Q105" s="1460"/>
      <c r="R105" s="1425"/>
      <c r="S105" s="1461" t="e">
        <f t="shared" si="9"/>
        <v>#DIV/0!</v>
      </c>
      <c r="T105" s="1461" t="e">
        <f t="shared" si="9"/>
        <v>#DIV/0!</v>
      </c>
    </row>
    <row r="106" spans="2:20">
      <c r="B106" s="1426">
        <v>43898</v>
      </c>
      <c r="C106" s="1425"/>
      <c r="D106" s="1428" t="e">
        <f t="shared" si="5"/>
        <v>#DIV/0!</v>
      </c>
      <c r="F106" s="1427"/>
      <c r="G106" s="1428" t="e">
        <f t="shared" si="6"/>
        <v>#DIV/0!</v>
      </c>
      <c r="H106" s="1426">
        <v>43898</v>
      </c>
      <c r="M106" s="1432" t="e">
        <f t="shared" si="7"/>
        <v>#DIV/0!</v>
      </c>
      <c r="N106" s="1411">
        <f t="shared" si="8"/>
        <v>0</v>
      </c>
      <c r="P106" s="1426">
        <v>44059</v>
      </c>
      <c r="Q106" s="1460"/>
      <c r="R106" s="1425"/>
      <c r="S106" s="1461" t="e">
        <f t="shared" si="9"/>
        <v>#DIV/0!</v>
      </c>
      <c r="T106" s="1461" t="e">
        <f t="shared" si="9"/>
        <v>#DIV/0!</v>
      </c>
    </row>
    <row r="107" spans="2:20">
      <c r="B107" s="1426">
        <v>43891</v>
      </c>
      <c r="C107" s="1425"/>
      <c r="D107" s="1428" t="e">
        <f t="shared" si="5"/>
        <v>#DIV/0!</v>
      </c>
      <c r="F107" s="1427"/>
      <c r="G107" s="1428" t="e">
        <f t="shared" si="6"/>
        <v>#DIV/0!</v>
      </c>
      <c r="H107" s="1426">
        <v>43891</v>
      </c>
      <c r="M107" s="1432" t="e">
        <f t="shared" si="7"/>
        <v>#DIV/0!</v>
      </c>
      <c r="N107" s="1411">
        <f t="shared" si="8"/>
        <v>0</v>
      </c>
      <c r="P107" s="1426">
        <v>44052</v>
      </c>
      <c r="Q107" s="1460"/>
      <c r="R107" s="1425"/>
      <c r="S107" s="1461" t="e">
        <f t="shared" si="9"/>
        <v>#DIV/0!</v>
      </c>
      <c r="T107" s="1461" t="e">
        <f t="shared" si="9"/>
        <v>#DIV/0!</v>
      </c>
    </row>
    <row r="108" spans="2:20">
      <c r="B108" s="1426">
        <v>43884</v>
      </c>
      <c r="C108" s="1425"/>
      <c r="D108" s="1428" t="e">
        <f t="shared" si="5"/>
        <v>#DIV/0!</v>
      </c>
      <c r="F108" s="1427"/>
      <c r="G108" s="1428" t="e">
        <f t="shared" si="6"/>
        <v>#DIV/0!</v>
      </c>
      <c r="H108" s="1426">
        <v>43884</v>
      </c>
      <c r="M108" s="1432" t="e">
        <f t="shared" si="7"/>
        <v>#DIV/0!</v>
      </c>
      <c r="N108" s="1411">
        <f t="shared" si="8"/>
        <v>0</v>
      </c>
      <c r="P108" s="1426">
        <v>44045</v>
      </c>
      <c r="Q108" s="1460"/>
      <c r="R108" s="1425"/>
      <c r="S108" s="1461" t="e">
        <f t="shared" si="9"/>
        <v>#DIV/0!</v>
      </c>
      <c r="T108" s="1461" t="e">
        <f t="shared" si="9"/>
        <v>#DIV/0!</v>
      </c>
    </row>
    <row r="109" spans="2:20">
      <c r="B109" s="1426">
        <v>43877</v>
      </c>
      <c r="C109" s="1425"/>
      <c r="D109" s="1428" t="e">
        <f t="shared" si="5"/>
        <v>#DIV/0!</v>
      </c>
      <c r="F109" s="1427"/>
      <c r="G109" s="1428" t="e">
        <f t="shared" si="6"/>
        <v>#DIV/0!</v>
      </c>
      <c r="H109" s="1426">
        <v>43877</v>
      </c>
      <c r="M109" s="1432" t="e">
        <f t="shared" si="7"/>
        <v>#DIV/0!</v>
      </c>
      <c r="N109" s="1411">
        <f t="shared" si="8"/>
        <v>0</v>
      </c>
      <c r="P109" s="1426">
        <v>44038</v>
      </c>
      <c r="Q109" s="1460"/>
      <c r="R109" s="1425"/>
      <c r="S109" s="1461" t="e">
        <f t="shared" si="9"/>
        <v>#DIV/0!</v>
      </c>
      <c r="T109" s="1461" t="e">
        <f t="shared" si="9"/>
        <v>#DIV/0!</v>
      </c>
    </row>
    <row r="110" spans="2:20">
      <c r="B110" s="1426">
        <v>43870</v>
      </c>
      <c r="C110" s="1425"/>
      <c r="D110" s="1428" t="e">
        <f t="shared" si="5"/>
        <v>#DIV/0!</v>
      </c>
      <c r="F110" s="1427"/>
      <c r="G110" s="1428" t="e">
        <f t="shared" si="6"/>
        <v>#DIV/0!</v>
      </c>
      <c r="H110" s="1426">
        <v>43870</v>
      </c>
      <c r="M110" s="1432" t="e">
        <f t="shared" si="7"/>
        <v>#DIV/0!</v>
      </c>
      <c r="N110" s="1411">
        <f t="shared" si="8"/>
        <v>0</v>
      </c>
      <c r="P110" s="1426">
        <v>44031</v>
      </c>
      <c r="Q110" s="1460"/>
      <c r="R110" s="1425"/>
      <c r="S110" s="1461" t="e">
        <f t="shared" si="9"/>
        <v>#DIV/0!</v>
      </c>
      <c r="T110" s="1461" t="e">
        <f t="shared" si="9"/>
        <v>#DIV/0!</v>
      </c>
    </row>
    <row r="111" spans="2:20">
      <c r="B111" s="1426">
        <v>43863</v>
      </c>
      <c r="C111" s="1425"/>
      <c r="D111" s="1428" t="e">
        <f t="shared" si="5"/>
        <v>#DIV/0!</v>
      </c>
      <c r="F111" s="1427"/>
      <c r="G111" s="1428" t="e">
        <f t="shared" si="6"/>
        <v>#DIV/0!</v>
      </c>
      <c r="H111" s="1426">
        <v>43863</v>
      </c>
      <c r="M111" s="1432" t="e">
        <f t="shared" si="7"/>
        <v>#DIV/0!</v>
      </c>
      <c r="N111" s="1411">
        <f t="shared" si="8"/>
        <v>0</v>
      </c>
      <c r="P111" s="1426">
        <v>44024</v>
      </c>
      <c r="Q111" s="1460"/>
      <c r="R111" s="1425"/>
      <c r="S111" s="1461" t="e">
        <f t="shared" si="9"/>
        <v>#DIV/0!</v>
      </c>
      <c r="T111" s="1461" t="e">
        <f t="shared" si="9"/>
        <v>#DIV/0!</v>
      </c>
    </row>
    <row r="112" spans="2:20">
      <c r="B112" s="1426">
        <v>43856</v>
      </c>
      <c r="C112" s="1425"/>
      <c r="D112" s="1428" t="e">
        <f t="shared" si="5"/>
        <v>#DIV/0!</v>
      </c>
      <c r="F112" s="1427"/>
      <c r="G112" s="1428" t="e">
        <f t="shared" si="6"/>
        <v>#DIV/0!</v>
      </c>
      <c r="H112" s="1426">
        <v>43856</v>
      </c>
      <c r="M112" s="1432" t="e">
        <f t="shared" si="7"/>
        <v>#DIV/0!</v>
      </c>
      <c r="N112" s="1411">
        <f t="shared" si="8"/>
        <v>0</v>
      </c>
      <c r="P112" s="1426">
        <v>44017</v>
      </c>
      <c r="Q112" s="1460"/>
      <c r="R112" s="1425"/>
      <c r="S112" s="1461" t="e">
        <f t="shared" si="9"/>
        <v>#DIV/0!</v>
      </c>
      <c r="T112" s="1461" t="e">
        <f t="shared" si="9"/>
        <v>#DIV/0!</v>
      </c>
    </row>
    <row r="113" spans="2:20">
      <c r="B113" s="1426">
        <v>43849</v>
      </c>
      <c r="C113" s="1425"/>
      <c r="D113" s="1428" t="e">
        <f t="shared" si="5"/>
        <v>#DIV/0!</v>
      </c>
      <c r="F113" s="1427"/>
      <c r="G113" s="1428" t="e">
        <f t="shared" si="6"/>
        <v>#DIV/0!</v>
      </c>
      <c r="H113" s="1426">
        <v>43849</v>
      </c>
      <c r="M113" s="1432" t="e">
        <f t="shared" si="7"/>
        <v>#DIV/0!</v>
      </c>
      <c r="N113" s="1411">
        <f t="shared" si="8"/>
        <v>0</v>
      </c>
      <c r="P113" s="1426">
        <v>44010</v>
      </c>
      <c r="Q113" s="1460"/>
      <c r="R113" s="1425"/>
      <c r="S113" s="1461" t="e">
        <f t="shared" si="9"/>
        <v>#DIV/0!</v>
      </c>
      <c r="T113" s="1461" t="e">
        <f t="shared" si="9"/>
        <v>#DIV/0!</v>
      </c>
    </row>
    <row r="114" spans="2:20">
      <c r="B114" s="1426">
        <v>43842</v>
      </c>
      <c r="C114" s="1425"/>
      <c r="D114" s="1428" t="e">
        <f t="shared" si="5"/>
        <v>#DIV/0!</v>
      </c>
      <c r="F114" s="1427"/>
      <c r="G114" s="1428" t="e">
        <f t="shared" si="6"/>
        <v>#DIV/0!</v>
      </c>
      <c r="H114" s="1426">
        <v>43842</v>
      </c>
      <c r="M114" s="1432" t="e">
        <f t="shared" si="7"/>
        <v>#DIV/0!</v>
      </c>
      <c r="N114" s="1411">
        <f t="shared" si="8"/>
        <v>0</v>
      </c>
      <c r="P114" s="1426">
        <v>44003</v>
      </c>
      <c r="Q114" s="1460"/>
      <c r="R114" s="1425"/>
      <c r="S114" s="1461" t="e">
        <f t="shared" si="9"/>
        <v>#DIV/0!</v>
      </c>
      <c r="T114" s="1461" t="e">
        <f t="shared" si="9"/>
        <v>#DIV/0!</v>
      </c>
    </row>
    <row r="115" spans="2:20">
      <c r="B115" s="1426">
        <v>43835</v>
      </c>
      <c r="C115" s="1425"/>
      <c r="D115" s="1428" t="e">
        <f t="shared" si="5"/>
        <v>#DIV/0!</v>
      </c>
      <c r="F115" s="1427"/>
      <c r="G115" s="1428" t="e">
        <f t="shared" si="6"/>
        <v>#DIV/0!</v>
      </c>
      <c r="H115" s="1426">
        <v>43835</v>
      </c>
      <c r="M115" s="1432" t="e">
        <f t="shared" si="7"/>
        <v>#DIV/0!</v>
      </c>
      <c r="N115" s="1411">
        <f t="shared" si="8"/>
        <v>0</v>
      </c>
      <c r="P115" s="1426">
        <v>43996</v>
      </c>
      <c r="Q115" s="1460"/>
      <c r="R115" s="1425"/>
      <c r="S115" s="1461" t="e">
        <f t="shared" si="9"/>
        <v>#DIV/0!</v>
      </c>
      <c r="T115" s="1461" t="e">
        <f t="shared" si="9"/>
        <v>#DIV/0!</v>
      </c>
    </row>
    <row r="116" spans="2:20">
      <c r="B116" s="1426">
        <v>43828</v>
      </c>
      <c r="C116" s="1425"/>
      <c r="D116" s="1428" t="e">
        <f t="shared" si="5"/>
        <v>#DIV/0!</v>
      </c>
      <c r="F116" s="1427"/>
      <c r="G116" s="1428" t="e">
        <f t="shared" si="6"/>
        <v>#DIV/0!</v>
      </c>
      <c r="H116" s="1426">
        <v>43828</v>
      </c>
      <c r="M116" s="1432" t="e">
        <f t="shared" si="7"/>
        <v>#DIV/0!</v>
      </c>
      <c r="N116" s="1411">
        <f t="shared" si="8"/>
        <v>0</v>
      </c>
      <c r="P116" s="1426">
        <v>43989</v>
      </c>
      <c r="Q116" s="1460"/>
      <c r="R116" s="1425"/>
      <c r="S116" s="1461" t="e">
        <f t="shared" si="9"/>
        <v>#DIV/0!</v>
      </c>
      <c r="T116" s="1461" t="e">
        <f t="shared" si="9"/>
        <v>#DIV/0!</v>
      </c>
    </row>
    <row r="117" spans="2:20">
      <c r="B117" s="1426">
        <v>43821</v>
      </c>
      <c r="C117" s="1425"/>
      <c r="D117" s="1428" t="e">
        <f t="shared" si="5"/>
        <v>#DIV/0!</v>
      </c>
      <c r="F117" s="1427"/>
      <c r="G117" s="1428" t="e">
        <f t="shared" si="6"/>
        <v>#DIV/0!</v>
      </c>
      <c r="H117" s="1426">
        <v>43821</v>
      </c>
      <c r="M117" s="1432" t="e">
        <f t="shared" si="7"/>
        <v>#DIV/0!</v>
      </c>
      <c r="N117" s="1411">
        <f t="shared" si="8"/>
        <v>0</v>
      </c>
      <c r="P117" s="1426">
        <v>43982</v>
      </c>
      <c r="Q117" s="1460"/>
      <c r="R117" s="1425"/>
      <c r="S117" s="1461" t="e">
        <f t="shared" si="9"/>
        <v>#DIV/0!</v>
      </c>
      <c r="T117" s="1461" t="e">
        <f t="shared" si="9"/>
        <v>#DIV/0!</v>
      </c>
    </row>
    <row r="118" spans="2:20">
      <c r="B118" s="1426">
        <v>43814</v>
      </c>
      <c r="C118" s="1425"/>
      <c r="D118" s="1428" t="e">
        <f t="shared" si="5"/>
        <v>#DIV/0!</v>
      </c>
      <c r="F118" s="1427"/>
      <c r="G118" s="1428" t="e">
        <f t="shared" si="6"/>
        <v>#DIV/0!</v>
      </c>
      <c r="H118" s="1426">
        <v>43814</v>
      </c>
      <c r="M118" s="1432" t="e">
        <f t="shared" si="7"/>
        <v>#DIV/0!</v>
      </c>
      <c r="N118" s="1411">
        <f t="shared" si="8"/>
        <v>0</v>
      </c>
      <c r="P118" s="1426">
        <v>43975</v>
      </c>
      <c r="Q118" s="1460"/>
      <c r="R118" s="1425"/>
      <c r="S118" s="1461" t="e">
        <f t="shared" si="9"/>
        <v>#DIV/0!</v>
      </c>
      <c r="T118" s="1461" t="e">
        <f t="shared" si="9"/>
        <v>#DIV/0!</v>
      </c>
    </row>
    <row r="119" spans="2:20">
      <c r="B119" s="1426">
        <v>43807</v>
      </c>
      <c r="C119" s="1425"/>
      <c r="D119" s="1428" t="e">
        <f t="shared" si="5"/>
        <v>#DIV/0!</v>
      </c>
      <c r="F119" s="1427"/>
      <c r="G119" s="1428" t="e">
        <f t="shared" si="6"/>
        <v>#DIV/0!</v>
      </c>
      <c r="H119" s="1426">
        <v>43807</v>
      </c>
      <c r="M119" s="1432" t="e">
        <f t="shared" si="7"/>
        <v>#DIV/0!</v>
      </c>
      <c r="N119" s="1411">
        <f t="shared" si="8"/>
        <v>0</v>
      </c>
      <c r="P119" s="1426">
        <v>43968</v>
      </c>
      <c r="Q119" s="1460"/>
      <c r="R119" s="1425"/>
      <c r="S119" s="1461" t="e">
        <f t="shared" si="9"/>
        <v>#DIV/0!</v>
      </c>
      <c r="T119" s="1461" t="e">
        <f t="shared" si="9"/>
        <v>#DIV/0!</v>
      </c>
    </row>
    <row r="120" spans="2:20">
      <c r="B120" s="1426">
        <v>43800</v>
      </c>
      <c r="C120" s="1425"/>
      <c r="D120" s="1428" t="e">
        <f t="shared" si="5"/>
        <v>#DIV/0!</v>
      </c>
      <c r="F120" s="1427"/>
      <c r="G120" s="1428" t="e">
        <f t="shared" si="6"/>
        <v>#DIV/0!</v>
      </c>
      <c r="H120" s="1426">
        <v>43800</v>
      </c>
      <c r="M120" s="1432" t="e">
        <f t="shared" si="7"/>
        <v>#DIV/0!</v>
      </c>
      <c r="N120" s="1411">
        <f t="shared" si="8"/>
        <v>0</v>
      </c>
      <c r="P120" s="1426">
        <v>43961</v>
      </c>
      <c r="Q120" s="1460"/>
      <c r="R120" s="1425"/>
      <c r="S120" s="1461" t="e">
        <f t="shared" si="9"/>
        <v>#DIV/0!</v>
      </c>
      <c r="T120" s="1461" t="e">
        <f t="shared" si="9"/>
        <v>#DIV/0!</v>
      </c>
    </row>
    <row r="121" spans="2:20">
      <c r="B121" s="1426">
        <v>43793</v>
      </c>
      <c r="C121" s="1425"/>
      <c r="D121" s="1428" t="e">
        <f t="shared" si="5"/>
        <v>#DIV/0!</v>
      </c>
      <c r="F121" s="1427"/>
      <c r="G121" s="1428" t="e">
        <f t="shared" si="6"/>
        <v>#DIV/0!</v>
      </c>
      <c r="H121" s="1426">
        <v>43793</v>
      </c>
      <c r="M121" s="1432" t="e">
        <f t="shared" si="7"/>
        <v>#DIV/0!</v>
      </c>
      <c r="N121" s="1411">
        <f t="shared" si="8"/>
        <v>0</v>
      </c>
      <c r="P121" s="1426">
        <v>43954</v>
      </c>
      <c r="Q121" s="1460"/>
      <c r="R121" s="1425"/>
      <c r="S121" s="1461" t="e">
        <f t="shared" si="9"/>
        <v>#DIV/0!</v>
      </c>
      <c r="T121" s="1461" t="e">
        <f t="shared" si="9"/>
        <v>#DIV/0!</v>
      </c>
    </row>
    <row r="122" spans="2:20">
      <c r="B122" s="1426">
        <v>43786</v>
      </c>
      <c r="C122" s="1425"/>
      <c r="D122" s="1428" t="e">
        <f t="shared" si="5"/>
        <v>#DIV/0!</v>
      </c>
      <c r="F122" s="1427"/>
      <c r="G122" s="1428" t="e">
        <f t="shared" si="6"/>
        <v>#DIV/0!</v>
      </c>
      <c r="H122" s="1426">
        <v>43786</v>
      </c>
      <c r="M122" s="1432" t="e">
        <f t="shared" si="7"/>
        <v>#DIV/0!</v>
      </c>
      <c r="N122" s="1411">
        <f t="shared" si="8"/>
        <v>0</v>
      </c>
      <c r="P122" s="1426">
        <v>43947</v>
      </c>
      <c r="Q122" s="1460"/>
      <c r="R122" s="1425"/>
      <c r="S122" s="1461" t="e">
        <f t="shared" si="9"/>
        <v>#DIV/0!</v>
      </c>
      <c r="T122" s="1461" t="e">
        <f t="shared" si="9"/>
        <v>#DIV/0!</v>
      </c>
    </row>
    <row r="123" spans="2:20">
      <c r="B123" s="1426">
        <v>43779</v>
      </c>
      <c r="C123" s="1427"/>
      <c r="D123" s="1428" t="e">
        <f t="shared" si="5"/>
        <v>#DIV/0!</v>
      </c>
      <c r="F123" s="1427"/>
      <c r="G123" s="1428" t="e">
        <f t="shared" si="6"/>
        <v>#DIV/0!</v>
      </c>
      <c r="H123" s="1426">
        <v>43779</v>
      </c>
      <c r="M123" s="1432" t="e">
        <f t="shared" si="7"/>
        <v>#DIV/0!</v>
      </c>
      <c r="N123" s="1411">
        <f t="shared" si="8"/>
        <v>0</v>
      </c>
      <c r="P123" s="1426">
        <v>43940</v>
      </c>
      <c r="Q123" s="1460"/>
      <c r="R123" s="1425"/>
      <c r="S123" s="1461" t="e">
        <f t="shared" si="9"/>
        <v>#DIV/0!</v>
      </c>
      <c r="T123" s="1461" t="e">
        <f t="shared" si="9"/>
        <v>#DIV/0!</v>
      </c>
    </row>
    <row r="124" spans="2:20">
      <c r="B124" s="1426">
        <v>43772</v>
      </c>
      <c r="C124" s="1427"/>
      <c r="D124" s="1428" t="e">
        <f t="shared" si="5"/>
        <v>#DIV/0!</v>
      </c>
      <c r="F124" s="1427"/>
      <c r="G124" s="1428" t="e">
        <f t="shared" si="6"/>
        <v>#DIV/0!</v>
      </c>
      <c r="H124" s="1426">
        <v>43772</v>
      </c>
      <c r="M124" s="1432" t="e">
        <f t="shared" si="7"/>
        <v>#DIV/0!</v>
      </c>
      <c r="N124" s="1411">
        <f t="shared" si="8"/>
        <v>0</v>
      </c>
      <c r="P124" s="1426">
        <v>43933</v>
      </c>
      <c r="Q124" s="1460"/>
      <c r="R124" s="1425"/>
      <c r="S124" s="1461" t="e">
        <f t="shared" si="9"/>
        <v>#DIV/0!</v>
      </c>
      <c r="T124" s="1461" t="e">
        <f t="shared" si="9"/>
        <v>#DIV/0!</v>
      </c>
    </row>
    <row r="125" spans="2:20">
      <c r="B125" s="1426">
        <v>43765</v>
      </c>
      <c r="C125" s="1427"/>
      <c r="D125" s="1428" t="e">
        <f t="shared" si="5"/>
        <v>#DIV/0!</v>
      </c>
      <c r="F125" s="1427"/>
      <c r="G125" s="1428" t="e">
        <f t="shared" si="6"/>
        <v>#DIV/0!</v>
      </c>
      <c r="H125" s="1426">
        <v>43765</v>
      </c>
      <c r="M125" s="1432" t="e">
        <f t="shared" si="7"/>
        <v>#DIV/0!</v>
      </c>
      <c r="N125" s="1411">
        <f t="shared" si="8"/>
        <v>0</v>
      </c>
      <c r="P125" s="1426">
        <v>43926</v>
      </c>
      <c r="Q125" s="1460"/>
      <c r="R125" s="1425"/>
      <c r="S125" s="1461" t="e">
        <f t="shared" si="9"/>
        <v>#DIV/0!</v>
      </c>
      <c r="T125" s="1461" t="e">
        <f t="shared" si="9"/>
        <v>#DIV/0!</v>
      </c>
    </row>
    <row r="126" spans="2:20">
      <c r="B126" s="1426">
        <v>43758</v>
      </c>
      <c r="C126" s="1425"/>
      <c r="D126" s="1428" t="e">
        <f t="shared" si="5"/>
        <v>#DIV/0!</v>
      </c>
      <c r="F126" s="1427"/>
      <c r="G126" s="1428" t="e">
        <f t="shared" si="6"/>
        <v>#DIV/0!</v>
      </c>
      <c r="H126" s="1426">
        <v>43758</v>
      </c>
      <c r="M126" s="1432" t="e">
        <f t="shared" si="7"/>
        <v>#DIV/0!</v>
      </c>
      <c r="N126" s="1411">
        <f t="shared" si="8"/>
        <v>0</v>
      </c>
      <c r="P126" s="1426">
        <v>43919</v>
      </c>
      <c r="Q126" s="1460"/>
      <c r="R126" s="1425"/>
      <c r="S126" s="1461" t="e">
        <f t="shared" si="9"/>
        <v>#DIV/0!</v>
      </c>
      <c r="T126" s="1461" t="e">
        <f t="shared" si="9"/>
        <v>#DIV/0!</v>
      </c>
    </row>
    <row r="127" spans="2:20">
      <c r="B127" s="1426">
        <v>43751</v>
      </c>
      <c r="C127" s="1425"/>
      <c r="D127" s="1428" t="e">
        <f t="shared" si="5"/>
        <v>#DIV/0!</v>
      </c>
      <c r="F127" s="1427"/>
      <c r="G127" s="1428" t="e">
        <f t="shared" si="6"/>
        <v>#DIV/0!</v>
      </c>
      <c r="H127" s="1426">
        <v>43751</v>
      </c>
      <c r="M127" s="1432" t="e">
        <f t="shared" si="7"/>
        <v>#DIV/0!</v>
      </c>
      <c r="N127" s="1411">
        <f t="shared" si="8"/>
        <v>0</v>
      </c>
      <c r="P127" s="1426">
        <v>43912</v>
      </c>
      <c r="Q127" s="1460"/>
      <c r="R127" s="1425"/>
      <c r="S127" s="1461" t="e">
        <f t="shared" si="9"/>
        <v>#DIV/0!</v>
      </c>
      <c r="T127" s="1461" t="e">
        <f t="shared" si="9"/>
        <v>#DIV/0!</v>
      </c>
    </row>
    <row r="128" spans="2:20">
      <c r="B128" s="1426">
        <v>43744</v>
      </c>
      <c r="C128" s="1425"/>
      <c r="D128" s="1428" t="e">
        <f t="shared" si="5"/>
        <v>#DIV/0!</v>
      </c>
      <c r="F128" s="1427"/>
      <c r="G128" s="1428" t="e">
        <f t="shared" si="6"/>
        <v>#DIV/0!</v>
      </c>
      <c r="H128" s="1426">
        <v>43744</v>
      </c>
      <c r="M128" s="1432" t="e">
        <f t="shared" si="7"/>
        <v>#DIV/0!</v>
      </c>
      <c r="N128" s="1411">
        <f t="shared" si="8"/>
        <v>0</v>
      </c>
      <c r="P128" s="1426">
        <v>43905</v>
      </c>
      <c r="Q128" s="1460"/>
      <c r="R128" s="1425"/>
      <c r="S128" s="1461" t="e">
        <f t="shared" si="9"/>
        <v>#DIV/0!</v>
      </c>
      <c r="T128" s="1461" t="e">
        <f t="shared" si="9"/>
        <v>#DIV/0!</v>
      </c>
    </row>
    <row r="129" spans="2:20">
      <c r="B129" s="1426">
        <v>43737</v>
      </c>
      <c r="C129" s="1425"/>
      <c r="D129" s="1428" t="e">
        <f t="shared" si="5"/>
        <v>#DIV/0!</v>
      </c>
      <c r="F129" s="1427"/>
      <c r="G129" s="1428" t="e">
        <f t="shared" si="6"/>
        <v>#DIV/0!</v>
      </c>
      <c r="H129" s="1426">
        <v>43737</v>
      </c>
      <c r="M129" s="1432" t="e">
        <f t="shared" si="7"/>
        <v>#DIV/0!</v>
      </c>
      <c r="N129" s="1411">
        <f t="shared" si="8"/>
        <v>0</v>
      </c>
      <c r="P129" s="1426">
        <v>43898</v>
      </c>
      <c r="Q129" s="1460"/>
      <c r="R129" s="1425"/>
      <c r="S129" s="1461" t="e">
        <f t="shared" si="9"/>
        <v>#DIV/0!</v>
      </c>
      <c r="T129" s="1461" t="e">
        <f t="shared" si="9"/>
        <v>#DIV/0!</v>
      </c>
    </row>
    <row r="130" spans="2:20">
      <c r="B130" s="1426">
        <v>43730</v>
      </c>
      <c r="C130" s="1425"/>
      <c r="D130" s="1428" t="e">
        <f t="shared" si="5"/>
        <v>#DIV/0!</v>
      </c>
      <c r="F130" s="1427"/>
      <c r="G130" s="1428" t="e">
        <f t="shared" si="6"/>
        <v>#DIV/0!</v>
      </c>
      <c r="H130" s="1426">
        <v>43730</v>
      </c>
      <c r="M130" s="1432" t="e">
        <f t="shared" si="7"/>
        <v>#DIV/0!</v>
      </c>
      <c r="N130" s="1411">
        <f t="shared" si="8"/>
        <v>0</v>
      </c>
      <c r="P130" s="1426">
        <v>43891</v>
      </c>
      <c r="Q130" s="1460"/>
      <c r="R130" s="1425"/>
      <c r="S130" s="1461" t="e">
        <f t="shared" si="9"/>
        <v>#DIV/0!</v>
      </c>
      <c r="T130" s="1461" t="e">
        <f t="shared" si="9"/>
        <v>#DIV/0!</v>
      </c>
    </row>
    <row r="131" spans="2:20">
      <c r="B131" s="1426">
        <v>43723</v>
      </c>
      <c r="C131" s="1425"/>
      <c r="D131" s="1428" t="e">
        <f t="shared" si="5"/>
        <v>#DIV/0!</v>
      </c>
      <c r="F131" s="1427"/>
      <c r="G131" s="1428" t="e">
        <f t="shared" si="6"/>
        <v>#DIV/0!</v>
      </c>
      <c r="H131" s="1426">
        <v>43723</v>
      </c>
      <c r="M131" s="1432" t="e">
        <f t="shared" si="7"/>
        <v>#DIV/0!</v>
      </c>
      <c r="N131" s="1411">
        <f t="shared" si="8"/>
        <v>0</v>
      </c>
      <c r="P131" s="1426">
        <v>43884</v>
      </c>
      <c r="Q131" s="1460"/>
      <c r="R131" s="1425"/>
      <c r="S131" s="1461" t="e">
        <f t="shared" si="9"/>
        <v>#DIV/0!</v>
      </c>
      <c r="T131" s="1461" t="e">
        <f t="shared" si="9"/>
        <v>#DIV/0!</v>
      </c>
    </row>
    <row r="132" spans="2:20">
      <c r="B132" s="1426">
        <v>43716</v>
      </c>
      <c r="C132" s="1425"/>
      <c r="D132" s="1428" t="e">
        <f t="shared" si="5"/>
        <v>#DIV/0!</v>
      </c>
      <c r="F132" s="1427"/>
      <c r="G132" s="1428" t="e">
        <f t="shared" si="6"/>
        <v>#DIV/0!</v>
      </c>
      <c r="H132" s="1426">
        <v>43716</v>
      </c>
      <c r="M132" s="1432" t="e">
        <f t="shared" si="7"/>
        <v>#DIV/0!</v>
      </c>
      <c r="N132" s="1411">
        <f t="shared" si="8"/>
        <v>0</v>
      </c>
      <c r="P132" s="1426">
        <v>43877</v>
      </c>
      <c r="Q132" s="1460"/>
      <c r="R132" s="1425"/>
      <c r="S132" s="1461" t="e">
        <f t="shared" si="9"/>
        <v>#DIV/0!</v>
      </c>
      <c r="T132" s="1461" t="e">
        <f t="shared" si="9"/>
        <v>#DIV/0!</v>
      </c>
    </row>
    <row r="133" spans="2:20">
      <c r="B133" s="1426">
        <v>43709</v>
      </c>
      <c r="C133" s="1425"/>
      <c r="D133" s="1428" t="e">
        <f t="shared" si="5"/>
        <v>#DIV/0!</v>
      </c>
      <c r="F133" s="1427"/>
      <c r="G133" s="1428" t="e">
        <f t="shared" si="6"/>
        <v>#DIV/0!</v>
      </c>
      <c r="H133" s="1426">
        <v>43709</v>
      </c>
      <c r="M133" s="1432" t="e">
        <f t="shared" si="7"/>
        <v>#DIV/0!</v>
      </c>
      <c r="N133" s="1411">
        <f t="shared" si="8"/>
        <v>0</v>
      </c>
      <c r="P133" s="1426">
        <v>43870</v>
      </c>
      <c r="Q133" s="1460"/>
      <c r="R133" s="1425"/>
      <c r="S133" s="1461" t="e">
        <f t="shared" si="9"/>
        <v>#DIV/0!</v>
      </c>
      <c r="T133" s="1461" t="e">
        <f t="shared" si="9"/>
        <v>#DIV/0!</v>
      </c>
    </row>
    <row r="134" spans="2:20">
      <c r="B134" s="1426">
        <v>43702</v>
      </c>
      <c r="C134" s="1425"/>
      <c r="D134" s="1428" t="e">
        <f t="shared" si="5"/>
        <v>#DIV/0!</v>
      </c>
      <c r="F134" s="1427"/>
      <c r="G134" s="1428" t="e">
        <f t="shared" si="6"/>
        <v>#DIV/0!</v>
      </c>
      <c r="H134" s="1426">
        <v>43702</v>
      </c>
      <c r="M134" s="1432" t="e">
        <f t="shared" si="7"/>
        <v>#DIV/0!</v>
      </c>
      <c r="N134" s="1411">
        <f t="shared" si="8"/>
        <v>0</v>
      </c>
      <c r="P134" s="1426">
        <v>43863</v>
      </c>
      <c r="Q134" s="1460"/>
      <c r="R134" s="1425"/>
      <c r="S134" s="1461" t="e">
        <f t="shared" si="9"/>
        <v>#DIV/0!</v>
      </c>
      <c r="T134" s="1461" t="e">
        <f t="shared" si="9"/>
        <v>#DIV/0!</v>
      </c>
    </row>
    <row r="135" spans="2:20">
      <c r="B135" s="1426">
        <v>43695</v>
      </c>
      <c r="C135" s="1425"/>
      <c r="D135" s="1428" t="e">
        <f t="shared" ref="D135:D198" si="10">C135/C136-1</f>
        <v>#DIV/0!</v>
      </c>
      <c r="F135" s="1427"/>
      <c r="G135" s="1428" t="e">
        <f t="shared" ref="G135:G198" si="11">F135/F136-1</f>
        <v>#DIV/0!</v>
      </c>
      <c r="H135" s="1426">
        <v>43695</v>
      </c>
      <c r="M135" s="1432" t="e">
        <f t="shared" ref="M135:M198" si="12">F135/F136-1</f>
        <v>#DIV/0!</v>
      </c>
      <c r="N135" s="1411">
        <f t="shared" ref="N135:N198" si="13">H135-B135</f>
        <v>0</v>
      </c>
      <c r="P135" s="1426">
        <v>43856</v>
      </c>
      <c r="Q135" s="1460"/>
      <c r="R135" s="1425"/>
      <c r="S135" s="1461" t="e">
        <f t="shared" si="9"/>
        <v>#DIV/0!</v>
      </c>
      <c r="T135" s="1461" t="e">
        <f t="shared" si="9"/>
        <v>#DIV/0!</v>
      </c>
    </row>
    <row r="136" spans="2:20">
      <c r="B136" s="1426">
        <v>43688</v>
      </c>
      <c r="C136" s="1425"/>
      <c r="D136" s="1428" t="e">
        <f t="shared" si="10"/>
        <v>#DIV/0!</v>
      </c>
      <c r="F136" s="1427"/>
      <c r="G136" s="1428" t="e">
        <f t="shared" si="11"/>
        <v>#DIV/0!</v>
      </c>
      <c r="H136" s="1426">
        <v>43688</v>
      </c>
      <c r="M136" s="1432" t="e">
        <f t="shared" si="12"/>
        <v>#DIV/0!</v>
      </c>
      <c r="N136" s="1411">
        <f t="shared" si="13"/>
        <v>0</v>
      </c>
      <c r="P136" s="1426">
        <v>43849</v>
      </c>
      <c r="Q136" s="1460"/>
      <c r="R136" s="1425"/>
      <c r="S136" s="1461" t="e">
        <f t="shared" si="9"/>
        <v>#DIV/0!</v>
      </c>
      <c r="T136" s="1461" t="e">
        <f t="shared" si="9"/>
        <v>#DIV/0!</v>
      </c>
    </row>
    <row r="137" spans="2:20">
      <c r="B137" s="1426">
        <v>43681</v>
      </c>
      <c r="C137" s="1425"/>
      <c r="D137" s="1428" t="e">
        <f t="shared" si="10"/>
        <v>#DIV/0!</v>
      </c>
      <c r="F137" s="1427"/>
      <c r="G137" s="1428" t="e">
        <f t="shared" si="11"/>
        <v>#DIV/0!</v>
      </c>
      <c r="H137" s="1426">
        <v>43681</v>
      </c>
      <c r="M137" s="1432" t="e">
        <f t="shared" si="12"/>
        <v>#DIV/0!</v>
      </c>
      <c r="N137" s="1411">
        <f t="shared" si="13"/>
        <v>0</v>
      </c>
      <c r="P137" s="1426">
        <v>43842</v>
      </c>
      <c r="Q137" s="1460"/>
      <c r="R137" s="1425"/>
      <c r="S137" s="1461" t="e">
        <f t="shared" si="9"/>
        <v>#DIV/0!</v>
      </c>
      <c r="T137" s="1461" t="e">
        <f t="shared" si="9"/>
        <v>#DIV/0!</v>
      </c>
    </row>
    <row r="138" spans="2:20">
      <c r="B138" s="1426">
        <v>43674</v>
      </c>
      <c r="C138" s="1425"/>
      <c r="D138" s="1428" t="e">
        <f t="shared" si="10"/>
        <v>#DIV/0!</v>
      </c>
      <c r="F138" s="1427"/>
      <c r="G138" s="1428" t="e">
        <f t="shared" si="11"/>
        <v>#DIV/0!</v>
      </c>
      <c r="H138" s="1426">
        <v>43674</v>
      </c>
      <c r="M138" s="1432" t="e">
        <f t="shared" si="12"/>
        <v>#DIV/0!</v>
      </c>
      <c r="N138" s="1411">
        <f t="shared" si="13"/>
        <v>0</v>
      </c>
      <c r="P138" s="1426">
        <v>43835</v>
      </c>
      <c r="Q138" s="1460"/>
      <c r="R138" s="1425"/>
      <c r="S138" s="1461" t="e">
        <f t="shared" si="9"/>
        <v>#DIV/0!</v>
      </c>
      <c r="T138" s="1461" t="e">
        <f t="shared" si="9"/>
        <v>#DIV/0!</v>
      </c>
    </row>
    <row r="139" spans="2:20">
      <c r="B139" s="1426">
        <v>43667</v>
      </c>
      <c r="C139" s="1425"/>
      <c r="D139" s="1428" t="e">
        <f t="shared" si="10"/>
        <v>#DIV/0!</v>
      </c>
      <c r="F139" s="1427"/>
      <c r="G139" s="1428" t="e">
        <f t="shared" si="11"/>
        <v>#DIV/0!</v>
      </c>
      <c r="H139" s="1426">
        <v>43667</v>
      </c>
      <c r="M139" s="1432" t="e">
        <f t="shared" si="12"/>
        <v>#DIV/0!</v>
      </c>
      <c r="N139" s="1411">
        <f t="shared" si="13"/>
        <v>0</v>
      </c>
      <c r="P139" s="1426">
        <v>43828</v>
      </c>
      <c r="Q139" s="1460"/>
      <c r="R139" s="1425"/>
      <c r="S139" s="1461" t="e">
        <f t="shared" si="9"/>
        <v>#DIV/0!</v>
      </c>
      <c r="T139" s="1461" t="e">
        <f t="shared" si="9"/>
        <v>#DIV/0!</v>
      </c>
    </row>
    <row r="140" spans="2:20">
      <c r="B140" s="1426">
        <v>43660</v>
      </c>
      <c r="C140" s="1425"/>
      <c r="D140" s="1428" t="e">
        <f t="shared" si="10"/>
        <v>#DIV/0!</v>
      </c>
      <c r="F140" s="1427"/>
      <c r="G140" s="1428" t="e">
        <f t="shared" si="11"/>
        <v>#DIV/0!</v>
      </c>
      <c r="H140" s="1426">
        <v>43660</v>
      </c>
      <c r="M140" s="1432" t="e">
        <f t="shared" si="12"/>
        <v>#DIV/0!</v>
      </c>
      <c r="N140" s="1411">
        <f t="shared" si="13"/>
        <v>0</v>
      </c>
      <c r="P140" s="1426">
        <v>43821</v>
      </c>
      <c r="Q140" s="1460"/>
      <c r="R140" s="1425"/>
      <c r="S140" s="1461" t="e">
        <f t="shared" si="9"/>
        <v>#DIV/0!</v>
      </c>
      <c r="T140" s="1461" t="e">
        <f t="shared" si="9"/>
        <v>#DIV/0!</v>
      </c>
    </row>
    <row r="141" spans="2:20">
      <c r="B141" s="1426">
        <v>43653</v>
      </c>
      <c r="C141" s="1425"/>
      <c r="D141" s="1428" t="e">
        <f t="shared" si="10"/>
        <v>#DIV/0!</v>
      </c>
      <c r="F141" s="1427"/>
      <c r="G141" s="1428" t="e">
        <f t="shared" si="11"/>
        <v>#DIV/0!</v>
      </c>
      <c r="H141" s="1426">
        <v>43653</v>
      </c>
      <c r="M141" s="1432" t="e">
        <f t="shared" si="12"/>
        <v>#DIV/0!</v>
      </c>
      <c r="N141" s="1411">
        <f t="shared" si="13"/>
        <v>0</v>
      </c>
      <c r="P141" s="1426">
        <v>43814</v>
      </c>
      <c r="Q141" s="1460"/>
      <c r="R141" s="1425"/>
      <c r="S141" s="1461" t="e">
        <f t="shared" si="9"/>
        <v>#DIV/0!</v>
      </c>
      <c r="T141" s="1461" t="e">
        <f t="shared" si="9"/>
        <v>#DIV/0!</v>
      </c>
    </row>
    <row r="142" spans="2:20">
      <c r="B142" s="1426">
        <v>43646</v>
      </c>
      <c r="C142" s="1425"/>
      <c r="D142" s="1428" t="e">
        <f t="shared" si="10"/>
        <v>#DIV/0!</v>
      </c>
      <c r="F142" s="1427"/>
      <c r="G142" s="1428" t="e">
        <f t="shared" si="11"/>
        <v>#DIV/0!</v>
      </c>
      <c r="H142" s="1426">
        <v>43646</v>
      </c>
      <c r="M142" s="1432" t="e">
        <f t="shared" si="12"/>
        <v>#DIV/0!</v>
      </c>
      <c r="N142" s="1411">
        <f t="shared" si="13"/>
        <v>0</v>
      </c>
      <c r="P142" s="1426">
        <v>43807</v>
      </c>
      <c r="Q142" s="1460"/>
      <c r="R142" s="1425"/>
      <c r="S142" s="1461" t="e">
        <f t="shared" si="9"/>
        <v>#DIV/0!</v>
      </c>
      <c r="T142" s="1461" t="e">
        <f t="shared" si="9"/>
        <v>#DIV/0!</v>
      </c>
    </row>
    <row r="143" spans="2:20">
      <c r="B143" s="1426">
        <v>43639</v>
      </c>
      <c r="C143" s="1425"/>
      <c r="D143" s="1428" t="e">
        <f t="shared" si="10"/>
        <v>#DIV/0!</v>
      </c>
      <c r="F143" s="1427"/>
      <c r="G143" s="1428" t="e">
        <f t="shared" si="11"/>
        <v>#DIV/0!</v>
      </c>
      <c r="H143" s="1426">
        <v>43639</v>
      </c>
      <c r="M143" s="1432" t="e">
        <f t="shared" si="12"/>
        <v>#DIV/0!</v>
      </c>
      <c r="N143" s="1411">
        <f t="shared" si="13"/>
        <v>0</v>
      </c>
      <c r="P143" s="1426">
        <v>43800</v>
      </c>
      <c r="Q143" s="1460"/>
      <c r="R143" s="1425"/>
      <c r="S143" s="1461" t="e">
        <f t="shared" si="9"/>
        <v>#DIV/0!</v>
      </c>
      <c r="T143" s="1461" t="e">
        <f t="shared" si="9"/>
        <v>#DIV/0!</v>
      </c>
    </row>
    <row r="144" spans="2:20">
      <c r="B144" s="1426">
        <v>43632</v>
      </c>
      <c r="C144" s="1425"/>
      <c r="D144" s="1428" t="e">
        <f t="shared" si="10"/>
        <v>#DIV/0!</v>
      </c>
      <c r="F144" s="1427"/>
      <c r="G144" s="1428" t="e">
        <f t="shared" si="11"/>
        <v>#DIV/0!</v>
      </c>
      <c r="H144" s="1426">
        <v>43632</v>
      </c>
      <c r="M144" s="1432" t="e">
        <f t="shared" si="12"/>
        <v>#DIV/0!</v>
      </c>
      <c r="N144" s="1411">
        <f t="shared" si="13"/>
        <v>0</v>
      </c>
      <c r="P144" s="1426">
        <v>43793</v>
      </c>
      <c r="Q144" s="1460"/>
      <c r="R144" s="1425"/>
      <c r="S144" s="1461" t="e">
        <f t="shared" si="9"/>
        <v>#DIV/0!</v>
      </c>
      <c r="T144" s="1461" t="e">
        <f t="shared" si="9"/>
        <v>#DIV/0!</v>
      </c>
    </row>
    <row r="145" spans="2:20">
      <c r="B145" s="1426">
        <v>43625</v>
      </c>
      <c r="C145" s="1425"/>
      <c r="D145" s="1428" t="e">
        <f t="shared" si="10"/>
        <v>#DIV/0!</v>
      </c>
      <c r="F145" s="1427"/>
      <c r="G145" s="1428" t="e">
        <f t="shared" si="11"/>
        <v>#DIV/0!</v>
      </c>
      <c r="H145" s="1426">
        <v>43625</v>
      </c>
      <c r="M145" s="1432" t="e">
        <f t="shared" si="12"/>
        <v>#DIV/0!</v>
      </c>
      <c r="N145" s="1411">
        <f t="shared" si="13"/>
        <v>0</v>
      </c>
      <c r="P145" s="1426">
        <v>43786</v>
      </c>
      <c r="Q145" s="1460"/>
      <c r="R145" s="1425"/>
      <c r="S145" s="1461" t="e">
        <f t="shared" si="9"/>
        <v>#DIV/0!</v>
      </c>
      <c r="T145" s="1461" t="e">
        <f t="shared" si="9"/>
        <v>#DIV/0!</v>
      </c>
    </row>
    <row r="146" spans="2:20">
      <c r="B146" s="1426">
        <v>43618</v>
      </c>
      <c r="C146" s="1425"/>
      <c r="D146" s="1428" t="e">
        <f t="shared" si="10"/>
        <v>#DIV/0!</v>
      </c>
      <c r="F146" s="1427"/>
      <c r="G146" s="1428" t="e">
        <f t="shared" si="11"/>
        <v>#DIV/0!</v>
      </c>
      <c r="H146" s="1426">
        <v>43618</v>
      </c>
      <c r="M146" s="1432" t="e">
        <f t="shared" si="12"/>
        <v>#DIV/0!</v>
      </c>
      <c r="N146" s="1411">
        <f t="shared" si="13"/>
        <v>0</v>
      </c>
      <c r="P146" s="1426">
        <v>43779</v>
      </c>
      <c r="Q146" s="1460"/>
      <c r="R146" s="1427"/>
      <c r="S146" s="1461" t="e">
        <f t="shared" si="9"/>
        <v>#DIV/0!</v>
      </c>
      <c r="T146" s="1461" t="e">
        <f t="shared" si="9"/>
        <v>#DIV/0!</v>
      </c>
    </row>
    <row r="147" spans="2:20">
      <c r="B147" s="1426">
        <v>43611</v>
      </c>
      <c r="C147" s="1425"/>
      <c r="D147" s="1428" t="e">
        <f t="shared" si="10"/>
        <v>#DIV/0!</v>
      </c>
      <c r="F147" s="1427"/>
      <c r="G147" s="1428" t="e">
        <f t="shared" si="11"/>
        <v>#DIV/0!</v>
      </c>
      <c r="H147" s="1426">
        <v>43611</v>
      </c>
      <c r="M147" s="1432" t="e">
        <f t="shared" si="12"/>
        <v>#DIV/0!</v>
      </c>
      <c r="N147" s="1411">
        <f t="shared" si="13"/>
        <v>0</v>
      </c>
      <c r="P147" s="1426">
        <v>43772</v>
      </c>
      <c r="Q147" s="1460"/>
      <c r="R147" s="1427"/>
      <c r="S147" s="1461" t="e">
        <f t="shared" si="9"/>
        <v>#DIV/0!</v>
      </c>
      <c r="T147" s="1461" t="e">
        <f t="shared" si="9"/>
        <v>#DIV/0!</v>
      </c>
    </row>
    <row r="148" spans="2:20">
      <c r="B148" s="1426">
        <v>43604</v>
      </c>
      <c r="C148" s="1425"/>
      <c r="D148" s="1428" t="e">
        <f t="shared" si="10"/>
        <v>#DIV/0!</v>
      </c>
      <c r="F148" s="1427"/>
      <c r="G148" s="1428" t="e">
        <f t="shared" si="11"/>
        <v>#DIV/0!</v>
      </c>
      <c r="H148" s="1426">
        <v>43604</v>
      </c>
      <c r="M148" s="1432" t="e">
        <f t="shared" si="12"/>
        <v>#DIV/0!</v>
      </c>
      <c r="N148" s="1411">
        <f t="shared" si="13"/>
        <v>0</v>
      </c>
      <c r="P148" s="1426">
        <v>43765</v>
      </c>
      <c r="Q148" s="1460"/>
      <c r="R148" s="1427"/>
      <c r="S148" s="1461" t="e">
        <f t="shared" si="9"/>
        <v>#DIV/0!</v>
      </c>
      <c r="T148" s="1461" t="e">
        <f t="shared" si="9"/>
        <v>#DIV/0!</v>
      </c>
    </row>
    <row r="149" spans="2:20">
      <c r="B149" s="1426">
        <v>43597</v>
      </c>
      <c r="C149" s="1425"/>
      <c r="D149" s="1428" t="e">
        <f t="shared" si="10"/>
        <v>#DIV/0!</v>
      </c>
      <c r="F149" s="1427"/>
      <c r="G149" s="1428" t="e">
        <f t="shared" si="11"/>
        <v>#DIV/0!</v>
      </c>
      <c r="H149" s="1426">
        <v>43597</v>
      </c>
      <c r="M149" s="1432" t="e">
        <f t="shared" si="12"/>
        <v>#DIV/0!</v>
      </c>
      <c r="N149" s="1411">
        <f t="shared" si="13"/>
        <v>0</v>
      </c>
      <c r="P149" s="1426">
        <v>43758</v>
      </c>
      <c r="Q149" s="1460"/>
      <c r="R149" s="1425"/>
      <c r="S149" s="1461" t="e">
        <f t="shared" si="9"/>
        <v>#DIV/0!</v>
      </c>
      <c r="T149" s="1461" t="e">
        <f t="shared" si="9"/>
        <v>#DIV/0!</v>
      </c>
    </row>
    <row r="150" spans="2:20">
      <c r="B150" s="1426">
        <v>43590</v>
      </c>
      <c r="C150" s="1425"/>
      <c r="D150" s="1428" t="e">
        <f t="shared" si="10"/>
        <v>#DIV/0!</v>
      </c>
      <c r="F150" s="1427"/>
      <c r="G150" s="1428" t="e">
        <f t="shared" si="11"/>
        <v>#DIV/0!</v>
      </c>
      <c r="H150" s="1426">
        <v>43590</v>
      </c>
      <c r="M150" s="1432" t="e">
        <f t="shared" si="12"/>
        <v>#DIV/0!</v>
      </c>
      <c r="N150" s="1411">
        <f t="shared" si="13"/>
        <v>0</v>
      </c>
      <c r="P150" s="1426">
        <v>43751</v>
      </c>
      <c r="Q150" s="1460"/>
      <c r="R150" s="1425"/>
      <c r="S150" s="1461" t="e">
        <f t="shared" si="9"/>
        <v>#DIV/0!</v>
      </c>
      <c r="T150" s="1461" t="e">
        <f t="shared" si="9"/>
        <v>#DIV/0!</v>
      </c>
    </row>
    <row r="151" spans="2:20">
      <c r="B151" s="1426">
        <v>43583</v>
      </c>
      <c r="C151" s="1425"/>
      <c r="D151" s="1428" t="e">
        <f t="shared" si="10"/>
        <v>#DIV/0!</v>
      </c>
      <c r="F151" s="1427"/>
      <c r="G151" s="1428" t="e">
        <f t="shared" si="11"/>
        <v>#DIV/0!</v>
      </c>
      <c r="H151" s="1426">
        <v>43583</v>
      </c>
      <c r="M151" s="1432" t="e">
        <f t="shared" si="12"/>
        <v>#DIV/0!</v>
      </c>
      <c r="N151" s="1411">
        <f t="shared" si="13"/>
        <v>0</v>
      </c>
      <c r="P151" s="1426">
        <v>43744</v>
      </c>
      <c r="Q151" s="1460"/>
      <c r="R151" s="1425"/>
      <c r="S151" s="1461" t="e">
        <f t="shared" si="9"/>
        <v>#DIV/0!</v>
      </c>
      <c r="T151" s="1461" t="e">
        <f t="shared" si="9"/>
        <v>#DIV/0!</v>
      </c>
    </row>
    <row r="152" spans="2:20">
      <c r="B152" s="1426">
        <v>43576</v>
      </c>
      <c r="C152" s="1425"/>
      <c r="D152" s="1428" t="e">
        <f t="shared" si="10"/>
        <v>#DIV/0!</v>
      </c>
      <c r="F152" s="1427"/>
      <c r="G152" s="1428" t="e">
        <f t="shared" si="11"/>
        <v>#DIV/0!</v>
      </c>
      <c r="H152" s="1426">
        <v>43576</v>
      </c>
      <c r="M152" s="1432" t="e">
        <f t="shared" si="12"/>
        <v>#DIV/0!</v>
      </c>
      <c r="N152" s="1411">
        <f t="shared" si="13"/>
        <v>0</v>
      </c>
      <c r="P152" s="1426">
        <v>43737</v>
      </c>
      <c r="Q152" s="1460"/>
      <c r="R152" s="1425"/>
      <c r="S152" s="1461" t="e">
        <f t="shared" si="9"/>
        <v>#DIV/0!</v>
      </c>
      <c r="T152" s="1461" t="e">
        <f t="shared" si="9"/>
        <v>#DIV/0!</v>
      </c>
    </row>
    <row r="153" spans="2:20">
      <c r="B153" s="1426">
        <v>43569</v>
      </c>
      <c r="C153" s="1425"/>
      <c r="D153" s="1428" t="e">
        <f t="shared" si="10"/>
        <v>#DIV/0!</v>
      </c>
      <c r="F153" s="1427"/>
      <c r="G153" s="1428" t="e">
        <f t="shared" si="11"/>
        <v>#DIV/0!</v>
      </c>
      <c r="H153" s="1426">
        <v>43569</v>
      </c>
      <c r="M153" s="1432" t="e">
        <f t="shared" si="12"/>
        <v>#DIV/0!</v>
      </c>
      <c r="N153" s="1411">
        <f t="shared" si="13"/>
        <v>0</v>
      </c>
      <c r="P153" s="1426">
        <v>43730</v>
      </c>
      <c r="Q153" s="1460"/>
      <c r="R153" s="1425"/>
      <c r="S153" s="1461" t="e">
        <f t="shared" si="9"/>
        <v>#DIV/0!</v>
      </c>
      <c r="T153" s="1461" t="e">
        <f t="shared" si="9"/>
        <v>#DIV/0!</v>
      </c>
    </row>
    <row r="154" spans="2:20">
      <c r="B154" s="1426">
        <v>43562</v>
      </c>
      <c r="C154" s="1425"/>
      <c r="D154" s="1428" t="e">
        <f t="shared" si="10"/>
        <v>#DIV/0!</v>
      </c>
      <c r="F154" s="1427"/>
      <c r="G154" s="1428" t="e">
        <f t="shared" si="11"/>
        <v>#DIV/0!</v>
      </c>
      <c r="H154" s="1426">
        <v>43562</v>
      </c>
      <c r="M154" s="1432" t="e">
        <f t="shared" si="12"/>
        <v>#DIV/0!</v>
      </c>
      <c r="N154" s="1411">
        <f t="shared" si="13"/>
        <v>0</v>
      </c>
      <c r="P154" s="1426">
        <v>43723</v>
      </c>
      <c r="Q154" s="1460"/>
      <c r="R154" s="1425"/>
      <c r="S154" s="1461" t="e">
        <f t="shared" si="9"/>
        <v>#DIV/0!</v>
      </c>
      <c r="T154" s="1461" t="e">
        <f t="shared" si="9"/>
        <v>#DIV/0!</v>
      </c>
    </row>
    <row r="155" spans="2:20">
      <c r="B155" s="1426">
        <v>43555</v>
      </c>
      <c r="C155" s="1425"/>
      <c r="D155" s="1428" t="e">
        <f t="shared" si="10"/>
        <v>#DIV/0!</v>
      </c>
      <c r="F155" s="1427"/>
      <c r="G155" s="1428" t="e">
        <f t="shared" si="11"/>
        <v>#DIV/0!</v>
      </c>
      <c r="H155" s="1426">
        <v>43555</v>
      </c>
      <c r="M155" s="1432" t="e">
        <f t="shared" si="12"/>
        <v>#DIV/0!</v>
      </c>
      <c r="N155" s="1411">
        <f t="shared" si="13"/>
        <v>0</v>
      </c>
      <c r="P155" s="1426">
        <v>43716</v>
      </c>
      <c r="Q155" s="1460"/>
      <c r="R155" s="1425"/>
      <c r="S155" s="1461" t="e">
        <f t="shared" si="9"/>
        <v>#DIV/0!</v>
      </c>
      <c r="T155" s="1461" t="e">
        <f t="shared" si="9"/>
        <v>#DIV/0!</v>
      </c>
    </row>
    <row r="156" spans="2:20">
      <c r="B156" s="1426">
        <v>43548</v>
      </c>
      <c r="C156" s="1425"/>
      <c r="D156" s="1428" t="e">
        <f t="shared" si="10"/>
        <v>#DIV/0!</v>
      </c>
      <c r="F156" s="1427"/>
      <c r="G156" s="1428" t="e">
        <f t="shared" si="11"/>
        <v>#DIV/0!</v>
      </c>
      <c r="H156" s="1426">
        <v>43548</v>
      </c>
      <c r="M156" s="1432" t="e">
        <f t="shared" si="12"/>
        <v>#DIV/0!</v>
      </c>
      <c r="N156" s="1411">
        <f t="shared" si="13"/>
        <v>0</v>
      </c>
      <c r="P156" s="1426">
        <v>43709</v>
      </c>
      <c r="Q156" s="1460"/>
      <c r="R156" s="1425"/>
      <c r="S156" s="1461" t="e">
        <f t="shared" si="9"/>
        <v>#DIV/0!</v>
      </c>
      <c r="T156" s="1461" t="e">
        <f t="shared" si="9"/>
        <v>#DIV/0!</v>
      </c>
    </row>
    <row r="157" spans="2:20">
      <c r="B157" s="1426">
        <v>43541</v>
      </c>
      <c r="C157" s="1425"/>
      <c r="D157" s="1428" t="e">
        <f t="shared" si="10"/>
        <v>#DIV/0!</v>
      </c>
      <c r="F157" s="1427"/>
      <c r="G157" s="1428" t="e">
        <f t="shared" si="11"/>
        <v>#DIV/0!</v>
      </c>
      <c r="H157" s="1426">
        <v>43541</v>
      </c>
      <c r="M157" s="1432" t="e">
        <f t="shared" si="12"/>
        <v>#DIV/0!</v>
      </c>
      <c r="N157" s="1411">
        <f t="shared" si="13"/>
        <v>0</v>
      </c>
      <c r="P157" s="1426">
        <v>43702</v>
      </c>
      <c r="Q157" s="1460"/>
      <c r="R157" s="1425"/>
      <c r="S157" s="1461" t="e">
        <f t="shared" si="9"/>
        <v>#DIV/0!</v>
      </c>
      <c r="T157" s="1461" t="e">
        <f t="shared" si="9"/>
        <v>#DIV/0!</v>
      </c>
    </row>
    <row r="158" spans="2:20">
      <c r="B158" s="1426">
        <v>43534</v>
      </c>
      <c r="C158" s="1427"/>
      <c r="D158" s="1428" t="e">
        <f t="shared" si="10"/>
        <v>#DIV/0!</v>
      </c>
      <c r="F158" s="1427"/>
      <c r="G158" s="1428" t="e">
        <f t="shared" si="11"/>
        <v>#DIV/0!</v>
      </c>
      <c r="H158" s="1426">
        <v>43534</v>
      </c>
      <c r="M158" s="1432" t="e">
        <f t="shared" si="12"/>
        <v>#DIV/0!</v>
      </c>
      <c r="N158" s="1411">
        <f t="shared" si="13"/>
        <v>0</v>
      </c>
      <c r="P158" s="1426">
        <v>43695</v>
      </c>
      <c r="Q158" s="1460"/>
      <c r="R158" s="1425"/>
      <c r="S158" s="1461" t="e">
        <f t="shared" si="9"/>
        <v>#DIV/0!</v>
      </c>
      <c r="T158" s="1461" t="e">
        <f t="shared" si="9"/>
        <v>#DIV/0!</v>
      </c>
    </row>
    <row r="159" spans="2:20">
      <c r="B159" s="1426">
        <v>43527</v>
      </c>
      <c r="C159" s="1425"/>
      <c r="D159" s="1428" t="e">
        <f t="shared" si="10"/>
        <v>#DIV/0!</v>
      </c>
      <c r="F159" s="1427"/>
      <c r="G159" s="1428" t="e">
        <f t="shared" si="11"/>
        <v>#DIV/0!</v>
      </c>
      <c r="H159" s="1426">
        <v>43527</v>
      </c>
      <c r="M159" s="1432" t="e">
        <f t="shared" si="12"/>
        <v>#DIV/0!</v>
      </c>
      <c r="N159" s="1411">
        <f t="shared" si="13"/>
        <v>0</v>
      </c>
      <c r="P159" s="1426">
        <v>43688</v>
      </c>
      <c r="Q159" s="1460"/>
      <c r="R159" s="1425"/>
      <c r="S159" s="1461" t="e">
        <f t="shared" ref="S159:T222" si="14">Q159/Q160-1</f>
        <v>#DIV/0!</v>
      </c>
      <c r="T159" s="1461" t="e">
        <f t="shared" si="14"/>
        <v>#DIV/0!</v>
      </c>
    </row>
    <row r="160" spans="2:20">
      <c r="B160" s="1426">
        <v>43520</v>
      </c>
      <c r="C160" s="1425"/>
      <c r="D160" s="1428" t="e">
        <f t="shared" si="10"/>
        <v>#DIV/0!</v>
      </c>
      <c r="F160" s="1427"/>
      <c r="G160" s="1428" t="e">
        <f t="shared" si="11"/>
        <v>#DIV/0!</v>
      </c>
      <c r="H160" s="1426">
        <v>43520</v>
      </c>
      <c r="M160" s="1432" t="e">
        <f t="shared" si="12"/>
        <v>#DIV/0!</v>
      </c>
      <c r="N160" s="1411">
        <f t="shared" si="13"/>
        <v>0</v>
      </c>
      <c r="P160" s="1426">
        <v>43681</v>
      </c>
      <c r="Q160" s="1460"/>
      <c r="R160" s="1425"/>
      <c r="S160" s="1461" t="e">
        <f t="shared" si="14"/>
        <v>#DIV/0!</v>
      </c>
      <c r="T160" s="1461" t="e">
        <f t="shared" si="14"/>
        <v>#DIV/0!</v>
      </c>
    </row>
    <row r="161" spans="2:20">
      <c r="B161" s="1426">
        <v>43513</v>
      </c>
      <c r="C161" s="1425"/>
      <c r="D161" s="1428" t="e">
        <f t="shared" si="10"/>
        <v>#DIV/0!</v>
      </c>
      <c r="F161" s="1427"/>
      <c r="G161" s="1428" t="e">
        <f t="shared" si="11"/>
        <v>#DIV/0!</v>
      </c>
      <c r="H161" s="1426">
        <v>43513</v>
      </c>
      <c r="M161" s="1432" t="e">
        <f t="shared" si="12"/>
        <v>#DIV/0!</v>
      </c>
      <c r="N161" s="1411">
        <f t="shared" si="13"/>
        <v>0</v>
      </c>
      <c r="P161" s="1426">
        <v>43674</v>
      </c>
      <c r="Q161" s="1460"/>
      <c r="R161" s="1425"/>
      <c r="S161" s="1461" t="e">
        <f t="shared" si="14"/>
        <v>#DIV/0!</v>
      </c>
      <c r="T161" s="1461" t="e">
        <f t="shared" si="14"/>
        <v>#DIV/0!</v>
      </c>
    </row>
    <row r="162" spans="2:20">
      <c r="B162" s="1426">
        <v>43506</v>
      </c>
      <c r="C162" s="1425"/>
      <c r="D162" s="1428" t="e">
        <f t="shared" si="10"/>
        <v>#DIV/0!</v>
      </c>
      <c r="F162" s="1427"/>
      <c r="G162" s="1428" t="e">
        <f t="shared" si="11"/>
        <v>#DIV/0!</v>
      </c>
      <c r="H162" s="1426">
        <v>43506</v>
      </c>
      <c r="M162" s="1432" t="e">
        <f t="shared" si="12"/>
        <v>#DIV/0!</v>
      </c>
      <c r="N162" s="1411">
        <f t="shared" si="13"/>
        <v>0</v>
      </c>
      <c r="P162" s="1426">
        <v>43667</v>
      </c>
      <c r="Q162" s="1460"/>
      <c r="R162" s="1425"/>
      <c r="S162" s="1461" t="e">
        <f t="shared" si="14"/>
        <v>#DIV/0!</v>
      </c>
      <c r="T162" s="1461" t="e">
        <f t="shared" si="14"/>
        <v>#DIV/0!</v>
      </c>
    </row>
    <row r="163" spans="2:20">
      <c r="B163" s="1426">
        <v>43492</v>
      </c>
      <c r="C163" s="1425"/>
      <c r="D163" s="1428" t="e">
        <f t="shared" si="10"/>
        <v>#DIV/0!</v>
      </c>
      <c r="F163" s="1427"/>
      <c r="G163" s="1428" t="e">
        <f t="shared" si="11"/>
        <v>#DIV/0!</v>
      </c>
      <c r="H163" s="1426">
        <v>43492</v>
      </c>
      <c r="M163" s="1432" t="e">
        <f t="shared" si="12"/>
        <v>#DIV/0!</v>
      </c>
      <c r="N163" s="1411">
        <f t="shared" si="13"/>
        <v>0</v>
      </c>
      <c r="P163" s="1426">
        <v>43660</v>
      </c>
      <c r="Q163" s="1460"/>
      <c r="R163" s="1425"/>
      <c r="S163" s="1461" t="e">
        <f t="shared" si="14"/>
        <v>#DIV/0!</v>
      </c>
      <c r="T163" s="1461" t="e">
        <f t="shared" si="14"/>
        <v>#DIV/0!</v>
      </c>
    </row>
    <row r="164" spans="2:20">
      <c r="B164" s="1426">
        <v>43485</v>
      </c>
      <c r="C164" s="1425"/>
      <c r="D164" s="1428" t="e">
        <f t="shared" si="10"/>
        <v>#DIV/0!</v>
      </c>
      <c r="F164" s="1427"/>
      <c r="G164" s="1428" t="e">
        <f t="shared" si="11"/>
        <v>#DIV/0!</v>
      </c>
      <c r="H164" s="1426">
        <v>43485</v>
      </c>
      <c r="M164" s="1432" t="e">
        <f t="shared" si="12"/>
        <v>#DIV/0!</v>
      </c>
      <c r="N164" s="1411">
        <f t="shared" si="13"/>
        <v>0</v>
      </c>
      <c r="P164" s="1426">
        <v>43653</v>
      </c>
      <c r="Q164" s="1460"/>
      <c r="R164" s="1425"/>
      <c r="S164" s="1461" t="e">
        <f t="shared" si="14"/>
        <v>#DIV/0!</v>
      </c>
      <c r="T164" s="1461" t="e">
        <f t="shared" si="14"/>
        <v>#DIV/0!</v>
      </c>
    </row>
    <row r="165" spans="2:20">
      <c r="B165" s="1426">
        <v>43478</v>
      </c>
      <c r="C165" s="1425"/>
      <c r="D165" s="1428" t="e">
        <f t="shared" si="10"/>
        <v>#DIV/0!</v>
      </c>
      <c r="F165" s="1427"/>
      <c r="G165" s="1428" t="e">
        <f t="shared" si="11"/>
        <v>#DIV/0!</v>
      </c>
      <c r="H165" s="1426">
        <v>43478</v>
      </c>
      <c r="M165" s="1432" t="e">
        <f t="shared" si="12"/>
        <v>#DIV/0!</v>
      </c>
      <c r="N165" s="1411">
        <f t="shared" si="13"/>
        <v>0</v>
      </c>
      <c r="P165" s="1426">
        <v>43646</v>
      </c>
      <c r="Q165" s="1460"/>
      <c r="R165" s="1425"/>
      <c r="S165" s="1461" t="e">
        <f t="shared" si="14"/>
        <v>#DIV/0!</v>
      </c>
      <c r="T165" s="1461" t="e">
        <f t="shared" si="14"/>
        <v>#DIV/0!</v>
      </c>
    </row>
    <row r="166" spans="2:20">
      <c r="B166" s="1426">
        <v>43471</v>
      </c>
      <c r="C166" s="1425"/>
      <c r="D166" s="1428" t="e">
        <f t="shared" si="10"/>
        <v>#DIV/0!</v>
      </c>
      <c r="F166" s="1427"/>
      <c r="G166" s="1428" t="e">
        <f t="shared" si="11"/>
        <v>#DIV/0!</v>
      </c>
      <c r="H166" s="1426">
        <v>43471</v>
      </c>
      <c r="M166" s="1432" t="e">
        <f t="shared" si="12"/>
        <v>#DIV/0!</v>
      </c>
      <c r="N166" s="1411">
        <f t="shared" si="13"/>
        <v>0</v>
      </c>
      <c r="P166" s="1426">
        <v>43639</v>
      </c>
      <c r="Q166" s="1460"/>
      <c r="R166" s="1425"/>
      <c r="S166" s="1461" t="e">
        <f t="shared" si="14"/>
        <v>#DIV/0!</v>
      </c>
      <c r="T166" s="1461" t="e">
        <f t="shared" si="14"/>
        <v>#DIV/0!</v>
      </c>
    </row>
    <row r="167" spans="2:20">
      <c r="B167" s="1426">
        <v>43464</v>
      </c>
      <c r="C167" s="1425"/>
      <c r="D167" s="1428" t="e">
        <f t="shared" si="10"/>
        <v>#DIV/0!</v>
      </c>
      <c r="F167" s="1427"/>
      <c r="G167" s="1428" t="e">
        <f t="shared" si="11"/>
        <v>#DIV/0!</v>
      </c>
      <c r="H167" s="1426">
        <v>43464</v>
      </c>
      <c r="M167" s="1432" t="e">
        <f t="shared" si="12"/>
        <v>#DIV/0!</v>
      </c>
      <c r="N167" s="1411">
        <f t="shared" si="13"/>
        <v>0</v>
      </c>
      <c r="P167" s="1426">
        <v>43632</v>
      </c>
      <c r="Q167" s="1460"/>
      <c r="R167" s="1425"/>
      <c r="S167" s="1461" t="e">
        <f t="shared" si="14"/>
        <v>#DIV/0!</v>
      </c>
      <c r="T167" s="1461" t="e">
        <f t="shared" si="14"/>
        <v>#DIV/0!</v>
      </c>
    </row>
    <row r="168" spans="2:20">
      <c r="B168" s="1426">
        <v>43457</v>
      </c>
      <c r="C168" s="1425"/>
      <c r="D168" s="1428" t="e">
        <f t="shared" si="10"/>
        <v>#DIV/0!</v>
      </c>
      <c r="F168" s="1427"/>
      <c r="G168" s="1428" t="e">
        <f t="shared" si="11"/>
        <v>#DIV/0!</v>
      </c>
      <c r="H168" s="1426">
        <v>43457</v>
      </c>
      <c r="M168" s="1432" t="e">
        <f t="shared" si="12"/>
        <v>#DIV/0!</v>
      </c>
      <c r="N168" s="1411">
        <f t="shared" si="13"/>
        <v>0</v>
      </c>
      <c r="P168" s="1426">
        <v>43625</v>
      </c>
      <c r="Q168" s="1460"/>
      <c r="R168" s="1425"/>
      <c r="S168" s="1461" t="e">
        <f t="shared" si="14"/>
        <v>#DIV/0!</v>
      </c>
      <c r="T168" s="1461" t="e">
        <f t="shared" si="14"/>
        <v>#DIV/0!</v>
      </c>
    </row>
    <row r="169" spans="2:20">
      <c r="B169" s="1426">
        <v>43450</v>
      </c>
      <c r="C169" s="1425"/>
      <c r="D169" s="1428" t="e">
        <f t="shared" si="10"/>
        <v>#DIV/0!</v>
      </c>
      <c r="F169" s="1427"/>
      <c r="G169" s="1428" t="e">
        <f t="shared" si="11"/>
        <v>#DIV/0!</v>
      </c>
      <c r="H169" s="1426">
        <v>43450</v>
      </c>
      <c r="M169" s="1432" t="e">
        <f t="shared" si="12"/>
        <v>#DIV/0!</v>
      </c>
      <c r="N169" s="1411">
        <f t="shared" si="13"/>
        <v>0</v>
      </c>
      <c r="P169" s="1426">
        <v>43618</v>
      </c>
      <c r="Q169" s="1460"/>
      <c r="R169" s="1425"/>
      <c r="S169" s="1461" t="e">
        <f t="shared" si="14"/>
        <v>#DIV/0!</v>
      </c>
      <c r="T169" s="1461" t="e">
        <f t="shared" si="14"/>
        <v>#DIV/0!</v>
      </c>
    </row>
    <row r="170" spans="2:20">
      <c r="B170" s="1426">
        <v>43443</v>
      </c>
      <c r="C170" s="1425"/>
      <c r="D170" s="1428" t="e">
        <f t="shared" si="10"/>
        <v>#DIV/0!</v>
      </c>
      <c r="F170" s="1427"/>
      <c r="G170" s="1428" t="e">
        <f t="shared" si="11"/>
        <v>#DIV/0!</v>
      </c>
      <c r="H170" s="1426">
        <v>43443</v>
      </c>
      <c r="M170" s="1432" t="e">
        <f t="shared" si="12"/>
        <v>#DIV/0!</v>
      </c>
      <c r="N170" s="1411">
        <f t="shared" si="13"/>
        <v>0</v>
      </c>
      <c r="P170" s="1426">
        <v>43611</v>
      </c>
      <c r="Q170" s="1460"/>
      <c r="R170" s="1425"/>
      <c r="S170" s="1461" t="e">
        <f t="shared" si="14"/>
        <v>#DIV/0!</v>
      </c>
      <c r="T170" s="1461" t="e">
        <f t="shared" si="14"/>
        <v>#DIV/0!</v>
      </c>
    </row>
    <row r="171" spans="2:20">
      <c r="B171" s="1426">
        <v>43436</v>
      </c>
      <c r="C171" s="1425"/>
      <c r="D171" s="1428" t="e">
        <f t="shared" si="10"/>
        <v>#DIV/0!</v>
      </c>
      <c r="F171" s="1427"/>
      <c r="G171" s="1428" t="e">
        <f t="shared" si="11"/>
        <v>#DIV/0!</v>
      </c>
      <c r="H171" s="1426">
        <v>43436</v>
      </c>
      <c r="M171" s="1432" t="e">
        <f t="shared" si="12"/>
        <v>#DIV/0!</v>
      </c>
      <c r="N171" s="1411">
        <f t="shared" si="13"/>
        <v>0</v>
      </c>
      <c r="P171" s="1426">
        <v>43604</v>
      </c>
      <c r="Q171" s="1460"/>
      <c r="R171" s="1425"/>
      <c r="S171" s="1461" t="e">
        <f t="shared" si="14"/>
        <v>#DIV/0!</v>
      </c>
      <c r="T171" s="1461" t="e">
        <f t="shared" si="14"/>
        <v>#DIV/0!</v>
      </c>
    </row>
    <row r="172" spans="2:20">
      <c r="B172" s="1426">
        <v>43429</v>
      </c>
      <c r="C172" s="1425"/>
      <c r="D172" s="1428" t="e">
        <f t="shared" si="10"/>
        <v>#DIV/0!</v>
      </c>
      <c r="F172" s="1427"/>
      <c r="G172" s="1428" t="e">
        <f t="shared" si="11"/>
        <v>#DIV/0!</v>
      </c>
      <c r="H172" s="1426">
        <v>43429</v>
      </c>
      <c r="M172" s="1432" t="e">
        <f t="shared" si="12"/>
        <v>#DIV/0!</v>
      </c>
      <c r="N172" s="1411">
        <f t="shared" si="13"/>
        <v>0</v>
      </c>
      <c r="P172" s="1426">
        <v>43597</v>
      </c>
      <c r="Q172" s="1460"/>
      <c r="R172" s="1425"/>
      <c r="S172" s="1461" t="e">
        <f t="shared" si="14"/>
        <v>#DIV/0!</v>
      </c>
      <c r="T172" s="1461" t="e">
        <f t="shared" si="14"/>
        <v>#DIV/0!</v>
      </c>
    </row>
    <row r="173" spans="2:20">
      <c r="B173" s="1426">
        <v>43422</v>
      </c>
      <c r="C173" s="1425"/>
      <c r="D173" s="1428" t="e">
        <f t="shared" si="10"/>
        <v>#DIV/0!</v>
      </c>
      <c r="F173" s="1427"/>
      <c r="G173" s="1428" t="e">
        <f t="shared" si="11"/>
        <v>#DIV/0!</v>
      </c>
      <c r="H173" s="1426">
        <v>43422</v>
      </c>
      <c r="M173" s="1432" t="e">
        <f t="shared" si="12"/>
        <v>#DIV/0!</v>
      </c>
      <c r="N173" s="1411">
        <f t="shared" si="13"/>
        <v>0</v>
      </c>
      <c r="P173" s="1426">
        <v>43590</v>
      </c>
      <c r="Q173" s="1460"/>
      <c r="R173" s="1425"/>
      <c r="S173" s="1461" t="e">
        <f t="shared" si="14"/>
        <v>#DIV/0!</v>
      </c>
      <c r="T173" s="1461" t="e">
        <f t="shared" si="14"/>
        <v>#DIV/0!</v>
      </c>
    </row>
    <row r="174" spans="2:20">
      <c r="B174" s="1426">
        <v>43415</v>
      </c>
      <c r="C174" s="1425"/>
      <c r="D174" s="1428" t="e">
        <f t="shared" si="10"/>
        <v>#DIV/0!</v>
      </c>
      <c r="F174" s="1427"/>
      <c r="G174" s="1428" t="e">
        <f t="shared" si="11"/>
        <v>#DIV/0!</v>
      </c>
      <c r="H174" s="1426">
        <v>43415</v>
      </c>
      <c r="M174" s="1432" t="e">
        <f t="shared" si="12"/>
        <v>#DIV/0!</v>
      </c>
      <c r="N174" s="1411">
        <f t="shared" si="13"/>
        <v>0</v>
      </c>
      <c r="P174" s="1426">
        <v>43583</v>
      </c>
      <c r="Q174" s="1460"/>
      <c r="R174" s="1425"/>
      <c r="S174" s="1461" t="e">
        <f t="shared" si="14"/>
        <v>#DIV/0!</v>
      </c>
      <c r="T174" s="1461" t="e">
        <f t="shared" si="14"/>
        <v>#DIV/0!</v>
      </c>
    </row>
    <row r="175" spans="2:20">
      <c r="B175" s="1426">
        <v>43408</v>
      </c>
      <c r="C175" s="1425"/>
      <c r="D175" s="1428" t="e">
        <f t="shared" si="10"/>
        <v>#DIV/0!</v>
      </c>
      <c r="F175" s="1427"/>
      <c r="G175" s="1428" t="e">
        <f t="shared" si="11"/>
        <v>#DIV/0!</v>
      </c>
      <c r="H175" s="1426">
        <v>43408</v>
      </c>
      <c r="M175" s="1432" t="e">
        <f t="shared" si="12"/>
        <v>#DIV/0!</v>
      </c>
      <c r="N175" s="1411">
        <f t="shared" si="13"/>
        <v>0</v>
      </c>
      <c r="P175" s="1426">
        <v>43576</v>
      </c>
      <c r="Q175" s="1460"/>
      <c r="R175" s="1425"/>
      <c r="S175" s="1461" t="e">
        <f t="shared" si="14"/>
        <v>#DIV/0!</v>
      </c>
      <c r="T175" s="1461" t="e">
        <f t="shared" si="14"/>
        <v>#DIV/0!</v>
      </c>
    </row>
    <row r="176" spans="2:20">
      <c r="B176" s="1426">
        <v>43401</v>
      </c>
      <c r="C176" s="1425"/>
      <c r="D176" s="1428" t="e">
        <f t="shared" si="10"/>
        <v>#DIV/0!</v>
      </c>
      <c r="F176" s="1427"/>
      <c r="G176" s="1428" t="e">
        <f t="shared" si="11"/>
        <v>#DIV/0!</v>
      </c>
      <c r="H176" s="1426">
        <v>43401</v>
      </c>
      <c r="M176" s="1432" t="e">
        <f t="shared" si="12"/>
        <v>#DIV/0!</v>
      </c>
      <c r="N176" s="1411">
        <f t="shared" si="13"/>
        <v>0</v>
      </c>
      <c r="P176" s="1426">
        <v>43569</v>
      </c>
      <c r="Q176" s="1460"/>
      <c r="R176" s="1425"/>
      <c r="S176" s="1461" t="e">
        <f t="shared" si="14"/>
        <v>#DIV/0!</v>
      </c>
      <c r="T176" s="1461" t="e">
        <f t="shared" si="14"/>
        <v>#DIV/0!</v>
      </c>
    </row>
    <row r="177" spans="2:20">
      <c r="B177" s="1426">
        <v>43394</v>
      </c>
      <c r="C177" s="1425"/>
      <c r="D177" s="1428" t="e">
        <f t="shared" si="10"/>
        <v>#DIV/0!</v>
      </c>
      <c r="F177" s="1427"/>
      <c r="G177" s="1428" t="e">
        <f t="shared" si="11"/>
        <v>#DIV/0!</v>
      </c>
      <c r="H177" s="1426">
        <v>43394</v>
      </c>
      <c r="M177" s="1432" t="e">
        <f t="shared" si="12"/>
        <v>#DIV/0!</v>
      </c>
      <c r="N177" s="1411">
        <f t="shared" si="13"/>
        <v>0</v>
      </c>
      <c r="P177" s="1426">
        <v>43562</v>
      </c>
      <c r="Q177" s="1460"/>
      <c r="R177" s="1425"/>
      <c r="S177" s="1461" t="e">
        <f t="shared" si="14"/>
        <v>#DIV/0!</v>
      </c>
      <c r="T177" s="1461" t="e">
        <f t="shared" si="14"/>
        <v>#DIV/0!</v>
      </c>
    </row>
    <row r="178" spans="2:20">
      <c r="B178" s="1426">
        <v>43387</v>
      </c>
      <c r="C178" s="1425"/>
      <c r="D178" s="1428" t="e">
        <f t="shared" si="10"/>
        <v>#DIV/0!</v>
      </c>
      <c r="F178" s="1427"/>
      <c r="G178" s="1428" t="e">
        <f t="shared" si="11"/>
        <v>#DIV/0!</v>
      </c>
      <c r="H178" s="1426">
        <v>43387</v>
      </c>
      <c r="M178" s="1432" t="e">
        <f t="shared" si="12"/>
        <v>#DIV/0!</v>
      </c>
      <c r="N178" s="1411">
        <f t="shared" si="13"/>
        <v>0</v>
      </c>
      <c r="P178" s="1426">
        <v>43555</v>
      </c>
      <c r="Q178" s="1460"/>
      <c r="R178" s="1425"/>
      <c r="S178" s="1461" t="e">
        <f t="shared" si="14"/>
        <v>#DIV/0!</v>
      </c>
      <c r="T178" s="1461" t="e">
        <f t="shared" si="14"/>
        <v>#DIV/0!</v>
      </c>
    </row>
    <row r="179" spans="2:20">
      <c r="B179" s="1426">
        <v>43380</v>
      </c>
      <c r="C179" s="1425"/>
      <c r="D179" s="1428" t="e">
        <f t="shared" si="10"/>
        <v>#DIV/0!</v>
      </c>
      <c r="F179" s="1427"/>
      <c r="G179" s="1428" t="e">
        <f t="shared" si="11"/>
        <v>#DIV/0!</v>
      </c>
      <c r="H179" s="1426">
        <v>43380</v>
      </c>
      <c r="M179" s="1432" t="e">
        <f t="shared" si="12"/>
        <v>#DIV/0!</v>
      </c>
      <c r="N179" s="1411">
        <f t="shared" si="13"/>
        <v>0</v>
      </c>
      <c r="P179" s="1426">
        <v>43548</v>
      </c>
      <c r="Q179" s="1460"/>
      <c r="R179" s="1425"/>
      <c r="S179" s="1461" t="e">
        <f t="shared" si="14"/>
        <v>#DIV/0!</v>
      </c>
      <c r="T179" s="1461" t="e">
        <f t="shared" si="14"/>
        <v>#DIV/0!</v>
      </c>
    </row>
    <row r="180" spans="2:20">
      <c r="B180" s="1426">
        <v>43373</v>
      </c>
      <c r="C180" s="1427"/>
      <c r="D180" s="1428" t="e">
        <f t="shared" si="10"/>
        <v>#DIV/0!</v>
      </c>
      <c r="F180" s="1427"/>
      <c r="G180" s="1428" t="e">
        <f t="shared" si="11"/>
        <v>#DIV/0!</v>
      </c>
      <c r="H180" s="1426">
        <v>43373</v>
      </c>
      <c r="M180" s="1432" t="e">
        <f t="shared" si="12"/>
        <v>#DIV/0!</v>
      </c>
      <c r="N180" s="1411">
        <f t="shared" si="13"/>
        <v>0</v>
      </c>
      <c r="P180" s="1426">
        <v>43541</v>
      </c>
      <c r="Q180" s="1460"/>
      <c r="R180" s="1425"/>
      <c r="S180" s="1461" t="e">
        <f t="shared" si="14"/>
        <v>#DIV/0!</v>
      </c>
      <c r="T180" s="1461" t="e">
        <f t="shared" si="14"/>
        <v>#DIV/0!</v>
      </c>
    </row>
    <row r="181" spans="2:20">
      <c r="B181" s="1426">
        <v>43366</v>
      </c>
      <c r="C181" s="1427"/>
      <c r="D181" s="1428" t="e">
        <f t="shared" si="10"/>
        <v>#DIV/0!</v>
      </c>
      <c r="F181" s="1427"/>
      <c r="G181" s="1428" t="e">
        <f t="shared" si="11"/>
        <v>#DIV/0!</v>
      </c>
      <c r="H181" s="1426">
        <v>43366</v>
      </c>
      <c r="M181" s="1432" t="e">
        <f t="shared" si="12"/>
        <v>#DIV/0!</v>
      </c>
      <c r="N181" s="1411">
        <f t="shared" si="13"/>
        <v>0</v>
      </c>
      <c r="P181" s="1426">
        <v>43534</v>
      </c>
      <c r="Q181" s="1460"/>
      <c r="R181" s="1427"/>
      <c r="S181" s="1461" t="e">
        <f t="shared" si="14"/>
        <v>#DIV/0!</v>
      </c>
      <c r="T181" s="1461" t="e">
        <f t="shared" si="14"/>
        <v>#DIV/0!</v>
      </c>
    </row>
    <row r="182" spans="2:20">
      <c r="B182" s="1426">
        <v>43359</v>
      </c>
      <c r="C182" s="1427"/>
      <c r="D182" s="1428" t="e">
        <f t="shared" si="10"/>
        <v>#DIV/0!</v>
      </c>
      <c r="F182" s="1427"/>
      <c r="G182" s="1428" t="e">
        <f t="shared" si="11"/>
        <v>#DIV/0!</v>
      </c>
      <c r="H182" s="1426">
        <v>43359</v>
      </c>
      <c r="M182" s="1432" t="e">
        <f t="shared" si="12"/>
        <v>#DIV/0!</v>
      </c>
      <c r="N182" s="1411">
        <f t="shared" si="13"/>
        <v>0</v>
      </c>
      <c r="P182" s="1426">
        <v>43527</v>
      </c>
      <c r="Q182" s="1460"/>
      <c r="R182" s="1425"/>
      <c r="S182" s="1461" t="e">
        <f t="shared" si="14"/>
        <v>#DIV/0!</v>
      </c>
      <c r="T182" s="1461" t="e">
        <f t="shared" si="14"/>
        <v>#DIV/0!</v>
      </c>
    </row>
    <row r="183" spans="2:20">
      <c r="B183" s="1426">
        <v>43352</v>
      </c>
      <c r="C183" s="1425"/>
      <c r="D183" s="1428" t="e">
        <f t="shared" si="10"/>
        <v>#DIV/0!</v>
      </c>
      <c r="F183" s="1427"/>
      <c r="G183" s="1428" t="e">
        <f t="shared" si="11"/>
        <v>#DIV/0!</v>
      </c>
      <c r="H183" s="1426">
        <v>43352</v>
      </c>
      <c r="M183" s="1432" t="e">
        <f t="shared" si="12"/>
        <v>#DIV/0!</v>
      </c>
      <c r="N183" s="1411">
        <f t="shared" si="13"/>
        <v>0</v>
      </c>
      <c r="P183" s="1426">
        <v>43520</v>
      </c>
      <c r="Q183" s="1460"/>
      <c r="R183" s="1425"/>
      <c r="S183" s="1461" t="e">
        <f t="shared" si="14"/>
        <v>#DIV/0!</v>
      </c>
      <c r="T183" s="1461" t="e">
        <f t="shared" si="14"/>
        <v>#DIV/0!</v>
      </c>
    </row>
    <row r="184" spans="2:20">
      <c r="B184" s="1426">
        <v>43345</v>
      </c>
      <c r="C184" s="1425"/>
      <c r="D184" s="1428" t="e">
        <f t="shared" si="10"/>
        <v>#DIV/0!</v>
      </c>
      <c r="F184" s="1427"/>
      <c r="G184" s="1428" t="e">
        <f t="shared" si="11"/>
        <v>#DIV/0!</v>
      </c>
      <c r="H184" s="1426">
        <v>43345</v>
      </c>
      <c r="M184" s="1432" t="e">
        <f t="shared" si="12"/>
        <v>#DIV/0!</v>
      </c>
      <c r="N184" s="1411">
        <f t="shared" si="13"/>
        <v>0</v>
      </c>
      <c r="P184" s="1426">
        <v>43513</v>
      </c>
      <c r="Q184" s="1460"/>
      <c r="R184" s="1425"/>
      <c r="S184" s="1461" t="e">
        <f t="shared" si="14"/>
        <v>#DIV/0!</v>
      </c>
      <c r="T184" s="1461" t="e">
        <f t="shared" si="14"/>
        <v>#DIV/0!</v>
      </c>
    </row>
    <row r="185" spans="2:20">
      <c r="B185" s="1426">
        <v>43338</v>
      </c>
      <c r="C185" s="1425"/>
      <c r="D185" s="1428" t="e">
        <f t="shared" si="10"/>
        <v>#DIV/0!</v>
      </c>
      <c r="F185" s="1427"/>
      <c r="G185" s="1428" t="e">
        <f t="shared" si="11"/>
        <v>#DIV/0!</v>
      </c>
      <c r="H185" s="1426">
        <v>43338</v>
      </c>
      <c r="M185" s="1432" t="e">
        <f t="shared" si="12"/>
        <v>#DIV/0!</v>
      </c>
      <c r="N185" s="1411">
        <f t="shared" si="13"/>
        <v>0</v>
      </c>
      <c r="P185" s="1426">
        <v>43506</v>
      </c>
      <c r="Q185" s="1460"/>
      <c r="R185" s="1425"/>
      <c r="S185" s="1461" t="e">
        <f t="shared" si="14"/>
        <v>#DIV/0!</v>
      </c>
      <c r="T185" s="1461" t="e">
        <f t="shared" si="14"/>
        <v>#DIV/0!</v>
      </c>
    </row>
    <row r="186" spans="2:20">
      <c r="B186" s="1426">
        <v>43331</v>
      </c>
      <c r="C186" s="1425"/>
      <c r="D186" s="1428" t="e">
        <f t="shared" si="10"/>
        <v>#DIV/0!</v>
      </c>
      <c r="F186" s="1427"/>
      <c r="G186" s="1428" t="e">
        <f t="shared" si="11"/>
        <v>#DIV/0!</v>
      </c>
      <c r="H186" s="1426">
        <v>43331</v>
      </c>
      <c r="M186" s="1432" t="e">
        <f t="shared" si="12"/>
        <v>#DIV/0!</v>
      </c>
      <c r="N186" s="1411">
        <f t="shared" si="13"/>
        <v>0</v>
      </c>
      <c r="P186" s="1426">
        <v>43492</v>
      </c>
      <c r="Q186" s="1460"/>
      <c r="R186" s="1425"/>
      <c r="S186" s="1461" t="e">
        <f t="shared" si="14"/>
        <v>#DIV/0!</v>
      </c>
      <c r="T186" s="1461" t="e">
        <f t="shared" si="14"/>
        <v>#DIV/0!</v>
      </c>
    </row>
    <row r="187" spans="2:20">
      <c r="B187" s="1426">
        <v>43324</v>
      </c>
      <c r="C187" s="1425"/>
      <c r="D187" s="1428" t="e">
        <f t="shared" si="10"/>
        <v>#DIV/0!</v>
      </c>
      <c r="F187" s="1427"/>
      <c r="G187" s="1428" t="e">
        <f t="shared" si="11"/>
        <v>#DIV/0!</v>
      </c>
      <c r="H187" s="1426">
        <v>43324</v>
      </c>
      <c r="M187" s="1432" t="e">
        <f t="shared" si="12"/>
        <v>#DIV/0!</v>
      </c>
      <c r="N187" s="1411">
        <f t="shared" si="13"/>
        <v>0</v>
      </c>
      <c r="P187" s="1426">
        <v>43485</v>
      </c>
      <c r="Q187" s="1460"/>
      <c r="R187" s="1425"/>
      <c r="S187" s="1461" t="e">
        <f t="shared" si="14"/>
        <v>#DIV/0!</v>
      </c>
      <c r="T187" s="1461" t="e">
        <f t="shared" si="14"/>
        <v>#DIV/0!</v>
      </c>
    </row>
    <row r="188" spans="2:20">
      <c r="B188" s="1426">
        <v>43317</v>
      </c>
      <c r="C188" s="1425"/>
      <c r="D188" s="1428" t="e">
        <f t="shared" si="10"/>
        <v>#DIV/0!</v>
      </c>
      <c r="F188" s="1427"/>
      <c r="G188" s="1428" t="e">
        <f t="shared" si="11"/>
        <v>#DIV/0!</v>
      </c>
      <c r="H188" s="1426">
        <v>43317</v>
      </c>
      <c r="M188" s="1432" t="e">
        <f t="shared" si="12"/>
        <v>#DIV/0!</v>
      </c>
      <c r="N188" s="1411">
        <f t="shared" si="13"/>
        <v>0</v>
      </c>
      <c r="P188" s="1426">
        <v>43478</v>
      </c>
      <c r="Q188" s="1460"/>
      <c r="R188" s="1425"/>
      <c r="S188" s="1461" t="e">
        <f t="shared" si="14"/>
        <v>#DIV/0!</v>
      </c>
      <c r="T188" s="1461" t="e">
        <f t="shared" si="14"/>
        <v>#DIV/0!</v>
      </c>
    </row>
    <row r="189" spans="2:20">
      <c r="B189" s="1426">
        <v>43310</v>
      </c>
      <c r="C189" s="1425"/>
      <c r="D189" s="1428" t="e">
        <f t="shared" si="10"/>
        <v>#DIV/0!</v>
      </c>
      <c r="F189" s="1427"/>
      <c r="G189" s="1428" t="e">
        <f t="shared" si="11"/>
        <v>#DIV/0!</v>
      </c>
      <c r="H189" s="1426">
        <v>43310</v>
      </c>
      <c r="M189" s="1432" t="e">
        <f t="shared" si="12"/>
        <v>#DIV/0!</v>
      </c>
      <c r="N189" s="1411">
        <f t="shared" si="13"/>
        <v>0</v>
      </c>
      <c r="P189" s="1426">
        <v>43471</v>
      </c>
      <c r="Q189" s="1460"/>
      <c r="R189" s="1425"/>
      <c r="S189" s="1461" t="e">
        <f t="shared" si="14"/>
        <v>#DIV/0!</v>
      </c>
      <c r="T189" s="1461" t="e">
        <f t="shared" si="14"/>
        <v>#DIV/0!</v>
      </c>
    </row>
    <row r="190" spans="2:20">
      <c r="B190" s="1426">
        <v>43303</v>
      </c>
      <c r="C190" s="1425"/>
      <c r="D190" s="1428" t="e">
        <f t="shared" si="10"/>
        <v>#DIV/0!</v>
      </c>
      <c r="F190" s="1427"/>
      <c r="G190" s="1428" t="e">
        <f t="shared" si="11"/>
        <v>#DIV/0!</v>
      </c>
      <c r="H190" s="1426">
        <v>43303</v>
      </c>
      <c r="M190" s="1432" t="e">
        <f t="shared" si="12"/>
        <v>#DIV/0!</v>
      </c>
      <c r="N190" s="1411">
        <f t="shared" si="13"/>
        <v>0</v>
      </c>
      <c r="P190" s="1426">
        <v>43464</v>
      </c>
      <c r="Q190" s="1460"/>
      <c r="R190" s="1425"/>
      <c r="S190" s="1461" t="e">
        <f t="shared" si="14"/>
        <v>#DIV/0!</v>
      </c>
      <c r="T190" s="1461" t="e">
        <f t="shared" si="14"/>
        <v>#DIV/0!</v>
      </c>
    </row>
    <row r="191" spans="2:20">
      <c r="B191" s="1426">
        <v>43296</v>
      </c>
      <c r="C191" s="1425"/>
      <c r="D191" s="1428" t="e">
        <f t="shared" si="10"/>
        <v>#DIV/0!</v>
      </c>
      <c r="F191" s="1427"/>
      <c r="G191" s="1428" t="e">
        <f t="shared" si="11"/>
        <v>#DIV/0!</v>
      </c>
      <c r="H191" s="1426">
        <v>43296</v>
      </c>
      <c r="M191" s="1432" t="e">
        <f t="shared" si="12"/>
        <v>#DIV/0!</v>
      </c>
      <c r="N191" s="1411">
        <f t="shared" si="13"/>
        <v>0</v>
      </c>
      <c r="P191" s="1426">
        <v>43457</v>
      </c>
      <c r="Q191" s="1460"/>
      <c r="R191" s="1425"/>
      <c r="S191" s="1461" t="e">
        <f t="shared" si="14"/>
        <v>#DIV/0!</v>
      </c>
      <c r="T191" s="1461" t="e">
        <f t="shared" si="14"/>
        <v>#DIV/0!</v>
      </c>
    </row>
    <row r="192" spans="2:20">
      <c r="B192" s="1426">
        <v>43289</v>
      </c>
      <c r="C192" s="1425"/>
      <c r="D192" s="1428" t="e">
        <f t="shared" si="10"/>
        <v>#DIV/0!</v>
      </c>
      <c r="F192" s="1427"/>
      <c r="G192" s="1428" t="e">
        <f t="shared" si="11"/>
        <v>#DIV/0!</v>
      </c>
      <c r="H192" s="1426">
        <v>43289</v>
      </c>
      <c r="M192" s="1432" t="e">
        <f t="shared" si="12"/>
        <v>#DIV/0!</v>
      </c>
      <c r="N192" s="1411">
        <f t="shared" si="13"/>
        <v>0</v>
      </c>
      <c r="P192" s="1426">
        <v>43450</v>
      </c>
      <c r="Q192" s="1460"/>
      <c r="R192" s="1425"/>
      <c r="S192" s="1461" t="e">
        <f t="shared" si="14"/>
        <v>#DIV/0!</v>
      </c>
      <c r="T192" s="1461" t="e">
        <f t="shared" si="14"/>
        <v>#DIV/0!</v>
      </c>
    </row>
    <row r="193" spans="2:20">
      <c r="B193" s="1426">
        <v>43282</v>
      </c>
      <c r="C193" s="1425"/>
      <c r="D193" s="1428" t="e">
        <f t="shared" si="10"/>
        <v>#DIV/0!</v>
      </c>
      <c r="F193" s="1427"/>
      <c r="G193" s="1428" t="e">
        <f t="shared" si="11"/>
        <v>#DIV/0!</v>
      </c>
      <c r="H193" s="1426">
        <v>43282</v>
      </c>
      <c r="M193" s="1432" t="e">
        <f t="shared" si="12"/>
        <v>#DIV/0!</v>
      </c>
      <c r="N193" s="1411">
        <f t="shared" si="13"/>
        <v>0</v>
      </c>
      <c r="P193" s="1426">
        <v>43443</v>
      </c>
      <c r="Q193" s="1460"/>
      <c r="R193" s="1425"/>
      <c r="S193" s="1461" t="e">
        <f t="shared" si="14"/>
        <v>#DIV/0!</v>
      </c>
      <c r="T193" s="1461" t="e">
        <f t="shared" si="14"/>
        <v>#DIV/0!</v>
      </c>
    </row>
    <row r="194" spans="2:20">
      <c r="B194" s="1426">
        <v>43275</v>
      </c>
      <c r="C194" s="1425"/>
      <c r="D194" s="1428" t="e">
        <f t="shared" si="10"/>
        <v>#DIV/0!</v>
      </c>
      <c r="F194" s="1427"/>
      <c r="G194" s="1428" t="e">
        <f t="shared" si="11"/>
        <v>#DIV/0!</v>
      </c>
      <c r="H194" s="1426">
        <v>43275</v>
      </c>
      <c r="M194" s="1432" t="e">
        <f t="shared" si="12"/>
        <v>#DIV/0!</v>
      </c>
      <c r="N194" s="1411">
        <f t="shared" si="13"/>
        <v>0</v>
      </c>
      <c r="P194" s="1426">
        <v>43436</v>
      </c>
      <c r="Q194" s="1460"/>
      <c r="R194" s="1425"/>
      <c r="S194" s="1461" t="e">
        <f t="shared" si="14"/>
        <v>#DIV/0!</v>
      </c>
      <c r="T194" s="1461" t="e">
        <f t="shared" si="14"/>
        <v>#DIV/0!</v>
      </c>
    </row>
    <row r="195" spans="2:20">
      <c r="B195" s="1426">
        <v>43268</v>
      </c>
      <c r="C195" s="1425"/>
      <c r="D195" s="1428" t="e">
        <f t="shared" si="10"/>
        <v>#DIV/0!</v>
      </c>
      <c r="F195" s="1427"/>
      <c r="G195" s="1428" t="e">
        <f t="shared" si="11"/>
        <v>#DIV/0!</v>
      </c>
      <c r="H195" s="1426">
        <v>43268</v>
      </c>
      <c r="M195" s="1432" t="e">
        <f t="shared" si="12"/>
        <v>#DIV/0!</v>
      </c>
      <c r="N195" s="1411">
        <f t="shared" si="13"/>
        <v>0</v>
      </c>
      <c r="P195" s="1426">
        <v>43429</v>
      </c>
      <c r="Q195" s="1460"/>
      <c r="R195" s="1425"/>
      <c r="S195" s="1461" t="e">
        <f t="shared" si="14"/>
        <v>#DIV/0!</v>
      </c>
      <c r="T195" s="1461" t="e">
        <f t="shared" si="14"/>
        <v>#DIV/0!</v>
      </c>
    </row>
    <row r="196" spans="2:20">
      <c r="B196" s="1426">
        <v>43261</v>
      </c>
      <c r="C196" s="1427"/>
      <c r="D196" s="1428" t="e">
        <f t="shared" si="10"/>
        <v>#DIV/0!</v>
      </c>
      <c r="F196" s="1427"/>
      <c r="G196" s="1428" t="e">
        <f t="shared" si="11"/>
        <v>#DIV/0!</v>
      </c>
      <c r="H196" s="1426">
        <v>43261</v>
      </c>
      <c r="M196" s="1432" t="e">
        <f t="shared" si="12"/>
        <v>#DIV/0!</v>
      </c>
      <c r="N196" s="1411">
        <f t="shared" si="13"/>
        <v>0</v>
      </c>
      <c r="P196" s="1426">
        <v>43422</v>
      </c>
      <c r="Q196" s="1460"/>
      <c r="R196" s="1425"/>
      <c r="S196" s="1461" t="e">
        <f t="shared" si="14"/>
        <v>#DIV/0!</v>
      </c>
      <c r="T196" s="1461" t="e">
        <f t="shared" si="14"/>
        <v>#DIV/0!</v>
      </c>
    </row>
    <row r="197" spans="2:20">
      <c r="B197" s="1426">
        <v>43254</v>
      </c>
      <c r="C197" s="1427"/>
      <c r="D197" s="1428" t="e">
        <f t="shared" si="10"/>
        <v>#DIV/0!</v>
      </c>
      <c r="F197" s="1427"/>
      <c r="G197" s="1428" t="e">
        <f t="shared" si="11"/>
        <v>#DIV/0!</v>
      </c>
      <c r="H197" s="1426">
        <v>43254</v>
      </c>
      <c r="M197" s="1432" t="e">
        <f t="shared" si="12"/>
        <v>#DIV/0!</v>
      </c>
      <c r="N197" s="1411">
        <f t="shared" si="13"/>
        <v>0</v>
      </c>
      <c r="P197" s="1426">
        <v>43415</v>
      </c>
      <c r="Q197" s="1460"/>
      <c r="R197" s="1425"/>
      <c r="S197" s="1461" t="e">
        <f t="shared" si="14"/>
        <v>#DIV/0!</v>
      </c>
      <c r="T197" s="1461" t="e">
        <f t="shared" si="14"/>
        <v>#DIV/0!</v>
      </c>
    </row>
    <row r="198" spans="2:20">
      <c r="B198" s="1426">
        <v>43247</v>
      </c>
      <c r="C198" s="1425"/>
      <c r="D198" s="1428" t="e">
        <f t="shared" si="10"/>
        <v>#DIV/0!</v>
      </c>
      <c r="F198" s="1427"/>
      <c r="G198" s="1428" t="e">
        <f t="shared" si="11"/>
        <v>#DIV/0!</v>
      </c>
      <c r="H198" s="1426">
        <v>43247</v>
      </c>
      <c r="M198" s="1432" t="e">
        <f t="shared" si="12"/>
        <v>#DIV/0!</v>
      </c>
      <c r="N198" s="1411">
        <f t="shared" si="13"/>
        <v>0</v>
      </c>
      <c r="P198" s="1426">
        <v>43408</v>
      </c>
      <c r="Q198" s="1460"/>
      <c r="R198" s="1425"/>
      <c r="S198" s="1461" t="e">
        <f t="shared" si="14"/>
        <v>#DIV/0!</v>
      </c>
      <c r="T198" s="1461" t="e">
        <f t="shared" si="14"/>
        <v>#DIV/0!</v>
      </c>
    </row>
    <row r="199" spans="2:20">
      <c r="B199" s="1426">
        <v>43240</v>
      </c>
      <c r="C199" s="1425"/>
      <c r="D199" s="1428" t="e">
        <f t="shared" ref="D199:D262" si="15">C199/C200-1</f>
        <v>#DIV/0!</v>
      </c>
      <c r="F199" s="1427"/>
      <c r="G199" s="1428" t="e">
        <f t="shared" ref="G199:G262" si="16">F199/F200-1</f>
        <v>#DIV/0!</v>
      </c>
      <c r="H199" s="1426">
        <v>43240</v>
      </c>
      <c r="M199" s="1432" t="e">
        <f t="shared" ref="M199:M262" si="17">F199/F200-1</f>
        <v>#DIV/0!</v>
      </c>
      <c r="N199" s="1411">
        <f t="shared" ref="N199:N262" si="18">H199-B199</f>
        <v>0</v>
      </c>
      <c r="P199" s="1426">
        <v>43401</v>
      </c>
      <c r="Q199" s="1460"/>
      <c r="R199" s="1425"/>
      <c r="S199" s="1461" t="e">
        <f t="shared" si="14"/>
        <v>#DIV/0!</v>
      </c>
      <c r="T199" s="1461" t="e">
        <f t="shared" si="14"/>
        <v>#DIV/0!</v>
      </c>
    </row>
    <row r="200" spans="2:20">
      <c r="B200" s="1426">
        <v>43233</v>
      </c>
      <c r="C200" s="1427"/>
      <c r="D200" s="1428" t="e">
        <f t="shared" si="15"/>
        <v>#DIV/0!</v>
      </c>
      <c r="F200" s="1427"/>
      <c r="G200" s="1428" t="e">
        <f t="shared" si="16"/>
        <v>#DIV/0!</v>
      </c>
      <c r="H200" s="1426">
        <v>43233</v>
      </c>
      <c r="M200" s="1432" t="e">
        <f t="shared" si="17"/>
        <v>#DIV/0!</v>
      </c>
      <c r="N200" s="1411">
        <f t="shared" si="18"/>
        <v>0</v>
      </c>
      <c r="P200" s="1426">
        <v>43394</v>
      </c>
      <c r="Q200" s="1460"/>
      <c r="R200" s="1425"/>
      <c r="S200" s="1461" t="e">
        <f t="shared" si="14"/>
        <v>#DIV/0!</v>
      </c>
      <c r="T200" s="1461" t="e">
        <f t="shared" si="14"/>
        <v>#DIV/0!</v>
      </c>
    </row>
    <row r="201" spans="2:20">
      <c r="B201" s="1426">
        <v>43226</v>
      </c>
      <c r="C201" s="1427"/>
      <c r="D201" s="1428" t="e">
        <f t="shared" si="15"/>
        <v>#DIV/0!</v>
      </c>
      <c r="F201" s="1427"/>
      <c r="G201" s="1428" t="e">
        <f t="shared" si="16"/>
        <v>#DIV/0!</v>
      </c>
      <c r="H201" s="1426">
        <v>43226</v>
      </c>
      <c r="M201" s="1432" t="e">
        <f t="shared" si="17"/>
        <v>#DIV/0!</v>
      </c>
      <c r="N201" s="1411">
        <f t="shared" si="18"/>
        <v>0</v>
      </c>
      <c r="P201" s="1426">
        <v>43387</v>
      </c>
      <c r="Q201" s="1460"/>
      <c r="R201" s="1425"/>
      <c r="S201" s="1461" t="e">
        <f t="shared" si="14"/>
        <v>#DIV/0!</v>
      </c>
      <c r="T201" s="1461" t="e">
        <f t="shared" si="14"/>
        <v>#DIV/0!</v>
      </c>
    </row>
    <row r="202" spans="2:20">
      <c r="B202" s="1426">
        <v>43219</v>
      </c>
      <c r="C202" s="1427"/>
      <c r="D202" s="1428" t="e">
        <f t="shared" si="15"/>
        <v>#DIV/0!</v>
      </c>
      <c r="F202" s="1427"/>
      <c r="G202" s="1428" t="e">
        <f t="shared" si="16"/>
        <v>#DIV/0!</v>
      </c>
      <c r="H202" s="1426">
        <v>43219</v>
      </c>
      <c r="M202" s="1432" t="e">
        <f t="shared" si="17"/>
        <v>#DIV/0!</v>
      </c>
      <c r="N202" s="1411">
        <f t="shared" si="18"/>
        <v>0</v>
      </c>
      <c r="P202" s="1426">
        <v>43380</v>
      </c>
      <c r="Q202" s="1460"/>
      <c r="R202" s="1425"/>
      <c r="S202" s="1461" t="e">
        <f t="shared" si="14"/>
        <v>#DIV/0!</v>
      </c>
      <c r="T202" s="1461" t="e">
        <f t="shared" si="14"/>
        <v>#DIV/0!</v>
      </c>
    </row>
    <row r="203" spans="2:20">
      <c r="B203" s="1426">
        <v>43212</v>
      </c>
      <c r="C203" s="1427"/>
      <c r="D203" s="1428" t="e">
        <f t="shared" si="15"/>
        <v>#DIV/0!</v>
      </c>
      <c r="F203" s="1427"/>
      <c r="G203" s="1428" t="e">
        <f t="shared" si="16"/>
        <v>#DIV/0!</v>
      </c>
      <c r="H203" s="1426">
        <v>43212</v>
      </c>
      <c r="M203" s="1432" t="e">
        <f t="shared" si="17"/>
        <v>#DIV/0!</v>
      </c>
      <c r="N203" s="1411">
        <f t="shared" si="18"/>
        <v>0</v>
      </c>
      <c r="P203" s="1426">
        <v>43373</v>
      </c>
      <c r="Q203" s="1460"/>
      <c r="R203" s="1427"/>
      <c r="S203" s="1461" t="e">
        <f t="shared" si="14"/>
        <v>#DIV/0!</v>
      </c>
      <c r="T203" s="1461" t="e">
        <f t="shared" si="14"/>
        <v>#DIV/0!</v>
      </c>
    </row>
    <row r="204" spans="2:20">
      <c r="B204" s="1426">
        <v>43205</v>
      </c>
      <c r="C204" s="1427"/>
      <c r="D204" s="1428" t="e">
        <f t="shared" si="15"/>
        <v>#DIV/0!</v>
      </c>
      <c r="F204" s="1427"/>
      <c r="G204" s="1428" t="e">
        <f t="shared" si="16"/>
        <v>#DIV/0!</v>
      </c>
      <c r="H204" s="1426">
        <v>43205</v>
      </c>
      <c r="M204" s="1432" t="e">
        <f t="shared" si="17"/>
        <v>#DIV/0!</v>
      </c>
      <c r="N204" s="1411">
        <f t="shared" si="18"/>
        <v>0</v>
      </c>
      <c r="P204" s="1426">
        <v>43366</v>
      </c>
      <c r="Q204" s="1460"/>
      <c r="R204" s="1427"/>
      <c r="S204" s="1461" t="e">
        <f t="shared" si="14"/>
        <v>#DIV/0!</v>
      </c>
      <c r="T204" s="1461" t="e">
        <f t="shared" si="14"/>
        <v>#DIV/0!</v>
      </c>
    </row>
    <row r="205" spans="2:20">
      <c r="B205" s="1426">
        <v>43198</v>
      </c>
      <c r="C205" s="1427"/>
      <c r="D205" s="1428" t="e">
        <f t="shared" si="15"/>
        <v>#DIV/0!</v>
      </c>
      <c r="F205" s="1427"/>
      <c r="G205" s="1428" t="e">
        <f t="shared" si="16"/>
        <v>#DIV/0!</v>
      </c>
      <c r="H205" s="1426">
        <v>43198</v>
      </c>
      <c r="M205" s="1432" t="e">
        <f t="shared" si="17"/>
        <v>#DIV/0!</v>
      </c>
      <c r="N205" s="1411">
        <f t="shared" si="18"/>
        <v>0</v>
      </c>
      <c r="P205" s="1426">
        <v>43359</v>
      </c>
      <c r="Q205" s="1460"/>
      <c r="R205" s="1427"/>
      <c r="S205" s="1461" t="e">
        <f t="shared" si="14"/>
        <v>#DIV/0!</v>
      </c>
      <c r="T205" s="1461" t="e">
        <f t="shared" si="14"/>
        <v>#DIV/0!</v>
      </c>
    </row>
    <row r="206" spans="2:20">
      <c r="B206" s="1426">
        <v>43191</v>
      </c>
      <c r="C206" s="1427"/>
      <c r="D206" s="1428" t="e">
        <f t="shared" si="15"/>
        <v>#DIV/0!</v>
      </c>
      <c r="F206" s="1427"/>
      <c r="G206" s="1428" t="e">
        <f t="shared" si="16"/>
        <v>#DIV/0!</v>
      </c>
      <c r="H206" s="1426">
        <v>43191</v>
      </c>
      <c r="M206" s="1432" t="e">
        <f t="shared" si="17"/>
        <v>#DIV/0!</v>
      </c>
      <c r="N206" s="1411">
        <f t="shared" si="18"/>
        <v>0</v>
      </c>
      <c r="P206" s="1426">
        <v>43352</v>
      </c>
      <c r="Q206" s="1460"/>
      <c r="R206" s="1425"/>
      <c r="S206" s="1461" t="e">
        <f t="shared" si="14"/>
        <v>#DIV/0!</v>
      </c>
      <c r="T206" s="1461" t="e">
        <f t="shared" si="14"/>
        <v>#DIV/0!</v>
      </c>
    </row>
    <row r="207" spans="2:20">
      <c r="B207" s="1426">
        <v>43184</v>
      </c>
      <c r="C207" s="1427"/>
      <c r="D207" s="1428" t="e">
        <f t="shared" si="15"/>
        <v>#DIV/0!</v>
      </c>
      <c r="F207" s="1427"/>
      <c r="G207" s="1428" t="e">
        <f t="shared" si="16"/>
        <v>#DIV/0!</v>
      </c>
      <c r="H207" s="1426">
        <v>43184</v>
      </c>
      <c r="M207" s="1432" t="e">
        <f t="shared" si="17"/>
        <v>#DIV/0!</v>
      </c>
      <c r="N207" s="1411">
        <f t="shared" si="18"/>
        <v>0</v>
      </c>
      <c r="P207" s="1426">
        <v>43345</v>
      </c>
      <c r="Q207" s="1460"/>
      <c r="R207" s="1425"/>
      <c r="S207" s="1461" t="e">
        <f t="shared" si="14"/>
        <v>#DIV/0!</v>
      </c>
      <c r="T207" s="1461" t="e">
        <f t="shared" si="14"/>
        <v>#DIV/0!</v>
      </c>
    </row>
    <row r="208" spans="2:20">
      <c r="B208" s="1426">
        <v>43177</v>
      </c>
      <c r="C208" s="1427"/>
      <c r="D208" s="1428" t="e">
        <f t="shared" si="15"/>
        <v>#DIV/0!</v>
      </c>
      <c r="F208" s="1427"/>
      <c r="G208" s="1428" t="e">
        <f t="shared" si="16"/>
        <v>#DIV/0!</v>
      </c>
      <c r="H208" s="1426">
        <v>43177</v>
      </c>
      <c r="M208" s="1432" t="e">
        <f t="shared" si="17"/>
        <v>#DIV/0!</v>
      </c>
      <c r="N208" s="1411">
        <f t="shared" si="18"/>
        <v>0</v>
      </c>
      <c r="P208" s="1426">
        <v>43338</v>
      </c>
      <c r="Q208" s="1460"/>
      <c r="R208" s="1425"/>
      <c r="S208" s="1461" t="e">
        <f t="shared" si="14"/>
        <v>#DIV/0!</v>
      </c>
      <c r="T208" s="1461" t="e">
        <f t="shared" si="14"/>
        <v>#DIV/0!</v>
      </c>
    </row>
    <row r="209" spans="2:20">
      <c r="B209" s="1426">
        <v>43170</v>
      </c>
      <c r="C209" s="1427"/>
      <c r="D209" s="1428" t="e">
        <f t="shared" si="15"/>
        <v>#DIV/0!</v>
      </c>
      <c r="F209" s="1427"/>
      <c r="G209" s="1428" t="e">
        <f t="shared" si="16"/>
        <v>#DIV/0!</v>
      </c>
      <c r="H209" s="1426">
        <v>43170</v>
      </c>
      <c r="M209" s="1432" t="e">
        <f t="shared" si="17"/>
        <v>#DIV/0!</v>
      </c>
      <c r="N209" s="1411">
        <f t="shared" si="18"/>
        <v>0</v>
      </c>
      <c r="P209" s="1426">
        <v>43331</v>
      </c>
      <c r="Q209" s="1460"/>
      <c r="R209" s="1425"/>
      <c r="S209" s="1461" t="e">
        <f t="shared" si="14"/>
        <v>#DIV/0!</v>
      </c>
      <c r="T209" s="1461" t="e">
        <f t="shared" si="14"/>
        <v>#DIV/0!</v>
      </c>
    </row>
    <row r="210" spans="2:20">
      <c r="B210" s="1426">
        <v>43163</v>
      </c>
      <c r="C210" s="1427"/>
      <c r="D210" s="1428" t="e">
        <f t="shared" si="15"/>
        <v>#DIV/0!</v>
      </c>
      <c r="F210" s="1427"/>
      <c r="G210" s="1428" t="e">
        <f t="shared" si="16"/>
        <v>#DIV/0!</v>
      </c>
      <c r="H210" s="1426">
        <v>43163</v>
      </c>
      <c r="M210" s="1432" t="e">
        <f t="shared" si="17"/>
        <v>#DIV/0!</v>
      </c>
      <c r="N210" s="1411">
        <f t="shared" si="18"/>
        <v>0</v>
      </c>
      <c r="P210" s="1426">
        <v>43324</v>
      </c>
      <c r="Q210" s="1460"/>
      <c r="R210" s="1425"/>
      <c r="S210" s="1461" t="e">
        <f t="shared" si="14"/>
        <v>#DIV/0!</v>
      </c>
      <c r="T210" s="1461" t="e">
        <f t="shared" si="14"/>
        <v>#DIV/0!</v>
      </c>
    </row>
    <row r="211" spans="2:20">
      <c r="B211" s="1426">
        <v>43156</v>
      </c>
      <c r="C211" s="1427"/>
      <c r="D211" s="1428" t="e">
        <f t="shared" si="15"/>
        <v>#DIV/0!</v>
      </c>
      <c r="F211" s="1427"/>
      <c r="G211" s="1428" t="e">
        <f t="shared" si="16"/>
        <v>#DIV/0!</v>
      </c>
      <c r="H211" s="1426">
        <v>43156</v>
      </c>
      <c r="M211" s="1432" t="e">
        <f t="shared" si="17"/>
        <v>#DIV/0!</v>
      </c>
      <c r="N211" s="1411">
        <f t="shared" si="18"/>
        <v>0</v>
      </c>
      <c r="P211" s="1426">
        <v>43317</v>
      </c>
      <c r="Q211" s="1460"/>
      <c r="R211" s="1425"/>
      <c r="S211" s="1461" t="e">
        <f t="shared" si="14"/>
        <v>#DIV/0!</v>
      </c>
      <c r="T211" s="1461" t="e">
        <f t="shared" si="14"/>
        <v>#DIV/0!</v>
      </c>
    </row>
    <row r="212" spans="2:20">
      <c r="B212" s="1426">
        <v>43149</v>
      </c>
      <c r="C212" s="1427"/>
      <c r="D212" s="1428" t="e">
        <f t="shared" si="15"/>
        <v>#DIV/0!</v>
      </c>
      <c r="F212" s="1427"/>
      <c r="G212" s="1428" t="e">
        <f t="shared" si="16"/>
        <v>#DIV/0!</v>
      </c>
      <c r="H212" s="1426">
        <v>43149</v>
      </c>
      <c r="M212" s="1432" t="e">
        <f t="shared" si="17"/>
        <v>#DIV/0!</v>
      </c>
      <c r="N212" s="1411">
        <f t="shared" si="18"/>
        <v>0</v>
      </c>
      <c r="P212" s="1426">
        <v>43310</v>
      </c>
      <c r="Q212" s="1460"/>
      <c r="R212" s="1425"/>
      <c r="S212" s="1461" t="e">
        <f t="shared" si="14"/>
        <v>#DIV/0!</v>
      </c>
      <c r="T212" s="1461" t="e">
        <f t="shared" si="14"/>
        <v>#DIV/0!</v>
      </c>
    </row>
    <row r="213" spans="2:20">
      <c r="B213" s="1426">
        <v>43142</v>
      </c>
      <c r="C213" s="1427"/>
      <c r="D213" s="1428" t="e">
        <f t="shared" si="15"/>
        <v>#DIV/0!</v>
      </c>
      <c r="F213" s="1427"/>
      <c r="G213" s="1428" t="e">
        <f t="shared" si="16"/>
        <v>#DIV/0!</v>
      </c>
      <c r="H213" s="1426">
        <v>43142</v>
      </c>
      <c r="M213" s="1432" t="e">
        <f t="shared" si="17"/>
        <v>#DIV/0!</v>
      </c>
      <c r="N213" s="1411">
        <f t="shared" si="18"/>
        <v>0</v>
      </c>
      <c r="P213" s="1426">
        <v>43303</v>
      </c>
      <c r="Q213" s="1460"/>
      <c r="R213" s="1425"/>
      <c r="S213" s="1461" t="e">
        <f t="shared" si="14"/>
        <v>#DIV/0!</v>
      </c>
      <c r="T213" s="1461" t="e">
        <f t="shared" si="14"/>
        <v>#DIV/0!</v>
      </c>
    </row>
    <row r="214" spans="2:20">
      <c r="B214" s="1426">
        <v>43135</v>
      </c>
      <c r="C214" s="1427"/>
      <c r="D214" s="1428" t="e">
        <f t="shared" si="15"/>
        <v>#DIV/0!</v>
      </c>
      <c r="F214" s="1427"/>
      <c r="G214" s="1428" t="e">
        <f t="shared" si="16"/>
        <v>#DIV/0!</v>
      </c>
      <c r="H214" s="1426">
        <v>43135</v>
      </c>
      <c r="M214" s="1432" t="e">
        <f t="shared" si="17"/>
        <v>#DIV/0!</v>
      </c>
      <c r="N214" s="1411">
        <f t="shared" si="18"/>
        <v>0</v>
      </c>
      <c r="P214" s="1426">
        <v>43296</v>
      </c>
      <c r="Q214" s="1460"/>
      <c r="R214" s="1425"/>
      <c r="S214" s="1461" t="e">
        <f t="shared" si="14"/>
        <v>#DIV/0!</v>
      </c>
      <c r="T214" s="1461" t="e">
        <f t="shared" si="14"/>
        <v>#DIV/0!</v>
      </c>
    </row>
    <row r="215" spans="2:20">
      <c r="B215" s="1426">
        <v>43128</v>
      </c>
      <c r="C215" s="1427"/>
      <c r="D215" s="1428" t="e">
        <f t="shared" si="15"/>
        <v>#DIV/0!</v>
      </c>
      <c r="F215" s="1427"/>
      <c r="G215" s="1428" t="e">
        <f t="shared" si="16"/>
        <v>#DIV/0!</v>
      </c>
      <c r="H215" s="1426">
        <v>43128</v>
      </c>
      <c r="M215" s="1432" t="e">
        <f t="shared" si="17"/>
        <v>#DIV/0!</v>
      </c>
      <c r="N215" s="1411">
        <f t="shared" si="18"/>
        <v>0</v>
      </c>
      <c r="P215" s="1426">
        <v>43289</v>
      </c>
      <c r="Q215" s="1460"/>
      <c r="R215" s="1425"/>
      <c r="S215" s="1461" t="e">
        <f t="shared" si="14"/>
        <v>#DIV/0!</v>
      </c>
      <c r="T215" s="1461" t="e">
        <f t="shared" si="14"/>
        <v>#DIV/0!</v>
      </c>
    </row>
    <row r="216" spans="2:20">
      <c r="B216" s="1426">
        <v>43121</v>
      </c>
      <c r="C216" s="1427"/>
      <c r="D216" s="1428" t="e">
        <f t="shared" si="15"/>
        <v>#DIV/0!</v>
      </c>
      <c r="F216" s="1427"/>
      <c r="G216" s="1428" t="e">
        <f t="shared" si="16"/>
        <v>#DIV/0!</v>
      </c>
      <c r="H216" s="1426">
        <v>43121</v>
      </c>
      <c r="M216" s="1432" t="e">
        <f t="shared" si="17"/>
        <v>#DIV/0!</v>
      </c>
      <c r="N216" s="1411">
        <f t="shared" si="18"/>
        <v>0</v>
      </c>
      <c r="P216" s="1426">
        <v>43282</v>
      </c>
      <c r="Q216" s="1460"/>
      <c r="R216" s="1425"/>
      <c r="S216" s="1461" t="e">
        <f t="shared" si="14"/>
        <v>#DIV/0!</v>
      </c>
      <c r="T216" s="1461" t="e">
        <f t="shared" si="14"/>
        <v>#DIV/0!</v>
      </c>
    </row>
    <row r="217" spans="2:20">
      <c r="B217" s="1426">
        <v>43114</v>
      </c>
      <c r="C217" s="1427"/>
      <c r="D217" s="1428" t="e">
        <f t="shared" si="15"/>
        <v>#DIV/0!</v>
      </c>
      <c r="F217" s="1427"/>
      <c r="G217" s="1428" t="e">
        <f t="shared" si="16"/>
        <v>#DIV/0!</v>
      </c>
      <c r="H217" s="1426">
        <v>43114</v>
      </c>
      <c r="M217" s="1432" t="e">
        <f t="shared" si="17"/>
        <v>#DIV/0!</v>
      </c>
      <c r="N217" s="1411">
        <f t="shared" si="18"/>
        <v>0</v>
      </c>
      <c r="P217" s="1426">
        <v>43275</v>
      </c>
      <c r="Q217" s="1460"/>
      <c r="R217" s="1425"/>
      <c r="S217" s="1461" t="e">
        <f t="shared" si="14"/>
        <v>#DIV/0!</v>
      </c>
      <c r="T217" s="1461" t="e">
        <f t="shared" si="14"/>
        <v>#DIV/0!</v>
      </c>
    </row>
    <row r="218" spans="2:20">
      <c r="B218" s="1426">
        <v>43107</v>
      </c>
      <c r="C218" s="1427"/>
      <c r="D218" s="1428" t="e">
        <f t="shared" si="15"/>
        <v>#DIV/0!</v>
      </c>
      <c r="F218" s="1427"/>
      <c r="G218" s="1428" t="e">
        <f t="shared" si="16"/>
        <v>#DIV/0!</v>
      </c>
      <c r="H218" s="1426">
        <v>43107</v>
      </c>
      <c r="M218" s="1432" t="e">
        <f t="shared" si="17"/>
        <v>#DIV/0!</v>
      </c>
      <c r="N218" s="1411">
        <f t="shared" si="18"/>
        <v>0</v>
      </c>
      <c r="P218" s="1426">
        <v>43268</v>
      </c>
      <c r="Q218" s="1460"/>
      <c r="R218" s="1425"/>
      <c r="S218" s="1461" t="e">
        <f t="shared" si="14"/>
        <v>#DIV/0!</v>
      </c>
      <c r="T218" s="1461" t="e">
        <f t="shared" si="14"/>
        <v>#DIV/0!</v>
      </c>
    </row>
    <row r="219" spans="2:20">
      <c r="B219" s="1426">
        <v>43100</v>
      </c>
      <c r="C219" s="1427"/>
      <c r="D219" s="1428" t="e">
        <f t="shared" si="15"/>
        <v>#DIV/0!</v>
      </c>
      <c r="F219" s="1427"/>
      <c r="G219" s="1428" t="e">
        <f t="shared" si="16"/>
        <v>#DIV/0!</v>
      </c>
      <c r="H219" s="1426">
        <v>43100</v>
      </c>
      <c r="M219" s="1432" t="e">
        <f t="shared" si="17"/>
        <v>#DIV/0!</v>
      </c>
      <c r="N219" s="1411">
        <f t="shared" si="18"/>
        <v>0</v>
      </c>
      <c r="P219" s="1426">
        <v>43261</v>
      </c>
      <c r="Q219" s="1460"/>
      <c r="R219" s="1427"/>
      <c r="S219" s="1461" t="e">
        <f t="shared" si="14"/>
        <v>#DIV/0!</v>
      </c>
      <c r="T219" s="1461" t="e">
        <f t="shared" si="14"/>
        <v>#DIV/0!</v>
      </c>
    </row>
    <row r="220" spans="2:20">
      <c r="B220" s="1426">
        <v>43093</v>
      </c>
      <c r="C220" s="1425"/>
      <c r="D220" s="1428" t="e">
        <f t="shared" si="15"/>
        <v>#DIV/0!</v>
      </c>
      <c r="F220" s="1427"/>
      <c r="G220" s="1428" t="e">
        <f t="shared" si="16"/>
        <v>#DIV/0!</v>
      </c>
      <c r="H220" s="1426">
        <v>43093</v>
      </c>
      <c r="M220" s="1432" t="e">
        <f t="shared" si="17"/>
        <v>#DIV/0!</v>
      </c>
      <c r="N220" s="1411">
        <f t="shared" si="18"/>
        <v>0</v>
      </c>
      <c r="P220" s="1426">
        <v>43254</v>
      </c>
      <c r="Q220" s="1460"/>
      <c r="R220" s="1427"/>
      <c r="S220" s="1461" t="e">
        <f t="shared" si="14"/>
        <v>#DIV/0!</v>
      </c>
      <c r="T220" s="1461" t="e">
        <f t="shared" si="14"/>
        <v>#DIV/0!</v>
      </c>
    </row>
    <row r="221" spans="2:20">
      <c r="B221" s="1426">
        <v>43086</v>
      </c>
      <c r="C221" s="1425"/>
      <c r="D221" s="1428" t="e">
        <f t="shared" si="15"/>
        <v>#DIV/0!</v>
      </c>
      <c r="F221" s="1427"/>
      <c r="G221" s="1428" t="e">
        <f t="shared" si="16"/>
        <v>#DIV/0!</v>
      </c>
      <c r="H221" s="1426">
        <v>43086</v>
      </c>
      <c r="M221" s="1432" t="e">
        <f t="shared" si="17"/>
        <v>#DIV/0!</v>
      </c>
      <c r="N221" s="1411">
        <f t="shared" si="18"/>
        <v>0</v>
      </c>
      <c r="P221" s="1426">
        <v>43247</v>
      </c>
      <c r="Q221" s="1460"/>
      <c r="R221" s="1425"/>
      <c r="S221" s="1461" t="e">
        <f t="shared" si="14"/>
        <v>#DIV/0!</v>
      </c>
      <c r="T221" s="1461" t="e">
        <f t="shared" si="14"/>
        <v>#DIV/0!</v>
      </c>
    </row>
    <row r="222" spans="2:20">
      <c r="B222" s="1426">
        <v>43079</v>
      </c>
      <c r="C222" s="1425"/>
      <c r="D222" s="1428" t="e">
        <f t="shared" si="15"/>
        <v>#DIV/0!</v>
      </c>
      <c r="F222" s="1427"/>
      <c r="G222" s="1428" t="e">
        <f t="shared" si="16"/>
        <v>#DIV/0!</v>
      </c>
      <c r="H222" s="1426">
        <v>43079</v>
      </c>
      <c r="M222" s="1432" t="e">
        <f t="shared" si="17"/>
        <v>#DIV/0!</v>
      </c>
      <c r="N222" s="1411">
        <f t="shared" si="18"/>
        <v>0</v>
      </c>
      <c r="P222" s="1426">
        <v>43240</v>
      </c>
      <c r="Q222" s="1460"/>
      <c r="R222" s="1425"/>
      <c r="S222" s="1461" t="e">
        <f t="shared" si="14"/>
        <v>#DIV/0!</v>
      </c>
      <c r="T222" s="1461" t="e">
        <f t="shared" si="14"/>
        <v>#DIV/0!</v>
      </c>
    </row>
    <row r="223" spans="2:20">
      <c r="B223" s="1426">
        <v>43072</v>
      </c>
      <c r="C223" s="1425"/>
      <c r="D223" s="1428" t="e">
        <f t="shared" si="15"/>
        <v>#DIV/0!</v>
      </c>
      <c r="F223" s="1427"/>
      <c r="G223" s="1428" t="e">
        <f t="shared" si="16"/>
        <v>#DIV/0!</v>
      </c>
      <c r="H223" s="1426">
        <v>43072</v>
      </c>
      <c r="M223" s="1432" t="e">
        <f t="shared" si="17"/>
        <v>#DIV/0!</v>
      </c>
      <c r="N223" s="1411">
        <f t="shared" si="18"/>
        <v>0</v>
      </c>
      <c r="P223" s="1426">
        <v>43233</v>
      </c>
      <c r="Q223" s="1460"/>
      <c r="R223" s="1427"/>
      <c r="S223" s="1461" t="e">
        <f t="shared" ref="S223:T286" si="19">Q223/Q224-1</f>
        <v>#DIV/0!</v>
      </c>
      <c r="T223" s="1461" t="e">
        <f t="shared" si="19"/>
        <v>#DIV/0!</v>
      </c>
    </row>
    <row r="224" spans="2:20">
      <c r="B224" s="1426">
        <v>43065</v>
      </c>
      <c r="C224" s="1425"/>
      <c r="D224" s="1428" t="e">
        <f t="shared" si="15"/>
        <v>#DIV/0!</v>
      </c>
      <c r="F224" s="1427"/>
      <c r="G224" s="1428" t="e">
        <f t="shared" si="16"/>
        <v>#DIV/0!</v>
      </c>
      <c r="H224" s="1426">
        <v>43065</v>
      </c>
      <c r="M224" s="1432" t="e">
        <f t="shared" si="17"/>
        <v>#DIV/0!</v>
      </c>
      <c r="N224" s="1411">
        <f t="shared" si="18"/>
        <v>0</v>
      </c>
      <c r="P224" s="1426">
        <v>43226</v>
      </c>
      <c r="Q224" s="1460"/>
      <c r="R224" s="1427"/>
      <c r="S224" s="1461" t="e">
        <f t="shared" si="19"/>
        <v>#DIV/0!</v>
      </c>
      <c r="T224" s="1461" t="e">
        <f t="shared" si="19"/>
        <v>#DIV/0!</v>
      </c>
    </row>
    <row r="225" spans="2:20">
      <c r="B225" s="1426">
        <v>43058</v>
      </c>
      <c r="C225" s="1425"/>
      <c r="D225" s="1428" t="e">
        <f t="shared" si="15"/>
        <v>#DIV/0!</v>
      </c>
      <c r="F225" s="1427"/>
      <c r="G225" s="1428" t="e">
        <f t="shared" si="16"/>
        <v>#DIV/0!</v>
      </c>
      <c r="H225" s="1426">
        <v>43058</v>
      </c>
      <c r="M225" s="1432" t="e">
        <f t="shared" si="17"/>
        <v>#DIV/0!</v>
      </c>
      <c r="N225" s="1411">
        <f t="shared" si="18"/>
        <v>0</v>
      </c>
      <c r="P225" s="1426">
        <v>43219</v>
      </c>
      <c r="Q225" s="1460"/>
      <c r="R225" s="1427"/>
      <c r="S225" s="1461" t="e">
        <f t="shared" si="19"/>
        <v>#DIV/0!</v>
      </c>
      <c r="T225" s="1461" t="e">
        <f t="shared" si="19"/>
        <v>#DIV/0!</v>
      </c>
    </row>
    <row r="226" spans="2:20">
      <c r="B226" s="1426">
        <v>43051</v>
      </c>
      <c r="C226" s="1425"/>
      <c r="D226" s="1428" t="e">
        <f t="shared" si="15"/>
        <v>#DIV/0!</v>
      </c>
      <c r="F226" s="1427"/>
      <c r="G226" s="1428" t="e">
        <f t="shared" si="16"/>
        <v>#DIV/0!</v>
      </c>
      <c r="H226" s="1426">
        <v>43051</v>
      </c>
      <c r="M226" s="1432" t="e">
        <f t="shared" si="17"/>
        <v>#DIV/0!</v>
      </c>
      <c r="N226" s="1411">
        <f t="shared" si="18"/>
        <v>0</v>
      </c>
      <c r="P226" s="1426">
        <v>43212</v>
      </c>
      <c r="Q226" s="1460"/>
      <c r="R226" s="1427"/>
      <c r="S226" s="1461" t="e">
        <f t="shared" si="19"/>
        <v>#DIV/0!</v>
      </c>
      <c r="T226" s="1461" t="e">
        <f t="shared" si="19"/>
        <v>#DIV/0!</v>
      </c>
    </row>
    <row r="227" spans="2:20">
      <c r="B227" s="1426">
        <v>43044</v>
      </c>
      <c r="C227" s="1425"/>
      <c r="D227" s="1428" t="e">
        <f t="shared" si="15"/>
        <v>#DIV/0!</v>
      </c>
      <c r="F227" s="1427"/>
      <c r="G227" s="1428" t="e">
        <f t="shared" si="16"/>
        <v>#DIV/0!</v>
      </c>
      <c r="H227" s="1426">
        <v>43044</v>
      </c>
      <c r="M227" s="1432" t="e">
        <f t="shared" si="17"/>
        <v>#DIV/0!</v>
      </c>
      <c r="N227" s="1411">
        <f t="shared" si="18"/>
        <v>0</v>
      </c>
      <c r="P227" s="1426">
        <v>43205</v>
      </c>
      <c r="Q227" s="1460"/>
      <c r="R227" s="1427"/>
      <c r="S227" s="1461" t="e">
        <f t="shared" si="19"/>
        <v>#DIV/0!</v>
      </c>
      <c r="T227" s="1461" t="e">
        <f t="shared" si="19"/>
        <v>#DIV/0!</v>
      </c>
    </row>
    <row r="228" spans="2:20">
      <c r="B228" s="1426">
        <v>43037</v>
      </c>
      <c r="C228" s="1425"/>
      <c r="D228" s="1428" t="e">
        <f t="shared" si="15"/>
        <v>#DIV/0!</v>
      </c>
      <c r="F228" s="1427"/>
      <c r="G228" s="1428" t="e">
        <f t="shared" si="16"/>
        <v>#DIV/0!</v>
      </c>
      <c r="H228" s="1426">
        <v>43037</v>
      </c>
      <c r="M228" s="1432" t="e">
        <f t="shared" si="17"/>
        <v>#DIV/0!</v>
      </c>
      <c r="N228" s="1411">
        <f t="shared" si="18"/>
        <v>0</v>
      </c>
      <c r="P228" s="1426">
        <v>43198</v>
      </c>
      <c r="Q228" s="1460"/>
      <c r="R228" s="1427"/>
      <c r="S228" s="1461" t="e">
        <f t="shared" si="19"/>
        <v>#DIV/0!</v>
      </c>
      <c r="T228" s="1461" t="e">
        <f t="shared" si="19"/>
        <v>#DIV/0!</v>
      </c>
    </row>
    <row r="229" spans="2:20">
      <c r="B229" s="1426">
        <v>43030</v>
      </c>
      <c r="C229" s="1425"/>
      <c r="D229" s="1428" t="e">
        <f t="shared" si="15"/>
        <v>#DIV/0!</v>
      </c>
      <c r="F229" s="1427"/>
      <c r="G229" s="1428" t="e">
        <f t="shared" si="16"/>
        <v>#DIV/0!</v>
      </c>
      <c r="H229" s="1426">
        <v>43030</v>
      </c>
      <c r="M229" s="1432" t="e">
        <f t="shared" si="17"/>
        <v>#DIV/0!</v>
      </c>
      <c r="N229" s="1411">
        <f t="shared" si="18"/>
        <v>0</v>
      </c>
      <c r="P229" s="1426">
        <v>43191</v>
      </c>
      <c r="Q229" s="1460"/>
      <c r="R229" s="1427"/>
      <c r="S229" s="1461" t="e">
        <f t="shared" si="19"/>
        <v>#DIV/0!</v>
      </c>
      <c r="T229" s="1461" t="e">
        <f t="shared" si="19"/>
        <v>#DIV/0!</v>
      </c>
    </row>
    <row r="230" spans="2:20">
      <c r="B230" s="1426">
        <v>43023</v>
      </c>
      <c r="C230" s="1425"/>
      <c r="D230" s="1428" t="e">
        <f t="shared" si="15"/>
        <v>#DIV/0!</v>
      </c>
      <c r="F230" s="1427"/>
      <c r="G230" s="1428" t="e">
        <f t="shared" si="16"/>
        <v>#DIV/0!</v>
      </c>
      <c r="H230" s="1426">
        <v>43023</v>
      </c>
      <c r="M230" s="1432" t="e">
        <f t="shared" si="17"/>
        <v>#DIV/0!</v>
      </c>
      <c r="N230" s="1411">
        <f t="shared" si="18"/>
        <v>0</v>
      </c>
      <c r="P230" s="1426">
        <v>43184</v>
      </c>
      <c r="Q230" s="1460"/>
      <c r="R230" s="1427"/>
      <c r="S230" s="1461" t="e">
        <f t="shared" si="19"/>
        <v>#DIV/0!</v>
      </c>
      <c r="T230" s="1461" t="e">
        <f t="shared" si="19"/>
        <v>#DIV/0!</v>
      </c>
    </row>
    <row r="231" spans="2:20">
      <c r="B231" s="1426">
        <v>43016</v>
      </c>
      <c r="C231" s="1425"/>
      <c r="D231" s="1428" t="e">
        <f t="shared" si="15"/>
        <v>#DIV/0!</v>
      </c>
      <c r="F231" s="1427"/>
      <c r="G231" s="1428" t="e">
        <f t="shared" si="16"/>
        <v>#DIV/0!</v>
      </c>
      <c r="H231" s="1426">
        <v>43016</v>
      </c>
      <c r="M231" s="1432" t="e">
        <f t="shared" si="17"/>
        <v>#DIV/0!</v>
      </c>
      <c r="N231" s="1411">
        <f t="shared" si="18"/>
        <v>0</v>
      </c>
      <c r="P231" s="1426">
        <v>43177</v>
      </c>
      <c r="Q231" s="1460"/>
      <c r="R231" s="1427"/>
      <c r="S231" s="1461" t="e">
        <f t="shared" si="19"/>
        <v>#DIV/0!</v>
      </c>
      <c r="T231" s="1461" t="e">
        <f t="shared" si="19"/>
        <v>#DIV/0!</v>
      </c>
    </row>
    <row r="232" spans="2:20">
      <c r="B232" s="1426">
        <v>43009</v>
      </c>
      <c r="C232" s="1425"/>
      <c r="D232" s="1428" t="e">
        <f t="shared" si="15"/>
        <v>#DIV/0!</v>
      </c>
      <c r="F232" s="1427"/>
      <c r="G232" s="1428" t="e">
        <f t="shared" si="16"/>
        <v>#DIV/0!</v>
      </c>
      <c r="H232" s="1426">
        <v>43009</v>
      </c>
      <c r="M232" s="1432" t="e">
        <f t="shared" si="17"/>
        <v>#DIV/0!</v>
      </c>
      <c r="N232" s="1411">
        <f t="shared" si="18"/>
        <v>0</v>
      </c>
      <c r="P232" s="1426">
        <v>43170</v>
      </c>
      <c r="Q232" s="1460"/>
      <c r="R232" s="1427"/>
      <c r="S232" s="1461" t="e">
        <f t="shared" si="19"/>
        <v>#DIV/0!</v>
      </c>
      <c r="T232" s="1461" t="e">
        <f t="shared" si="19"/>
        <v>#DIV/0!</v>
      </c>
    </row>
    <row r="233" spans="2:20">
      <c r="B233" s="1426">
        <v>43002</v>
      </c>
      <c r="C233" s="1425"/>
      <c r="D233" s="1428" t="e">
        <f t="shared" si="15"/>
        <v>#DIV/0!</v>
      </c>
      <c r="F233" s="1427"/>
      <c r="G233" s="1428" t="e">
        <f t="shared" si="16"/>
        <v>#DIV/0!</v>
      </c>
      <c r="H233" s="1426">
        <v>43002</v>
      </c>
      <c r="M233" s="1432" t="e">
        <f t="shared" si="17"/>
        <v>#DIV/0!</v>
      </c>
      <c r="N233" s="1411">
        <f t="shared" si="18"/>
        <v>0</v>
      </c>
      <c r="P233" s="1426">
        <v>43163</v>
      </c>
      <c r="Q233" s="1460"/>
      <c r="R233" s="1427"/>
      <c r="S233" s="1461" t="e">
        <f t="shared" si="19"/>
        <v>#DIV/0!</v>
      </c>
      <c r="T233" s="1461" t="e">
        <f t="shared" si="19"/>
        <v>#DIV/0!</v>
      </c>
    </row>
    <row r="234" spans="2:20">
      <c r="B234" s="1426">
        <v>42995</v>
      </c>
      <c r="C234" s="1425"/>
      <c r="D234" s="1428" t="e">
        <f t="shared" si="15"/>
        <v>#DIV/0!</v>
      </c>
      <c r="F234" s="1427"/>
      <c r="G234" s="1428" t="e">
        <f t="shared" si="16"/>
        <v>#DIV/0!</v>
      </c>
      <c r="H234" s="1426">
        <v>42995</v>
      </c>
      <c r="M234" s="1432" t="e">
        <f t="shared" si="17"/>
        <v>#DIV/0!</v>
      </c>
      <c r="N234" s="1411">
        <f t="shared" si="18"/>
        <v>0</v>
      </c>
      <c r="P234" s="1426">
        <v>43156</v>
      </c>
      <c r="Q234" s="1460"/>
      <c r="R234" s="1427"/>
      <c r="S234" s="1461" t="e">
        <f t="shared" si="19"/>
        <v>#DIV/0!</v>
      </c>
      <c r="T234" s="1461" t="e">
        <f t="shared" si="19"/>
        <v>#DIV/0!</v>
      </c>
    </row>
    <row r="235" spans="2:20">
      <c r="B235" s="1426">
        <v>42988</v>
      </c>
      <c r="C235" s="1425"/>
      <c r="D235" s="1428" t="e">
        <f t="shared" si="15"/>
        <v>#DIV/0!</v>
      </c>
      <c r="F235" s="1427"/>
      <c r="G235" s="1428" t="e">
        <f t="shared" si="16"/>
        <v>#DIV/0!</v>
      </c>
      <c r="H235" s="1426">
        <v>42988</v>
      </c>
      <c r="M235" s="1432" t="e">
        <f t="shared" si="17"/>
        <v>#DIV/0!</v>
      </c>
      <c r="N235" s="1411">
        <f t="shared" si="18"/>
        <v>0</v>
      </c>
      <c r="P235" s="1426">
        <v>43149</v>
      </c>
      <c r="Q235" s="1460"/>
      <c r="R235" s="1427"/>
      <c r="S235" s="1461" t="e">
        <f t="shared" si="19"/>
        <v>#DIV/0!</v>
      </c>
      <c r="T235" s="1461" t="e">
        <f t="shared" si="19"/>
        <v>#DIV/0!</v>
      </c>
    </row>
    <row r="236" spans="2:20">
      <c r="B236" s="1426">
        <v>42981</v>
      </c>
      <c r="C236" s="1425"/>
      <c r="D236" s="1428" t="e">
        <f t="shared" si="15"/>
        <v>#DIV/0!</v>
      </c>
      <c r="F236" s="1427"/>
      <c r="G236" s="1428" t="e">
        <f t="shared" si="16"/>
        <v>#DIV/0!</v>
      </c>
      <c r="H236" s="1426">
        <v>42981</v>
      </c>
      <c r="M236" s="1432" t="e">
        <f t="shared" si="17"/>
        <v>#DIV/0!</v>
      </c>
      <c r="N236" s="1411">
        <f t="shared" si="18"/>
        <v>0</v>
      </c>
      <c r="P236" s="1426">
        <v>43142</v>
      </c>
      <c r="Q236" s="1460"/>
      <c r="R236" s="1427"/>
      <c r="S236" s="1461" t="e">
        <f t="shared" si="19"/>
        <v>#DIV/0!</v>
      </c>
      <c r="T236" s="1461" t="e">
        <f t="shared" si="19"/>
        <v>#DIV/0!</v>
      </c>
    </row>
    <row r="237" spans="2:20">
      <c r="B237" s="1426">
        <v>42974</v>
      </c>
      <c r="C237" s="1425"/>
      <c r="D237" s="1428" t="e">
        <f t="shared" si="15"/>
        <v>#DIV/0!</v>
      </c>
      <c r="F237" s="1427"/>
      <c r="G237" s="1428" t="e">
        <f t="shared" si="16"/>
        <v>#DIV/0!</v>
      </c>
      <c r="H237" s="1426">
        <v>42974</v>
      </c>
      <c r="M237" s="1432" t="e">
        <f t="shared" si="17"/>
        <v>#DIV/0!</v>
      </c>
      <c r="N237" s="1411">
        <f t="shared" si="18"/>
        <v>0</v>
      </c>
      <c r="P237" s="1426">
        <v>43135</v>
      </c>
      <c r="Q237" s="1460"/>
      <c r="R237" s="1427"/>
      <c r="S237" s="1461" t="e">
        <f t="shared" si="19"/>
        <v>#DIV/0!</v>
      </c>
      <c r="T237" s="1461" t="e">
        <f t="shared" si="19"/>
        <v>#DIV/0!</v>
      </c>
    </row>
    <row r="238" spans="2:20">
      <c r="B238" s="1426">
        <v>42967</v>
      </c>
      <c r="C238" s="1425"/>
      <c r="D238" s="1428" t="e">
        <f t="shared" si="15"/>
        <v>#DIV/0!</v>
      </c>
      <c r="F238" s="1427"/>
      <c r="G238" s="1428" t="e">
        <f t="shared" si="16"/>
        <v>#DIV/0!</v>
      </c>
      <c r="H238" s="1426">
        <v>42967</v>
      </c>
      <c r="M238" s="1432" t="e">
        <f t="shared" si="17"/>
        <v>#DIV/0!</v>
      </c>
      <c r="N238" s="1411">
        <f t="shared" si="18"/>
        <v>0</v>
      </c>
      <c r="P238" s="1426">
        <v>43128</v>
      </c>
      <c r="Q238" s="1460"/>
      <c r="R238" s="1427"/>
      <c r="S238" s="1461" t="e">
        <f t="shared" si="19"/>
        <v>#DIV/0!</v>
      </c>
      <c r="T238" s="1461" t="e">
        <f t="shared" si="19"/>
        <v>#DIV/0!</v>
      </c>
    </row>
    <row r="239" spans="2:20">
      <c r="B239" s="1426">
        <v>42960</v>
      </c>
      <c r="C239" s="1425"/>
      <c r="D239" s="1428" t="e">
        <f t="shared" si="15"/>
        <v>#DIV/0!</v>
      </c>
      <c r="F239" s="1427"/>
      <c r="G239" s="1428" t="e">
        <f t="shared" si="16"/>
        <v>#DIV/0!</v>
      </c>
      <c r="H239" s="1426">
        <v>42960</v>
      </c>
      <c r="M239" s="1432" t="e">
        <f t="shared" si="17"/>
        <v>#DIV/0!</v>
      </c>
      <c r="N239" s="1411">
        <f t="shared" si="18"/>
        <v>0</v>
      </c>
      <c r="P239" s="1426">
        <v>43121</v>
      </c>
      <c r="Q239" s="1460"/>
      <c r="R239" s="1427"/>
      <c r="S239" s="1461" t="e">
        <f t="shared" si="19"/>
        <v>#DIV/0!</v>
      </c>
      <c r="T239" s="1461" t="e">
        <f t="shared" si="19"/>
        <v>#DIV/0!</v>
      </c>
    </row>
    <row r="240" spans="2:20">
      <c r="B240" s="1426">
        <v>42953</v>
      </c>
      <c r="C240" s="1425"/>
      <c r="D240" s="1428" t="e">
        <f t="shared" si="15"/>
        <v>#DIV/0!</v>
      </c>
      <c r="F240" s="1427"/>
      <c r="G240" s="1428" t="e">
        <f t="shared" si="16"/>
        <v>#DIV/0!</v>
      </c>
      <c r="H240" s="1426">
        <v>42953</v>
      </c>
      <c r="M240" s="1432" t="e">
        <f t="shared" si="17"/>
        <v>#DIV/0!</v>
      </c>
      <c r="N240" s="1411">
        <f t="shared" si="18"/>
        <v>0</v>
      </c>
      <c r="P240" s="1426">
        <v>43114</v>
      </c>
      <c r="Q240" s="1460"/>
      <c r="R240" s="1427"/>
      <c r="S240" s="1461" t="e">
        <f t="shared" si="19"/>
        <v>#DIV/0!</v>
      </c>
      <c r="T240" s="1461" t="e">
        <f t="shared" si="19"/>
        <v>#DIV/0!</v>
      </c>
    </row>
    <row r="241" spans="2:20">
      <c r="B241" s="1426">
        <v>42946</v>
      </c>
      <c r="C241" s="1425"/>
      <c r="D241" s="1428" t="e">
        <f t="shared" si="15"/>
        <v>#DIV/0!</v>
      </c>
      <c r="F241" s="1427"/>
      <c r="G241" s="1428" t="e">
        <f t="shared" si="16"/>
        <v>#DIV/0!</v>
      </c>
      <c r="H241" s="1426">
        <v>42946</v>
      </c>
      <c r="M241" s="1432" t="e">
        <f t="shared" si="17"/>
        <v>#DIV/0!</v>
      </c>
      <c r="N241" s="1411">
        <f t="shared" si="18"/>
        <v>0</v>
      </c>
      <c r="P241" s="1426">
        <v>43107</v>
      </c>
      <c r="Q241" s="1460"/>
      <c r="R241" s="1427"/>
      <c r="S241" s="1461" t="e">
        <f t="shared" si="19"/>
        <v>#DIV/0!</v>
      </c>
      <c r="T241" s="1461" t="e">
        <f t="shared" si="19"/>
        <v>#DIV/0!</v>
      </c>
    </row>
    <row r="242" spans="2:20">
      <c r="B242" s="1426">
        <v>42939</v>
      </c>
      <c r="C242" s="1425"/>
      <c r="D242" s="1428" t="e">
        <f t="shared" si="15"/>
        <v>#DIV/0!</v>
      </c>
      <c r="F242" s="1427"/>
      <c r="G242" s="1428" t="e">
        <f t="shared" si="16"/>
        <v>#DIV/0!</v>
      </c>
      <c r="H242" s="1426">
        <v>42939</v>
      </c>
      <c r="M242" s="1432" t="e">
        <f t="shared" si="17"/>
        <v>#DIV/0!</v>
      </c>
      <c r="N242" s="1411">
        <f t="shared" si="18"/>
        <v>0</v>
      </c>
      <c r="P242" s="1426">
        <v>43100</v>
      </c>
      <c r="Q242" s="1460"/>
      <c r="R242" s="1427"/>
      <c r="S242" s="1461" t="e">
        <f t="shared" si="19"/>
        <v>#DIV/0!</v>
      </c>
      <c r="T242" s="1461" t="e">
        <f t="shared" si="19"/>
        <v>#DIV/0!</v>
      </c>
    </row>
    <row r="243" spans="2:20">
      <c r="B243" s="1426">
        <v>42932</v>
      </c>
      <c r="C243" s="1425"/>
      <c r="D243" s="1428" t="e">
        <f t="shared" si="15"/>
        <v>#DIV/0!</v>
      </c>
      <c r="F243" s="1427"/>
      <c r="G243" s="1428" t="e">
        <f t="shared" si="16"/>
        <v>#DIV/0!</v>
      </c>
      <c r="H243" s="1426">
        <v>42932</v>
      </c>
      <c r="M243" s="1432" t="e">
        <f t="shared" si="17"/>
        <v>#DIV/0!</v>
      </c>
      <c r="N243" s="1411">
        <f t="shared" si="18"/>
        <v>0</v>
      </c>
      <c r="P243" s="1426">
        <v>43093</v>
      </c>
      <c r="Q243" s="1460"/>
      <c r="R243" s="1425"/>
      <c r="S243" s="1461" t="e">
        <f t="shared" si="19"/>
        <v>#DIV/0!</v>
      </c>
      <c r="T243" s="1461" t="e">
        <f t="shared" si="19"/>
        <v>#DIV/0!</v>
      </c>
    </row>
    <row r="244" spans="2:20">
      <c r="B244" s="1426">
        <v>42925</v>
      </c>
      <c r="C244" s="1425"/>
      <c r="D244" s="1428" t="e">
        <f t="shared" si="15"/>
        <v>#DIV/0!</v>
      </c>
      <c r="F244" s="1427"/>
      <c r="G244" s="1428" t="e">
        <f t="shared" si="16"/>
        <v>#DIV/0!</v>
      </c>
      <c r="H244" s="1426">
        <v>42925</v>
      </c>
      <c r="M244" s="1432" t="e">
        <f t="shared" si="17"/>
        <v>#DIV/0!</v>
      </c>
      <c r="N244" s="1411">
        <f t="shared" si="18"/>
        <v>0</v>
      </c>
      <c r="P244" s="1426">
        <v>43086</v>
      </c>
      <c r="Q244" s="1460"/>
      <c r="R244" s="1425"/>
      <c r="S244" s="1461" t="e">
        <f t="shared" si="19"/>
        <v>#DIV/0!</v>
      </c>
      <c r="T244" s="1461" t="e">
        <f t="shared" si="19"/>
        <v>#DIV/0!</v>
      </c>
    </row>
    <row r="245" spans="2:20">
      <c r="B245" s="1426">
        <v>42918</v>
      </c>
      <c r="C245" s="1425"/>
      <c r="D245" s="1428" t="e">
        <f t="shared" si="15"/>
        <v>#DIV/0!</v>
      </c>
      <c r="F245" s="1427"/>
      <c r="G245" s="1428" t="e">
        <f t="shared" si="16"/>
        <v>#DIV/0!</v>
      </c>
      <c r="H245" s="1426">
        <v>42918</v>
      </c>
      <c r="M245" s="1432" t="e">
        <f t="shared" si="17"/>
        <v>#DIV/0!</v>
      </c>
      <c r="N245" s="1411">
        <f t="shared" si="18"/>
        <v>0</v>
      </c>
      <c r="P245" s="1426">
        <v>43079</v>
      </c>
      <c r="Q245" s="1460"/>
      <c r="R245" s="1425"/>
      <c r="S245" s="1461" t="e">
        <f t="shared" si="19"/>
        <v>#DIV/0!</v>
      </c>
      <c r="T245" s="1461" t="e">
        <f t="shared" si="19"/>
        <v>#DIV/0!</v>
      </c>
    </row>
    <row r="246" spans="2:20">
      <c r="B246" s="1426">
        <v>42911</v>
      </c>
      <c r="C246" s="1425"/>
      <c r="D246" s="1428" t="e">
        <f t="shared" si="15"/>
        <v>#DIV/0!</v>
      </c>
      <c r="F246" s="1427"/>
      <c r="G246" s="1428" t="e">
        <f t="shared" si="16"/>
        <v>#DIV/0!</v>
      </c>
      <c r="H246" s="1426">
        <v>42911</v>
      </c>
      <c r="M246" s="1432" t="e">
        <f t="shared" si="17"/>
        <v>#DIV/0!</v>
      </c>
      <c r="N246" s="1411">
        <f t="shared" si="18"/>
        <v>0</v>
      </c>
      <c r="P246" s="1426">
        <v>43072</v>
      </c>
      <c r="Q246" s="1460"/>
      <c r="R246" s="1425"/>
      <c r="S246" s="1461" t="e">
        <f t="shared" si="19"/>
        <v>#DIV/0!</v>
      </c>
      <c r="T246" s="1461" t="e">
        <f t="shared" si="19"/>
        <v>#DIV/0!</v>
      </c>
    </row>
    <row r="247" spans="2:20">
      <c r="B247" s="1426">
        <v>42904</v>
      </c>
      <c r="C247" s="1425"/>
      <c r="D247" s="1428" t="e">
        <f t="shared" si="15"/>
        <v>#DIV/0!</v>
      </c>
      <c r="F247" s="1427"/>
      <c r="G247" s="1428" t="e">
        <f t="shared" si="16"/>
        <v>#DIV/0!</v>
      </c>
      <c r="H247" s="1426">
        <v>42904</v>
      </c>
      <c r="M247" s="1432" t="e">
        <f t="shared" si="17"/>
        <v>#DIV/0!</v>
      </c>
      <c r="N247" s="1411">
        <f t="shared" si="18"/>
        <v>0</v>
      </c>
      <c r="P247" s="1426">
        <v>43065</v>
      </c>
      <c r="Q247" s="1460"/>
      <c r="R247" s="1425"/>
      <c r="S247" s="1461" t="e">
        <f t="shared" si="19"/>
        <v>#DIV/0!</v>
      </c>
      <c r="T247" s="1461" t="e">
        <f t="shared" si="19"/>
        <v>#DIV/0!</v>
      </c>
    </row>
    <row r="248" spans="2:20">
      <c r="B248" s="1426">
        <v>42897</v>
      </c>
      <c r="C248" s="1425"/>
      <c r="D248" s="1428" t="e">
        <f t="shared" si="15"/>
        <v>#DIV/0!</v>
      </c>
      <c r="F248" s="1427"/>
      <c r="G248" s="1428" t="e">
        <f t="shared" si="16"/>
        <v>#DIV/0!</v>
      </c>
      <c r="H248" s="1426">
        <v>42897</v>
      </c>
      <c r="M248" s="1432" t="e">
        <f t="shared" si="17"/>
        <v>#DIV/0!</v>
      </c>
      <c r="N248" s="1411">
        <f t="shared" si="18"/>
        <v>0</v>
      </c>
      <c r="P248" s="1426">
        <v>43058</v>
      </c>
      <c r="Q248" s="1460"/>
      <c r="R248" s="1425"/>
      <c r="S248" s="1461" t="e">
        <f t="shared" si="19"/>
        <v>#DIV/0!</v>
      </c>
      <c r="T248" s="1461" t="e">
        <f t="shared" si="19"/>
        <v>#DIV/0!</v>
      </c>
    </row>
    <row r="249" spans="2:20">
      <c r="B249" s="1426">
        <v>42890</v>
      </c>
      <c r="C249" s="1425"/>
      <c r="D249" s="1428" t="e">
        <f t="shared" si="15"/>
        <v>#DIV/0!</v>
      </c>
      <c r="F249" s="1427"/>
      <c r="G249" s="1428" t="e">
        <f t="shared" si="16"/>
        <v>#DIV/0!</v>
      </c>
      <c r="H249" s="1426">
        <v>42890</v>
      </c>
      <c r="M249" s="1432" t="e">
        <f t="shared" si="17"/>
        <v>#DIV/0!</v>
      </c>
      <c r="N249" s="1411">
        <f t="shared" si="18"/>
        <v>0</v>
      </c>
      <c r="P249" s="1426">
        <v>43051</v>
      </c>
      <c r="Q249" s="1460"/>
      <c r="R249" s="1425"/>
      <c r="S249" s="1461" t="e">
        <f t="shared" si="19"/>
        <v>#DIV/0!</v>
      </c>
      <c r="T249" s="1461" t="e">
        <f t="shared" si="19"/>
        <v>#DIV/0!</v>
      </c>
    </row>
    <row r="250" spans="2:20">
      <c r="B250" s="1426">
        <v>42883</v>
      </c>
      <c r="C250" s="1425"/>
      <c r="D250" s="1428" t="e">
        <f t="shared" si="15"/>
        <v>#DIV/0!</v>
      </c>
      <c r="F250" s="1427"/>
      <c r="G250" s="1428" t="e">
        <f t="shared" si="16"/>
        <v>#DIV/0!</v>
      </c>
      <c r="H250" s="1426">
        <v>42883</v>
      </c>
      <c r="M250" s="1432" t="e">
        <f t="shared" si="17"/>
        <v>#DIV/0!</v>
      </c>
      <c r="N250" s="1411">
        <f t="shared" si="18"/>
        <v>0</v>
      </c>
      <c r="P250" s="1426">
        <v>43044</v>
      </c>
      <c r="Q250" s="1460"/>
      <c r="R250" s="1425"/>
      <c r="S250" s="1461" t="e">
        <f t="shared" si="19"/>
        <v>#DIV/0!</v>
      </c>
      <c r="T250" s="1461" t="e">
        <f t="shared" si="19"/>
        <v>#DIV/0!</v>
      </c>
    </row>
    <row r="251" spans="2:20">
      <c r="B251" s="1426">
        <v>42876</v>
      </c>
      <c r="C251" s="1425"/>
      <c r="D251" s="1428" t="e">
        <f t="shared" si="15"/>
        <v>#DIV/0!</v>
      </c>
      <c r="F251" s="1427"/>
      <c r="G251" s="1428" t="e">
        <f t="shared" si="16"/>
        <v>#DIV/0!</v>
      </c>
      <c r="H251" s="1426">
        <v>42876</v>
      </c>
      <c r="M251" s="1432" t="e">
        <f t="shared" si="17"/>
        <v>#DIV/0!</v>
      </c>
      <c r="N251" s="1411">
        <f t="shared" si="18"/>
        <v>0</v>
      </c>
      <c r="P251" s="1426">
        <v>43037</v>
      </c>
      <c r="Q251" s="1460"/>
      <c r="R251" s="1425"/>
      <c r="S251" s="1461" t="e">
        <f t="shared" si="19"/>
        <v>#DIV/0!</v>
      </c>
      <c r="T251" s="1461" t="e">
        <f t="shared" si="19"/>
        <v>#DIV/0!</v>
      </c>
    </row>
    <row r="252" spans="2:20">
      <c r="B252" s="1426">
        <v>42869</v>
      </c>
      <c r="C252" s="1425"/>
      <c r="D252" s="1428" t="e">
        <f t="shared" si="15"/>
        <v>#DIV/0!</v>
      </c>
      <c r="F252" s="1427"/>
      <c r="G252" s="1428" t="e">
        <f t="shared" si="16"/>
        <v>#DIV/0!</v>
      </c>
      <c r="H252" s="1426">
        <v>42869</v>
      </c>
      <c r="M252" s="1432" t="e">
        <f t="shared" si="17"/>
        <v>#DIV/0!</v>
      </c>
      <c r="N252" s="1411">
        <f t="shared" si="18"/>
        <v>0</v>
      </c>
      <c r="P252" s="1426">
        <v>43030</v>
      </c>
      <c r="Q252" s="1460"/>
      <c r="R252" s="1425"/>
      <c r="S252" s="1461" t="e">
        <f t="shared" si="19"/>
        <v>#DIV/0!</v>
      </c>
      <c r="T252" s="1461" t="e">
        <f t="shared" si="19"/>
        <v>#DIV/0!</v>
      </c>
    </row>
    <row r="253" spans="2:20">
      <c r="B253" s="1426">
        <v>42862</v>
      </c>
      <c r="C253" s="1425"/>
      <c r="D253" s="1428" t="e">
        <f t="shared" si="15"/>
        <v>#DIV/0!</v>
      </c>
      <c r="F253" s="1427"/>
      <c r="G253" s="1428" t="e">
        <f t="shared" si="16"/>
        <v>#DIV/0!</v>
      </c>
      <c r="H253" s="1426">
        <v>42862</v>
      </c>
      <c r="M253" s="1432" t="e">
        <f t="shared" si="17"/>
        <v>#DIV/0!</v>
      </c>
      <c r="N253" s="1411">
        <f t="shared" si="18"/>
        <v>0</v>
      </c>
      <c r="P253" s="1426">
        <v>43023</v>
      </c>
      <c r="Q253" s="1460"/>
      <c r="R253" s="1425"/>
      <c r="S253" s="1461" t="e">
        <f t="shared" si="19"/>
        <v>#DIV/0!</v>
      </c>
      <c r="T253" s="1461" t="e">
        <f t="shared" si="19"/>
        <v>#DIV/0!</v>
      </c>
    </row>
    <row r="254" spans="2:20">
      <c r="B254" s="1426">
        <v>42855</v>
      </c>
      <c r="C254" s="1425"/>
      <c r="D254" s="1428" t="e">
        <f t="shared" si="15"/>
        <v>#DIV/0!</v>
      </c>
      <c r="F254" s="1427"/>
      <c r="G254" s="1428" t="e">
        <f t="shared" si="16"/>
        <v>#DIV/0!</v>
      </c>
      <c r="H254" s="1426">
        <v>42855</v>
      </c>
      <c r="M254" s="1432" t="e">
        <f t="shared" si="17"/>
        <v>#DIV/0!</v>
      </c>
      <c r="N254" s="1411">
        <f t="shared" si="18"/>
        <v>0</v>
      </c>
      <c r="P254" s="1426">
        <v>43016</v>
      </c>
      <c r="Q254" s="1460"/>
      <c r="R254" s="1425"/>
      <c r="S254" s="1461" t="e">
        <f t="shared" si="19"/>
        <v>#DIV/0!</v>
      </c>
      <c r="T254" s="1461" t="e">
        <f t="shared" si="19"/>
        <v>#DIV/0!</v>
      </c>
    </row>
    <row r="255" spans="2:20">
      <c r="B255" s="1426">
        <v>42848</v>
      </c>
      <c r="C255" s="1425"/>
      <c r="D255" s="1428" t="e">
        <f t="shared" si="15"/>
        <v>#DIV/0!</v>
      </c>
      <c r="F255" s="1427"/>
      <c r="G255" s="1428" t="e">
        <f t="shared" si="16"/>
        <v>#DIV/0!</v>
      </c>
      <c r="H255" s="1426">
        <v>42848</v>
      </c>
      <c r="M255" s="1432" t="e">
        <f t="shared" si="17"/>
        <v>#DIV/0!</v>
      </c>
      <c r="N255" s="1411">
        <f t="shared" si="18"/>
        <v>0</v>
      </c>
      <c r="P255" s="1426">
        <v>43009</v>
      </c>
      <c r="Q255" s="1460"/>
      <c r="R255" s="1425"/>
      <c r="S255" s="1461" t="e">
        <f t="shared" si="19"/>
        <v>#DIV/0!</v>
      </c>
      <c r="T255" s="1461" t="e">
        <f t="shared" si="19"/>
        <v>#DIV/0!</v>
      </c>
    </row>
    <row r="256" spans="2:20">
      <c r="B256" s="1426">
        <v>42841</v>
      </c>
      <c r="C256" s="1425"/>
      <c r="D256" s="1428" t="e">
        <f t="shared" si="15"/>
        <v>#DIV/0!</v>
      </c>
      <c r="F256" s="1427"/>
      <c r="G256" s="1428" t="e">
        <f t="shared" si="16"/>
        <v>#DIV/0!</v>
      </c>
      <c r="H256" s="1426">
        <v>42841</v>
      </c>
      <c r="M256" s="1432" t="e">
        <f t="shared" si="17"/>
        <v>#DIV/0!</v>
      </c>
      <c r="N256" s="1411">
        <f t="shared" si="18"/>
        <v>0</v>
      </c>
      <c r="P256" s="1426">
        <v>43002</v>
      </c>
      <c r="Q256" s="1460"/>
      <c r="R256" s="1425"/>
      <c r="S256" s="1461" t="e">
        <f t="shared" si="19"/>
        <v>#DIV/0!</v>
      </c>
      <c r="T256" s="1461" t="e">
        <f t="shared" si="19"/>
        <v>#DIV/0!</v>
      </c>
    </row>
    <row r="257" spans="2:20">
      <c r="B257" s="1426">
        <v>42834</v>
      </c>
      <c r="C257" s="1425"/>
      <c r="D257" s="1428" t="e">
        <f t="shared" si="15"/>
        <v>#DIV/0!</v>
      </c>
      <c r="F257" s="1427"/>
      <c r="G257" s="1428" t="e">
        <f t="shared" si="16"/>
        <v>#DIV/0!</v>
      </c>
      <c r="H257" s="1426">
        <v>42834</v>
      </c>
      <c r="M257" s="1432" t="e">
        <f t="shared" si="17"/>
        <v>#DIV/0!</v>
      </c>
      <c r="N257" s="1411">
        <f t="shared" si="18"/>
        <v>0</v>
      </c>
      <c r="P257" s="1426">
        <v>42995</v>
      </c>
      <c r="Q257" s="1460"/>
      <c r="R257" s="1425"/>
      <c r="S257" s="1461" t="e">
        <f t="shared" si="19"/>
        <v>#DIV/0!</v>
      </c>
      <c r="T257" s="1461" t="e">
        <f t="shared" si="19"/>
        <v>#DIV/0!</v>
      </c>
    </row>
    <row r="258" spans="2:20">
      <c r="B258" s="1426">
        <v>42827</v>
      </c>
      <c r="C258" s="1425"/>
      <c r="D258" s="1428" t="e">
        <f t="shared" si="15"/>
        <v>#DIV/0!</v>
      </c>
      <c r="F258" s="1427"/>
      <c r="G258" s="1428" t="e">
        <f t="shared" si="16"/>
        <v>#DIV/0!</v>
      </c>
      <c r="H258" s="1426">
        <v>42827</v>
      </c>
      <c r="M258" s="1432" t="e">
        <f t="shared" si="17"/>
        <v>#DIV/0!</v>
      </c>
      <c r="N258" s="1411">
        <f t="shared" si="18"/>
        <v>0</v>
      </c>
      <c r="P258" s="1426">
        <v>42988</v>
      </c>
      <c r="Q258" s="1460"/>
      <c r="R258" s="1425"/>
      <c r="S258" s="1461" t="e">
        <f t="shared" si="19"/>
        <v>#DIV/0!</v>
      </c>
      <c r="T258" s="1461" t="e">
        <f t="shared" si="19"/>
        <v>#DIV/0!</v>
      </c>
    </row>
    <row r="259" spans="2:20">
      <c r="B259" s="1426">
        <v>42820</v>
      </c>
      <c r="C259" s="1425"/>
      <c r="D259" s="1428" t="e">
        <f t="shared" si="15"/>
        <v>#DIV/0!</v>
      </c>
      <c r="F259" s="1427"/>
      <c r="G259" s="1428" t="e">
        <f t="shared" si="16"/>
        <v>#DIV/0!</v>
      </c>
      <c r="H259" s="1426">
        <v>42820</v>
      </c>
      <c r="M259" s="1432" t="e">
        <f t="shared" si="17"/>
        <v>#DIV/0!</v>
      </c>
      <c r="N259" s="1411">
        <f t="shared" si="18"/>
        <v>0</v>
      </c>
      <c r="P259" s="1426">
        <v>42981</v>
      </c>
      <c r="Q259" s="1460"/>
      <c r="R259" s="1425"/>
      <c r="S259" s="1461" t="e">
        <f t="shared" si="19"/>
        <v>#DIV/0!</v>
      </c>
      <c r="T259" s="1461" t="e">
        <f t="shared" si="19"/>
        <v>#DIV/0!</v>
      </c>
    </row>
    <row r="260" spans="2:20">
      <c r="B260" s="1426">
        <v>42813</v>
      </c>
      <c r="C260" s="1425"/>
      <c r="D260" s="1428" t="e">
        <f t="shared" si="15"/>
        <v>#DIV/0!</v>
      </c>
      <c r="F260" s="1427"/>
      <c r="G260" s="1428" t="e">
        <f t="shared" si="16"/>
        <v>#DIV/0!</v>
      </c>
      <c r="H260" s="1426">
        <v>42813</v>
      </c>
      <c r="M260" s="1432" t="e">
        <f t="shared" si="17"/>
        <v>#DIV/0!</v>
      </c>
      <c r="N260" s="1411">
        <f t="shared" si="18"/>
        <v>0</v>
      </c>
      <c r="P260" s="1426">
        <v>42974</v>
      </c>
      <c r="Q260" s="1460"/>
      <c r="R260" s="1425"/>
      <c r="S260" s="1461" t="e">
        <f t="shared" si="19"/>
        <v>#DIV/0!</v>
      </c>
      <c r="T260" s="1461" t="e">
        <f t="shared" si="19"/>
        <v>#DIV/0!</v>
      </c>
    </row>
    <row r="261" spans="2:20">
      <c r="B261" s="1426">
        <v>42806</v>
      </c>
      <c r="C261" s="1425"/>
      <c r="D261" s="1428" t="e">
        <f t="shared" si="15"/>
        <v>#DIV/0!</v>
      </c>
      <c r="F261" s="1427"/>
      <c r="G261" s="1428" t="e">
        <f t="shared" si="16"/>
        <v>#DIV/0!</v>
      </c>
      <c r="H261" s="1426">
        <v>42806</v>
      </c>
      <c r="M261" s="1432" t="e">
        <f t="shared" si="17"/>
        <v>#DIV/0!</v>
      </c>
      <c r="N261" s="1411">
        <f t="shared" si="18"/>
        <v>0</v>
      </c>
      <c r="P261" s="1426">
        <v>42967</v>
      </c>
      <c r="Q261" s="1460"/>
      <c r="R261" s="1425"/>
      <c r="S261" s="1461" t="e">
        <f t="shared" si="19"/>
        <v>#DIV/0!</v>
      </c>
      <c r="T261" s="1461" t="e">
        <f t="shared" si="19"/>
        <v>#DIV/0!</v>
      </c>
    </row>
    <row r="262" spans="2:20">
      <c r="B262" s="1426">
        <v>42799</v>
      </c>
      <c r="C262" s="1425"/>
      <c r="D262" s="1428" t="e">
        <f t="shared" si="15"/>
        <v>#DIV/0!</v>
      </c>
      <c r="F262" s="1427"/>
      <c r="G262" s="1428" t="e">
        <f t="shared" si="16"/>
        <v>#DIV/0!</v>
      </c>
      <c r="H262" s="1426">
        <v>42799</v>
      </c>
      <c r="M262" s="1432" t="e">
        <f t="shared" si="17"/>
        <v>#DIV/0!</v>
      </c>
      <c r="N262" s="1411">
        <f t="shared" si="18"/>
        <v>0</v>
      </c>
      <c r="P262" s="1426">
        <v>42960</v>
      </c>
      <c r="Q262" s="1460"/>
      <c r="R262" s="1425"/>
      <c r="S262" s="1461" t="e">
        <f t="shared" si="19"/>
        <v>#DIV/0!</v>
      </c>
      <c r="T262" s="1461" t="e">
        <f t="shared" si="19"/>
        <v>#DIV/0!</v>
      </c>
    </row>
    <row r="263" spans="2:20">
      <c r="B263" s="1426">
        <v>42792</v>
      </c>
      <c r="C263" s="1425"/>
      <c r="D263" s="1428" t="e">
        <f t="shared" ref="D263:D326" si="20">C263/C264-1</f>
        <v>#DIV/0!</v>
      </c>
      <c r="F263" s="1427"/>
      <c r="G263" s="1428" t="e">
        <f t="shared" ref="G263:G326" si="21">F263/F264-1</f>
        <v>#DIV/0!</v>
      </c>
      <c r="H263" s="1426">
        <v>42792</v>
      </c>
      <c r="M263" s="1432" t="e">
        <f t="shared" ref="M263:M326" si="22">F263/F264-1</f>
        <v>#DIV/0!</v>
      </c>
      <c r="N263" s="1411">
        <f t="shared" ref="N263:N326" si="23">H263-B263</f>
        <v>0</v>
      </c>
      <c r="P263" s="1426">
        <v>42953</v>
      </c>
      <c r="Q263" s="1460"/>
      <c r="R263" s="1425"/>
      <c r="S263" s="1461" t="e">
        <f t="shared" si="19"/>
        <v>#DIV/0!</v>
      </c>
      <c r="T263" s="1461" t="e">
        <f t="shared" si="19"/>
        <v>#DIV/0!</v>
      </c>
    </row>
    <row r="264" spans="2:20">
      <c r="B264" s="1426">
        <v>42785</v>
      </c>
      <c r="C264" s="1425"/>
      <c r="D264" s="1428" t="e">
        <f t="shared" si="20"/>
        <v>#DIV/0!</v>
      </c>
      <c r="F264" s="1427"/>
      <c r="G264" s="1428" t="e">
        <f t="shared" si="21"/>
        <v>#DIV/0!</v>
      </c>
      <c r="H264" s="1426">
        <v>42785</v>
      </c>
      <c r="M264" s="1432" t="e">
        <f t="shared" si="22"/>
        <v>#DIV/0!</v>
      </c>
      <c r="N264" s="1411">
        <f t="shared" si="23"/>
        <v>0</v>
      </c>
      <c r="P264" s="1426">
        <v>42946</v>
      </c>
      <c r="Q264" s="1460"/>
      <c r="R264" s="1425"/>
      <c r="S264" s="1461" t="e">
        <f t="shared" si="19"/>
        <v>#DIV/0!</v>
      </c>
      <c r="T264" s="1461" t="e">
        <f t="shared" si="19"/>
        <v>#DIV/0!</v>
      </c>
    </row>
    <row r="265" spans="2:20">
      <c r="B265" s="1426">
        <v>42778</v>
      </c>
      <c r="C265" s="1425"/>
      <c r="D265" s="1428" t="e">
        <f t="shared" si="20"/>
        <v>#DIV/0!</v>
      </c>
      <c r="F265" s="1427"/>
      <c r="G265" s="1428" t="e">
        <f t="shared" si="21"/>
        <v>#DIV/0!</v>
      </c>
      <c r="H265" s="1426">
        <v>42778</v>
      </c>
      <c r="M265" s="1432" t="e">
        <f t="shared" si="22"/>
        <v>#DIV/0!</v>
      </c>
      <c r="N265" s="1411">
        <f t="shared" si="23"/>
        <v>0</v>
      </c>
      <c r="P265" s="1426">
        <v>42939</v>
      </c>
      <c r="Q265" s="1460"/>
      <c r="R265" s="1425"/>
      <c r="S265" s="1461" t="e">
        <f t="shared" si="19"/>
        <v>#DIV/0!</v>
      </c>
      <c r="T265" s="1461" t="e">
        <f t="shared" si="19"/>
        <v>#DIV/0!</v>
      </c>
    </row>
    <row r="266" spans="2:20">
      <c r="B266" s="1426">
        <v>42771</v>
      </c>
      <c r="C266" s="1425"/>
      <c r="D266" s="1428" t="e">
        <f t="shared" si="20"/>
        <v>#DIV/0!</v>
      </c>
      <c r="F266" s="1427"/>
      <c r="G266" s="1428" t="e">
        <f t="shared" si="21"/>
        <v>#DIV/0!</v>
      </c>
      <c r="H266" s="1426">
        <v>42771</v>
      </c>
      <c r="M266" s="1432" t="e">
        <f t="shared" si="22"/>
        <v>#DIV/0!</v>
      </c>
      <c r="N266" s="1411">
        <f t="shared" si="23"/>
        <v>0</v>
      </c>
      <c r="P266" s="1426">
        <v>42932</v>
      </c>
      <c r="Q266" s="1460"/>
      <c r="R266" s="1425"/>
      <c r="S266" s="1461" t="e">
        <f t="shared" si="19"/>
        <v>#DIV/0!</v>
      </c>
      <c r="T266" s="1461" t="e">
        <f t="shared" si="19"/>
        <v>#DIV/0!</v>
      </c>
    </row>
    <row r="267" spans="2:20">
      <c r="B267" s="1426">
        <v>42764</v>
      </c>
      <c r="C267" s="1425"/>
      <c r="D267" s="1428" t="e">
        <f t="shared" si="20"/>
        <v>#DIV/0!</v>
      </c>
      <c r="F267" s="1427"/>
      <c r="G267" s="1428" t="e">
        <f t="shared" si="21"/>
        <v>#DIV/0!</v>
      </c>
      <c r="H267" s="1426">
        <v>42764</v>
      </c>
      <c r="M267" s="1432" t="e">
        <f t="shared" si="22"/>
        <v>#DIV/0!</v>
      </c>
      <c r="N267" s="1411">
        <f t="shared" si="23"/>
        <v>0</v>
      </c>
      <c r="P267" s="1426">
        <v>42925</v>
      </c>
      <c r="Q267" s="1460"/>
      <c r="R267" s="1425"/>
      <c r="S267" s="1461" t="e">
        <f t="shared" si="19"/>
        <v>#DIV/0!</v>
      </c>
      <c r="T267" s="1461" t="e">
        <f t="shared" si="19"/>
        <v>#DIV/0!</v>
      </c>
    </row>
    <row r="268" spans="2:20">
      <c r="B268" s="1426">
        <v>42757</v>
      </c>
      <c r="C268" s="1425"/>
      <c r="D268" s="1428" t="e">
        <f t="shared" si="20"/>
        <v>#DIV/0!</v>
      </c>
      <c r="F268" s="1427"/>
      <c r="G268" s="1428" t="e">
        <f t="shared" si="21"/>
        <v>#DIV/0!</v>
      </c>
      <c r="H268" s="1426">
        <v>42757</v>
      </c>
      <c r="M268" s="1432" t="e">
        <f t="shared" si="22"/>
        <v>#DIV/0!</v>
      </c>
      <c r="N268" s="1411">
        <f t="shared" si="23"/>
        <v>0</v>
      </c>
      <c r="P268" s="1426">
        <v>42918</v>
      </c>
      <c r="Q268" s="1460"/>
      <c r="R268" s="1425"/>
      <c r="S268" s="1461" t="e">
        <f t="shared" si="19"/>
        <v>#DIV/0!</v>
      </c>
      <c r="T268" s="1461" t="e">
        <f t="shared" si="19"/>
        <v>#DIV/0!</v>
      </c>
    </row>
    <row r="269" spans="2:20">
      <c r="B269" s="1426">
        <v>42750</v>
      </c>
      <c r="C269" s="1425"/>
      <c r="D269" s="1428" t="e">
        <f t="shared" si="20"/>
        <v>#DIV/0!</v>
      </c>
      <c r="F269" s="1427"/>
      <c r="G269" s="1428" t="e">
        <f t="shared" si="21"/>
        <v>#DIV/0!</v>
      </c>
      <c r="H269" s="1426">
        <v>42750</v>
      </c>
      <c r="M269" s="1432" t="e">
        <f t="shared" si="22"/>
        <v>#DIV/0!</v>
      </c>
      <c r="N269" s="1411">
        <f t="shared" si="23"/>
        <v>0</v>
      </c>
      <c r="P269" s="1426">
        <v>42911</v>
      </c>
      <c r="Q269" s="1460"/>
      <c r="R269" s="1425"/>
      <c r="S269" s="1461" t="e">
        <f t="shared" si="19"/>
        <v>#DIV/0!</v>
      </c>
      <c r="T269" s="1461" t="e">
        <f t="shared" si="19"/>
        <v>#DIV/0!</v>
      </c>
    </row>
    <row r="270" spans="2:20">
      <c r="B270" s="1426">
        <v>42743</v>
      </c>
      <c r="C270" s="1425"/>
      <c r="D270" s="1428" t="e">
        <f t="shared" si="20"/>
        <v>#DIV/0!</v>
      </c>
      <c r="F270" s="1427"/>
      <c r="G270" s="1428" t="e">
        <f t="shared" si="21"/>
        <v>#DIV/0!</v>
      </c>
      <c r="H270" s="1426">
        <v>42743</v>
      </c>
      <c r="M270" s="1432" t="e">
        <f t="shared" si="22"/>
        <v>#DIV/0!</v>
      </c>
      <c r="N270" s="1411">
        <f t="shared" si="23"/>
        <v>0</v>
      </c>
      <c r="P270" s="1426">
        <v>42904</v>
      </c>
      <c r="Q270" s="1460"/>
      <c r="R270" s="1425"/>
      <c r="S270" s="1461" t="e">
        <f t="shared" si="19"/>
        <v>#DIV/0!</v>
      </c>
      <c r="T270" s="1461" t="e">
        <f t="shared" si="19"/>
        <v>#DIV/0!</v>
      </c>
    </row>
    <row r="271" spans="2:20">
      <c r="B271" s="1426">
        <v>42736</v>
      </c>
      <c r="C271" s="1425"/>
      <c r="D271" s="1428" t="e">
        <f t="shared" si="20"/>
        <v>#DIV/0!</v>
      </c>
      <c r="F271" s="1427"/>
      <c r="G271" s="1428" t="e">
        <f t="shared" si="21"/>
        <v>#DIV/0!</v>
      </c>
      <c r="H271" s="1426">
        <v>42736</v>
      </c>
      <c r="M271" s="1432" t="e">
        <f t="shared" si="22"/>
        <v>#DIV/0!</v>
      </c>
      <c r="N271" s="1411">
        <f t="shared" si="23"/>
        <v>0</v>
      </c>
      <c r="P271" s="1426">
        <v>42897</v>
      </c>
      <c r="Q271" s="1460"/>
      <c r="R271" s="1425"/>
      <c r="S271" s="1461" t="e">
        <f t="shared" si="19"/>
        <v>#DIV/0!</v>
      </c>
      <c r="T271" s="1461" t="e">
        <f t="shared" si="19"/>
        <v>#DIV/0!</v>
      </c>
    </row>
    <row r="272" spans="2:20">
      <c r="B272" s="1426">
        <v>42729</v>
      </c>
      <c r="C272" s="1425"/>
      <c r="D272" s="1428" t="e">
        <f t="shared" si="20"/>
        <v>#DIV/0!</v>
      </c>
      <c r="F272" s="1427"/>
      <c r="G272" s="1428" t="e">
        <f t="shared" si="21"/>
        <v>#DIV/0!</v>
      </c>
      <c r="H272" s="1426">
        <v>42729</v>
      </c>
      <c r="M272" s="1432" t="e">
        <f t="shared" si="22"/>
        <v>#DIV/0!</v>
      </c>
      <c r="N272" s="1411">
        <f t="shared" si="23"/>
        <v>0</v>
      </c>
      <c r="P272" s="1426">
        <v>42890</v>
      </c>
      <c r="Q272" s="1460"/>
      <c r="R272" s="1425"/>
      <c r="S272" s="1461" t="e">
        <f t="shared" si="19"/>
        <v>#DIV/0!</v>
      </c>
      <c r="T272" s="1461" t="e">
        <f t="shared" si="19"/>
        <v>#DIV/0!</v>
      </c>
    </row>
    <row r="273" spans="2:20">
      <c r="B273" s="1426">
        <v>42722</v>
      </c>
      <c r="C273" s="1425"/>
      <c r="D273" s="1428" t="e">
        <f t="shared" si="20"/>
        <v>#DIV/0!</v>
      </c>
      <c r="F273" s="1427"/>
      <c r="G273" s="1428" t="e">
        <f t="shared" si="21"/>
        <v>#DIV/0!</v>
      </c>
      <c r="H273" s="1426">
        <v>42722</v>
      </c>
      <c r="M273" s="1432" t="e">
        <f t="shared" si="22"/>
        <v>#DIV/0!</v>
      </c>
      <c r="N273" s="1411">
        <f t="shared" si="23"/>
        <v>0</v>
      </c>
      <c r="P273" s="1426">
        <v>42883</v>
      </c>
      <c r="Q273" s="1460"/>
      <c r="R273" s="1425"/>
      <c r="S273" s="1461" t="e">
        <f t="shared" si="19"/>
        <v>#DIV/0!</v>
      </c>
      <c r="T273" s="1461" t="e">
        <f t="shared" si="19"/>
        <v>#DIV/0!</v>
      </c>
    </row>
    <row r="274" spans="2:20">
      <c r="B274" s="1426">
        <v>42715</v>
      </c>
      <c r="C274" s="1425"/>
      <c r="D274" s="1428" t="e">
        <f t="shared" si="20"/>
        <v>#DIV/0!</v>
      </c>
      <c r="F274" s="1427"/>
      <c r="G274" s="1428" t="e">
        <f t="shared" si="21"/>
        <v>#DIV/0!</v>
      </c>
      <c r="H274" s="1426">
        <v>42715</v>
      </c>
      <c r="M274" s="1432" t="e">
        <f t="shared" si="22"/>
        <v>#DIV/0!</v>
      </c>
      <c r="N274" s="1411">
        <f t="shared" si="23"/>
        <v>0</v>
      </c>
      <c r="P274" s="1426">
        <v>42876</v>
      </c>
      <c r="Q274" s="1460"/>
      <c r="R274" s="1425"/>
      <c r="S274" s="1461" t="e">
        <f t="shared" si="19"/>
        <v>#DIV/0!</v>
      </c>
      <c r="T274" s="1461" t="e">
        <f t="shared" si="19"/>
        <v>#DIV/0!</v>
      </c>
    </row>
    <row r="275" spans="2:20">
      <c r="B275" s="1426">
        <v>42708</v>
      </c>
      <c r="C275" s="1425"/>
      <c r="D275" s="1428" t="e">
        <f t="shared" si="20"/>
        <v>#DIV/0!</v>
      </c>
      <c r="F275" s="1427"/>
      <c r="G275" s="1428" t="e">
        <f t="shared" si="21"/>
        <v>#DIV/0!</v>
      </c>
      <c r="H275" s="1426">
        <v>42708</v>
      </c>
      <c r="M275" s="1432" t="e">
        <f t="shared" si="22"/>
        <v>#DIV/0!</v>
      </c>
      <c r="N275" s="1411">
        <f t="shared" si="23"/>
        <v>0</v>
      </c>
      <c r="P275" s="1426">
        <v>42869</v>
      </c>
      <c r="Q275" s="1460"/>
      <c r="R275" s="1425"/>
      <c r="S275" s="1461" t="e">
        <f t="shared" si="19"/>
        <v>#DIV/0!</v>
      </c>
      <c r="T275" s="1461" t="e">
        <f t="shared" si="19"/>
        <v>#DIV/0!</v>
      </c>
    </row>
    <row r="276" spans="2:20">
      <c r="B276" s="1426">
        <v>42701</v>
      </c>
      <c r="C276" s="1425"/>
      <c r="D276" s="1428" t="e">
        <f t="shared" si="20"/>
        <v>#DIV/0!</v>
      </c>
      <c r="F276" s="1427"/>
      <c r="G276" s="1428" t="e">
        <f t="shared" si="21"/>
        <v>#DIV/0!</v>
      </c>
      <c r="H276" s="1426">
        <v>42701</v>
      </c>
      <c r="M276" s="1432" t="e">
        <f t="shared" si="22"/>
        <v>#DIV/0!</v>
      </c>
      <c r="N276" s="1411">
        <f t="shared" si="23"/>
        <v>0</v>
      </c>
      <c r="P276" s="1426">
        <v>42862</v>
      </c>
      <c r="Q276" s="1460"/>
      <c r="R276" s="1425"/>
      <c r="S276" s="1461" t="e">
        <f t="shared" si="19"/>
        <v>#DIV/0!</v>
      </c>
      <c r="T276" s="1461" t="e">
        <f t="shared" si="19"/>
        <v>#DIV/0!</v>
      </c>
    </row>
    <row r="277" spans="2:20">
      <c r="B277" s="1426">
        <v>42694</v>
      </c>
      <c r="C277" s="1425"/>
      <c r="D277" s="1428" t="e">
        <f t="shared" si="20"/>
        <v>#DIV/0!</v>
      </c>
      <c r="F277" s="1427"/>
      <c r="G277" s="1428" t="e">
        <f t="shared" si="21"/>
        <v>#DIV/0!</v>
      </c>
      <c r="H277" s="1426">
        <v>42694</v>
      </c>
      <c r="M277" s="1432" t="e">
        <f t="shared" si="22"/>
        <v>#DIV/0!</v>
      </c>
      <c r="N277" s="1411">
        <f t="shared" si="23"/>
        <v>0</v>
      </c>
      <c r="P277" s="1426">
        <v>42855</v>
      </c>
      <c r="Q277" s="1460"/>
      <c r="R277" s="1425"/>
      <c r="S277" s="1461" t="e">
        <f t="shared" si="19"/>
        <v>#DIV/0!</v>
      </c>
      <c r="T277" s="1461" t="e">
        <f t="shared" si="19"/>
        <v>#DIV/0!</v>
      </c>
    </row>
    <row r="278" spans="2:20">
      <c r="B278" s="1426">
        <v>42687</v>
      </c>
      <c r="C278" s="1425"/>
      <c r="D278" s="1428" t="e">
        <f t="shared" si="20"/>
        <v>#DIV/0!</v>
      </c>
      <c r="F278" s="1427"/>
      <c r="G278" s="1428" t="e">
        <f t="shared" si="21"/>
        <v>#DIV/0!</v>
      </c>
      <c r="H278" s="1426">
        <v>42687</v>
      </c>
      <c r="M278" s="1432" t="e">
        <f t="shared" si="22"/>
        <v>#DIV/0!</v>
      </c>
      <c r="N278" s="1411">
        <f t="shared" si="23"/>
        <v>0</v>
      </c>
      <c r="P278" s="1426">
        <v>42848</v>
      </c>
      <c r="Q278" s="1460"/>
      <c r="R278" s="1425"/>
      <c r="S278" s="1461" t="e">
        <f t="shared" si="19"/>
        <v>#DIV/0!</v>
      </c>
      <c r="T278" s="1461" t="e">
        <f t="shared" si="19"/>
        <v>#DIV/0!</v>
      </c>
    </row>
    <row r="279" spans="2:20">
      <c r="B279" s="1426">
        <v>42680</v>
      </c>
      <c r="C279" s="1425"/>
      <c r="D279" s="1428" t="e">
        <f t="shared" si="20"/>
        <v>#DIV/0!</v>
      </c>
      <c r="F279" s="1427"/>
      <c r="G279" s="1428" t="e">
        <f t="shared" si="21"/>
        <v>#DIV/0!</v>
      </c>
      <c r="H279" s="1426">
        <v>42680</v>
      </c>
      <c r="M279" s="1432" t="e">
        <f t="shared" si="22"/>
        <v>#DIV/0!</v>
      </c>
      <c r="N279" s="1411">
        <f t="shared" si="23"/>
        <v>0</v>
      </c>
      <c r="P279" s="1426">
        <v>42841</v>
      </c>
      <c r="Q279" s="1460"/>
      <c r="R279" s="1425"/>
      <c r="S279" s="1461" t="e">
        <f t="shared" si="19"/>
        <v>#DIV/0!</v>
      </c>
      <c r="T279" s="1461" t="e">
        <f t="shared" si="19"/>
        <v>#DIV/0!</v>
      </c>
    </row>
    <row r="280" spans="2:20">
      <c r="B280" s="1426">
        <v>42673</v>
      </c>
      <c r="C280" s="1425"/>
      <c r="D280" s="1428" t="e">
        <f t="shared" si="20"/>
        <v>#DIV/0!</v>
      </c>
      <c r="F280" s="1427"/>
      <c r="G280" s="1428" t="e">
        <f t="shared" si="21"/>
        <v>#DIV/0!</v>
      </c>
      <c r="H280" s="1426">
        <v>42673</v>
      </c>
      <c r="M280" s="1432" t="e">
        <f t="shared" si="22"/>
        <v>#DIV/0!</v>
      </c>
      <c r="N280" s="1411">
        <f t="shared" si="23"/>
        <v>0</v>
      </c>
      <c r="P280" s="1426">
        <v>42834</v>
      </c>
      <c r="Q280" s="1460"/>
      <c r="R280" s="1425"/>
      <c r="S280" s="1461" t="e">
        <f t="shared" si="19"/>
        <v>#DIV/0!</v>
      </c>
      <c r="T280" s="1461" t="e">
        <f t="shared" si="19"/>
        <v>#DIV/0!</v>
      </c>
    </row>
    <row r="281" spans="2:20">
      <c r="B281" s="1426">
        <v>42666</v>
      </c>
      <c r="C281" s="1425"/>
      <c r="D281" s="1428" t="e">
        <f t="shared" si="20"/>
        <v>#DIV/0!</v>
      </c>
      <c r="F281" s="1427"/>
      <c r="G281" s="1428" t="e">
        <f t="shared" si="21"/>
        <v>#DIV/0!</v>
      </c>
      <c r="H281" s="1426">
        <v>42666</v>
      </c>
      <c r="M281" s="1432" t="e">
        <f t="shared" si="22"/>
        <v>#DIV/0!</v>
      </c>
      <c r="N281" s="1411">
        <f t="shared" si="23"/>
        <v>0</v>
      </c>
      <c r="P281" s="1426">
        <v>42827</v>
      </c>
      <c r="Q281" s="1460"/>
      <c r="R281" s="1425"/>
      <c r="S281" s="1461" t="e">
        <f t="shared" si="19"/>
        <v>#DIV/0!</v>
      </c>
      <c r="T281" s="1461" t="e">
        <f t="shared" si="19"/>
        <v>#DIV/0!</v>
      </c>
    </row>
    <row r="282" spans="2:20">
      <c r="B282" s="1426">
        <v>42659</v>
      </c>
      <c r="C282" s="1425"/>
      <c r="D282" s="1428" t="e">
        <f t="shared" si="20"/>
        <v>#DIV/0!</v>
      </c>
      <c r="F282" s="1427"/>
      <c r="G282" s="1428" t="e">
        <f t="shared" si="21"/>
        <v>#DIV/0!</v>
      </c>
      <c r="H282" s="1426">
        <v>42659</v>
      </c>
      <c r="M282" s="1432" t="e">
        <f t="shared" si="22"/>
        <v>#DIV/0!</v>
      </c>
      <c r="N282" s="1411">
        <f t="shared" si="23"/>
        <v>0</v>
      </c>
      <c r="P282" s="1426">
        <v>42820</v>
      </c>
      <c r="Q282" s="1460"/>
      <c r="R282" s="1425"/>
      <c r="S282" s="1461" t="e">
        <f t="shared" si="19"/>
        <v>#DIV/0!</v>
      </c>
      <c r="T282" s="1461" t="e">
        <f t="shared" si="19"/>
        <v>#DIV/0!</v>
      </c>
    </row>
    <row r="283" spans="2:20">
      <c r="B283" s="1426">
        <v>42652</v>
      </c>
      <c r="C283" s="1425"/>
      <c r="D283" s="1428" t="e">
        <f t="shared" si="20"/>
        <v>#DIV/0!</v>
      </c>
      <c r="F283" s="1427"/>
      <c r="G283" s="1428" t="e">
        <f t="shared" si="21"/>
        <v>#DIV/0!</v>
      </c>
      <c r="H283" s="1426">
        <v>42652</v>
      </c>
      <c r="M283" s="1432" t="e">
        <f t="shared" si="22"/>
        <v>#DIV/0!</v>
      </c>
      <c r="N283" s="1411">
        <f t="shared" si="23"/>
        <v>0</v>
      </c>
      <c r="P283" s="1426">
        <v>42813</v>
      </c>
      <c r="Q283" s="1460"/>
      <c r="R283" s="1425"/>
      <c r="S283" s="1461" t="e">
        <f t="shared" si="19"/>
        <v>#DIV/0!</v>
      </c>
      <c r="T283" s="1461" t="e">
        <f t="shared" si="19"/>
        <v>#DIV/0!</v>
      </c>
    </row>
    <row r="284" spans="2:20">
      <c r="B284" s="1426">
        <v>42645</v>
      </c>
      <c r="C284" s="1425"/>
      <c r="D284" s="1428" t="e">
        <f t="shared" si="20"/>
        <v>#DIV/0!</v>
      </c>
      <c r="F284" s="1427"/>
      <c r="G284" s="1428" t="e">
        <f t="shared" si="21"/>
        <v>#DIV/0!</v>
      </c>
      <c r="H284" s="1426">
        <v>42645</v>
      </c>
      <c r="M284" s="1432" t="e">
        <f t="shared" si="22"/>
        <v>#DIV/0!</v>
      </c>
      <c r="N284" s="1411">
        <f t="shared" si="23"/>
        <v>0</v>
      </c>
      <c r="P284" s="1426">
        <v>42806</v>
      </c>
      <c r="Q284" s="1460"/>
      <c r="R284" s="1425"/>
      <c r="S284" s="1461" t="e">
        <f t="shared" si="19"/>
        <v>#DIV/0!</v>
      </c>
      <c r="T284" s="1461" t="e">
        <f t="shared" si="19"/>
        <v>#DIV/0!</v>
      </c>
    </row>
    <row r="285" spans="2:20">
      <c r="B285" s="1426">
        <v>42638</v>
      </c>
      <c r="C285" s="1425"/>
      <c r="D285" s="1428" t="e">
        <f t="shared" si="20"/>
        <v>#DIV/0!</v>
      </c>
      <c r="F285" s="1427"/>
      <c r="G285" s="1428" t="e">
        <f t="shared" si="21"/>
        <v>#DIV/0!</v>
      </c>
      <c r="H285" s="1426">
        <v>42638</v>
      </c>
      <c r="M285" s="1432" t="e">
        <f t="shared" si="22"/>
        <v>#DIV/0!</v>
      </c>
      <c r="N285" s="1411">
        <f t="shared" si="23"/>
        <v>0</v>
      </c>
      <c r="P285" s="1426">
        <v>42799</v>
      </c>
      <c r="Q285" s="1460"/>
      <c r="R285" s="1425"/>
      <c r="S285" s="1461" t="e">
        <f t="shared" si="19"/>
        <v>#DIV/0!</v>
      </c>
      <c r="T285" s="1461" t="e">
        <f t="shared" si="19"/>
        <v>#DIV/0!</v>
      </c>
    </row>
    <row r="286" spans="2:20">
      <c r="B286" s="1426">
        <v>42631</v>
      </c>
      <c r="C286" s="1425"/>
      <c r="D286" s="1428" t="e">
        <f t="shared" si="20"/>
        <v>#DIV/0!</v>
      </c>
      <c r="F286" s="1427"/>
      <c r="G286" s="1428" t="e">
        <f t="shared" si="21"/>
        <v>#DIV/0!</v>
      </c>
      <c r="H286" s="1426">
        <v>42631</v>
      </c>
      <c r="M286" s="1432" t="e">
        <f t="shared" si="22"/>
        <v>#DIV/0!</v>
      </c>
      <c r="N286" s="1411">
        <f t="shared" si="23"/>
        <v>0</v>
      </c>
      <c r="P286" s="1426">
        <v>42792</v>
      </c>
      <c r="Q286" s="1460"/>
      <c r="R286" s="1425"/>
      <c r="S286" s="1461" t="e">
        <f t="shared" si="19"/>
        <v>#DIV/0!</v>
      </c>
      <c r="T286" s="1461" t="e">
        <f t="shared" si="19"/>
        <v>#DIV/0!</v>
      </c>
    </row>
    <row r="287" spans="2:20">
      <c r="B287" s="1426">
        <v>42624</v>
      </c>
      <c r="C287" s="1425"/>
      <c r="D287" s="1428" t="e">
        <f t="shared" si="20"/>
        <v>#DIV/0!</v>
      </c>
      <c r="F287" s="1427"/>
      <c r="G287" s="1428" t="e">
        <f t="shared" si="21"/>
        <v>#DIV/0!</v>
      </c>
      <c r="H287" s="1426">
        <v>42624</v>
      </c>
      <c r="M287" s="1432" t="e">
        <f t="shared" si="22"/>
        <v>#DIV/0!</v>
      </c>
      <c r="N287" s="1411">
        <f t="shared" si="23"/>
        <v>0</v>
      </c>
      <c r="P287" s="1426">
        <v>42785</v>
      </c>
      <c r="Q287" s="1460"/>
      <c r="R287" s="1425"/>
      <c r="S287" s="1461" t="e">
        <f t="shared" ref="S287:T290" si="24">Q287/Q288-1</f>
        <v>#DIV/0!</v>
      </c>
      <c r="T287" s="1461" t="e">
        <f t="shared" si="24"/>
        <v>#DIV/0!</v>
      </c>
    </row>
    <row r="288" spans="2:20">
      <c r="B288" s="1426">
        <v>42617</v>
      </c>
      <c r="C288" s="1425"/>
      <c r="D288" s="1428" t="e">
        <f t="shared" si="20"/>
        <v>#DIV/0!</v>
      </c>
      <c r="F288" s="1427"/>
      <c r="G288" s="1428" t="e">
        <f t="shared" si="21"/>
        <v>#DIV/0!</v>
      </c>
      <c r="H288" s="1426">
        <v>42617</v>
      </c>
      <c r="M288" s="1432" t="e">
        <f t="shared" si="22"/>
        <v>#DIV/0!</v>
      </c>
      <c r="N288" s="1411">
        <f t="shared" si="23"/>
        <v>0</v>
      </c>
      <c r="P288" s="1426">
        <v>42778</v>
      </c>
      <c r="Q288" s="1460"/>
      <c r="R288" s="1425"/>
      <c r="S288" s="1461" t="e">
        <f t="shared" si="24"/>
        <v>#DIV/0!</v>
      </c>
      <c r="T288" s="1461" t="e">
        <f t="shared" si="24"/>
        <v>#DIV/0!</v>
      </c>
    </row>
    <row r="289" spans="2:20">
      <c r="B289" s="1426">
        <v>42610</v>
      </c>
      <c r="C289" s="1425"/>
      <c r="D289" s="1428" t="e">
        <f t="shared" si="20"/>
        <v>#DIV/0!</v>
      </c>
      <c r="F289" s="1427"/>
      <c r="G289" s="1428" t="e">
        <f t="shared" si="21"/>
        <v>#DIV/0!</v>
      </c>
      <c r="H289" s="1426">
        <v>42610</v>
      </c>
      <c r="M289" s="1432" t="e">
        <f t="shared" si="22"/>
        <v>#DIV/0!</v>
      </c>
      <c r="N289" s="1411">
        <f t="shared" si="23"/>
        <v>0</v>
      </c>
      <c r="P289" s="1426">
        <v>42771</v>
      </c>
      <c r="Q289" s="1460"/>
      <c r="R289" s="1425"/>
      <c r="S289" s="1461" t="e">
        <f t="shared" si="24"/>
        <v>#DIV/0!</v>
      </c>
      <c r="T289" s="1461" t="e">
        <f t="shared" si="24"/>
        <v>#DIV/0!</v>
      </c>
    </row>
    <row r="290" spans="2:20">
      <c r="B290" s="1426">
        <v>42603</v>
      </c>
      <c r="C290" s="1425"/>
      <c r="D290" s="1428" t="e">
        <f t="shared" si="20"/>
        <v>#DIV/0!</v>
      </c>
      <c r="F290" s="1427"/>
      <c r="G290" s="1428" t="e">
        <f t="shared" si="21"/>
        <v>#DIV/0!</v>
      </c>
      <c r="H290" s="1426">
        <v>42603</v>
      </c>
      <c r="M290" s="1432" t="e">
        <f t="shared" si="22"/>
        <v>#DIV/0!</v>
      </c>
      <c r="N290" s="1411">
        <f t="shared" si="23"/>
        <v>0</v>
      </c>
      <c r="P290" s="1426">
        <v>42764</v>
      </c>
      <c r="Q290" s="1460"/>
      <c r="R290" s="1425"/>
      <c r="S290" s="1461" t="e">
        <f t="shared" si="24"/>
        <v>#DIV/0!</v>
      </c>
      <c r="T290" s="1461" t="e">
        <f t="shared" si="24"/>
        <v>#DIV/0!</v>
      </c>
    </row>
    <row r="291" spans="2:20">
      <c r="B291" s="1426">
        <v>42596</v>
      </c>
      <c r="C291" s="1425"/>
      <c r="D291" s="1428" t="e">
        <f t="shared" si="20"/>
        <v>#DIV/0!</v>
      </c>
      <c r="F291" s="1427"/>
      <c r="G291" s="1428" t="e">
        <f t="shared" si="21"/>
        <v>#DIV/0!</v>
      </c>
      <c r="H291" s="1426">
        <v>42596</v>
      </c>
      <c r="M291" s="1432" t="e">
        <f t="shared" si="22"/>
        <v>#DIV/0!</v>
      </c>
      <c r="N291" s="1411">
        <f t="shared" si="23"/>
        <v>0</v>
      </c>
      <c r="P291" s="1462"/>
      <c r="Q291" s="1463"/>
      <c r="R291" s="1464"/>
      <c r="S291" s="1461"/>
      <c r="T291" s="1465"/>
    </row>
    <row r="292" spans="2:20">
      <c r="B292" s="1426">
        <v>42589</v>
      </c>
      <c r="C292" s="1425"/>
      <c r="D292" s="1428" t="e">
        <f t="shared" si="20"/>
        <v>#DIV/0!</v>
      </c>
      <c r="F292" s="1427"/>
      <c r="G292" s="1428" t="e">
        <f t="shared" si="21"/>
        <v>#DIV/0!</v>
      </c>
      <c r="H292" s="1426">
        <v>42589</v>
      </c>
      <c r="M292" s="1432" t="e">
        <f t="shared" si="22"/>
        <v>#DIV/0!</v>
      </c>
      <c r="N292" s="1411">
        <f t="shared" si="23"/>
        <v>0</v>
      </c>
      <c r="P292" s="1462"/>
      <c r="Q292" s="1463"/>
      <c r="R292" s="1464"/>
      <c r="S292" s="1461"/>
      <c r="T292" s="1465"/>
    </row>
    <row r="293" spans="2:20">
      <c r="B293" s="1426">
        <v>42582</v>
      </c>
      <c r="C293" s="1425"/>
      <c r="D293" s="1428" t="e">
        <f t="shared" si="20"/>
        <v>#DIV/0!</v>
      </c>
      <c r="F293" s="1427"/>
      <c r="G293" s="1428" t="e">
        <f t="shared" si="21"/>
        <v>#DIV/0!</v>
      </c>
      <c r="H293" s="1426">
        <v>42582</v>
      </c>
      <c r="M293" s="1432" t="e">
        <f t="shared" si="22"/>
        <v>#DIV/0!</v>
      </c>
      <c r="N293" s="1411">
        <f t="shared" si="23"/>
        <v>0</v>
      </c>
      <c r="P293" s="1462"/>
      <c r="Q293" s="1463"/>
      <c r="R293" s="1464"/>
      <c r="S293" s="1461"/>
      <c r="T293" s="1465"/>
    </row>
    <row r="294" spans="2:20">
      <c r="B294" s="1426">
        <v>42575</v>
      </c>
      <c r="C294" s="1425"/>
      <c r="D294" s="1428" t="e">
        <f t="shared" si="20"/>
        <v>#DIV/0!</v>
      </c>
      <c r="F294" s="1427"/>
      <c r="G294" s="1428" t="e">
        <f t="shared" si="21"/>
        <v>#DIV/0!</v>
      </c>
      <c r="H294" s="1426">
        <v>42575</v>
      </c>
      <c r="M294" s="1432" t="e">
        <f t="shared" si="22"/>
        <v>#DIV/0!</v>
      </c>
      <c r="N294" s="1411">
        <f t="shared" si="23"/>
        <v>0</v>
      </c>
      <c r="P294" s="1462"/>
      <c r="Q294" s="1463"/>
      <c r="R294" s="1464"/>
      <c r="S294" s="1461"/>
      <c r="T294" s="1465"/>
    </row>
    <row r="295" spans="2:20">
      <c r="B295" s="1426">
        <v>42568</v>
      </c>
      <c r="C295" s="1425"/>
      <c r="D295" s="1428" t="e">
        <f t="shared" si="20"/>
        <v>#DIV/0!</v>
      </c>
      <c r="F295" s="1427"/>
      <c r="G295" s="1428" t="e">
        <f t="shared" si="21"/>
        <v>#DIV/0!</v>
      </c>
      <c r="H295" s="1426">
        <v>42568</v>
      </c>
      <c r="M295" s="1432" t="e">
        <f t="shared" si="22"/>
        <v>#DIV/0!</v>
      </c>
      <c r="N295" s="1411">
        <f t="shared" si="23"/>
        <v>0</v>
      </c>
      <c r="P295" s="1462"/>
      <c r="Q295" s="1463"/>
      <c r="R295" s="1464"/>
      <c r="S295" s="1461"/>
      <c r="T295" s="1465"/>
    </row>
    <row r="296" spans="2:20">
      <c r="B296" s="1426">
        <v>42561</v>
      </c>
      <c r="C296" s="1425"/>
      <c r="D296" s="1428" t="e">
        <f t="shared" si="20"/>
        <v>#DIV/0!</v>
      </c>
      <c r="F296" s="1427"/>
      <c r="G296" s="1428" t="e">
        <f t="shared" si="21"/>
        <v>#DIV/0!</v>
      </c>
      <c r="H296" s="1426">
        <v>42561</v>
      </c>
      <c r="M296" s="1432" t="e">
        <f t="shared" si="22"/>
        <v>#DIV/0!</v>
      </c>
      <c r="N296" s="1411">
        <f t="shared" si="23"/>
        <v>0</v>
      </c>
      <c r="P296" s="1462"/>
      <c r="Q296" s="1463"/>
      <c r="R296" s="1464"/>
      <c r="S296" s="1461"/>
      <c r="T296" s="1465"/>
    </row>
    <row r="297" spans="2:20">
      <c r="B297" s="1426">
        <v>42554</v>
      </c>
      <c r="C297" s="1425"/>
      <c r="D297" s="1428" t="e">
        <f t="shared" si="20"/>
        <v>#DIV/0!</v>
      </c>
      <c r="F297" s="1427"/>
      <c r="G297" s="1428" t="e">
        <f t="shared" si="21"/>
        <v>#DIV/0!</v>
      </c>
      <c r="H297" s="1426">
        <v>42554</v>
      </c>
      <c r="M297" s="1432" t="e">
        <f t="shared" si="22"/>
        <v>#DIV/0!</v>
      </c>
      <c r="N297" s="1411">
        <f t="shared" si="23"/>
        <v>0</v>
      </c>
      <c r="P297" s="1462"/>
      <c r="Q297" s="1463"/>
      <c r="R297" s="1464"/>
      <c r="S297" s="1461"/>
      <c r="T297" s="1465"/>
    </row>
    <row r="298" spans="2:20">
      <c r="B298" s="1426">
        <v>42547</v>
      </c>
      <c r="C298" s="1425"/>
      <c r="D298" s="1428" t="e">
        <f t="shared" si="20"/>
        <v>#DIV/0!</v>
      </c>
      <c r="F298" s="1427"/>
      <c r="G298" s="1428" t="e">
        <f t="shared" si="21"/>
        <v>#DIV/0!</v>
      </c>
      <c r="H298" s="1426">
        <v>42547</v>
      </c>
      <c r="M298" s="1432" t="e">
        <f t="shared" si="22"/>
        <v>#DIV/0!</v>
      </c>
      <c r="N298" s="1411">
        <f t="shared" si="23"/>
        <v>0</v>
      </c>
      <c r="P298" s="1462"/>
      <c r="Q298" s="1463"/>
      <c r="R298" s="1464"/>
      <c r="S298" s="1461"/>
      <c r="T298" s="1465"/>
    </row>
    <row r="299" spans="2:20">
      <c r="B299" s="1426">
        <v>42540</v>
      </c>
      <c r="C299" s="1425"/>
      <c r="D299" s="1428" t="e">
        <f t="shared" si="20"/>
        <v>#DIV/0!</v>
      </c>
      <c r="F299" s="1427"/>
      <c r="G299" s="1428" t="e">
        <f t="shared" si="21"/>
        <v>#DIV/0!</v>
      </c>
      <c r="H299" s="1426">
        <v>42540</v>
      </c>
      <c r="M299" s="1432" t="e">
        <f t="shared" si="22"/>
        <v>#DIV/0!</v>
      </c>
      <c r="N299" s="1411">
        <f t="shared" si="23"/>
        <v>0</v>
      </c>
      <c r="P299" s="1462"/>
      <c r="Q299" s="1463"/>
      <c r="R299" s="1464"/>
      <c r="S299" s="1461"/>
      <c r="T299" s="1465"/>
    </row>
    <row r="300" spans="2:20">
      <c r="B300" s="1426">
        <v>42533</v>
      </c>
      <c r="C300" s="1425"/>
      <c r="D300" s="1428" t="e">
        <f t="shared" si="20"/>
        <v>#DIV/0!</v>
      </c>
      <c r="F300" s="1427"/>
      <c r="G300" s="1428" t="e">
        <f t="shared" si="21"/>
        <v>#DIV/0!</v>
      </c>
      <c r="H300" s="1426">
        <v>42533</v>
      </c>
      <c r="M300" s="1432" t="e">
        <f t="shared" si="22"/>
        <v>#DIV/0!</v>
      </c>
      <c r="N300" s="1411">
        <f t="shared" si="23"/>
        <v>0</v>
      </c>
      <c r="P300" s="1462"/>
      <c r="Q300" s="1463"/>
      <c r="R300" s="1464"/>
      <c r="S300" s="1461"/>
      <c r="T300" s="1465"/>
    </row>
    <row r="301" spans="2:20">
      <c r="B301" s="1426">
        <v>42526</v>
      </c>
      <c r="C301" s="1425"/>
      <c r="D301" s="1428" t="e">
        <f t="shared" si="20"/>
        <v>#DIV/0!</v>
      </c>
      <c r="F301" s="1427"/>
      <c r="G301" s="1428" t="e">
        <f t="shared" si="21"/>
        <v>#DIV/0!</v>
      </c>
      <c r="H301" s="1426">
        <v>42526</v>
      </c>
      <c r="M301" s="1432" t="e">
        <f t="shared" si="22"/>
        <v>#DIV/0!</v>
      </c>
      <c r="N301" s="1411">
        <f t="shared" si="23"/>
        <v>0</v>
      </c>
      <c r="P301" s="1462"/>
      <c r="Q301" s="1463"/>
      <c r="R301" s="1464"/>
      <c r="S301" s="1461"/>
      <c r="T301" s="1465"/>
    </row>
    <row r="302" spans="2:20">
      <c r="B302" s="1426">
        <v>42519</v>
      </c>
      <c r="C302" s="1425"/>
      <c r="D302" s="1428" t="e">
        <f t="shared" si="20"/>
        <v>#DIV/0!</v>
      </c>
      <c r="F302" s="1427"/>
      <c r="G302" s="1428" t="e">
        <f t="shared" si="21"/>
        <v>#DIV/0!</v>
      </c>
      <c r="H302" s="1426">
        <v>42519</v>
      </c>
      <c r="M302" s="1432" t="e">
        <f t="shared" si="22"/>
        <v>#DIV/0!</v>
      </c>
      <c r="N302" s="1411">
        <f t="shared" si="23"/>
        <v>0</v>
      </c>
      <c r="P302" s="1462"/>
      <c r="Q302" s="1463"/>
      <c r="R302" s="1464"/>
      <c r="S302" s="1461"/>
      <c r="T302" s="1465"/>
    </row>
    <row r="303" spans="2:20">
      <c r="B303" s="1426">
        <v>42512</v>
      </c>
      <c r="C303" s="1425"/>
      <c r="D303" s="1428" t="e">
        <f t="shared" si="20"/>
        <v>#DIV/0!</v>
      </c>
      <c r="F303" s="1427"/>
      <c r="G303" s="1428" t="e">
        <f t="shared" si="21"/>
        <v>#DIV/0!</v>
      </c>
      <c r="H303" s="1426">
        <v>42512</v>
      </c>
      <c r="M303" s="1432" t="e">
        <f t="shared" si="22"/>
        <v>#DIV/0!</v>
      </c>
      <c r="N303" s="1411">
        <f t="shared" si="23"/>
        <v>0</v>
      </c>
      <c r="P303" s="1462"/>
      <c r="Q303" s="1463"/>
      <c r="R303" s="1464"/>
      <c r="S303" s="1461"/>
      <c r="T303" s="1465"/>
    </row>
    <row r="304" spans="2:20">
      <c r="B304" s="1426">
        <v>42505</v>
      </c>
      <c r="C304" s="1425"/>
      <c r="D304" s="1428" t="e">
        <f t="shared" si="20"/>
        <v>#DIV/0!</v>
      </c>
      <c r="F304" s="1427"/>
      <c r="G304" s="1428" t="e">
        <f t="shared" si="21"/>
        <v>#DIV/0!</v>
      </c>
      <c r="H304" s="1426">
        <v>42505</v>
      </c>
      <c r="M304" s="1432" t="e">
        <f t="shared" si="22"/>
        <v>#DIV/0!</v>
      </c>
      <c r="N304" s="1411">
        <f t="shared" si="23"/>
        <v>0</v>
      </c>
      <c r="P304" s="1462"/>
      <c r="Q304" s="1463"/>
      <c r="R304" s="1464"/>
      <c r="S304" s="1461"/>
      <c r="T304" s="1465"/>
    </row>
    <row r="305" spans="2:20">
      <c r="B305" s="1426">
        <v>42498</v>
      </c>
      <c r="C305" s="1425"/>
      <c r="D305" s="1428" t="e">
        <f t="shared" si="20"/>
        <v>#DIV/0!</v>
      </c>
      <c r="F305" s="1427"/>
      <c r="G305" s="1428" t="e">
        <f t="shared" si="21"/>
        <v>#DIV/0!</v>
      </c>
      <c r="H305" s="1426">
        <v>42498</v>
      </c>
      <c r="M305" s="1432" t="e">
        <f t="shared" si="22"/>
        <v>#DIV/0!</v>
      </c>
      <c r="N305" s="1411">
        <f t="shared" si="23"/>
        <v>0</v>
      </c>
      <c r="P305" s="1462"/>
      <c r="Q305" s="1463"/>
      <c r="R305" s="1464"/>
      <c r="S305" s="1461"/>
      <c r="T305" s="1465"/>
    </row>
    <row r="306" spans="2:20">
      <c r="B306" s="1426">
        <v>42491</v>
      </c>
      <c r="C306" s="1425"/>
      <c r="D306" s="1428" t="e">
        <f t="shared" si="20"/>
        <v>#DIV/0!</v>
      </c>
      <c r="F306" s="1427"/>
      <c r="G306" s="1428" t="e">
        <f t="shared" si="21"/>
        <v>#DIV/0!</v>
      </c>
      <c r="H306" s="1426">
        <v>42491</v>
      </c>
      <c r="M306" s="1432" t="e">
        <f t="shared" si="22"/>
        <v>#DIV/0!</v>
      </c>
      <c r="N306" s="1411">
        <f t="shared" si="23"/>
        <v>0</v>
      </c>
      <c r="P306" s="1462"/>
      <c r="Q306" s="1463"/>
      <c r="R306" s="1464"/>
      <c r="S306" s="1461"/>
      <c r="T306" s="1465"/>
    </row>
    <row r="307" spans="2:20">
      <c r="B307" s="1426">
        <v>42484</v>
      </c>
      <c r="C307" s="1425"/>
      <c r="D307" s="1428" t="e">
        <f t="shared" si="20"/>
        <v>#DIV/0!</v>
      </c>
      <c r="F307" s="1427"/>
      <c r="G307" s="1428" t="e">
        <f t="shared" si="21"/>
        <v>#DIV/0!</v>
      </c>
      <c r="H307" s="1426">
        <v>42484</v>
      </c>
      <c r="M307" s="1432" t="e">
        <f t="shared" si="22"/>
        <v>#DIV/0!</v>
      </c>
      <c r="N307" s="1411">
        <f t="shared" si="23"/>
        <v>0</v>
      </c>
      <c r="P307" s="1462"/>
      <c r="Q307" s="1463"/>
      <c r="R307" s="1464"/>
      <c r="S307" s="1461"/>
      <c r="T307" s="1465"/>
    </row>
    <row r="308" spans="2:20">
      <c r="B308" s="1426">
        <v>42477</v>
      </c>
      <c r="C308" s="1425"/>
      <c r="D308" s="1428" t="e">
        <f t="shared" si="20"/>
        <v>#DIV/0!</v>
      </c>
      <c r="F308" s="1427"/>
      <c r="G308" s="1428" t="e">
        <f t="shared" si="21"/>
        <v>#DIV/0!</v>
      </c>
      <c r="H308" s="1426">
        <v>42477</v>
      </c>
      <c r="M308" s="1432" t="e">
        <f t="shared" si="22"/>
        <v>#DIV/0!</v>
      </c>
      <c r="N308" s="1411">
        <f t="shared" si="23"/>
        <v>0</v>
      </c>
      <c r="P308" s="1462"/>
      <c r="Q308" s="1463"/>
      <c r="R308" s="1464"/>
      <c r="S308" s="1461"/>
      <c r="T308" s="1465"/>
    </row>
    <row r="309" spans="2:20">
      <c r="B309" s="1426">
        <v>42470</v>
      </c>
      <c r="C309" s="1425"/>
      <c r="D309" s="1428" t="e">
        <f t="shared" si="20"/>
        <v>#DIV/0!</v>
      </c>
      <c r="F309" s="1427"/>
      <c r="G309" s="1428" t="e">
        <f t="shared" si="21"/>
        <v>#DIV/0!</v>
      </c>
      <c r="H309" s="1426">
        <v>42470</v>
      </c>
      <c r="M309" s="1432" t="e">
        <f t="shared" si="22"/>
        <v>#DIV/0!</v>
      </c>
      <c r="N309" s="1411">
        <f t="shared" si="23"/>
        <v>0</v>
      </c>
      <c r="P309" s="1462"/>
      <c r="Q309" s="1463"/>
      <c r="R309" s="1464"/>
      <c r="S309" s="1461"/>
      <c r="T309" s="1465"/>
    </row>
    <row r="310" spans="2:20">
      <c r="B310" s="1426">
        <v>42463</v>
      </c>
      <c r="C310" s="1425"/>
      <c r="D310" s="1428" t="e">
        <f t="shared" si="20"/>
        <v>#DIV/0!</v>
      </c>
      <c r="F310" s="1427"/>
      <c r="G310" s="1428" t="e">
        <f t="shared" si="21"/>
        <v>#DIV/0!</v>
      </c>
      <c r="H310" s="1426">
        <v>42463</v>
      </c>
      <c r="M310" s="1432" t="e">
        <f t="shared" si="22"/>
        <v>#DIV/0!</v>
      </c>
      <c r="N310" s="1411">
        <f t="shared" si="23"/>
        <v>0</v>
      </c>
      <c r="P310" s="1462"/>
      <c r="Q310" s="1463"/>
      <c r="R310" s="1464"/>
      <c r="S310" s="1461"/>
      <c r="T310" s="1465"/>
    </row>
    <row r="311" spans="2:20">
      <c r="B311" s="1426">
        <v>42456</v>
      </c>
      <c r="C311" s="1425"/>
      <c r="D311" s="1428" t="e">
        <f t="shared" si="20"/>
        <v>#DIV/0!</v>
      </c>
      <c r="F311" s="1427"/>
      <c r="G311" s="1428" t="e">
        <f t="shared" si="21"/>
        <v>#DIV/0!</v>
      </c>
      <c r="H311" s="1426">
        <v>42456</v>
      </c>
      <c r="M311" s="1432" t="e">
        <f t="shared" si="22"/>
        <v>#DIV/0!</v>
      </c>
      <c r="N311" s="1411">
        <f t="shared" si="23"/>
        <v>0</v>
      </c>
      <c r="P311" s="1462"/>
      <c r="Q311" s="1463"/>
      <c r="R311" s="1464"/>
      <c r="S311" s="1461"/>
      <c r="T311" s="1465"/>
    </row>
    <row r="312" spans="2:20">
      <c r="B312" s="1426">
        <v>42449</v>
      </c>
      <c r="C312" s="1425"/>
      <c r="D312" s="1428" t="e">
        <f t="shared" si="20"/>
        <v>#DIV/0!</v>
      </c>
      <c r="F312" s="1427"/>
      <c r="G312" s="1428" t="e">
        <f t="shared" si="21"/>
        <v>#DIV/0!</v>
      </c>
      <c r="H312" s="1426">
        <v>42449</v>
      </c>
      <c r="M312" s="1432" t="e">
        <f t="shared" si="22"/>
        <v>#DIV/0!</v>
      </c>
      <c r="N312" s="1411">
        <f t="shared" si="23"/>
        <v>0</v>
      </c>
      <c r="P312" s="1462"/>
      <c r="Q312" s="1463"/>
      <c r="R312" s="1464"/>
      <c r="S312" s="1461"/>
      <c r="T312" s="1465"/>
    </row>
    <row r="313" spans="2:20">
      <c r="B313" s="1426">
        <v>42442</v>
      </c>
      <c r="C313" s="1425"/>
      <c r="D313" s="1428" t="e">
        <f t="shared" si="20"/>
        <v>#DIV/0!</v>
      </c>
      <c r="F313" s="1427"/>
      <c r="G313" s="1428" t="e">
        <f t="shared" si="21"/>
        <v>#DIV/0!</v>
      </c>
      <c r="H313" s="1426">
        <v>42442</v>
      </c>
      <c r="M313" s="1432" t="e">
        <f t="shared" si="22"/>
        <v>#DIV/0!</v>
      </c>
      <c r="N313" s="1411">
        <f t="shared" si="23"/>
        <v>0</v>
      </c>
      <c r="P313" s="1462"/>
      <c r="Q313" s="1463"/>
      <c r="R313" s="1464"/>
      <c r="S313" s="1461"/>
      <c r="T313" s="1465"/>
    </row>
    <row r="314" spans="2:20">
      <c r="B314" s="1426">
        <v>42435</v>
      </c>
      <c r="C314" s="1425"/>
      <c r="D314" s="1428" t="e">
        <f t="shared" si="20"/>
        <v>#DIV/0!</v>
      </c>
      <c r="F314" s="1427"/>
      <c r="G314" s="1428" t="e">
        <f t="shared" si="21"/>
        <v>#DIV/0!</v>
      </c>
      <c r="H314" s="1426">
        <v>42435</v>
      </c>
      <c r="M314" s="1432" t="e">
        <f t="shared" si="22"/>
        <v>#DIV/0!</v>
      </c>
      <c r="N314" s="1411">
        <f t="shared" si="23"/>
        <v>0</v>
      </c>
      <c r="P314" s="1462"/>
      <c r="Q314" s="1463"/>
      <c r="R314" s="1464"/>
      <c r="S314" s="1461"/>
      <c r="T314" s="1465"/>
    </row>
    <row r="315" spans="2:20">
      <c r="B315" s="1426">
        <v>42428</v>
      </c>
      <c r="C315" s="1425"/>
      <c r="D315" s="1428" t="e">
        <f t="shared" si="20"/>
        <v>#DIV/0!</v>
      </c>
      <c r="F315" s="1427"/>
      <c r="G315" s="1428" t="e">
        <f t="shared" si="21"/>
        <v>#DIV/0!</v>
      </c>
      <c r="H315" s="1426">
        <v>42428</v>
      </c>
      <c r="M315" s="1432" t="e">
        <f t="shared" si="22"/>
        <v>#DIV/0!</v>
      </c>
      <c r="N315" s="1411">
        <f t="shared" si="23"/>
        <v>0</v>
      </c>
      <c r="P315" s="1462"/>
      <c r="Q315" s="1463"/>
      <c r="R315" s="1464"/>
      <c r="S315" s="1461"/>
      <c r="T315" s="1465"/>
    </row>
    <row r="316" spans="2:20">
      <c r="B316" s="1426">
        <v>42421</v>
      </c>
      <c r="C316" s="1425"/>
      <c r="D316" s="1428" t="e">
        <f t="shared" si="20"/>
        <v>#DIV/0!</v>
      </c>
      <c r="F316" s="1427"/>
      <c r="G316" s="1428" t="e">
        <f t="shared" si="21"/>
        <v>#DIV/0!</v>
      </c>
      <c r="H316" s="1426">
        <v>42421</v>
      </c>
      <c r="M316" s="1432" t="e">
        <f t="shared" si="22"/>
        <v>#DIV/0!</v>
      </c>
      <c r="N316" s="1411">
        <f t="shared" si="23"/>
        <v>0</v>
      </c>
      <c r="P316" s="1462"/>
      <c r="Q316" s="1463"/>
      <c r="R316" s="1464"/>
      <c r="S316" s="1461"/>
      <c r="T316" s="1465"/>
    </row>
    <row r="317" spans="2:20">
      <c r="B317" s="1426">
        <v>42414</v>
      </c>
      <c r="C317" s="1425"/>
      <c r="D317" s="1428" t="e">
        <f t="shared" si="20"/>
        <v>#DIV/0!</v>
      </c>
      <c r="F317" s="1427"/>
      <c r="G317" s="1428" t="e">
        <f t="shared" si="21"/>
        <v>#DIV/0!</v>
      </c>
      <c r="H317" s="1426">
        <v>42414</v>
      </c>
      <c r="M317" s="1432" t="e">
        <f t="shared" si="22"/>
        <v>#DIV/0!</v>
      </c>
      <c r="N317" s="1411">
        <f t="shared" si="23"/>
        <v>0</v>
      </c>
      <c r="P317" s="1462"/>
      <c r="Q317" s="1463"/>
      <c r="R317" s="1464"/>
      <c r="S317" s="1461"/>
      <c r="T317" s="1465"/>
    </row>
    <row r="318" spans="2:20">
      <c r="B318" s="1426">
        <v>42400</v>
      </c>
      <c r="C318" s="1425"/>
      <c r="D318" s="1428" t="e">
        <f t="shared" si="20"/>
        <v>#DIV/0!</v>
      </c>
      <c r="F318" s="1427"/>
      <c r="G318" s="1428" t="e">
        <f t="shared" si="21"/>
        <v>#DIV/0!</v>
      </c>
      <c r="H318" s="1426">
        <v>42400</v>
      </c>
      <c r="M318" s="1432" t="e">
        <f t="shared" si="22"/>
        <v>#DIV/0!</v>
      </c>
      <c r="N318" s="1411">
        <f t="shared" si="23"/>
        <v>0</v>
      </c>
      <c r="P318" s="1462"/>
      <c r="Q318" s="1463"/>
      <c r="R318" s="1464"/>
      <c r="S318" s="1461"/>
      <c r="T318" s="1465"/>
    </row>
    <row r="319" spans="2:20">
      <c r="B319" s="1426">
        <v>42393</v>
      </c>
      <c r="C319" s="1425"/>
      <c r="D319" s="1428" t="e">
        <f t="shared" si="20"/>
        <v>#DIV/0!</v>
      </c>
      <c r="F319" s="1427"/>
      <c r="G319" s="1428" t="e">
        <f t="shared" si="21"/>
        <v>#DIV/0!</v>
      </c>
      <c r="H319" s="1426">
        <v>42393</v>
      </c>
      <c r="M319" s="1432" t="e">
        <f t="shared" si="22"/>
        <v>#DIV/0!</v>
      </c>
      <c r="N319" s="1411">
        <f t="shared" si="23"/>
        <v>0</v>
      </c>
      <c r="P319" s="1462"/>
      <c r="Q319" s="1463"/>
      <c r="R319" s="1464"/>
      <c r="S319" s="1461"/>
      <c r="T319" s="1465"/>
    </row>
    <row r="320" spans="2:20">
      <c r="B320" s="1426">
        <v>42386</v>
      </c>
      <c r="C320" s="1425"/>
      <c r="D320" s="1428" t="e">
        <f t="shared" si="20"/>
        <v>#DIV/0!</v>
      </c>
      <c r="F320" s="1427"/>
      <c r="G320" s="1428" t="e">
        <f t="shared" si="21"/>
        <v>#DIV/0!</v>
      </c>
      <c r="H320" s="1426">
        <v>42386</v>
      </c>
      <c r="M320" s="1432" t="e">
        <f t="shared" si="22"/>
        <v>#DIV/0!</v>
      </c>
      <c r="N320" s="1411">
        <f t="shared" si="23"/>
        <v>0</v>
      </c>
      <c r="P320" s="1462"/>
      <c r="Q320" s="1463"/>
      <c r="R320" s="1464"/>
      <c r="S320" s="1461"/>
      <c r="T320" s="1465"/>
    </row>
    <row r="321" spans="2:20">
      <c r="B321" s="1426">
        <v>42379</v>
      </c>
      <c r="C321" s="1425"/>
      <c r="D321" s="1428" t="e">
        <f t="shared" si="20"/>
        <v>#DIV/0!</v>
      </c>
      <c r="F321" s="1427"/>
      <c r="G321" s="1428" t="e">
        <f t="shared" si="21"/>
        <v>#DIV/0!</v>
      </c>
      <c r="H321" s="1426">
        <v>42379</v>
      </c>
      <c r="M321" s="1432" t="e">
        <f t="shared" si="22"/>
        <v>#DIV/0!</v>
      </c>
      <c r="N321" s="1411">
        <f t="shared" si="23"/>
        <v>0</v>
      </c>
      <c r="P321" s="1462"/>
      <c r="Q321" s="1463"/>
      <c r="R321" s="1464"/>
      <c r="S321" s="1461"/>
      <c r="T321" s="1465"/>
    </row>
    <row r="322" spans="2:20">
      <c r="B322" s="1426">
        <v>42372</v>
      </c>
      <c r="C322" s="1425"/>
      <c r="D322" s="1428" t="e">
        <f t="shared" si="20"/>
        <v>#DIV/0!</v>
      </c>
      <c r="F322" s="1427"/>
      <c r="G322" s="1428" t="e">
        <f t="shared" si="21"/>
        <v>#DIV/0!</v>
      </c>
      <c r="H322" s="1426">
        <v>42372</v>
      </c>
      <c r="M322" s="1432" t="e">
        <f t="shared" si="22"/>
        <v>#DIV/0!</v>
      </c>
      <c r="N322" s="1411">
        <f t="shared" si="23"/>
        <v>0</v>
      </c>
      <c r="P322" s="1462"/>
      <c r="Q322" s="1463"/>
      <c r="R322" s="1464"/>
      <c r="S322" s="1461"/>
      <c r="T322" s="1465"/>
    </row>
    <row r="323" spans="2:20">
      <c r="B323" s="1426">
        <v>42365</v>
      </c>
      <c r="C323" s="1425"/>
      <c r="D323" s="1428" t="e">
        <f t="shared" si="20"/>
        <v>#DIV/0!</v>
      </c>
      <c r="F323" s="1427"/>
      <c r="G323" s="1428" t="e">
        <f t="shared" si="21"/>
        <v>#DIV/0!</v>
      </c>
      <c r="H323" s="1426">
        <v>42365</v>
      </c>
      <c r="M323" s="1432" t="e">
        <f t="shared" si="22"/>
        <v>#DIV/0!</v>
      </c>
      <c r="N323" s="1411">
        <f t="shared" si="23"/>
        <v>0</v>
      </c>
      <c r="P323" s="1462"/>
      <c r="Q323" s="1463"/>
      <c r="R323" s="1464"/>
      <c r="S323" s="1461"/>
      <c r="T323" s="1465"/>
    </row>
    <row r="324" spans="2:20">
      <c r="B324" s="1426">
        <v>42358</v>
      </c>
      <c r="C324" s="1425"/>
      <c r="D324" s="1428" t="e">
        <f t="shared" si="20"/>
        <v>#DIV/0!</v>
      </c>
      <c r="F324" s="1427"/>
      <c r="G324" s="1428" t="e">
        <f t="shared" si="21"/>
        <v>#DIV/0!</v>
      </c>
      <c r="H324" s="1426">
        <v>42358</v>
      </c>
      <c r="M324" s="1432" t="e">
        <f t="shared" si="22"/>
        <v>#DIV/0!</v>
      </c>
      <c r="N324" s="1411">
        <f t="shared" si="23"/>
        <v>0</v>
      </c>
      <c r="P324" s="1462"/>
      <c r="Q324" s="1463"/>
      <c r="R324" s="1464"/>
      <c r="S324" s="1461"/>
      <c r="T324" s="1465"/>
    </row>
    <row r="325" spans="2:20">
      <c r="B325" s="1426">
        <v>42351</v>
      </c>
      <c r="C325" s="1425"/>
      <c r="D325" s="1428" t="e">
        <f t="shared" si="20"/>
        <v>#DIV/0!</v>
      </c>
      <c r="F325" s="1427"/>
      <c r="G325" s="1428" t="e">
        <f t="shared" si="21"/>
        <v>#DIV/0!</v>
      </c>
      <c r="H325" s="1426">
        <v>42351</v>
      </c>
      <c r="M325" s="1432" t="e">
        <f t="shared" si="22"/>
        <v>#DIV/0!</v>
      </c>
      <c r="N325" s="1411">
        <f t="shared" si="23"/>
        <v>0</v>
      </c>
      <c r="P325" s="1462"/>
      <c r="Q325" s="1463"/>
      <c r="R325" s="1464"/>
      <c r="S325" s="1461"/>
      <c r="T325" s="1465"/>
    </row>
    <row r="326" spans="2:20">
      <c r="B326" s="1426">
        <v>42344</v>
      </c>
      <c r="C326" s="1425"/>
      <c r="D326" s="1428" t="e">
        <f t="shared" si="20"/>
        <v>#DIV/0!</v>
      </c>
      <c r="F326" s="1427"/>
      <c r="G326" s="1428" t="e">
        <f t="shared" si="21"/>
        <v>#DIV/0!</v>
      </c>
      <c r="H326" s="1426">
        <v>42344</v>
      </c>
      <c r="M326" s="1432" t="e">
        <f t="shared" si="22"/>
        <v>#DIV/0!</v>
      </c>
      <c r="N326" s="1411">
        <f t="shared" si="23"/>
        <v>0</v>
      </c>
      <c r="P326" s="1462"/>
      <c r="Q326" s="1463"/>
      <c r="R326" s="1464"/>
      <c r="S326" s="1461"/>
      <c r="T326" s="1465"/>
    </row>
    <row r="327" spans="2:20">
      <c r="B327" s="1426">
        <v>42337</v>
      </c>
      <c r="C327" s="1425"/>
      <c r="D327" s="1428" t="e">
        <f t="shared" ref="D327:D390" si="25">C327/C328-1</f>
        <v>#DIV/0!</v>
      </c>
      <c r="F327" s="1427"/>
      <c r="G327" s="1428" t="e">
        <f t="shared" ref="G327:G390" si="26">F327/F328-1</f>
        <v>#DIV/0!</v>
      </c>
      <c r="H327" s="1426">
        <v>42337</v>
      </c>
      <c r="M327" s="1432" t="e">
        <f t="shared" ref="M327:M390" si="27">F327/F328-1</f>
        <v>#DIV/0!</v>
      </c>
      <c r="N327" s="1411">
        <f t="shared" ref="N327:N390" si="28">H327-B327</f>
        <v>0</v>
      </c>
      <c r="P327" s="1462"/>
      <c r="Q327" s="1463"/>
      <c r="R327" s="1464"/>
      <c r="S327" s="1461"/>
      <c r="T327" s="1465"/>
    </row>
    <row r="328" spans="2:20">
      <c r="B328" s="1426">
        <v>42330</v>
      </c>
      <c r="C328" s="1425"/>
      <c r="D328" s="1428" t="e">
        <f t="shared" si="25"/>
        <v>#DIV/0!</v>
      </c>
      <c r="F328" s="1427"/>
      <c r="G328" s="1428" t="e">
        <f t="shared" si="26"/>
        <v>#DIV/0!</v>
      </c>
      <c r="H328" s="1426">
        <v>42330</v>
      </c>
      <c r="M328" s="1432" t="e">
        <f t="shared" si="27"/>
        <v>#DIV/0!</v>
      </c>
      <c r="N328" s="1411">
        <f t="shared" si="28"/>
        <v>0</v>
      </c>
      <c r="P328" s="1462"/>
      <c r="Q328" s="1463"/>
      <c r="R328" s="1464"/>
      <c r="S328" s="1461"/>
      <c r="T328" s="1465"/>
    </row>
    <row r="329" spans="2:20">
      <c r="B329" s="1426">
        <v>42323</v>
      </c>
      <c r="C329" s="1425"/>
      <c r="D329" s="1428" t="e">
        <f t="shared" si="25"/>
        <v>#DIV/0!</v>
      </c>
      <c r="F329" s="1427"/>
      <c r="G329" s="1428" t="e">
        <f t="shared" si="26"/>
        <v>#DIV/0!</v>
      </c>
      <c r="H329" s="1426">
        <v>42323</v>
      </c>
      <c r="M329" s="1432" t="e">
        <f t="shared" si="27"/>
        <v>#DIV/0!</v>
      </c>
      <c r="N329" s="1411">
        <f t="shared" si="28"/>
        <v>0</v>
      </c>
      <c r="P329" s="1462"/>
      <c r="Q329" s="1463"/>
      <c r="R329" s="1464"/>
      <c r="S329" s="1461"/>
      <c r="T329" s="1465"/>
    </row>
    <row r="330" spans="2:20">
      <c r="B330" s="1426">
        <v>42316</v>
      </c>
      <c r="C330" s="1425"/>
      <c r="D330" s="1428" t="e">
        <f t="shared" si="25"/>
        <v>#DIV/0!</v>
      </c>
      <c r="F330" s="1427"/>
      <c r="G330" s="1428" t="e">
        <f t="shared" si="26"/>
        <v>#DIV/0!</v>
      </c>
      <c r="H330" s="1426">
        <v>42316</v>
      </c>
      <c r="M330" s="1432" t="e">
        <f t="shared" si="27"/>
        <v>#DIV/0!</v>
      </c>
      <c r="N330" s="1411">
        <f t="shared" si="28"/>
        <v>0</v>
      </c>
      <c r="P330" s="1462"/>
      <c r="Q330" s="1463"/>
      <c r="R330" s="1464"/>
      <c r="S330" s="1461"/>
      <c r="T330" s="1465"/>
    </row>
    <row r="331" spans="2:20">
      <c r="B331" s="1426">
        <v>42309</v>
      </c>
      <c r="C331" s="1425"/>
      <c r="D331" s="1428" t="e">
        <f t="shared" si="25"/>
        <v>#DIV/0!</v>
      </c>
      <c r="F331" s="1427"/>
      <c r="G331" s="1428" t="e">
        <f t="shared" si="26"/>
        <v>#DIV/0!</v>
      </c>
      <c r="H331" s="1426">
        <v>42309</v>
      </c>
      <c r="M331" s="1432" t="e">
        <f t="shared" si="27"/>
        <v>#DIV/0!</v>
      </c>
      <c r="N331" s="1411">
        <f t="shared" si="28"/>
        <v>0</v>
      </c>
      <c r="P331" s="1462"/>
      <c r="Q331" s="1463"/>
      <c r="R331" s="1464"/>
      <c r="S331" s="1461"/>
      <c r="T331" s="1465"/>
    </row>
    <row r="332" spans="2:20">
      <c r="B332" s="1426">
        <v>42302</v>
      </c>
      <c r="C332" s="1425"/>
      <c r="D332" s="1428" t="e">
        <f t="shared" si="25"/>
        <v>#DIV/0!</v>
      </c>
      <c r="F332" s="1427"/>
      <c r="G332" s="1428" t="e">
        <f t="shared" si="26"/>
        <v>#DIV/0!</v>
      </c>
      <c r="H332" s="1426">
        <v>42302</v>
      </c>
      <c r="M332" s="1432" t="e">
        <f t="shared" si="27"/>
        <v>#DIV/0!</v>
      </c>
      <c r="N332" s="1411">
        <f t="shared" si="28"/>
        <v>0</v>
      </c>
      <c r="P332" s="1462"/>
      <c r="Q332" s="1463"/>
      <c r="R332" s="1464"/>
      <c r="S332" s="1465"/>
      <c r="T332" s="1465"/>
    </row>
    <row r="333" spans="2:20">
      <c r="B333" s="1426">
        <v>42295</v>
      </c>
      <c r="C333" s="1425"/>
      <c r="D333" s="1428" t="e">
        <f t="shared" si="25"/>
        <v>#DIV/0!</v>
      </c>
      <c r="F333" s="1427"/>
      <c r="G333" s="1428" t="e">
        <f t="shared" si="26"/>
        <v>#DIV/0!</v>
      </c>
      <c r="H333" s="1426">
        <v>42295</v>
      </c>
      <c r="M333" s="1432" t="e">
        <f t="shared" si="27"/>
        <v>#DIV/0!</v>
      </c>
      <c r="N333" s="1411">
        <f t="shared" si="28"/>
        <v>0</v>
      </c>
      <c r="P333" s="1462"/>
      <c r="Q333" s="1463"/>
      <c r="R333" s="1464"/>
      <c r="S333" s="1465"/>
      <c r="T333" s="1465"/>
    </row>
    <row r="334" spans="2:20">
      <c r="B334" s="1426">
        <v>42288</v>
      </c>
      <c r="C334" s="1425"/>
      <c r="D334" s="1428" t="e">
        <f t="shared" si="25"/>
        <v>#DIV/0!</v>
      </c>
      <c r="F334" s="1427"/>
      <c r="G334" s="1428" t="e">
        <f t="shared" si="26"/>
        <v>#DIV/0!</v>
      </c>
      <c r="H334" s="1426">
        <v>42288</v>
      </c>
      <c r="M334" s="1432" t="e">
        <f t="shared" si="27"/>
        <v>#DIV/0!</v>
      </c>
      <c r="N334" s="1411">
        <f t="shared" si="28"/>
        <v>0</v>
      </c>
      <c r="P334" s="1462"/>
      <c r="Q334" s="1463"/>
      <c r="R334" s="1464"/>
      <c r="S334" s="1465"/>
      <c r="T334" s="1465"/>
    </row>
    <row r="335" spans="2:20">
      <c r="B335" s="1426">
        <v>42281</v>
      </c>
      <c r="C335" s="1425"/>
      <c r="D335" s="1428" t="e">
        <f t="shared" si="25"/>
        <v>#DIV/0!</v>
      </c>
      <c r="F335" s="1427"/>
      <c r="G335" s="1428" t="e">
        <f t="shared" si="26"/>
        <v>#DIV/0!</v>
      </c>
      <c r="H335" s="1426">
        <v>42281</v>
      </c>
      <c r="M335" s="1432" t="e">
        <f t="shared" si="27"/>
        <v>#DIV/0!</v>
      </c>
      <c r="N335" s="1411">
        <f t="shared" si="28"/>
        <v>0</v>
      </c>
      <c r="P335" s="1462"/>
      <c r="Q335" s="1463"/>
      <c r="R335" s="1464"/>
      <c r="S335" s="1465"/>
      <c r="T335" s="1465"/>
    </row>
    <row r="336" spans="2:20">
      <c r="B336" s="1426">
        <v>42274</v>
      </c>
      <c r="C336" s="1425"/>
      <c r="D336" s="1428" t="e">
        <f t="shared" si="25"/>
        <v>#DIV/0!</v>
      </c>
      <c r="F336" s="1427"/>
      <c r="G336" s="1428" t="e">
        <f t="shared" si="26"/>
        <v>#DIV/0!</v>
      </c>
      <c r="H336" s="1426">
        <v>42274</v>
      </c>
      <c r="M336" s="1432" t="e">
        <f t="shared" si="27"/>
        <v>#DIV/0!</v>
      </c>
      <c r="N336" s="1411">
        <f t="shared" si="28"/>
        <v>0</v>
      </c>
      <c r="P336" s="1462"/>
      <c r="Q336" s="1463"/>
      <c r="R336" s="1464"/>
      <c r="S336" s="1465"/>
      <c r="T336" s="1465"/>
    </row>
    <row r="337" spans="2:20">
      <c r="B337" s="1426">
        <v>42267</v>
      </c>
      <c r="C337" s="1425"/>
      <c r="D337" s="1428" t="e">
        <f t="shared" si="25"/>
        <v>#DIV/0!</v>
      </c>
      <c r="F337" s="1427"/>
      <c r="G337" s="1428" t="e">
        <f t="shared" si="26"/>
        <v>#DIV/0!</v>
      </c>
      <c r="H337" s="1426">
        <v>42267</v>
      </c>
      <c r="M337" s="1432" t="e">
        <f t="shared" si="27"/>
        <v>#DIV/0!</v>
      </c>
      <c r="N337" s="1411">
        <f t="shared" si="28"/>
        <v>0</v>
      </c>
      <c r="P337" s="1462"/>
      <c r="Q337" s="1463"/>
      <c r="R337" s="1464"/>
      <c r="S337" s="1465"/>
      <c r="T337" s="1465"/>
    </row>
    <row r="338" spans="2:20">
      <c r="B338" s="1426">
        <v>42260</v>
      </c>
      <c r="C338" s="1425"/>
      <c r="D338" s="1428" t="e">
        <f t="shared" si="25"/>
        <v>#DIV/0!</v>
      </c>
      <c r="F338" s="1427"/>
      <c r="G338" s="1428" t="e">
        <f t="shared" si="26"/>
        <v>#DIV/0!</v>
      </c>
      <c r="H338" s="1426">
        <v>42260</v>
      </c>
      <c r="M338" s="1432" t="e">
        <f t="shared" si="27"/>
        <v>#DIV/0!</v>
      </c>
      <c r="N338" s="1411">
        <f t="shared" si="28"/>
        <v>0</v>
      </c>
      <c r="P338" s="1462"/>
      <c r="Q338" s="1463"/>
      <c r="R338" s="1464"/>
      <c r="S338" s="1465"/>
      <c r="T338" s="1465"/>
    </row>
    <row r="339" spans="2:20">
      <c r="B339" s="1426">
        <v>42253</v>
      </c>
      <c r="C339" s="1425"/>
      <c r="D339" s="1428" t="e">
        <f t="shared" si="25"/>
        <v>#DIV/0!</v>
      </c>
      <c r="F339" s="1427"/>
      <c r="G339" s="1428" t="e">
        <f t="shared" si="26"/>
        <v>#DIV/0!</v>
      </c>
      <c r="H339" s="1426">
        <v>42253</v>
      </c>
      <c r="M339" s="1432" t="e">
        <f t="shared" si="27"/>
        <v>#DIV/0!</v>
      </c>
      <c r="N339" s="1411">
        <f t="shared" si="28"/>
        <v>0</v>
      </c>
      <c r="P339" s="1462"/>
      <c r="Q339" s="1463"/>
      <c r="R339" s="1464"/>
      <c r="S339" s="1465"/>
      <c r="T339" s="1465"/>
    </row>
    <row r="340" spans="2:20">
      <c r="B340" s="1426">
        <v>42246</v>
      </c>
      <c r="C340" s="1425"/>
      <c r="D340" s="1428" t="e">
        <f t="shared" si="25"/>
        <v>#DIV/0!</v>
      </c>
      <c r="F340" s="1427"/>
      <c r="G340" s="1428" t="e">
        <f t="shared" si="26"/>
        <v>#DIV/0!</v>
      </c>
      <c r="H340" s="1426">
        <v>42246</v>
      </c>
      <c r="M340" s="1432" t="e">
        <f t="shared" si="27"/>
        <v>#DIV/0!</v>
      </c>
      <c r="N340" s="1411">
        <f t="shared" si="28"/>
        <v>0</v>
      </c>
      <c r="P340" s="1462"/>
      <c r="Q340" s="1463"/>
      <c r="R340" s="1464"/>
      <c r="S340" s="1465"/>
      <c r="T340" s="1465"/>
    </row>
    <row r="341" spans="2:20">
      <c r="B341" s="1426">
        <v>42239</v>
      </c>
      <c r="C341" s="1425"/>
      <c r="D341" s="1428" t="e">
        <f t="shared" si="25"/>
        <v>#DIV/0!</v>
      </c>
      <c r="F341" s="1427"/>
      <c r="G341" s="1428" t="e">
        <f t="shared" si="26"/>
        <v>#DIV/0!</v>
      </c>
      <c r="H341" s="1426">
        <v>42239</v>
      </c>
      <c r="M341" s="1432" t="e">
        <f t="shared" si="27"/>
        <v>#DIV/0!</v>
      </c>
      <c r="N341" s="1411">
        <f t="shared" si="28"/>
        <v>0</v>
      </c>
      <c r="P341" s="1462"/>
      <c r="Q341" s="1463"/>
      <c r="R341" s="1464"/>
      <c r="S341" s="1465"/>
      <c r="T341" s="1465"/>
    </row>
    <row r="342" spans="2:20">
      <c r="B342" s="1426">
        <v>42232</v>
      </c>
      <c r="C342" s="1425"/>
      <c r="D342" s="1428" t="e">
        <f t="shared" si="25"/>
        <v>#DIV/0!</v>
      </c>
      <c r="F342" s="1427"/>
      <c r="G342" s="1428" t="e">
        <f t="shared" si="26"/>
        <v>#DIV/0!</v>
      </c>
      <c r="H342" s="1426">
        <v>42232</v>
      </c>
      <c r="M342" s="1432" t="e">
        <f t="shared" si="27"/>
        <v>#DIV/0!</v>
      </c>
      <c r="N342" s="1411">
        <f t="shared" si="28"/>
        <v>0</v>
      </c>
      <c r="P342" s="1462"/>
      <c r="Q342" s="1463"/>
      <c r="R342" s="1464"/>
      <c r="S342" s="1465"/>
      <c r="T342" s="1465"/>
    </row>
    <row r="343" spans="2:20">
      <c r="B343" s="1426">
        <v>42225</v>
      </c>
      <c r="C343" s="1425"/>
      <c r="D343" s="1428" t="e">
        <f t="shared" si="25"/>
        <v>#DIV/0!</v>
      </c>
      <c r="F343" s="1427"/>
      <c r="G343" s="1428" t="e">
        <f t="shared" si="26"/>
        <v>#DIV/0!</v>
      </c>
      <c r="H343" s="1426">
        <v>42225</v>
      </c>
      <c r="M343" s="1432" t="e">
        <f t="shared" si="27"/>
        <v>#DIV/0!</v>
      </c>
      <c r="N343" s="1411">
        <f t="shared" si="28"/>
        <v>0</v>
      </c>
      <c r="P343" s="1462"/>
      <c r="Q343" s="1463"/>
      <c r="R343" s="1464"/>
      <c r="S343" s="1465"/>
      <c r="T343" s="1465"/>
    </row>
    <row r="344" spans="2:20">
      <c r="B344" s="1426">
        <v>42218</v>
      </c>
      <c r="C344" s="1425"/>
      <c r="D344" s="1428" t="e">
        <f t="shared" si="25"/>
        <v>#DIV/0!</v>
      </c>
      <c r="F344" s="1427"/>
      <c r="G344" s="1428" t="e">
        <f t="shared" si="26"/>
        <v>#DIV/0!</v>
      </c>
      <c r="H344" s="1426">
        <v>42218</v>
      </c>
      <c r="M344" s="1432" t="e">
        <f t="shared" si="27"/>
        <v>#DIV/0!</v>
      </c>
      <c r="N344" s="1411">
        <f t="shared" si="28"/>
        <v>0</v>
      </c>
      <c r="P344" s="1462"/>
      <c r="Q344" s="1463"/>
      <c r="R344" s="1464"/>
      <c r="S344" s="1465"/>
      <c r="T344" s="1465"/>
    </row>
    <row r="345" spans="2:20">
      <c r="B345" s="1426">
        <v>42211</v>
      </c>
      <c r="C345" s="1425"/>
      <c r="D345" s="1428" t="e">
        <f t="shared" si="25"/>
        <v>#DIV/0!</v>
      </c>
      <c r="F345" s="1427"/>
      <c r="G345" s="1428" t="e">
        <f t="shared" si="26"/>
        <v>#DIV/0!</v>
      </c>
      <c r="H345" s="1426">
        <v>42211</v>
      </c>
      <c r="M345" s="1432" t="e">
        <f t="shared" si="27"/>
        <v>#DIV/0!</v>
      </c>
      <c r="N345" s="1411">
        <f t="shared" si="28"/>
        <v>0</v>
      </c>
      <c r="P345" s="1462"/>
      <c r="Q345" s="1463"/>
      <c r="R345" s="1464"/>
      <c r="S345" s="1465"/>
      <c r="T345" s="1465"/>
    </row>
    <row r="346" spans="2:20">
      <c r="B346" s="1426">
        <v>42204</v>
      </c>
      <c r="C346" s="1425"/>
      <c r="D346" s="1428" t="e">
        <f t="shared" si="25"/>
        <v>#DIV/0!</v>
      </c>
      <c r="F346" s="1427"/>
      <c r="G346" s="1428" t="e">
        <f t="shared" si="26"/>
        <v>#DIV/0!</v>
      </c>
      <c r="H346" s="1426">
        <v>42204</v>
      </c>
      <c r="M346" s="1432" t="e">
        <f t="shared" si="27"/>
        <v>#DIV/0!</v>
      </c>
      <c r="N346" s="1411">
        <f t="shared" si="28"/>
        <v>0</v>
      </c>
      <c r="P346" s="1462"/>
      <c r="Q346" s="1463"/>
      <c r="R346" s="1464"/>
      <c r="S346" s="1465"/>
      <c r="T346" s="1465"/>
    </row>
    <row r="347" spans="2:20">
      <c r="B347" s="1426">
        <v>42197</v>
      </c>
      <c r="C347" s="1425"/>
      <c r="D347" s="1428" t="e">
        <f t="shared" si="25"/>
        <v>#DIV/0!</v>
      </c>
      <c r="F347" s="1427"/>
      <c r="G347" s="1428" t="e">
        <f t="shared" si="26"/>
        <v>#DIV/0!</v>
      </c>
      <c r="H347" s="1426">
        <v>42197</v>
      </c>
      <c r="M347" s="1432" t="e">
        <f t="shared" si="27"/>
        <v>#DIV/0!</v>
      </c>
      <c r="N347" s="1411">
        <f t="shared" si="28"/>
        <v>0</v>
      </c>
      <c r="P347" s="1462"/>
      <c r="Q347" s="1463"/>
      <c r="R347" s="1464"/>
      <c r="S347" s="1465"/>
      <c r="T347" s="1465"/>
    </row>
    <row r="348" spans="2:20">
      <c r="B348" s="1426">
        <v>42190</v>
      </c>
      <c r="C348" s="1425"/>
      <c r="D348" s="1428" t="e">
        <f t="shared" si="25"/>
        <v>#DIV/0!</v>
      </c>
      <c r="F348" s="1427"/>
      <c r="G348" s="1428" t="e">
        <f t="shared" si="26"/>
        <v>#DIV/0!</v>
      </c>
      <c r="H348" s="1426">
        <v>42190</v>
      </c>
      <c r="M348" s="1432" t="e">
        <f t="shared" si="27"/>
        <v>#DIV/0!</v>
      </c>
      <c r="N348" s="1411">
        <f t="shared" si="28"/>
        <v>0</v>
      </c>
      <c r="P348" s="1462"/>
      <c r="Q348" s="1463"/>
      <c r="R348" s="1464"/>
      <c r="S348" s="1465"/>
      <c r="T348" s="1465"/>
    </row>
    <row r="349" spans="2:20">
      <c r="B349" s="1426">
        <v>42183</v>
      </c>
      <c r="C349" s="1425"/>
      <c r="D349" s="1428" t="e">
        <f t="shared" si="25"/>
        <v>#DIV/0!</v>
      </c>
      <c r="F349" s="1427"/>
      <c r="G349" s="1428" t="e">
        <f t="shared" si="26"/>
        <v>#DIV/0!</v>
      </c>
      <c r="H349" s="1426">
        <v>42183</v>
      </c>
      <c r="M349" s="1432" t="e">
        <f t="shared" si="27"/>
        <v>#DIV/0!</v>
      </c>
      <c r="N349" s="1411">
        <f t="shared" si="28"/>
        <v>0</v>
      </c>
      <c r="P349" s="1462"/>
      <c r="Q349" s="1463"/>
      <c r="R349" s="1464"/>
      <c r="S349" s="1465"/>
      <c r="T349" s="1465"/>
    </row>
    <row r="350" spans="2:20">
      <c r="B350" s="1426">
        <v>42176</v>
      </c>
      <c r="C350" s="1425"/>
      <c r="D350" s="1428" t="e">
        <f t="shared" si="25"/>
        <v>#DIV/0!</v>
      </c>
      <c r="F350" s="1427"/>
      <c r="G350" s="1428" t="e">
        <f t="shared" si="26"/>
        <v>#DIV/0!</v>
      </c>
      <c r="H350" s="1426">
        <v>42176</v>
      </c>
      <c r="M350" s="1432" t="e">
        <f t="shared" si="27"/>
        <v>#DIV/0!</v>
      </c>
      <c r="N350" s="1411">
        <f t="shared" si="28"/>
        <v>0</v>
      </c>
      <c r="P350" s="1462"/>
      <c r="Q350" s="1463"/>
      <c r="R350" s="1464"/>
      <c r="S350" s="1465"/>
      <c r="T350" s="1465"/>
    </row>
    <row r="351" spans="2:20">
      <c r="B351" s="1426">
        <v>42169</v>
      </c>
      <c r="C351" s="1425"/>
      <c r="D351" s="1428" t="e">
        <f t="shared" si="25"/>
        <v>#DIV/0!</v>
      </c>
      <c r="F351" s="1427"/>
      <c r="G351" s="1428" t="e">
        <f t="shared" si="26"/>
        <v>#DIV/0!</v>
      </c>
      <c r="H351" s="1426">
        <v>42169</v>
      </c>
      <c r="M351" s="1432" t="e">
        <f t="shared" si="27"/>
        <v>#DIV/0!</v>
      </c>
      <c r="N351" s="1411">
        <f t="shared" si="28"/>
        <v>0</v>
      </c>
      <c r="P351" s="1462"/>
      <c r="Q351" s="1463"/>
      <c r="R351" s="1464"/>
      <c r="S351" s="1465"/>
      <c r="T351" s="1465"/>
    </row>
    <row r="352" spans="2:20">
      <c r="B352" s="1426">
        <v>42162</v>
      </c>
      <c r="C352" s="1425"/>
      <c r="D352" s="1428" t="e">
        <f t="shared" si="25"/>
        <v>#DIV/0!</v>
      </c>
      <c r="F352" s="1427"/>
      <c r="G352" s="1428" t="e">
        <f t="shared" si="26"/>
        <v>#DIV/0!</v>
      </c>
      <c r="H352" s="1426">
        <v>42162</v>
      </c>
      <c r="M352" s="1432" t="e">
        <f t="shared" si="27"/>
        <v>#DIV/0!</v>
      </c>
      <c r="N352" s="1411">
        <f t="shared" si="28"/>
        <v>0</v>
      </c>
      <c r="P352" s="1462"/>
      <c r="Q352" s="1463"/>
      <c r="R352" s="1464"/>
      <c r="S352" s="1465"/>
      <c r="T352" s="1465"/>
    </row>
    <row r="353" spans="2:20">
      <c r="B353" s="1426">
        <v>42155</v>
      </c>
      <c r="C353" s="1425"/>
      <c r="D353" s="1428" t="e">
        <f t="shared" si="25"/>
        <v>#DIV/0!</v>
      </c>
      <c r="F353" s="1427"/>
      <c r="G353" s="1428" t="e">
        <f t="shared" si="26"/>
        <v>#DIV/0!</v>
      </c>
      <c r="H353" s="1426">
        <v>42155</v>
      </c>
      <c r="M353" s="1432" t="e">
        <f t="shared" si="27"/>
        <v>#DIV/0!</v>
      </c>
      <c r="N353" s="1411">
        <f t="shared" si="28"/>
        <v>0</v>
      </c>
      <c r="P353" s="1462"/>
      <c r="Q353" s="1463"/>
      <c r="R353" s="1464"/>
      <c r="S353" s="1465"/>
      <c r="T353" s="1465"/>
    </row>
    <row r="354" spans="2:20">
      <c r="B354" s="1426">
        <v>42148</v>
      </c>
      <c r="C354" s="1425"/>
      <c r="D354" s="1428" t="e">
        <f t="shared" si="25"/>
        <v>#DIV/0!</v>
      </c>
      <c r="F354" s="1427"/>
      <c r="G354" s="1428" t="e">
        <f t="shared" si="26"/>
        <v>#DIV/0!</v>
      </c>
      <c r="H354" s="1426">
        <v>42148</v>
      </c>
      <c r="M354" s="1432" t="e">
        <f t="shared" si="27"/>
        <v>#DIV/0!</v>
      </c>
      <c r="N354" s="1411">
        <f t="shared" si="28"/>
        <v>0</v>
      </c>
      <c r="P354" s="1462"/>
      <c r="Q354" s="1463"/>
      <c r="R354" s="1464"/>
      <c r="S354" s="1465"/>
      <c r="T354" s="1465"/>
    </row>
    <row r="355" spans="2:20">
      <c r="B355" s="1426">
        <v>42141</v>
      </c>
      <c r="C355" s="1425"/>
      <c r="D355" s="1428" t="e">
        <f t="shared" si="25"/>
        <v>#DIV/0!</v>
      </c>
      <c r="F355" s="1427"/>
      <c r="G355" s="1428" t="e">
        <f t="shared" si="26"/>
        <v>#DIV/0!</v>
      </c>
      <c r="H355" s="1426">
        <v>42141</v>
      </c>
      <c r="M355" s="1432" t="e">
        <f t="shared" si="27"/>
        <v>#DIV/0!</v>
      </c>
      <c r="N355" s="1411">
        <f t="shared" si="28"/>
        <v>0</v>
      </c>
      <c r="P355" s="1462"/>
      <c r="Q355" s="1463"/>
      <c r="R355" s="1464"/>
      <c r="S355" s="1465"/>
      <c r="T355" s="1465"/>
    </row>
    <row r="356" spans="2:20">
      <c r="B356" s="1426">
        <v>42134</v>
      </c>
      <c r="C356" s="1425"/>
      <c r="D356" s="1428" t="e">
        <f t="shared" si="25"/>
        <v>#DIV/0!</v>
      </c>
      <c r="F356" s="1427"/>
      <c r="G356" s="1428" t="e">
        <f t="shared" si="26"/>
        <v>#DIV/0!</v>
      </c>
      <c r="H356" s="1426">
        <v>42134</v>
      </c>
      <c r="M356" s="1432" t="e">
        <f t="shared" si="27"/>
        <v>#DIV/0!</v>
      </c>
      <c r="N356" s="1411">
        <f t="shared" si="28"/>
        <v>0</v>
      </c>
      <c r="P356" s="1462"/>
      <c r="Q356" s="1463"/>
      <c r="R356" s="1464"/>
      <c r="S356" s="1465"/>
      <c r="T356" s="1465"/>
    </row>
    <row r="357" spans="2:20">
      <c r="B357" s="1426">
        <v>42127</v>
      </c>
      <c r="C357" s="1425"/>
      <c r="D357" s="1428" t="e">
        <f t="shared" si="25"/>
        <v>#DIV/0!</v>
      </c>
      <c r="F357" s="1427"/>
      <c r="G357" s="1428" t="e">
        <f t="shared" si="26"/>
        <v>#DIV/0!</v>
      </c>
      <c r="H357" s="1426">
        <v>42127</v>
      </c>
      <c r="M357" s="1432" t="e">
        <f t="shared" si="27"/>
        <v>#DIV/0!</v>
      </c>
      <c r="N357" s="1411">
        <f t="shared" si="28"/>
        <v>0</v>
      </c>
      <c r="P357" s="1462"/>
      <c r="Q357" s="1463"/>
      <c r="R357" s="1464"/>
      <c r="S357" s="1465"/>
      <c r="T357" s="1465"/>
    </row>
    <row r="358" spans="2:20">
      <c r="B358" s="1426">
        <v>42120</v>
      </c>
      <c r="C358" s="1425"/>
      <c r="D358" s="1428" t="e">
        <f t="shared" si="25"/>
        <v>#DIV/0!</v>
      </c>
      <c r="F358" s="1427"/>
      <c r="G358" s="1428" t="e">
        <f t="shared" si="26"/>
        <v>#DIV/0!</v>
      </c>
      <c r="H358" s="1426">
        <v>42120</v>
      </c>
      <c r="M358" s="1432" t="e">
        <f t="shared" si="27"/>
        <v>#DIV/0!</v>
      </c>
      <c r="N358" s="1411">
        <f t="shared" si="28"/>
        <v>0</v>
      </c>
      <c r="P358" s="1462"/>
      <c r="Q358" s="1463"/>
      <c r="R358" s="1464"/>
      <c r="S358" s="1465"/>
      <c r="T358" s="1465"/>
    </row>
    <row r="359" spans="2:20">
      <c r="B359" s="1426">
        <v>42113</v>
      </c>
      <c r="C359" s="1425"/>
      <c r="D359" s="1428" t="e">
        <f t="shared" si="25"/>
        <v>#DIV/0!</v>
      </c>
      <c r="F359" s="1427"/>
      <c r="G359" s="1428" t="e">
        <f t="shared" si="26"/>
        <v>#DIV/0!</v>
      </c>
      <c r="H359" s="1426">
        <v>42113</v>
      </c>
      <c r="M359" s="1432" t="e">
        <f t="shared" si="27"/>
        <v>#DIV/0!</v>
      </c>
      <c r="N359" s="1411">
        <f t="shared" si="28"/>
        <v>0</v>
      </c>
      <c r="P359" s="1462"/>
      <c r="Q359" s="1463"/>
      <c r="R359" s="1464"/>
      <c r="S359" s="1465"/>
      <c r="T359" s="1465"/>
    </row>
    <row r="360" spans="2:20">
      <c r="B360" s="1426">
        <v>42106</v>
      </c>
      <c r="C360" s="1425"/>
      <c r="D360" s="1428" t="e">
        <f t="shared" si="25"/>
        <v>#DIV/0!</v>
      </c>
      <c r="F360" s="1427"/>
      <c r="G360" s="1428" t="e">
        <f t="shared" si="26"/>
        <v>#DIV/0!</v>
      </c>
      <c r="H360" s="1426">
        <v>42106</v>
      </c>
      <c r="M360" s="1432" t="e">
        <f t="shared" si="27"/>
        <v>#DIV/0!</v>
      </c>
      <c r="N360" s="1411">
        <f t="shared" si="28"/>
        <v>0</v>
      </c>
      <c r="P360" s="1462"/>
      <c r="Q360" s="1463"/>
      <c r="R360" s="1464"/>
      <c r="S360" s="1465"/>
      <c r="T360" s="1465"/>
    </row>
    <row r="361" spans="2:20">
      <c r="B361" s="1426">
        <v>42099</v>
      </c>
      <c r="C361" s="1425"/>
      <c r="D361" s="1428" t="e">
        <f t="shared" si="25"/>
        <v>#DIV/0!</v>
      </c>
      <c r="F361" s="1427"/>
      <c r="G361" s="1428" t="e">
        <f t="shared" si="26"/>
        <v>#DIV/0!</v>
      </c>
      <c r="H361" s="1426">
        <v>42099</v>
      </c>
      <c r="M361" s="1432" t="e">
        <f t="shared" si="27"/>
        <v>#DIV/0!</v>
      </c>
      <c r="N361" s="1411">
        <f t="shared" si="28"/>
        <v>0</v>
      </c>
      <c r="P361" s="1462"/>
      <c r="Q361" s="1463"/>
      <c r="R361" s="1464"/>
      <c r="S361" s="1465"/>
      <c r="T361" s="1465"/>
    </row>
    <row r="362" spans="2:20">
      <c r="B362" s="1426">
        <v>42092</v>
      </c>
      <c r="C362" s="1425"/>
      <c r="D362" s="1428" t="e">
        <f t="shared" si="25"/>
        <v>#DIV/0!</v>
      </c>
      <c r="F362" s="1427"/>
      <c r="G362" s="1428" t="e">
        <f t="shared" si="26"/>
        <v>#DIV/0!</v>
      </c>
      <c r="H362" s="1426">
        <v>42092</v>
      </c>
      <c r="M362" s="1432" t="e">
        <f t="shared" si="27"/>
        <v>#DIV/0!</v>
      </c>
      <c r="N362" s="1411">
        <f t="shared" si="28"/>
        <v>0</v>
      </c>
      <c r="P362" s="1462"/>
      <c r="Q362" s="1463"/>
      <c r="R362" s="1464"/>
      <c r="S362" s="1465"/>
      <c r="T362" s="1465"/>
    </row>
    <row r="363" spans="2:20">
      <c r="B363" s="1426">
        <v>42085</v>
      </c>
      <c r="C363" s="1425"/>
      <c r="D363" s="1428" t="e">
        <f t="shared" si="25"/>
        <v>#DIV/0!</v>
      </c>
      <c r="F363" s="1427"/>
      <c r="G363" s="1428" t="e">
        <f t="shared" si="26"/>
        <v>#DIV/0!</v>
      </c>
      <c r="H363" s="1426">
        <v>42085</v>
      </c>
      <c r="M363" s="1432" t="e">
        <f t="shared" si="27"/>
        <v>#DIV/0!</v>
      </c>
      <c r="N363" s="1411">
        <f t="shared" si="28"/>
        <v>0</v>
      </c>
      <c r="P363" s="1462"/>
      <c r="Q363" s="1463"/>
      <c r="R363" s="1464"/>
      <c r="S363" s="1465"/>
      <c r="T363" s="1465"/>
    </row>
    <row r="364" spans="2:20">
      <c r="B364" s="1426">
        <v>42078</v>
      </c>
      <c r="C364" s="1425"/>
      <c r="D364" s="1428" t="e">
        <f t="shared" si="25"/>
        <v>#DIV/0!</v>
      </c>
      <c r="F364" s="1427"/>
      <c r="G364" s="1428" t="e">
        <f t="shared" si="26"/>
        <v>#DIV/0!</v>
      </c>
      <c r="H364" s="1426">
        <v>42078</v>
      </c>
      <c r="M364" s="1432" t="e">
        <f t="shared" si="27"/>
        <v>#DIV/0!</v>
      </c>
      <c r="N364" s="1411">
        <f t="shared" si="28"/>
        <v>0</v>
      </c>
      <c r="P364" s="1462"/>
      <c r="Q364" s="1463"/>
      <c r="R364" s="1464"/>
      <c r="S364" s="1465"/>
      <c r="T364" s="1465"/>
    </row>
    <row r="365" spans="2:20">
      <c r="B365" s="1426">
        <v>42071</v>
      </c>
      <c r="C365" s="1425"/>
      <c r="D365" s="1428" t="e">
        <f t="shared" si="25"/>
        <v>#DIV/0!</v>
      </c>
      <c r="F365" s="1427"/>
      <c r="G365" s="1428" t="e">
        <f t="shared" si="26"/>
        <v>#DIV/0!</v>
      </c>
      <c r="H365" s="1426">
        <v>42071</v>
      </c>
      <c r="M365" s="1432" t="e">
        <f t="shared" si="27"/>
        <v>#DIV/0!</v>
      </c>
      <c r="N365" s="1411">
        <f t="shared" si="28"/>
        <v>0</v>
      </c>
      <c r="P365" s="1462"/>
      <c r="Q365" s="1463"/>
      <c r="R365" s="1464"/>
      <c r="S365" s="1465"/>
      <c r="T365" s="1465"/>
    </row>
    <row r="366" spans="2:20">
      <c r="B366" s="1426">
        <v>42064</v>
      </c>
      <c r="C366" s="1425"/>
      <c r="D366" s="1428" t="e">
        <f t="shared" si="25"/>
        <v>#DIV/0!</v>
      </c>
      <c r="F366" s="1427"/>
      <c r="G366" s="1428" t="e">
        <f t="shared" si="26"/>
        <v>#DIV/0!</v>
      </c>
      <c r="H366" s="1426">
        <v>42064</v>
      </c>
      <c r="M366" s="1432" t="e">
        <f t="shared" si="27"/>
        <v>#DIV/0!</v>
      </c>
      <c r="N366" s="1411">
        <f t="shared" si="28"/>
        <v>0</v>
      </c>
      <c r="P366" s="1462"/>
      <c r="Q366" s="1463"/>
      <c r="R366" s="1464"/>
      <c r="S366" s="1465"/>
      <c r="T366" s="1465"/>
    </row>
    <row r="367" spans="2:20">
      <c r="B367" s="1426">
        <v>42057</v>
      </c>
      <c r="C367" s="1425"/>
      <c r="D367" s="1428" t="e">
        <f t="shared" si="25"/>
        <v>#DIV/0!</v>
      </c>
      <c r="F367" s="1427"/>
      <c r="G367" s="1428" t="e">
        <f t="shared" si="26"/>
        <v>#DIV/0!</v>
      </c>
      <c r="H367" s="1426">
        <v>42057</v>
      </c>
      <c r="M367" s="1432" t="e">
        <f t="shared" si="27"/>
        <v>#DIV/0!</v>
      </c>
      <c r="N367" s="1411">
        <f t="shared" si="28"/>
        <v>0</v>
      </c>
      <c r="P367" s="1462"/>
      <c r="Q367" s="1463"/>
      <c r="R367" s="1464"/>
      <c r="S367" s="1465"/>
      <c r="T367" s="1465"/>
    </row>
    <row r="368" spans="2:20">
      <c r="B368" s="1426">
        <v>42050</v>
      </c>
      <c r="C368" s="1425"/>
      <c r="D368" s="1428" t="e">
        <f t="shared" si="25"/>
        <v>#DIV/0!</v>
      </c>
      <c r="F368" s="1427"/>
      <c r="G368" s="1428" t="e">
        <f t="shared" si="26"/>
        <v>#DIV/0!</v>
      </c>
      <c r="H368" s="1426">
        <v>42050</v>
      </c>
      <c r="M368" s="1432" t="e">
        <f t="shared" si="27"/>
        <v>#DIV/0!</v>
      </c>
      <c r="N368" s="1411">
        <f t="shared" si="28"/>
        <v>0</v>
      </c>
      <c r="P368" s="1462"/>
      <c r="Q368" s="1463"/>
      <c r="R368" s="1464"/>
      <c r="S368" s="1465"/>
      <c r="T368" s="1465"/>
    </row>
    <row r="369" spans="2:20">
      <c r="B369" s="1426">
        <v>42043</v>
      </c>
      <c r="C369" s="1425"/>
      <c r="D369" s="1428" t="e">
        <f t="shared" si="25"/>
        <v>#DIV/0!</v>
      </c>
      <c r="F369" s="1427"/>
      <c r="G369" s="1428" t="e">
        <f t="shared" si="26"/>
        <v>#DIV/0!</v>
      </c>
      <c r="H369" s="1426">
        <v>42043</v>
      </c>
      <c r="M369" s="1432" t="e">
        <f t="shared" si="27"/>
        <v>#DIV/0!</v>
      </c>
      <c r="N369" s="1411">
        <f t="shared" si="28"/>
        <v>0</v>
      </c>
      <c r="P369" s="1462"/>
      <c r="Q369" s="1463"/>
      <c r="R369" s="1464"/>
      <c r="S369" s="1465"/>
      <c r="T369" s="1465"/>
    </row>
    <row r="370" spans="2:20">
      <c r="B370" s="1426">
        <v>42036</v>
      </c>
      <c r="C370" s="1425"/>
      <c r="D370" s="1428" t="e">
        <f t="shared" si="25"/>
        <v>#DIV/0!</v>
      </c>
      <c r="F370" s="1427"/>
      <c r="G370" s="1428" t="e">
        <f t="shared" si="26"/>
        <v>#DIV/0!</v>
      </c>
      <c r="H370" s="1426">
        <v>42036</v>
      </c>
      <c r="M370" s="1432" t="e">
        <f t="shared" si="27"/>
        <v>#DIV/0!</v>
      </c>
      <c r="N370" s="1411">
        <f t="shared" si="28"/>
        <v>0</v>
      </c>
      <c r="P370" s="1462"/>
      <c r="Q370" s="1463"/>
      <c r="R370" s="1464"/>
      <c r="S370" s="1465"/>
      <c r="T370" s="1465"/>
    </row>
    <row r="371" spans="2:20">
      <c r="B371" s="1426">
        <v>42029</v>
      </c>
      <c r="C371" s="1425"/>
      <c r="D371" s="1428" t="e">
        <f t="shared" si="25"/>
        <v>#DIV/0!</v>
      </c>
      <c r="F371" s="1427"/>
      <c r="G371" s="1428" t="e">
        <f t="shared" si="26"/>
        <v>#DIV/0!</v>
      </c>
      <c r="H371" s="1426">
        <v>42029</v>
      </c>
      <c r="M371" s="1432" t="e">
        <f t="shared" si="27"/>
        <v>#DIV/0!</v>
      </c>
      <c r="N371" s="1411">
        <f t="shared" si="28"/>
        <v>0</v>
      </c>
      <c r="P371" s="1462"/>
      <c r="Q371" s="1463"/>
      <c r="R371" s="1464"/>
      <c r="S371" s="1465"/>
      <c r="T371" s="1465"/>
    </row>
    <row r="372" spans="2:20">
      <c r="B372" s="1426">
        <v>42022</v>
      </c>
      <c r="C372" s="1425"/>
      <c r="D372" s="1428" t="e">
        <f t="shared" si="25"/>
        <v>#DIV/0!</v>
      </c>
      <c r="F372" s="1427"/>
      <c r="G372" s="1428" t="e">
        <f t="shared" si="26"/>
        <v>#DIV/0!</v>
      </c>
      <c r="H372" s="1426">
        <v>42022</v>
      </c>
      <c r="M372" s="1432" t="e">
        <f t="shared" si="27"/>
        <v>#DIV/0!</v>
      </c>
      <c r="N372" s="1411">
        <f t="shared" si="28"/>
        <v>0</v>
      </c>
      <c r="P372" s="1462"/>
      <c r="Q372" s="1463"/>
      <c r="R372" s="1464"/>
      <c r="S372" s="1465"/>
      <c r="T372" s="1465"/>
    </row>
    <row r="373" spans="2:20">
      <c r="B373" s="1426">
        <v>42015</v>
      </c>
      <c r="C373" s="1425"/>
      <c r="D373" s="1428" t="e">
        <f t="shared" si="25"/>
        <v>#DIV/0!</v>
      </c>
      <c r="F373" s="1427"/>
      <c r="G373" s="1428" t="e">
        <f t="shared" si="26"/>
        <v>#DIV/0!</v>
      </c>
      <c r="H373" s="1426">
        <v>42015</v>
      </c>
      <c r="M373" s="1432" t="e">
        <f t="shared" si="27"/>
        <v>#DIV/0!</v>
      </c>
      <c r="N373" s="1411">
        <f t="shared" si="28"/>
        <v>0</v>
      </c>
      <c r="P373" s="1462"/>
      <c r="Q373" s="1463"/>
      <c r="R373" s="1464"/>
      <c r="S373" s="1465"/>
      <c r="T373" s="1465"/>
    </row>
    <row r="374" spans="2:20">
      <c r="B374" s="1426">
        <v>42008</v>
      </c>
      <c r="C374" s="1425"/>
      <c r="D374" s="1428" t="e">
        <f t="shared" si="25"/>
        <v>#DIV/0!</v>
      </c>
      <c r="F374" s="1427"/>
      <c r="G374" s="1428" t="e">
        <f t="shared" si="26"/>
        <v>#DIV/0!</v>
      </c>
      <c r="H374" s="1426">
        <v>42008</v>
      </c>
      <c r="M374" s="1432" t="e">
        <f t="shared" si="27"/>
        <v>#DIV/0!</v>
      </c>
      <c r="N374" s="1411">
        <f t="shared" si="28"/>
        <v>0</v>
      </c>
      <c r="P374" s="1462"/>
      <c r="Q374" s="1463"/>
      <c r="R374" s="1464"/>
      <c r="S374" s="1465"/>
      <c r="T374" s="1465"/>
    </row>
    <row r="375" spans="2:20">
      <c r="B375" s="1426">
        <v>42001</v>
      </c>
      <c r="C375" s="1425"/>
      <c r="D375" s="1428" t="e">
        <f t="shared" si="25"/>
        <v>#DIV/0!</v>
      </c>
      <c r="F375" s="1427"/>
      <c r="G375" s="1428" t="e">
        <f t="shared" si="26"/>
        <v>#DIV/0!</v>
      </c>
      <c r="H375" s="1426">
        <v>42001</v>
      </c>
      <c r="M375" s="1432" t="e">
        <f t="shared" si="27"/>
        <v>#DIV/0!</v>
      </c>
      <c r="N375" s="1411">
        <f t="shared" si="28"/>
        <v>0</v>
      </c>
      <c r="P375" s="1462"/>
      <c r="Q375" s="1463"/>
      <c r="R375" s="1464"/>
      <c r="S375" s="1465"/>
      <c r="T375" s="1465"/>
    </row>
    <row r="376" spans="2:20">
      <c r="B376" s="1426">
        <v>41994</v>
      </c>
      <c r="C376" s="1425"/>
      <c r="D376" s="1428" t="e">
        <f t="shared" si="25"/>
        <v>#DIV/0!</v>
      </c>
      <c r="F376" s="1427"/>
      <c r="G376" s="1428" t="e">
        <f t="shared" si="26"/>
        <v>#DIV/0!</v>
      </c>
      <c r="H376" s="1426">
        <v>41994</v>
      </c>
      <c r="M376" s="1432" t="e">
        <f t="shared" si="27"/>
        <v>#DIV/0!</v>
      </c>
      <c r="N376" s="1411">
        <f t="shared" si="28"/>
        <v>0</v>
      </c>
      <c r="P376" s="1462"/>
      <c r="Q376" s="1463"/>
      <c r="R376" s="1464"/>
      <c r="S376" s="1465"/>
      <c r="T376" s="1465"/>
    </row>
    <row r="377" spans="2:20">
      <c r="B377" s="1426">
        <v>41987</v>
      </c>
      <c r="C377" s="1425"/>
      <c r="D377" s="1428" t="e">
        <f t="shared" si="25"/>
        <v>#DIV/0!</v>
      </c>
      <c r="F377" s="1427"/>
      <c r="G377" s="1428" t="e">
        <f t="shared" si="26"/>
        <v>#DIV/0!</v>
      </c>
      <c r="H377" s="1426">
        <v>41987</v>
      </c>
      <c r="M377" s="1432" t="e">
        <f t="shared" si="27"/>
        <v>#DIV/0!</v>
      </c>
      <c r="N377" s="1411">
        <f t="shared" si="28"/>
        <v>0</v>
      </c>
      <c r="P377" s="1462"/>
      <c r="Q377" s="1463"/>
      <c r="R377" s="1464"/>
      <c r="S377" s="1465"/>
      <c r="T377" s="1465"/>
    </row>
    <row r="378" spans="2:20">
      <c r="B378" s="1426">
        <v>41980</v>
      </c>
      <c r="C378" s="1425"/>
      <c r="D378" s="1428" t="e">
        <f t="shared" si="25"/>
        <v>#DIV/0!</v>
      </c>
      <c r="F378" s="1427"/>
      <c r="G378" s="1428" t="e">
        <f t="shared" si="26"/>
        <v>#DIV/0!</v>
      </c>
      <c r="H378" s="1426">
        <v>41980</v>
      </c>
      <c r="M378" s="1432" t="e">
        <f t="shared" si="27"/>
        <v>#DIV/0!</v>
      </c>
      <c r="N378" s="1411">
        <f t="shared" si="28"/>
        <v>0</v>
      </c>
      <c r="P378" s="1462"/>
      <c r="Q378" s="1463"/>
      <c r="R378" s="1464"/>
      <c r="S378" s="1465"/>
      <c r="T378" s="1465"/>
    </row>
    <row r="379" spans="2:20">
      <c r="B379" s="1426">
        <v>41973</v>
      </c>
      <c r="C379" s="1425"/>
      <c r="D379" s="1428" t="e">
        <f t="shared" si="25"/>
        <v>#DIV/0!</v>
      </c>
      <c r="F379" s="1427"/>
      <c r="G379" s="1428" t="e">
        <f t="shared" si="26"/>
        <v>#DIV/0!</v>
      </c>
      <c r="H379" s="1426">
        <v>41973</v>
      </c>
      <c r="M379" s="1432" t="e">
        <f t="shared" si="27"/>
        <v>#DIV/0!</v>
      </c>
      <c r="N379" s="1411">
        <f t="shared" si="28"/>
        <v>0</v>
      </c>
      <c r="P379" s="1462"/>
      <c r="Q379" s="1463"/>
      <c r="R379" s="1464"/>
      <c r="S379" s="1465"/>
      <c r="T379" s="1465"/>
    </row>
    <row r="380" spans="2:20">
      <c r="B380" s="1426">
        <v>41966</v>
      </c>
      <c r="C380" s="1425"/>
      <c r="D380" s="1428" t="e">
        <f t="shared" si="25"/>
        <v>#DIV/0!</v>
      </c>
      <c r="F380" s="1427"/>
      <c r="G380" s="1428" t="e">
        <f t="shared" si="26"/>
        <v>#DIV/0!</v>
      </c>
      <c r="H380" s="1426">
        <v>41966</v>
      </c>
      <c r="M380" s="1432" t="e">
        <f t="shared" si="27"/>
        <v>#DIV/0!</v>
      </c>
      <c r="N380" s="1411">
        <f t="shared" si="28"/>
        <v>0</v>
      </c>
      <c r="P380" s="1462"/>
      <c r="Q380" s="1463"/>
      <c r="R380" s="1464"/>
      <c r="S380" s="1465"/>
      <c r="T380" s="1465"/>
    </row>
    <row r="381" spans="2:20">
      <c r="B381" s="1426">
        <v>41959</v>
      </c>
      <c r="C381" s="1425"/>
      <c r="D381" s="1428" t="e">
        <f t="shared" si="25"/>
        <v>#DIV/0!</v>
      </c>
      <c r="F381" s="1427"/>
      <c r="G381" s="1428" t="e">
        <f t="shared" si="26"/>
        <v>#DIV/0!</v>
      </c>
      <c r="H381" s="1426">
        <v>41959</v>
      </c>
      <c r="M381" s="1432" t="e">
        <f t="shared" si="27"/>
        <v>#DIV/0!</v>
      </c>
      <c r="N381" s="1411">
        <f t="shared" si="28"/>
        <v>0</v>
      </c>
      <c r="P381" s="1462"/>
      <c r="Q381" s="1463"/>
      <c r="R381" s="1464"/>
      <c r="S381" s="1465"/>
      <c r="T381" s="1465"/>
    </row>
    <row r="382" spans="2:20">
      <c r="B382" s="1426">
        <v>41952</v>
      </c>
      <c r="C382" s="1425"/>
      <c r="D382" s="1428" t="e">
        <f t="shared" si="25"/>
        <v>#DIV/0!</v>
      </c>
      <c r="F382" s="1427"/>
      <c r="G382" s="1428" t="e">
        <f t="shared" si="26"/>
        <v>#DIV/0!</v>
      </c>
      <c r="H382" s="1426">
        <v>41952</v>
      </c>
      <c r="M382" s="1432" t="e">
        <f t="shared" si="27"/>
        <v>#DIV/0!</v>
      </c>
      <c r="N382" s="1411">
        <f t="shared" si="28"/>
        <v>0</v>
      </c>
      <c r="P382" s="1462"/>
      <c r="Q382" s="1463"/>
      <c r="R382" s="1464"/>
      <c r="S382" s="1465"/>
      <c r="T382" s="1465"/>
    </row>
    <row r="383" spans="2:20">
      <c r="B383" s="1426">
        <v>41945</v>
      </c>
      <c r="C383" s="1425"/>
      <c r="D383" s="1428" t="e">
        <f t="shared" si="25"/>
        <v>#DIV/0!</v>
      </c>
      <c r="F383" s="1427"/>
      <c r="G383" s="1428" t="e">
        <f t="shared" si="26"/>
        <v>#DIV/0!</v>
      </c>
      <c r="H383" s="1426">
        <v>41945</v>
      </c>
      <c r="M383" s="1432" t="e">
        <f t="shared" si="27"/>
        <v>#DIV/0!</v>
      </c>
      <c r="N383" s="1411">
        <f t="shared" si="28"/>
        <v>0</v>
      </c>
      <c r="P383" s="1462"/>
      <c r="Q383" s="1463"/>
      <c r="R383" s="1464"/>
      <c r="S383" s="1465"/>
      <c r="T383" s="1465"/>
    </row>
    <row r="384" spans="2:20">
      <c r="B384" s="1426">
        <v>41938</v>
      </c>
      <c r="C384" s="1425"/>
      <c r="D384" s="1428" t="e">
        <f t="shared" si="25"/>
        <v>#DIV/0!</v>
      </c>
      <c r="F384" s="1427"/>
      <c r="G384" s="1428" t="e">
        <f t="shared" si="26"/>
        <v>#DIV/0!</v>
      </c>
      <c r="H384" s="1426">
        <v>41938</v>
      </c>
      <c r="M384" s="1432" t="e">
        <f t="shared" si="27"/>
        <v>#DIV/0!</v>
      </c>
      <c r="N384" s="1411">
        <f t="shared" si="28"/>
        <v>0</v>
      </c>
      <c r="P384" s="1462"/>
      <c r="Q384" s="1463"/>
      <c r="R384" s="1464"/>
      <c r="S384" s="1465"/>
      <c r="T384" s="1465"/>
    </row>
    <row r="385" spans="2:20">
      <c r="B385" s="1426">
        <v>41931</v>
      </c>
      <c r="C385" s="1425"/>
      <c r="D385" s="1428" t="e">
        <f t="shared" si="25"/>
        <v>#DIV/0!</v>
      </c>
      <c r="F385" s="1427"/>
      <c r="G385" s="1428" t="e">
        <f t="shared" si="26"/>
        <v>#DIV/0!</v>
      </c>
      <c r="H385" s="1426">
        <v>41931</v>
      </c>
      <c r="M385" s="1432" t="e">
        <f t="shared" si="27"/>
        <v>#DIV/0!</v>
      </c>
      <c r="N385" s="1411">
        <f t="shared" si="28"/>
        <v>0</v>
      </c>
      <c r="P385" s="1462"/>
      <c r="Q385" s="1463"/>
      <c r="R385" s="1464"/>
      <c r="S385" s="1465"/>
      <c r="T385" s="1465"/>
    </row>
    <row r="386" spans="2:20">
      <c r="B386" s="1426">
        <v>41924</v>
      </c>
      <c r="C386" s="1425"/>
      <c r="D386" s="1428" t="e">
        <f t="shared" si="25"/>
        <v>#DIV/0!</v>
      </c>
      <c r="F386" s="1427"/>
      <c r="G386" s="1428" t="e">
        <f t="shared" si="26"/>
        <v>#DIV/0!</v>
      </c>
      <c r="H386" s="1426">
        <v>41924</v>
      </c>
      <c r="M386" s="1432" t="e">
        <f t="shared" si="27"/>
        <v>#DIV/0!</v>
      </c>
      <c r="N386" s="1411">
        <f t="shared" si="28"/>
        <v>0</v>
      </c>
      <c r="P386" s="1462"/>
      <c r="Q386" s="1463"/>
      <c r="R386" s="1464"/>
      <c r="S386" s="1465"/>
      <c r="T386" s="1465"/>
    </row>
    <row r="387" spans="2:20">
      <c r="B387" s="1426">
        <v>41917</v>
      </c>
      <c r="C387" s="1425"/>
      <c r="D387" s="1428" t="e">
        <f t="shared" si="25"/>
        <v>#DIV/0!</v>
      </c>
      <c r="F387" s="1427"/>
      <c r="G387" s="1428" t="e">
        <f t="shared" si="26"/>
        <v>#DIV/0!</v>
      </c>
      <c r="H387" s="1426">
        <v>41917</v>
      </c>
      <c r="M387" s="1432" t="e">
        <f t="shared" si="27"/>
        <v>#DIV/0!</v>
      </c>
      <c r="N387" s="1411">
        <f t="shared" si="28"/>
        <v>0</v>
      </c>
      <c r="P387" s="1462"/>
      <c r="Q387" s="1463"/>
      <c r="R387" s="1464"/>
      <c r="S387" s="1465"/>
      <c r="T387" s="1465"/>
    </row>
    <row r="388" spans="2:20">
      <c r="B388" s="1426">
        <v>41910</v>
      </c>
      <c r="C388" s="1425"/>
      <c r="D388" s="1428" t="e">
        <f t="shared" si="25"/>
        <v>#DIV/0!</v>
      </c>
      <c r="F388" s="1427"/>
      <c r="G388" s="1428" t="e">
        <f t="shared" si="26"/>
        <v>#DIV/0!</v>
      </c>
      <c r="H388" s="1426">
        <v>41910</v>
      </c>
      <c r="M388" s="1432" t="e">
        <f t="shared" si="27"/>
        <v>#DIV/0!</v>
      </c>
      <c r="N388" s="1411">
        <f t="shared" si="28"/>
        <v>0</v>
      </c>
      <c r="P388" s="1462"/>
      <c r="Q388" s="1463"/>
      <c r="R388" s="1464"/>
      <c r="S388" s="1465"/>
      <c r="T388" s="1465"/>
    </row>
    <row r="389" spans="2:20">
      <c r="B389" s="1426">
        <v>41903</v>
      </c>
      <c r="C389" s="1425"/>
      <c r="D389" s="1428" t="e">
        <f t="shared" si="25"/>
        <v>#DIV/0!</v>
      </c>
      <c r="F389" s="1427"/>
      <c r="G389" s="1428" t="e">
        <f t="shared" si="26"/>
        <v>#DIV/0!</v>
      </c>
      <c r="H389" s="1426">
        <v>41903</v>
      </c>
      <c r="M389" s="1432" t="e">
        <f t="shared" si="27"/>
        <v>#DIV/0!</v>
      </c>
      <c r="N389" s="1411">
        <f t="shared" si="28"/>
        <v>0</v>
      </c>
      <c r="P389" s="1462"/>
      <c r="Q389" s="1463"/>
      <c r="R389" s="1464"/>
      <c r="S389" s="1465"/>
      <c r="T389" s="1465"/>
    </row>
    <row r="390" spans="2:20">
      <c r="B390" s="1426">
        <v>41896</v>
      </c>
      <c r="C390" s="1425"/>
      <c r="D390" s="1428" t="e">
        <f t="shared" si="25"/>
        <v>#DIV/0!</v>
      </c>
      <c r="F390" s="1427"/>
      <c r="G390" s="1428" t="e">
        <f t="shared" si="26"/>
        <v>#DIV/0!</v>
      </c>
      <c r="H390" s="1426">
        <v>41896</v>
      </c>
      <c r="M390" s="1432" t="e">
        <f t="shared" si="27"/>
        <v>#DIV/0!</v>
      </c>
      <c r="N390" s="1411">
        <f t="shared" si="28"/>
        <v>0</v>
      </c>
      <c r="P390" s="1462"/>
      <c r="Q390" s="1463"/>
      <c r="R390" s="1464"/>
      <c r="S390" s="1465"/>
      <c r="T390" s="1465"/>
    </row>
    <row r="391" spans="2:20">
      <c r="B391" s="1426">
        <v>41889</v>
      </c>
      <c r="C391" s="1425"/>
      <c r="D391" s="1428" t="e">
        <f t="shared" ref="D391:D454" si="29">C391/C392-1</f>
        <v>#DIV/0!</v>
      </c>
      <c r="F391" s="1427"/>
      <c r="G391" s="1428" t="e">
        <f t="shared" ref="G391:G454" si="30">F391/F392-1</f>
        <v>#DIV/0!</v>
      </c>
      <c r="H391" s="1426">
        <v>41889</v>
      </c>
      <c r="M391" s="1432" t="e">
        <f t="shared" ref="M391:M454" si="31">F391/F392-1</f>
        <v>#DIV/0!</v>
      </c>
      <c r="N391" s="1411">
        <f t="shared" ref="N391:N454" si="32">H391-B391</f>
        <v>0</v>
      </c>
      <c r="P391" s="1462"/>
      <c r="Q391" s="1463"/>
      <c r="R391" s="1464"/>
      <c r="S391" s="1465"/>
      <c r="T391" s="1465"/>
    </row>
    <row r="392" spans="2:20">
      <c r="B392" s="1426">
        <v>41882</v>
      </c>
      <c r="C392" s="1425"/>
      <c r="D392" s="1428" t="e">
        <f t="shared" si="29"/>
        <v>#DIV/0!</v>
      </c>
      <c r="F392" s="1427"/>
      <c r="G392" s="1428" t="e">
        <f t="shared" si="30"/>
        <v>#DIV/0!</v>
      </c>
      <c r="H392" s="1426">
        <v>41882</v>
      </c>
      <c r="M392" s="1432" t="e">
        <f t="shared" si="31"/>
        <v>#DIV/0!</v>
      </c>
      <c r="N392" s="1411">
        <f t="shared" si="32"/>
        <v>0</v>
      </c>
      <c r="P392" s="1462"/>
      <c r="Q392" s="1463"/>
      <c r="R392" s="1464"/>
      <c r="S392" s="1465"/>
      <c r="T392" s="1465"/>
    </row>
    <row r="393" spans="2:20">
      <c r="B393" s="1426">
        <v>41875</v>
      </c>
      <c r="C393" s="1425"/>
      <c r="D393" s="1428" t="e">
        <f t="shared" si="29"/>
        <v>#DIV/0!</v>
      </c>
      <c r="F393" s="1427"/>
      <c r="G393" s="1428" t="e">
        <f t="shared" si="30"/>
        <v>#DIV/0!</v>
      </c>
      <c r="H393" s="1426">
        <v>41875</v>
      </c>
      <c r="M393" s="1432" t="e">
        <f t="shared" si="31"/>
        <v>#DIV/0!</v>
      </c>
      <c r="N393" s="1411">
        <f t="shared" si="32"/>
        <v>0</v>
      </c>
      <c r="P393" s="1462"/>
      <c r="Q393" s="1463"/>
      <c r="R393" s="1464"/>
      <c r="S393" s="1465"/>
      <c r="T393" s="1465"/>
    </row>
    <row r="394" spans="2:20">
      <c r="B394" s="1426">
        <v>41868</v>
      </c>
      <c r="C394" s="1425"/>
      <c r="D394" s="1428" t="e">
        <f t="shared" si="29"/>
        <v>#DIV/0!</v>
      </c>
      <c r="F394" s="1427"/>
      <c r="G394" s="1428" t="e">
        <f t="shared" si="30"/>
        <v>#DIV/0!</v>
      </c>
      <c r="H394" s="1426">
        <v>41868</v>
      </c>
      <c r="M394" s="1432" t="e">
        <f t="shared" si="31"/>
        <v>#DIV/0!</v>
      </c>
      <c r="N394" s="1411">
        <f t="shared" si="32"/>
        <v>0</v>
      </c>
      <c r="P394" s="1462"/>
      <c r="Q394" s="1463"/>
      <c r="R394" s="1464"/>
      <c r="S394" s="1465"/>
      <c r="T394" s="1465"/>
    </row>
    <row r="395" spans="2:20">
      <c r="B395" s="1426">
        <v>41861</v>
      </c>
      <c r="C395" s="1425"/>
      <c r="D395" s="1428" t="e">
        <f t="shared" si="29"/>
        <v>#DIV/0!</v>
      </c>
      <c r="F395" s="1427"/>
      <c r="G395" s="1428" t="e">
        <f t="shared" si="30"/>
        <v>#DIV/0!</v>
      </c>
      <c r="H395" s="1426">
        <v>41861</v>
      </c>
      <c r="M395" s="1432" t="e">
        <f t="shared" si="31"/>
        <v>#DIV/0!</v>
      </c>
      <c r="N395" s="1411">
        <f t="shared" si="32"/>
        <v>0</v>
      </c>
      <c r="P395" s="1462"/>
      <c r="Q395" s="1463"/>
      <c r="R395" s="1464"/>
      <c r="S395" s="1465"/>
      <c r="T395" s="1465"/>
    </row>
    <row r="396" spans="2:20">
      <c r="B396" s="1426">
        <v>41854</v>
      </c>
      <c r="C396" s="1425"/>
      <c r="D396" s="1428" t="e">
        <f t="shared" si="29"/>
        <v>#DIV/0!</v>
      </c>
      <c r="F396" s="1427"/>
      <c r="G396" s="1428" t="e">
        <f t="shared" si="30"/>
        <v>#DIV/0!</v>
      </c>
      <c r="H396" s="1426">
        <v>41854</v>
      </c>
      <c r="M396" s="1432" t="e">
        <f t="shared" si="31"/>
        <v>#DIV/0!</v>
      </c>
      <c r="N396" s="1411">
        <f t="shared" si="32"/>
        <v>0</v>
      </c>
      <c r="P396" s="1462"/>
      <c r="Q396" s="1463"/>
      <c r="R396" s="1464"/>
      <c r="S396" s="1465"/>
      <c r="T396" s="1465"/>
    </row>
    <row r="397" spans="2:20">
      <c r="B397" s="1426">
        <v>41847</v>
      </c>
      <c r="C397" s="1425"/>
      <c r="D397" s="1428" t="e">
        <f t="shared" si="29"/>
        <v>#DIV/0!</v>
      </c>
      <c r="F397" s="1427"/>
      <c r="G397" s="1428" t="e">
        <f t="shared" si="30"/>
        <v>#DIV/0!</v>
      </c>
      <c r="H397" s="1426">
        <v>41847</v>
      </c>
      <c r="M397" s="1432" t="e">
        <f t="shared" si="31"/>
        <v>#DIV/0!</v>
      </c>
      <c r="N397" s="1411">
        <f t="shared" si="32"/>
        <v>0</v>
      </c>
      <c r="P397" s="1462"/>
      <c r="Q397" s="1463"/>
      <c r="R397" s="1464"/>
      <c r="S397" s="1465"/>
      <c r="T397" s="1465"/>
    </row>
    <row r="398" spans="2:20">
      <c r="B398" s="1426">
        <v>41840</v>
      </c>
      <c r="C398" s="1425"/>
      <c r="D398" s="1428" t="e">
        <f t="shared" si="29"/>
        <v>#DIV/0!</v>
      </c>
      <c r="F398" s="1427"/>
      <c r="G398" s="1428" t="e">
        <f t="shared" si="30"/>
        <v>#DIV/0!</v>
      </c>
      <c r="H398" s="1426">
        <v>41840</v>
      </c>
      <c r="M398" s="1432" t="e">
        <f t="shared" si="31"/>
        <v>#DIV/0!</v>
      </c>
      <c r="N398" s="1411">
        <f t="shared" si="32"/>
        <v>0</v>
      </c>
      <c r="P398" s="1462"/>
      <c r="Q398" s="1463"/>
      <c r="R398" s="1464"/>
      <c r="S398" s="1465"/>
      <c r="T398" s="1465"/>
    </row>
    <row r="399" spans="2:20">
      <c r="B399" s="1426">
        <v>41833</v>
      </c>
      <c r="C399" s="1425"/>
      <c r="D399" s="1428" t="e">
        <f t="shared" si="29"/>
        <v>#DIV/0!</v>
      </c>
      <c r="F399" s="1427"/>
      <c r="G399" s="1428" t="e">
        <f t="shared" si="30"/>
        <v>#DIV/0!</v>
      </c>
      <c r="H399" s="1426">
        <v>41833</v>
      </c>
      <c r="M399" s="1432" t="e">
        <f t="shared" si="31"/>
        <v>#DIV/0!</v>
      </c>
      <c r="N399" s="1411">
        <f t="shared" si="32"/>
        <v>0</v>
      </c>
      <c r="P399" s="1462"/>
      <c r="Q399" s="1463"/>
      <c r="R399" s="1464"/>
      <c r="S399" s="1465"/>
      <c r="T399" s="1465"/>
    </row>
    <row r="400" spans="2:20">
      <c r="B400" s="1426">
        <v>41826</v>
      </c>
      <c r="C400" s="1425"/>
      <c r="D400" s="1428" t="e">
        <f t="shared" si="29"/>
        <v>#DIV/0!</v>
      </c>
      <c r="F400" s="1427"/>
      <c r="G400" s="1428" t="e">
        <f t="shared" si="30"/>
        <v>#DIV/0!</v>
      </c>
      <c r="H400" s="1426">
        <v>41826</v>
      </c>
      <c r="M400" s="1432" t="e">
        <f t="shared" si="31"/>
        <v>#DIV/0!</v>
      </c>
      <c r="N400" s="1411">
        <f t="shared" si="32"/>
        <v>0</v>
      </c>
      <c r="P400" s="1462"/>
      <c r="Q400" s="1463"/>
      <c r="R400" s="1464"/>
      <c r="S400" s="1465"/>
      <c r="T400" s="1465"/>
    </row>
    <row r="401" spans="2:20">
      <c r="B401" s="1426">
        <v>41819</v>
      </c>
      <c r="C401" s="1425"/>
      <c r="D401" s="1428" t="e">
        <f t="shared" si="29"/>
        <v>#DIV/0!</v>
      </c>
      <c r="F401" s="1427"/>
      <c r="G401" s="1428" t="e">
        <f t="shared" si="30"/>
        <v>#DIV/0!</v>
      </c>
      <c r="H401" s="1426">
        <v>41819</v>
      </c>
      <c r="M401" s="1432" t="e">
        <f t="shared" si="31"/>
        <v>#DIV/0!</v>
      </c>
      <c r="N401" s="1411">
        <f t="shared" si="32"/>
        <v>0</v>
      </c>
      <c r="P401" s="1462"/>
      <c r="Q401" s="1463"/>
      <c r="R401" s="1464"/>
      <c r="S401" s="1465"/>
      <c r="T401" s="1465"/>
    </row>
    <row r="402" spans="2:20">
      <c r="B402" s="1426">
        <v>41812</v>
      </c>
      <c r="C402" s="1425"/>
      <c r="D402" s="1428" t="e">
        <f t="shared" si="29"/>
        <v>#DIV/0!</v>
      </c>
      <c r="F402" s="1427"/>
      <c r="G402" s="1428" t="e">
        <f t="shared" si="30"/>
        <v>#DIV/0!</v>
      </c>
      <c r="H402" s="1426">
        <v>41812</v>
      </c>
      <c r="M402" s="1432" t="e">
        <f t="shared" si="31"/>
        <v>#DIV/0!</v>
      </c>
      <c r="N402" s="1411">
        <f t="shared" si="32"/>
        <v>0</v>
      </c>
      <c r="P402" s="1462"/>
      <c r="Q402" s="1463"/>
      <c r="R402" s="1464"/>
      <c r="S402" s="1465"/>
      <c r="T402" s="1465"/>
    </row>
    <row r="403" spans="2:20">
      <c r="B403" s="1426">
        <v>41805</v>
      </c>
      <c r="C403" s="1425"/>
      <c r="D403" s="1428" t="e">
        <f t="shared" si="29"/>
        <v>#DIV/0!</v>
      </c>
      <c r="F403" s="1427"/>
      <c r="G403" s="1428" t="e">
        <f t="shared" si="30"/>
        <v>#DIV/0!</v>
      </c>
      <c r="H403" s="1426">
        <v>41805</v>
      </c>
      <c r="M403" s="1432" t="e">
        <f t="shared" si="31"/>
        <v>#DIV/0!</v>
      </c>
      <c r="N403" s="1411">
        <f t="shared" si="32"/>
        <v>0</v>
      </c>
      <c r="P403" s="1462"/>
      <c r="Q403" s="1463"/>
      <c r="R403" s="1464"/>
      <c r="S403" s="1465"/>
      <c r="T403" s="1465"/>
    </row>
    <row r="404" spans="2:20">
      <c r="B404" s="1426">
        <v>41798</v>
      </c>
      <c r="C404" s="1425"/>
      <c r="D404" s="1428" t="e">
        <f t="shared" si="29"/>
        <v>#DIV/0!</v>
      </c>
      <c r="F404" s="1427"/>
      <c r="G404" s="1428" t="e">
        <f t="shared" si="30"/>
        <v>#DIV/0!</v>
      </c>
      <c r="H404" s="1426">
        <v>41798</v>
      </c>
      <c r="M404" s="1432" t="e">
        <f t="shared" si="31"/>
        <v>#DIV/0!</v>
      </c>
      <c r="N404" s="1411">
        <f t="shared" si="32"/>
        <v>0</v>
      </c>
      <c r="P404" s="1462"/>
      <c r="Q404" s="1463"/>
      <c r="R404" s="1464"/>
      <c r="S404" s="1465"/>
      <c r="T404" s="1465"/>
    </row>
    <row r="405" spans="2:20">
      <c r="B405" s="1426">
        <v>41791</v>
      </c>
      <c r="C405" s="1425"/>
      <c r="D405" s="1428" t="e">
        <f t="shared" si="29"/>
        <v>#DIV/0!</v>
      </c>
      <c r="F405" s="1427"/>
      <c r="G405" s="1428" t="e">
        <f t="shared" si="30"/>
        <v>#DIV/0!</v>
      </c>
      <c r="H405" s="1426">
        <v>41791</v>
      </c>
      <c r="M405" s="1432" t="e">
        <f t="shared" si="31"/>
        <v>#DIV/0!</v>
      </c>
      <c r="N405" s="1411">
        <f t="shared" si="32"/>
        <v>0</v>
      </c>
      <c r="P405" s="1462"/>
      <c r="Q405" s="1463"/>
      <c r="R405" s="1464"/>
      <c r="S405" s="1465"/>
      <c r="T405" s="1465"/>
    </row>
    <row r="406" spans="2:20">
      <c r="B406" s="1426">
        <v>41784</v>
      </c>
      <c r="C406" s="1425"/>
      <c r="D406" s="1428" t="e">
        <f t="shared" si="29"/>
        <v>#DIV/0!</v>
      </c>
      <c r="F406" s="1427"/>
      <c r="G406" s="1428" t="e">
        <f t="shared" si="30"/>
        <v>#DIV/0!</v>
      </c>
      <c r="H406" s="1426">
        <v>41784</v>
      </c>
      <c r="M406" s="1432" t="e">
        <f t="shared" si="31"/>
        <v>#DIV/0!</v>
      </c>
      <c r="N406" s="1411">
        <f t="shared" si="32"/>
        <v>0</v>
      </c>
      <c r="P406" s="1462"/>
      <c r="Q406" s="1463"/>
      <c r="R406" s="1464"/>
      <c r="S406" s="1465"/>
      <c r="T406" s="1465"/>
    </row>
    <row r="407" spans="2:20">
      <c r="B407" s="1426">
        <v>41777</v>
      </c>
      <c r="C407" s="1425"/>
      <c r="D407" s="1428" t="e">
        <f t="shared" si="29"/>
        <v>#DIV/0!</v>
      </c>
      <c r="F407" s="1427"/>
      <c r="G407" s="1428" t="e">
        <f t="shared" si="30"/>
        <v>#DIV/0!</v>
      </c>
      <c r="H407" s="1426">
        <v>41777</v>
      </c>
      <c r="M407" s="1432" t="e">
        <f t="shared" si="31"/>
        <v>#DIV/0!</v>
      </c>
      <c r="N407" s="1411">
        <f t="shared" si="32"/>
        <v>0</v>
      </c>
      <c r="P407" s="1462"/>
      <c r="Q407" s="1463"/>
      <c r="R407" s="1464"/>
      <c r="S407" s="1465"/>
      <c r="T407" s="1465"/>
    </row>
    <row r="408" spans="2:20">
      <c r="B408" s="1426">
        <v>41770</v>
      </c>
      <c r="C408" s="1425"/>
      <c r="D408" s="1428" t="e">
        <f t="shared" si="29"/>
        <v>#DIV/0!</v>
      </c>
      <c r="F408" s="1427"/>
      <c r="G408" s="1428" t="e">
        <f t="shared" si="30"/>
        <v>#DIV/0!</v>
      </c>
      <c r="H408" s="1426">
        <v>41770</v>
      </c>
      <c r="M408" s="1432" t="e">
        <f t="shared" si="31"/>
        <v>#DIV/0!</v>
      </c>
      <c r="N408" s="1411">
        <f t="shared" si="32"/>
        <v>0</v>
      </c>
      <c r="P408" s="1462"/>
      <c r="Q408" s="1463"/>
      <c r="R408" s="1464"/>
      <c r="S408" s="1465"/>
      <c r="T408" s="1465"/>
    </row>
    <row r="409" spans="2:20">
      <c r="B409" s="1426">
        <v>41763</v>
      </c>
      <c r="C409" s="1425"/>
      <c r="D409" s="1428" t="e">
        <f t="shared" si="29"/>
        <v>#DIV/0!</v>
      </c>
      <c r="F409" s="1427"/>
      <c r="G409" s="1428" t="e">
        <f t="shared" si="30"/>
        <v>#DIV/0!</v>
      </c>
      <c r="H409" s="1426">
        <v>41763</v>
      </c>
      <c r="M409" s="1432" t="e">
        <f t="shared" si="31"/>
        <v>#DIV/0!</v>
      </c>
      <c r="N409" s="1411">
        <f t="shared" si="32"/>
        <v>0</v>
      </c>
      <c r="P409" s="1462"/>
      <c r="Q409" s="1463"/>
      <c r="R409" s="1464"/>
      <c r="S409" s="1465"/>
      <c r="T409" s="1465"/>
    </row>
    <row r="410" spans="2:20">
      <c r="B410" s="1426">
        <v>41756</v>
      </c>
      <c r="C410" s="1425"/>
      <c r="D410" s="1428" t="e">
        <f t="shared" si="29"/>
        <v>#DIV/0!</v>
      </c>
      <c r="F410" s="1427"/>
      <c r="G410" s="1428" t="e">
        <f t="shared" si="30"/>
        <v>#DIV/0!</v>
      </c>
      <c r="H410" s="1426">
        <v>41756</v>
      </c>
      <c r="M410" s="1432" t="e">
        <f t="shared" si="31"/>
        <v>#DIV/0!</v>
      </c>
      <c r="N410" s="1411">
        <f t="shared" si="32"/>
        <v>0</v>
      </c>
      <c r="P410" s="1462"/>
      <c r="Q410" s="1463"/>
      <c r="R410" s="1464"/>
      <c r="S410" s="1465"/>
      <c r="T410" s="1465"/>
    </row>
    <row r="411" spans="2:20">
      <c r="B411" s="1426">
        <v>41749</v>
      </c>
      <c r="C411" s="1425"/>
      <c r="D411" s="1428" t="e">
        <f t="shared" si="29"/>
        <v>#DIV/0!</v>
      </c>
      <c r="F411" s="1427"/>
      <c r="G411" s="1428" t="e">
        <f t="shared" si="30"/>
        <v>#DIV/0!</v>
      </c>
      <c r="H411" s="1426">
        <v>41749</v>
      </c>
      <c r="M411" s="1432" t="e">
        <f t="shared" si="31"/>
        <v>#DIV/0!</v>
      </c>
      <c r="N411" s="1411">
        <f t="shared" si="32"/>
        <v>0</v>
      </c>
      <c r="P411" s="1462"/>
      <c r="Q411" s="1463"/>
      <c r="R411" s="1464"/>
      <c r="S411" s="1465"/>
      <c r="T411" s="1465"/>
    </row>
    <row r="412" spans="2:20">
      <c r="B412" s="1426">
        <v>41742</v>
      </c>
      <c r="C412" s="1425"/>
      <c r="D412" s="1428" t="e">
        <f t="shared" si="29"/>
        <v>#DIV/0!</v>
      </c>
      <c r="F412" s="1427"/>
      <c r="G412" s="1428" t="e">
        <f t="shared" si="30"/>
        <v>#DIV/0!</v>
      </c>
      <c r="H412" s="1426">
        <v>41742</v>
      </c>
      <c r="M412" s="1432" t="e">
        <f t="shared" si="31"/>
        <v>#DIV/0!</v>
      </c>
      <c r="N412" s="1411">
        <f t="shared" si="32"/>
        <v>0</v>
      </c>
      <c r="P412" s="1462"/>
      <c r="Q412" s="1463"/>
      <c r="R412" s="1464"/>
      <c r="S412" s="1465"/>
      <c r="T412" s="1465"/>
    </row>
    <row r="413" spans="2:20">
      <c r="B413" s="1426">
        <v>41735</v>
      </c>
      <c r="C413" s="1425"/>
      <c r="D413" s="1428" t="e">
        <f t="shared" si="29"/>
        <v>#DIV/0!</v>
      </c>
      <c r="F413" s="1427"/>
      <c r="G413" s="1428" t="e">
        <f t="shared" si="30"/>
        <v>#DIV/0!</v>
      </c>
      <c r="H413" s="1426">
        <v>41735</v>
      </c>
      <c r="M413" s="1432" t="e">
        <f t="shared" si="31"/>
        <v>#DIV/0!</v>
      </c>
      <c r="N413" s="1411">
        <f t="shared" si="32"/>
        <v>0</v>
      </c>
      <c r="P413" s="1462"/>
      <c r="Q413" s="1463"/>
      <c r="R413" s="1464"/>
      <c r="S413" s="1465"/>
      <c r="T413" s="1465"/>
    </row>
    <row r="414" spans="2:20">
      <c r="B414" s="1426">
        <v>41728</v>
      </c>
      <c r="C414" s="1425"/>
      <c r="D414" s="1428" t="e">
        <f t="shared" si="29"/>
        <v>#DIV/0!</v>
      </c>
      <c r="F414" s="1427"/>
      <c r="G414" s="1428" t="e">
        <f t="shared" si="30"/>
        <v>#DIV/0!</v>
      </c>
      <c r="H414" s="1426">
        <v>41728</v>
      </c>
      <c r="M414" s="1432" t="e">
        <f t="shared" si="31"/>
        <v>#DIV/0!</v>
      </c>
      <c r="N414" s="1411">
        <f t="shared" si="32"/>
        <v>0</v>
      </c>
      <c r="P414" s="1462"/>
      <c r="Q414" s="1463"/>
      <c r="R414" s="1464"/>
      <c r="S414" s="1465"/>
      <c r="T414" s="1465"/>
    </row>
    <row r="415" spans="2:20">
      <c r="B415" s="1426">
        <v>41721</v>
      </c>
      <c r="C415" s="1425"/>
      <c r="D415" s="1428" t="e">
        <f t="shared" si="29"/>
        <v>#DIV/0!</v>
      </c>
      <c r="F415" s="1427"/>
      <c r="G415" s="1428" t="e">
        <f t="shared" si="30"/>
        <v>#DIV/0!</v>
      </c>
      <c r="H415" s="1426">
        <v>41721</v>
      </c>
      <c r="M415" s="1432" t="e">
        <f t="shared" si="31"/>
        <v>#DIV/0!</v>
      </c>
      <c r="N415" s="1411">
        <f t="shared" si="32"/>
        <v>0</v>
      </c>
      <c r="P415" s="1462"/>
      <c r="Q415" s="1463"/>
      <c r="R415" s="1464"/>
      <c r="S415" s="1465"/>
      <c r="T415" s="1465"/>
    </row>
    <row r="416" spans="2:20">
      <c r="B416" s="1426">
        <v>41714</v>
      </c>
      <c r="C416" s="1425"/>
      <c r="D416" s="1428" t="e">
        <f t="shared" si="29"/>
        <v>#DIV/0!</v>
      </c>
      <c r="F416" s="1427"/>
      <c r="G416" s="1428" t="e">
        <f t="shared" si="30"/>
        <v>#DIV/0!</v>
      </c>
      <c r="H416" s="1426">
        <v>41714</v>
      </c>
      <c r="M416" s="1432" t="e">
        <f t="shared" si="31"/>
        <v>#DIV/0!</v>
      </c>
      <c r="N416" s="1411">
        <f t="shared" si="32"/>
        <v>0</v>
      </c>
      <c r="P416" s="1462"/>
      <c r="Q416" s="1463"/>
      <c r="R416" s="1464"/>
      <c r="S416" s="1465"/>
      <c r="T416" s="1465"/>
    </row>
    <row r="417" spans="2:20">
      <c r="B417" s="1426">
        <v>41707</v>
      </c>
      <c r="C417" s="1425"/>
      <c r="D417" s="1428" t="e">
        <f t="shared" si="29"/>
        <v>#DIV/0!</v>
      </c>
      <c r="F417" s="1427"/>
      <c r="G417" s="1428" t="e">
        <f t="shared" si="30"/>
        <v>#DIV/0!</v>
      </c>
      <c r="H417" s="1426">
        <v>41707</v>
      </c>
      <c r="M417" s="1432" t="e">
        <f t="shared" si="31"/>
        <v>#DIV/0!</v>
      </c>
      <c r="N417" s="1411">
        <f t="shared" si="32"/>
        <v>0</v>
      </c>
      <c r="P417" s="1462"/>
      <c r="Q417" s="1463"/>
      <c r="R417" s="1464"/>
      <c r="S417" s="1465"/>
      <c r="T417" s="1465"/>
    </row>
    <row r="418" spans="2:20">
      <c r="B418" s="1426">
        <v>41700</v>
      </c>
      <c r="C418" s="1425"/>
      <c r="D418" s="1428" t="e">
        <f t="shared" si="29"/>
        <v>#DIV/0!</v>
      </c>
      <c r="F418" s="1427"/>
      <c r="G418" s="1428" t="e">
        <f t="shared" si="30"/>
        <v>#DIV/0!</v>
      </c>
      <c r="H418" s="1426">
        <v>41700</v>
      </c>
      <c r="M418" s="1432" t="e">
        <f t="shared" si="31"/>
        <v>#DIV/0!</v>
      </c>
      <c r="N418" s="1411">
        <f t="shared" si="32"/>
        <v>0</v>
      </c>
      <c r="P418" s="1462"/>
      <c r="Q418" s="1463"/>
      <c r="R418" s="1464"/>
      <c r="S418" s="1465"/>
      <c r="T418" s="1465"/>
    </row>
    <row r="419" spans="2:20">
      <c r="B419" s="1426">
        <v>41693</v>
      </c>
      <c r="C419" s="1425"/>
      <c r="D419" s="1428" t="e">
        <f t="shared" si="29"/>
        <v>#DIV/0!</v>
      </c>
      <c r="F419" s="1427"/>
      <c r="G419" s="1428" t="e">
        <f t="shared" si="30"/>
        <v>#DIV/0!</v>
      </c>
      <c r="H419" s="1426">
        <v>41693</v>
      </c>
      <c r="M419" s="1432" t="e">
        <f t="shared" si="31"/>
        <v>#DIV/0!</v>
      </c>
      <c r="N419" s="1411">
        <f t="shared" si="32"/>
        <v>0</v>
      </c>
      <c r="P419" s="1462"/>
      <c r="Q419" s="1463"/>
      <c r="R419" s="1464"/>
      <c r="S419" s="1465"/>
      <c r="T419" s="1465"/>
    </row>
    <row r="420" spans="2:20">
      <c r="B420" s="1426">
        <v>41686</v>
      </c>
      <c r="C420" s="1425"/>
      <c r="D420" s="1428" t="e">
        <f t="shared" si="29"/>
        <v>#DIV/0!</v>
      </c>
      <c r="F420" s="1427"/>
      <c r="G420" s="1428" t="e">
        <f t="shared" si="30"/>
        <v>#DIV/0!</v>
      </c>
      <c r="H420" s="1426">
        <v>41686</v>
      </c>
      <c r="M420" s="1432" t="e">
        <f t="shared" si="31"/>
        <v>#DIV/0!</v>
      </c>
      <c r="N420" s="1411">
        <f t="shared" si="32"/>
        <v>0</v>
      </c>
      <c r="P420" s="1462"/>
      <c r="Q420" s="1463"/>
      <c r="R420" s="1464"/>
      <c r="S420" s="1465"/>
      <c r="T420" s="1465"/>
    </row>
    <row r="421" spans="2:20">
      <c r="B421" s="1426">
        <v>41679</v>
      </c>
      <c r="C421" s="1425"/>
      <c r="D421" s="1428" t="e">
        <f t="shared" si="29"/>
        <v>#DIV/0!</v>
      </c>
      <c r="F421" s="1427"/>
      <c r="G421" s="1428" t="e">
        <f t="shared" si="30"/>
        <v>#DIV/0!</v>
      </c>
      <c r="H421" s="1426">
        <v>41679</v>
      </c>
      <c r="M421" s="1432" t="e">
        <f t="shared" si="31"/>
        <v>#DIV/0!</v>
      </c>
      <c r="N421" s="1411">
        <f t="shared" si="32"/>
        <v>0</v>
      </c>
      <c r="P421" s="1462"/>
      <c r="Q421" s="1463"/>
      <c r="R421" s="1464"/>
      <c r="S421" s="1465"/>
      <c r="T421" s="1465"/>
    </row>
    <row r="422" spans="2:20">
      <c r="B422" s="1426">
        <v>41672</v>
      </c>
      <c r="C422" s="1425"/>
      <c r="D422" s="1428" t="e">
        <f t="shared" si="29"/>
        <v>#DIV/0!</v>
      </c>
      <c r="F422" s="1427"/>
      <c r="G422" s="1428" t="e">
        <f t="shared" si="30"/>
        <v>#DIV/0!</v>
      </c>
      <c r="H422" s="1426">
        <v>41672</v>
      </c>
      <c r="M422" s="1432" t="e">
        <f t="shared" si="31"/>
        <v>#DIV/0!</v>
      </c>
      <c r="N422" s="1411">
        <f t="shared" si="32"/>
        <v>0</v>
      </c>
      <c r="P422" s="1462"/>
      <c r="Q422" s="1463"/>
      <c r="R422" s="1464"/>
      <c r="S422" s="1465"/>
      <c r="T422" s="1465"/>
    </row>
    <row r="423" spans="2:20">
      <c r="B423" s="1426">
        <v>41665</v>
      </c>
      <c r="C423" s="1425"/>
      <c r="D423" s="1428" t="e">
        <f t="shared" si="29"/>
        <v>#DIV/0!</v>
      </c>
      <c r="F423" s="1427"/>
      <c r="G423" s="1428" t="e">
        <f t="shared" si="30"/>
        <v>#DIV/0!</v>
      </c>
      <c r="H423" s="1426">
        <v>41665</v>
      </c>
      <c r="M423" s="1432" t="e">
        <f t="shared" si="31"/>
        <v>#DIV/0!</v>
      </c>
      <c r="N423" s="1411">
        <f t="shared" si="32"/>
        <v>0</v>
      </c>
      <c r="P423" s="1462"/>
      <c r="Q423" s="1463"/>
      <c r="R423" s="1464"/>
      <c r="S423" s="1465"/>
      <c r="T423" s="1465"/>
    </row>
    <row r="424" spans="2:20">
      <c r="B424" s="1426">
        <v>41658</v>
      </c>
      <c r="C424" s="1425"/>
      <c r="D424" s="1428" t="e">
        <f t="shared" si="29"/>
        <v>#DIV/0!</v>
      </c>
      <c r="F424" s="1427"/>
      <c r="G424" s="1428" t="e">
        <f t="shared" si="30"/>
        <v>#DIV/0!</v>
      </c>
      <c r="H424" s="1426">
        <v>41658</v>
      </c>
      <c r="M424" s="1432" t="e">
        <f t="shared" si="31"/>
        <v>#DIV/0!</v>
      </c>
      <c r="N424" s="1411">
        <f t="shared" si="32"/>
        <v>0</v>
      </c>
      <c r="P424" s="1462"/>
      <c r="Q424" s="1463"/>
      <c r="R424" s="1464"/>
      <c r="S424" s="1465"/>
      <c r="T424" s="1465"/>
    </row>
    <row r="425" spans="2:20">
      <c r="B425" s="1426">
        <v>41651</v>
      </c>
      <c r="C425" s="1425"/>
      <c r="D425" s="1428" t="e">
        <f t="shared" si="29"/>
        <v>#DIV/0!</v>
      </c>
      <c r="F425" s="1427"/>
      <c r="G425" s="1428" t="e">
        <f t="shared" si="30"/>
        <v>#DIV/0!</v>
      </c>
      <c r="H425" s="1426">
        <v>41651</v>
      </c>
      <c r="M425" s="1432" t="e">
        <f t="shared" si="31"/>
        <v>#DIV/0!</v>
      </c>
      <c r="N425" s="1411">
        <f t="shared" si="32"/>
        <v>0</v>
      </c>
      <c r="P425" s="1462"/>
      <c r="Q425" s="1463"/>
      <c r="R425" s="1464"/>
      <c r="S425" s="1465"/>
      <c r="T425" s="1465"/>
    </row>
    <row r="426" spans="2:20">
      <c r="B426" s="1426">
        <v>41644</v>
      </c>
      <c r="C426" s="1425"/>
      <c r="D426" s="1428" t="e">
        <f t="shared" si="29"/>
        <v>#DIV/0!</v>
      </c>
      <c r="F426" s="1427"/>
      <c r="G426" s="1428" t="e">
        <f t="shared" si="30"/>
        <v>#DIV/0!</v>
      </c>
      <c r="H426" s="1426">
        <v>41644</v>
      </c>
      <c r="M426" s="1432" t="e">
        <f t="shared" si="31"/>
        <v>#DIV/0!</v>
      </c>
      <c r="N426" s="1411">
        <f t="shared" si="32"/>
        <v>0</v>
      </c>
      <c r="P426" s="1462"/>
      <c r="Q426" s="1463"/>
      <c r="R426" s="1464"/>
      <c r="S426" s="1465"/>
      <c r="T426" s="1465"/>
    </row>
    <row r="427" spans="2:20">
      <c r="B427" s="1426">
        <v>41637</v>
      </c>
      <c r="C427" s="1425"/>
      <c r="D427" s="1428" t="e">
        <f t="shared" si="29"/>
        <v>#DIV/0!</v>
      </c>
      <c r="F427" s="1427"/>
      <c r="G427" s="1428" t="e">
        <f t="shared" si="30"/>
        <v>#DIV/0!</v>
      </c>
      <c r="H427" s="1426">
        <v>41637</v>
      </c>
      <c r="M427" s="1432" t="e">
        <f t="shared" si="31"/>
        <v>#DIV/0!</v>
      </c>
      <c r="N427" s="1411">
        <f t="shared" si="32"/>
        <v>0</v>
      </c>
      <c r="P427" s="1462"/>
      <c r="Q427" s="1463"/>
      <c r="R427" s="1464"/>
      <c r="S427" s="1465"/>
      <c r="T427" s="1465"/>
    </row>
    <row r="428" spans="2:20">
      <c r="B428" s="1426">
        <v>41630</v>
      </c>
      <c r="C428" s="1425"/>
      <c r="D428" s="1428" t="e">
        <f t="shared" si="29"/>
        <v>#DIV/0!</v>
      </c>
      <c r="F428" s="1427"/>
      <c r="G428" s="1428" t="e">
        <f t="shared" si="30"/>
        <v>#DIV/0!</v>
      </c>
      <c r="H428" s="1426">
        <v>41630</v>
      </c>
      <c r="M428" s="1432" t="e">
        <f t="shared" si="31"/>
        <v>#DIV/0!</v>
      </c>
      <c r="N428" s="1411">
        <f t="shared" si="32"/>
        <v>0</v>
      </c>
      <c r="P428" s="1462"/>
      <c r="Q428" s="1463"/>
      <c r="R428" s="1464"/>
      <c r="S428" s="1465"/>
      <c r="T428" s="1465"/>
    </row>
    <row r="429" spans="2:20">
      <c r="B429" s="1426">
        <v>41623</v>
      </c>
      <c r="C429" s="1425"/>
      <c r="D429" s="1428" t="e">
        <f t="shared" si="29"/>
        <v>#DIV/0!</v>
      </c>
      <c r="F429" s="1427"/>
      <c r="G429" s="1428" t="e">
        <f t="shared" si="30"/>
        <v>#DIV/0!</v>
      </c>
      <c r="H429" s="1426">
        <v>41623</v>
      </c>
      <c r="M429" s="1432" t="e">
        <f t="shared" si="31"/>
        <v>#DIV/0!</v>
      </c>
      <c r="N429" s="1411">
        <f t="shared" si="32"/>
        <v>0</v>
      </c>
      <c r="P429" s="1462"/>
      <c r="Q429" s="1463"/>
      <c r="R429" s="1464"/>
      <c r="S429" s="1465"/>
      <c r="T429" s="1465"/>
    </row>
    <row r="430" spans="2:20">
      <c r="B430" s="1426">
        <v>41616</v>
      </c>
      <c r="C430" s="1425"/>
      <c r="D430" s="1428" t="e">
        <f t="shared" si="29"/>
        <v>#DIV/0!</v>
      </c>
      <c r="F430" s="1427"/>
      <c r="G430" s="1428" t="e">
        <f t="shared" si="30"/>
        <v>#DIV/0!</v>
      </c>
      <c r="H430" s="1426">
        <v>41616</v>
      </c>
      <c r="M430" s="1432" t="e">
        <f t="shared" si="31"/>
        <v>#DIV/0!</v>
      </c>
      <c r="N430" s="1411">
        <f t="shared" si="32"/>
        <v>0</v>
      </c>
      <c r="P430" s="1462"/>
      <c r="Q430" s="1463"/>
      <c r="R430" s="1464"/>
      <c r="S430" s="1465"/>
      <c r="T430" s="1465"/>
    </row>
    <row r="431" spans="2:20">
      <c r="B431" s="1426">
        <v>41609</v>
      </c>
      <c r="C431" s="1425"/>
      <c r="D431" s="1428" t="e">
        <f t="shared" si="29"/>
        <v>#DIV/0!</v>
      </c>
      <c r="F431" s="1427"/>
      <c r="G431" s="1428" t="e">
        <f t="shared" si="30"/>
        <v>#DIV/0!</v>
      </c>
      <c r="H431" s="1426">
        <v>41609</v>
      </c>
      <c r="M431" s="1432" t="e">
        <f t="shared" si="31"/>
        <v>#DIV/0!</v>
      </c>
      <c r="N431" s="1411">
        <f t="shared" si="32"/>
        <v>0</v>
      </c>
      <c r="P431" s="1462"/>
      <c r="Q431" s="1463"/>
      <c r="R431" s="1464"/>
      <c r="S431" s="1465"/>
      <c r="T431" s="1465"/>
    </row>
    <row r="432" spans="2:20">
      <c r="B432" s="1426">
        <v>41602</v>
      </c>
      <c r="C432" s="1425"/>
      <c r="D432" s="1428" t="e">
        <f t="shared" si="29"/>
        <v>#DIV/0!</v>
      </c>
      <c r="F432" s="1427"/>
      <c r="G432" s="1428" t="e">
        <f t="shared" si="30"/>
        <v>#DIV/0!</v>
      </c>
      <c r="H432" s="1426">
        <v>41602</v>
      </c>
      <c r="M432" s="1432" t="e">
        <f t="shared" si="31"/>
        <v>#DIV/0!</v>
      </c>
      <c r="N432" s="1411">
        <f t="shared" si="32"/>
        <v>0</v>
      </c>
      <c r="P432" s="1462"/>
      <c r="Q432" s="1463"/>
      <c r="R432" s="1464"/>
      <c r="S432" s="1465"/>
      <c r="T432" s="1465"/>
    </row>
    <row r="433" spans="2:20">
      <c r="B433" s="1426">
        <v>41595</v>
      </c>
      <c r="C433" s="1425"/>
      <c r="D433" s="1428" t="e">
        <f t="shared" si="29"/>
        <v>#DIV/0!</v>
      </c>
      <c r="F433" s="1427"/>
      <c r="G433" s="1428" t="e">
        <f t="shared" si="30"/>
        <v>#DIV/0!</v>
      </c>
      <c r="H433" s="1426">
        <v>41595</v>
      </c>
      <c r="M433" s="1432" t="e">
        <f t="shared" si="31"/>
        <v>#DIV/0!</v>
      </c>
      <c r="N433" s="1411">
        <f t="shared" si="32"/>
        <v>0</v>
      </c>
      <c r="P433" s="1462"/>
      <c r="Q433" s="1463"/>
      <c r="R433" s="1464"/>
      <c r="S433" s="1465"/>
      <c r="T433" s="1465"/>
    </row>
    <row r="434" spans="2:20">
      <c r="B434" s="1426">
        <v>41588</v>
      </c>
      <c r="C434" s="1425"/>
      <c r="D434" s="1428" t="e">
        <f t="shared" si="29"/>
        <v>#DIV/0!</v>
      </c>
      <c r="F434" s="1427"/>
      <c r="G434" s="1428" t="e">
        <f t="shared" si="30"/>
        <v>#DIV/0!</v>
      </c>
      <c r="H434" s="1426">
        <v>41588</v>
      </c>
      <c r="M434" s="1432" t="e">
        <f t="shared" si="31"/>
        <v>#DIV/0!</v>
      </c>
      <c r="N434" s="1411">
        <f t="shared" si="32"/>
        <v>0</v>
      </c>
      <c r="P434" s="1462"/>
      <c r="Q434" s="1463"/>
      <c r="R434" s="1464"/>
      <c r="S434" s="1465"/>
      <c r="T434" s="1465"/>
    </row>
    <row r="435" spans="2:20">
      <c r="B435" s="1426">
        <v>41581</v>
      </c>
      <c r="C435" s="1425"/>
      <c r="D435" s="1428" t="e">
        <f t="shared" si="29"/>
        <v>#DIV/0!</v>
      </c>
      <c r="F435" s="1427"/>
      <c r="G435" s="1428" t="e">
        <f t="shared" si="30"/>
        <v>#DIV/0!</v>
      </c>
      <c r="H435" s="1426">
        <v>41581</v>
      </c>
      <c r="M435" s="1432" t="e">
        <f t="shared" si="31"/>
        <v>#DIV/0!</v>
      </c>
      <c r="N435" s="1411">
        <f t="shared" si="32"/>
        <v>0</v>
      </c>
      <c r="P435" s="1462"/>
      <c r="Q435" s="1463"/>
      <c r="R435" s="1464"/>
      <c r="S435" s="1465"/>
      <c r="T435" s="1465"/>
    </row>
    <row r="436" spans="2:20">
      <c r="B436" s="1426">
        <v>41574</v>
      </c>
      <c r="C436" s="1425"/>
      <c r="D436" s="1428" t="e">
        <f t="shared" si="29"/>
        <v>#DIV/0!</v>
      </c>
      <c r="F436" s="1427"/>
      <c r="G436" s="1428" t="e">
        <f t="shared" si="30"/>
        <v>#DIV/0!</v>
      </c>
      <c r="H436" s="1426">
        <v>41574</v>
      </c>
      <c r="M436" s="1432" t="e">
        <f t="shared" si="31"/>
        <v>#DIV/0!</v>
      </c>
      <c r="N436" s="1411">
        <f t="shared" si="32"/>
        <v>0</v>
      </c>
      <c r="P436" s="1462"/>
      <c r="Q436" s="1463"/>
      <c r="R436" s="1464"/>
      <c r="S436" s="1465"/>
      <c r="T436" s="1465"/>
    </row>
    <row r="437" spans="2:20">
      <c r="B437" s="1426">
        <v>41567</v>
      </c>
      <c r="C437" s="1425"/>
      <c r="D437" s="1428" t="e">
        <f t="shared" si="29"/>
        <v>#DIV/0!</v>
      </c>
      <c r="F437" s="1427"/>
      <c r="G437" s="1428" t="e">
        <f t="shared" si="30"/>
        <v>#DIV/0!</v>
      </c>
      <c r="H437" s="1426">
        <v>41567</v>
      </c>
      <c r="M437" s="1432" t="e">
        <f t="shared" si="31"/>
        <v>#DIV/0!</v>
      </c>
      <c r="N437" s="1411">
        <f t="shared" si="32"/>
        <v>0</v>
      </c>
      <c r="P437" s="1462"/>
      <c r="Q437" s="1463"/>
      <c r="R437" s="1464"/>
      <c r="S437" s="1465"/>
      <c r="T437" s="1465"/>
    </row>
    <row r="438" spans="2:20">
      <c r="B438" s="1426">
        <v>41560</v>
      </c>
      <c r="C438" s="1425"/>
      <c r="D438" s="1428" t="e">
        <f t="shared" si="29"/>
        <v>#DIV/0!</v>
      </c>
      <c r="F438" s="1427"/>
      <c r="G438" s="1428" t="e">
        <f t="shared" si="30"/>
        <v>#DIV/0!</v>
      </c>
      <c r="H438" s="1426">
        <v>41560</v>
      </c>
      <c r="M438" s="1432" t="e">
        <f t="shared" si="31"/>
        <v>#DIV/0!</v>
      </c>
      <c r="N438" s="1411">
        <f t="shared" si="32"/>
        <v>0</v>
      </c>
      <c r="P438" s="1462"/>
      <c r="Q438" s="1463"/>
      <c r="R438" s="1464"/>
      <c r="S438" s="1465"/>
      <c r="T438" s="1465"/>
    </row>
    <row r="439" spans="2:20">
      <c r="B439" s="1426">
        <v>41553</v>
      </c>
      <c r="C439" s="1425"/>
      <c r="D439" s="1428" t="e">
        <f t="shared" si="29"/>
        <v>#DIV/0!</v>
      </c>
      <c r="F439" s="1427"/>
      <c r="G439" s="1428" t="e">
        <f t="shared" si="30"/>
        <v>#DIV/0!</v>
      </c>
      <c r="H439" s="1426">
        <v>41553</v>
      </c>
      <c r="M439" s="1432" t="e">
        <f t="shared" si="31"/>
        <v>#DIV/0!</v>
      </c>
      <c r="N439" s="1411">
        <f t="shared" si="32"/>
        <v>0</v>
      </c>
      <c r="P439" s="1462"/>
      <c r="Q439" s="1463"/>
      <c r="R439" s="1464"/>
      <c r="S439" s="1465"/>
      <c r="T439" s="1465"/>
    </row>
    <row r="440" spans="2:20">
      <c r="B440" s="1426">
        <v>41546</v>
      </c>
      <c r="C440" s="1425"/>
      <c r="D440" s="1428" t="e">
        <f t="shared" si="29"/>
        <v>#DIV/0!</v>
      </c>
      <c r="F440" s="1427"/>
      <c r="G440" s="1428" t="e">
        <f t="shared" si="30"/>
        <v>#DIV/0!</v>
      </c>
      <c r="H440" s="1426">
        <v>41546</v>
      </c>
      <c r="M440" s="1432" t="e">
        <f t="shared" si="31"/>
        <v>#DIV/0!</v>
      </c>
      <c r="N440" s="1411">
        <f t="shared" si="32"/>
        <v>0</v>
      </c>
      <c r="P440" s="1462"/>
      <c r="Q440" s="1463"/>
      <c r="R440" s="1464"/>
      <c r="S440" s="1465"/>
      <c r="T440" s="1465"/>
    </row>
    <row r="441" spans="2:20">
      <c r="B441" s="1426">
        <v>41539</v>
      </c>
      <c r="C441" s="1425"/>
      <c r="D441" s="1428" t="e">
        <f t="shared" si="29"/>
        <v>#DIV/0!</v>
      </c>
      <c r="F441" s="1427"/>
      <c r="G441" s="1428" t="e">
        <f t="shared" si="30"/>
        <v>#DIV/0!</v>
      </c>
      <c r="H441" s="1426">
        <v>41539</v>
      </c>
      <c r="M441" s="1432" t="e">
        <f t="shared" si="31"/>
        <v>#DIV/0!</v>
      </c>
      <c r="N441" s="1411">
        <f t="shared" si="32"/>
        <v>0</v>
      </c>
      <c r="P441" s="1462"/>
      <c r="Q441" s="1463"/>
      <c r="R441" s="1464"/>
      <c r="S441" s="1465"/>
      <c r="T441" s="1465"/>
    </row>
    <row r="442" spans="2:20">
      <c r="B442" s="1426">
        <v>41532</v>
      </c>
      <c r="C442" s="1425"/>
      <c r="D442" s="1428" t="e">
        <f t="shared" si="29"/>
        <v>#DIV/0!</v>
      </c>
      <c r="F442" s="1427"/>
      <c r="G442" s="1428" t="e">
        <f t="shared" si="30"/>
        <v>#DIV/0!</v>
      </c>
      <c r="H442" s="1426">
        <v>41532</v>
      </c>
      <c r="M442" s="1432" t="e">
        <f t="shared" si="31"/>
        <v>#DIV/0!</v>
      </c>
      <c r="N442" s="1411">
        <f t="shared" si="32"/>
        <v>0</v>
      </c>
      <c r="P442" s="1462"/>
      <c r="Q442" s="1463"/>
      <c r="R442" s="1464"/>
      <c r="S442" s="1465"/>
      <c r="T442" s="1465"/>
    </row>
    <row r="443" spans="2:20">
      <c r="B443" s="1426">
        <v>41525</v>
      </c>
      <c r="C443" s="1425"/>
      <c r="D443" s="1428" t="e">
        <f t="shared" si="29"/>
        <v>#DIV/0!</v>
      </c>
      <c r="F443" s="1427"/>
      <c r="G443" s="1428" t="e">
        <f t="shared" si="30"/>
        <v>#DIV/0!</v>
      </c>
      <c r="H443" s="1426">
        <v>41525</v>
      </c>
      <c r="M443" s="1432" t="e">
        <f t="shared" si="31"/>
        <v>#DIV/0!</v>
      </c>
      <c r="N443" s="1411">
        <f t="shared" si="32"/>
        <v>0</v>
      </c>
      <c r="P443" s="1462"/>
      <c r="Q443" s="1463"/>
      <c r="R443" s="1464"/>
      <c r="S443" s="1465"/>
      <c r="T443" s="1465"/>
    </row>
    <row r="444" spans="2:20">
      <c r="B444" s="1426">
        <v>41518</v>
      </c>
      <c r="C444" s="1425"/>
      <c r="D444" s="1428" t="e">
        <f t="shared" si="29"/>
        <v>#DIV/0!</v>
      </c>
      <c r="F444" s="1427"/>
      <c r="G444" s="1428" t="e">
        <f t="shared" si="30"/>
        <v>#DIV/0!</v>
      </c>
      <c r="H444" s="1426">
        <v>41518</v>
      </c>
      <c r="M444" s="1432" t="e">
        <f t="shared" si="31"/>
        <v>#DIV/0!</v>
      </c>
      <c r="N444" s="1411">
        <f t="shared" si="32"/>
        <v>0</v>
      </c>
      <c r="P444" s="1462"/>
      <c r="Q444" s="1463"/>
      <c r="R444" s="1464"/>
      <c r="S444" s="1465"/>
      <c r="T444" s="1465"/>
    </row>
    <row r="445" spans="2:20">
      <c r="B445" s="1426">
        <v>41511</v>
      </c>
      <c r="C445" s="1425"/>
      <c r="D445" s="1428" t="e">
        <f t="shared" si="29"/>
        <v>#DIV/0!</v>
      </c>
      <c r="F445" s="1427"/>
      <c r="G445" s="1428" t="e">
        <f t="shared" si="30"/>
        <v>#DIV/0!</v>
      </c>
      <c r="H445" s="1426">
        <v>41511</v>
      </c>
      <c r="M445" s="1432" t="e">
        <f t="shared" si="31"/>
        <v>#DIV/0!</v>
      </c>
      <c r="N445" s="1411">
        <f t="shared" si="32"/>
        <v>0</v>
      </c>
      <c r="P445" s="1462"/>
      <c r="Q445" s="1463"/>
      <c r="R445" s="1464"/>
      <c r="S445" s="1465"/>
      <c r="T445" s="1465"/>
    </row>
    <row r="446" spans="2:20">
      <c r="B446" s="1426">
        <v>41504</v>
      </c>
      <c r="C446" s="1425"/>
      <c r="D446" s="1428" t="e">
        <f t="shared" si="29"/>
        <v>#DIV/0!</v>
      </c>
      <c r="F446" s="1427"/>
      <c r="G446" s="1428" t="e">
        <f t="shared" si="30"/>
        <v>#DIV/0!</v>
      </c>
      <c r="H446" s="1426">
        <v>41504</v>
      </c>
      <c r="M446" s="1432" t="e">
        <f t="shared" si="31"/>
        <v>#DIV/0!</v>
      </c>
      <c r="N446" s="1411">
        <f t="shared" si="32"/>
        <v>0</v>
      </c>
      <c r="P446" s="1462"/>
      <c r="Q446" s="1463"/>
      <c r="R446" s="1464"/>
      <c r="S446" s="1465"/>
      <c r="T446" s="1465"/>
    </row>
    <row r="447" spans="2:20">
      <c r="B447" s="1426">
        <v>41497</v>
      </c>
      <c r="C447" s="1425"/>
      <c r="D447" s="1428" t="e">
        <f t="shared" si="29"/>
        <v>#DIV/0!</v>
      </c>
      <c r="F447" s="1427"/>
      <c r="G447" s="1428" t="e">
        <f t="shared" si="30"/>
        <v>#DIV/0!</v>
      </c>
      <c r="H447" s="1426">
        <v>41497</v>
      </c>
      <c r="M447" s="1432" t="e">
        <f t="shared" si="31"/>
        <v>#DIV/0!</v>
      </c>
      <c r="N447" s="1411">
        <f t="shared" si="32"/>
        <v>0</v>
      </c>
      <c r="P447" s="1462"/>
      <c r="Q447" s="1463"/>
      <c r="R447" s="1464"/>
      <c r="S447" s="1465"/>
      <c r="T447" s="1465"/>
    </row>
    <row r="448" spans="2:20">
      <c r="B448" s="1426">
        <v>41490</v>
      </c>
      <c r="C448" s="1425"/>
      <c r="D448" s="1428" t="e">
        <f t="shared" si="29"/>
        <v>#DIV/0!</v>
      </c>
      <c r="F448" s="1427"/>
      <c r="G448" s="1428" t="e">
        <f t="shared" si="30"/>
        <v>#DIV/0!</v>
      </c>
      <c r="H448" s="1426">
        <v>41490</v>
      </c>
      <c r="M448" s="1432" t="e">
        <f t="shared" si="31"/>
        <v>#DIV/0!</v>
      </c>
      <c r="N448" s="1411">
        <f t="shared" si="32"/>
        <v>0</v>
      </c>
      <c r="P448" s="1462"/>
      <c r="Q448" s="1463"/>
      <c r="R448" s="1464"/>
      <c r="S448" s="1465"/>
      <c r="T448" s="1465"/>
    </row>
    <row r="449" spans="2:20">
      <c r="B449" s="1426">
        <v>41483</v>
      </c>
      <c r="C449" s="1425"/>
      <c r="D449" s="1428" t="e">
        <f t="shared" si="29"/>
        <v>#DIV/0!</v>
      </c>
      <c r="F449" s="1427"/>
      <c r="G449" s="1428" t="e">
        <f t="shared" si="30"/>
        <v>#DIV/0!</v>
      </c>
      <c r="H449" s="1426">
        <v>41483</v>
      </c>
      <c r="M449" s="1432" t="e">
        <f t="shared" si="31"/>
        <v>#DIV/0!</v>
      </c>
      <c r="N449" s="1411">
        <f t="shared" si="32"/>
        <v>0</v>
      </c>
      <c r="P449" s="1462"/>
      <c r="Q449" s="1463"/>
      <c r="R449" s="1464"/>
      <c r="S449" s="1465"/>
      <c r="T449" s="1465"/>
    </row>
    <row r="450" spans="2:20">
      <c r="B450" s="1426">
        <v>41476</v>
      </c>
      <c r="C450" s="1425"/>
      <c r="D450" s="1428" t="e">
        <f t="shared" si="29"/>
        <v>#DIV/0!</v>
      </c>
      <c r="F450" s="1427"/>
      <c r="G450" s="1428" t="e">
        <f t="shared" si="30"/>
        <v>#DIV/0!</v>
      </c>
      <c r="H450" s="1426">
        <v>41476</v>
      </c>
      <c r="M450" s="1432" t="e">
        <f t="shared" si="31"/>
        <v>#DIV/0!</v>
      </c>
      <c r="N450" s="1411">
        <f t="shared" si="32"/>
        <v>0</v>
      </c>
      <c r="P450" s="1462"/>
      <c r="Q450" s="1463"/>
      <c r="R450" s="1464"/>
      <c r="S450" s="1465"/>
      <c r="T450" s="1465"/>
    </row>
    <row r="451" spans="2:20">
      <c r="B451" s="1426">
        <v>41469</v>
      </c>
      <c r="C451" s="1425"/>
      <c r="D451" s="1428" t="e">
        <f t="shared" si="29"/>
        <v>#DIV/0!</v>
      </c>
      <c r="F451" s="1427"/>
      <c r="G451" s="1428" t="e">
        <f t="shared" si="30"/>
        <v>#DIV/0!</v>
      </c>
      <c r="H451" s="1426">
        <v>41469</v>
      </c>
      <c r="M451" s="1432" t="e">
        <f t="shared" si="31"/>
        <v>#DIV/0!</v>
      </c>
      <c r="N451" s="1411">
        <f t="shared" si="32"/>
        <v>0</v>
      </c>
      <c r="P451" s="1462"/>
      <c r="Q451" s="1463"/>
      <c r="R451" s="1464"/>
      <c r="S451" s="1465"/>
      <c r="T451" s="1465"/>
    </row>
    <row r="452" spans="2:20">
      <c r="B452" s="1426">
        <v>41462</v>
      </c>
      <c r="C452" s="1425"/>
      <c r="D452" s="1428" t="e">
        <f t="shared" si="29"/>
        <v>#DIV/0!</v>
      </c>
      <c r="F452" s="1427"/>
      <c r="G452" s="1428" t="e">
        <f t="shared" si="30"/>
        <v>#DIV/0!</v>
      </c>
      <c r="H452" s="1426">
        <v>41462</v>
      </c>
      <c r="M452" s="1432" t="e">
        <f t="shared" si="31"/>
        <v>#DIV/0!</v>
      </c>
      <c r="N452" s="1411">
        <f t="shared" si="32"/>
        <v>0</v>
      </c>
      <c r="P452" s="1462"/>
      <c r="Q452" s="1463"/>
      <c r="R452" s="1464"/>
      <c r="S452" s="1465"/>
      <c r="T452" s="1465"/>
    </row>
    <row r="453" spans="2:20">
      <c r="B453" s="1426">
        <v>41455</v>
      </c>
      <c r="C453" s="1425"/>
      <c r="D453" s="1428" t="e">
        <f t="shared" si="29"/>
        <v>#DIV/0!</v>
      </c>
      <c r="F453" s="1427"/>
      <c r="G453" s="1428" t="e">
        <f t="shared" si="30"/>
        <v>#DIV/0!</v>
      </c>
      <c r="H453" s="1426">
        <v>41455</v>
      </c>
      <c r="M453" s="1432" t="e">
        <f t="shared" si="31"/>
        <v>#DIV/0!</v>
      </c>
      <c r="N453" s="1411">
        <f t="shared" si="32"/>
        <v>0</v>
      </c>
      <c r="P453" s="1462"/>
      <c r="Q453" s="1463"/>
      <c r="R453" s="1464"/>
      <c r="S453" s="1465"/>
      <c r="T453" s="1465"/>
    </row>
    <row r="454" spans="2:20">
      <c r="B454" s="1426">
        <v>41448</v>
      </c>
      <c r="C454" s="1425"/>
      <c r="D454" s="1428" t="e">
        <f t="shared" si="29"/>
        <v>#DIV/0!</v>
      </c>
      <c r="F454" s="1427"/>
      <c r="G454" s="1428" t="e">
        <f t="shared" si="30"/>
        <v>#DIV/0!</v>
      </c>
      <c r="H454" s="1426">
        <v>41448</v>
      </c>
      <c r="M454" s="1432" t="e">
        <f t="shared" si="31"/>
        <v>#DIV/0!</v>
      </c>
      <c r="N454" s="1411">
        <f t="shared" si="32"/>
        <v>0</v>
      </c>
      <c r="P454" s="1462"/>
      <c r="Q454" s="1463"/>
      <c r="R454" s="1464"/>
      <c r="S454" s="1465"/>
      <c r="T454" s="1465"/>
    </row>
    <row r="455" spans="2:20">
      <c r="B455" s="1426">
        <v>41441</v>
      </c>
      <c r="C455" s="1425"/>
      <c r="D455" s="1428" t="e">
        <f t="shared" ref="D455:D518" si="33">C455/C456-1</f>
        <v>#DIV/0!</v>
      </c>
      <c r="F455" s="1427"/>
      <c r="G455" s="1428" t="e">
        <f t="shared" ref="G455:G518" si="34">F455/F456-1</f>
        <v>#DIV/0!</v>
      </c>
      <c r="H455" s="1426">
        <v>41441</v>
      </c>
      <c r="M455" s="1432" t="e">
        <f t="shared" ref="M455:M518" si="35">F455/F456-1</f>
        <v>#DIV/0!</v>
      </c>
      <c r="N455" s="1411">
        <f t="shared" ref="N455:N518" si="36">H455-B455</f>
        <v>0</v>
      </c>
      <c r="P455" s="1462"/>
      <c r="Q455" s="1463"/>
      <c r="R455" s="1464"/>
      <c r="S455" s="1465"/>
      <c r="T455" s="1465"/>
    </row>
    <row r="456" spans="2:20">
      <c r="B456" s="1426">
        <v>41434</v>
      </c>
      <c r="C456" s="1425"/>
      <c r="D456" s="1428" t="e">
        <f t="shared" si="33"/>
        <v>#DIV/0!</v>
      </c>
      <c r="F456" s="1427"/>
      <c r="G456" s="1428" t="e">
        <f t="shared" si="34"/>
        <v>#DIV/0!</v>
      </c>
      <c r="H456" s="1426">
        <v>41434</v>
      </c>
      <c r="M456" s="1432" t="e">
        <f t="shared" si="35"/>
        <v>#DIV/0!</v>
      </c>
      <c r="N456" s="1411">
        <f t="shared" si="36"/>
        <v>0</v>
      </c>
      <c r="P456" s="1462"/>
      <c r="Q456" s="1463"/>
      <c r="R456" s="1464"/>
      <c r="S456" s="1465"/>
      <c r="T456" s="1465"/>
    </row>
    <row r="457" spans="2:20">
      <c r="B457" s="1426">
        <v>41427</v>
      </c>
      <c r="C457" s="1425"/>
      <c r="D457" s="1428" t="e">
        <f t="shared" si="33"/>
        <v>#DIV/0!</v>
      </c>
      <c r="F457" s="1427"/>
      <c r="G457" s="1428" t="e">
        <f t="shared" si="34"/>
        <v>#DIV/0!</v>
      </c>
      <c r="H457" s="1426">
        <v>41427</v>
      </c>
      <c r="M457" s="1432" t="e">
        <f t="shared" si="35"/>
        <v>#DIV/0!</v>
      </c>
      <c r="N457" s="1411">
        <f t="shared" si="36"/>
        <v>0</v>
      </c>
      <c r="P457" s="1462"/>
      <c r="Q457" s="1463"/>
      <c r="R457" s="1464"/>
      <c r="S457" s="1465"/>
      <c r="T457" s="1465"/>
    </row>
    <row r="458" spans="2:20">
      <c r="B458" s="1426">
        <v>41420</v>
      </c>
      <c r="C458" s="1425"/>
      <c r="D458" s="1428" t="e">
        <f t="shared" si="33"/>
        <v>#DIV/0!</v>
      </c>
      <c r="F458" s="1427"/>
      <c r="G458" s="1428" t="e">
        <f t="shared" si="34"/>
        <v>#DIV/0!</v>
      </c>
      <c r="H458" s="1426">
        <v>41420</v>
      </c>
      <c r="M458" s="1432" t="e">
        <f t="shared" si="35"/>
        <v>#DIV/0!</v>
      </c>
      <c r="N458" s="1411">
        <f t="shared" si="36"/>
        <v>0</v>
      </c>
      <c r="P458" s="1462"/>
      <c r="Q458" s="1463"/>
      <c r="R458" s="1464"/>
      <c r="S458" s="1465"/>
      <c r="T458" s="1465"/>
    </row>
    <row r="459" spans="2:20">
      <c r="B459" s="1426">
        <v>41413</v>
      </c>
      <c r="C459" s="1425"/>
      <c r="D459" s="1428" t="e">
        <f t="shared" si="33"/>
        <v>#DIV/0!</v>
      </c>
      <c r="F459" s="1427"/>
      <c r="G459" s="1428" t="e">
        <f t="shared" si="34"/>
        <v>#DIV/0!</v>
      </c>
      <c r="H459" s="1426">
        <v>41413</v>
      </c>
      <c r="M459" s="1432" t="e">
        <f t="shared" si="35"/>
        <v>#DIV/0!</v>
      </c>
      <c r="N459" s="1411">
        <f t="shared" si="36"/>
        <v>0</v>
      </c>
      <c r="P459" s="1462"/>
      <c r="Q459" s="1463"/>
      <c r="R459" s="1464"/>
      <c r="S459" s="1465"/>
      <c r="T459" s="1465"/>
    </row>
    <row r="460" spans="2:20">
      <c r="B460" s="1426">
        <v>41406</v>
      </c>
      <c r="C460" s="1425"/>
      <c r="D460" s="1428" t="e">
        <f t="shared" si="33"/>
        <v>#DIV/0!</v>
      </c>
      <c r="F460" s="1427"/>
      <c r="G460" s="1428" t="e">
        <f t="shared" si="34"/>
        <v>#DIV/0!</v>
      </c>
      <c r="H460" s="1426">
        <v>41406</v>
      </c>
      <c r="M460" s="1432" t="e">
        <f t="shared" si="35"/>
        <v>#DIV/0!</v>
      </c>
      <c r="N460" s="1411">
        <f t="shared" si="36"/>
        <v>0</v>
      </c>
      <c r="P460" s="1462"/>
      <c r="Q460" s="1463"/>
      <c r="R460" s="1464"/>
      <c r="S460" s="1465"/>
      <c r="T460" s="1465"/>
    </row>
    <row r="461" spans="2:20">
      <c r="B461" s="1426">
        <v>41399</v>
      </c>
      <c r="C461" s="1425"/>
      <c r="D461" s="1428" t="e">
        <f t="shared" si="33"/>
        <v>#DIV/0!</v>
      </c>
      <c r="F461" s="1427"/>
      <c r="G461" s="1428" t="e">
        <f t="shared" si="34"/>
        <v>#DIV/0!</v>
      </c>
      <c r="H461" s="1426">
        <v>41399</v>
      </c>
      <c r="M461" s="1432" t="e">
        <f t="shared" si="35"/>
        <v>#DIV/0!</v>
      </c>
      <c r="N461" s="1411">
        <f t="shared" si="36"/>
        <v>0</v>
      </c>
      <c r="P461" s="1462"/>
      <c r="Q461" s="1463"/>
      <c r="R461" s="1464"/>
      <c r="S461" s="1465"/>
      <c r="T461" s="1465"/>
    </row>
    <row r="462" spans="2:20">
      <c r="B462" s="1426">
        <v>41392</v>
      </c>
      <c r="C462" s="1425"/>
      <c r="D462" s="1428" t="e">
        <f t="shared" si="33"/>
        <v>#DIV/0!</v>
      </c>
      <c r="F462" s="1427"/>
      <c r="G462" s="1428" t="e">
        <f t="shared" si="34"/>
        <v>#DIV/0!</v>
      </c>
      <c r="H462" s="1426">
        <v>41392</v>
      </c>
      <c r="M462" s="1432" t="e">
        <f t="shared" si="35"/>
        <v>#DIV/0!</v>
      </c>
      <c r="N462" s="1411">
        <f t="shared" si="36"/>
        <v>0</v>
      </c>
      <c r="P462" s="1462"/>
      <c r="Q462" s="1463"/>
      <c r="R462" s="1464"/>
      <c r="S462" s="1465"/>
      <c r="T462" s="1465"/>
    </row>
    <row r="463" spans="2:20">
      <c r="B463" s="1426">
        <v>41385</v>
      </c>
      <c r="C463" s="1425"/>
      <c r="D463" s="1428" t="e">
        <f t="shared" si="33"/>
        <v>#DIV/0!</v>
      </c>
      <c r="F463" s="1427"/>
      <c r="G463" s="1428" t="e">
        <f t="shared" si="34"/>
        <v>#DIV/0!</v>
      </c>
      <c r="H463" s="1426">
        <v>41385</v>
      </c>
      <c r="M463" s="1432" t="e">
        <f t="shared" si="35"/>
        <v>#DIV/0!</v>
      </c>
      <c r="N463" s="1411">
        <f t="shared" si="36"/>
        <v>0</v>
      </c>
      <c r="P463" s="1462"/>
      <c r="Q463" s="1463"/>
      <c r="R463" s="1464"/>
      <c r="S463" s="1465"/>
      <c r="T463" s="1465"/>
    </row>
    <row r="464" spans="2:20">
      <c r="B464" s="1426">
        <v>41378</v>
      </c>
      <c r="C464" s="1425"/>
      <c r="D464" s="1428" t="e">
        <f t="shared" si="33"/>
        <v>#DIV/0!</v>
      </c>
      <c r="F464" s="1427"/>
      <c r="G464" s="1428" t="e">
        <f t="shared" si="34"/>
        <v>#DIV/0!</v>
      </c>
      <c r="H464" s="1426">
        <v>41378</v>
      </c>
      <c r="M464" s="1432" t="e">
        <f t="shared" si="35"/>
        <v>#DIV/0!</v>
      </c>
      <c r="N464" s="1411">
        <f t="shared" si="36"/>
        <v>0</v>
      </c>
      <c r="P464" s="1462"/>
      <c r="Q464" s="1463"/>
      <c r="R464" s="1464"/>
      <c r="S464" s="1465"/>
      <c r="T464" s="1465"/>
    </row>
    <row r="465" spans="2:20">
      <c r="B465" s="1426">
        <v>41371</v>
      </c>
      <c r="C465" s="1425"/>
      <c r="D465" s="1428" t="e">
        <f t="shared" si="33"/>
        <v>#DIV/0!</v>
      </c>
      <c r="F465" s="1427"/>
      <c r="G465" s="1428" t="e">
        <f t="shared" si="34"/>
        <v>#DIV/0!</v>
      </c>
      <c r="H465" s="1426">
        <v>41371</v>
      </c>
      <c r="M465" s="1432" t="e">
        <f t="shared" si="35"/>
        <v>#DIV/0!</v>
      </c>
      <c r="N465" s="1411">
        <f t="shared" si="36"/>
        <v>0</v>
      </c>
      <c r="P465" s="1462"/>
      <c r="Q465" s="1463"/>
      <c r="R465" s="1464"/>
      <c r="S465" s="1465"/>
      <c r="T465" s="1465"/>
    </row>
    <row r="466" spans="2:20">
      <c r="B466" s="1426">
        <v>41364</v>
      </c>
      <c r="C466" s="1425"/>
      <c r="D466" s="1428" t="e">
        <f t="shared" si="33"/>
        <v>#DIV/0!</v>
      </c>
      <c r="F466" s="1427"/>
      <c r="G466" s="1428" t="e">
        <f t="shared" si="34"/>
        <v>#DIV/0!</v>
      </c>
      <c r="H466" s="1426">
        <v>41364</v>
      </c>
      <c r="M466" s="1432" t="e">
        <f t="shared" si="35"/>
        <v>#DIV/0!</v>
      </c>
      <c r="N466" s="1411">
        <f t="shared" si="36"/>
        <v>0</v>
      </c>
      <c r="P466" s="1462"/>
      <c r="Q466" s="1463"/>
      <c r="R466" s="1464"/>
      <c r="S466" s="1465"/>
      <c r="T466" s="1465"/>
    </row>
    <row r="467" spans="2:20">
      <c r="B467" s="1426">
        <v>41357</v>
      </c>
      <c r="C467" s="1425"/>
      <c r="D467" s="1428" t="e">
        <f t="shared" si="33"/>
        <v>#DIV/0!</v>
      </c>
      <c r="F467" s="1427"/>
      <c r="G467" s="1428" t="e">
        <f t="shared" si="34"/>
        <v>#DIV/0!</v>
      </c>
      <c r="H467" s="1426">
        <v>41357</v>
      </c>
      <c r="M467" s="1432" t="e">
        <f t="shared" si="35"/>
        <v>#DIV/0!</v>
      </c>
      <c r="N467" s="1411">
        <f t="shared" si="36"/>
        <v>0</v>
      </c>
      <c r="P467" s="1462"/>
      <c r="Q467" s="1463"/>
      <c r="R467" s="1464"/>
      <c r="S467" s="1465"/>
      <c r="T467" s="1465"/>
    </row>
    <row r="468" spans="2:20">
      <c r="B468" s="1426">
        <v>41350</v>
      </c>
      <c r="C468" s="1425"/>
      <c r="D468" s="1428" t="e">
        <f t="shared" si="33"/>
        <v>#DIV/0!</v>
      </c>
      <c r="F468" s="1427"/>
      <c r="G468" s="1428" t="e">
        <f t="shared" si="34"/>
        <v>#DIV/0!</v>
      </c>
      <c r="H468" s="1426">
        <v>41350</v>
      </c>
      <c r="M468" s="1432" t="e">
        <f t="shared" si="35"/>
        <v>#DIV/0!</v>
      </c>
      <c r="N468" s="1411">
        <f t="shared" si="36"/>
        <v>0</v>
      </c>
      <c r="P468" s="1462"/>
      <c r="Q468" s="1463"/>
      <c r="R468" s="1464"/>
      <c r="S468" s="1465"/>
      <c r="T468" s="1465"/>
    </row>
    <row r="469" spans="2:20">
      <c r="B469" s="1426">
        <v>41343</v>
      </c>
      <c r="C469" s="1425"/>
      <c r="D469" s="1428" t="e">
        <f t="shared" si="33"/>
        <v>#DIV/0!</v>
      </c>
      <c r="F469" s="1427"/>
      <c r="G469" s="1428" t="e">
        <f t="shared" si="34"/>
        <v>#DIV/0!</v>
      </c>
      <c r="H469" s="1426">
        <v>41343</v>
      </c>
      <c r="M469" s="1432" t="e">
        <f t="shared" si="35"/>
        <v>#DIV/0!</v>
      </c>
      <c r="N469" s="1411">
        <f t="shared" si="36"/>
        <v>0</v>
      </c>
      <c r="P469" s="1462"/>
      <c r="Q469" s="1463"/>
      <c r="R469" s="1464"/>
      <c r="S469" s="1465"/>
      <c r="T469" s="1465"/>
    </row>
    <row r="470" spans="2:20">
      <c r="B470" s="1426">
        <v>41336</v>
      </c>
      <c r="C470" s="1425"/>
      <c r="D470" s="1428" t="e">
        <f t="shared" si="33"/>
        <v>#DIV/0!</v>
      </c>
      <c r="F470" s="1427"/>
      <c r="G470" s="1428" t="e">
        <f t="shared" si="34"/>
        <v>#DIV/0!</v>
      </c>
      <c r="H470" s="1426">
        <v>41336</v>
      </c>
      <c r="M470" s="1432" t="e">
        <f t="shared" si="35"/>
        <v>#DIV/0!</v>
      </c>
      <c r="N470" s="1411">
        <f t="shared" si="36"/>
        <v>0</v>
      </c>
      <c r="P470" s="1462"/>
      <c r="Q470" s="1463"/>
      <c r="R470" s="1464"/>
      <c r="S470" s="1465"/>
      <c r="T470" s="1465"/>
    </row>
    <row r="471" spans="2:20">
      <c r="B471" s="1426">
        <v>41329</v>
      </c>
      <c r="C471" s="1425"/>
      <c r="D471" s="1428" t="e">
        <f t="shared" si="33"/>
        <v>#DIV/0!</v>
      </c>
      <c r="F471" s="1427"/>
      <c r="G471" s="1428" t="e">
        <f t="shared" si="34"/>
        <v>#DIV/0!</v>
      </c>
      <c r="H471" s="1426">
        <v>41329</v>
      </c>
      <c r="M471" s="1432" t="e">
        <f t="shared" si="35"/>
        <v>#DIV/0!</v>
      </c>
      <c r="N471" s="1411">
        <f t="shared" si="36"/>
        <v>0</v>
      </c>
      <c r="P471" s="1462"/>
      <c r="Q471" s="1463"/>
      <c r="R471" s="1464"/>
      <c r="S471" s="1465"/>
      <c r="T471" s="1465"/>
    </row>
    <row r="472" spans="2:20">
      <c r="B472" s="1426">
        <v>41322</v>
      </c>
      <c r="C472" s="1425"/>
      <c r="D472" s="1428" t="e">
        <f t="shared" si="33"/>
        <v>#DIV/0!</v>
      </c>
      <c r="F472" s="1427"/>
      <c r="G472" s="1428" t="e">
        <f t="shared" si="34"/>
        <v>#DIV/0!</v>
      </c>
      <c r="H472" s="1426">
        <v>41322</v>
      </c>
      <c r="M472" s="1432" t="e">
        <f t="shared" si="35"/>
        <v>#DIV/0!</v>
      </c>
      <c r="N472" s="1411">
        <f t="shared" si="36"/>
        <v>0</v>
      </c>
      <c r="P472" s="1462"/>
      <c r="Q472" s="1463"/>
      <c r="R472" s="1464"/>
      <c r="S472" s="1465"/>
      <c r="T472" s="1465"/>
    </row>
    <row r="473" spans="2:20">
      <c r="B473" s="1426">
        <v>41308</v>
      </c>
      <c r="C473" s="1425"/>
      <c r="D473" s="1428" t="e">
        <f t="shared" si="33"/>
        <v>#DIV/0!</v>
      </c>
      <c r="F473" s="1427"/>
      <c r="G473" s="1428" t="e">
        <f t="shared" si="34"/>
        <v>#DIV/0!</v>
      </c>
      <c r="H473" s="1426">
        <v>41308</v>
      </c>
      <c r="M473" s="1432" t="e">
        <f t="shared" si="35"/>
        <v>#DIV/0!</v>
      </c>
      <c r="N473" s="1411">
        <f t="shared" si="36"/>
        <v>0</v>
      </c>
      <c r="P473" s="1462"/>
      <c r="Q473" s="1463"/>
      <c r="R473" s="1464"/>
      <c r="S473" s="1465"/>
      <c r="T473" s="1465"/>
    </row>
    <row r="474" spans="2:20">
      <c r="B474" s="1426">
        <v>41301</v>
      </c>
      <c r="C474" s="1425"/>
      <c r="D474" s="1428" t="e">
        <f t="shared" si="33"/>
        <v>#DIV/0!</v>
      </c>
      <c r="F474" s="1427"/>
      <c r="G474" s="1428" t="e">
        <f t="shared" si="34"/>
        <v>#DIV/0!</v>
      </c>
      <c r="H474" s="1426">
        <v>41301</v>
      </c>
      <c r="M474" s="1432" t="e">
        <f t="shared" si="35"/>
        <v>#DIV/0!</v>
      </c>
      <c r="N474" s="1411">
        <f t="shared" si="36"/>
        <v>0</v>
      </c>
      <c r="P474" s="1462"/>
      <c r="Q474" s="1463"/>
      <c r="R474" s="1464"/>
      <c r="S474" s="1465"/>
      <c r="T474" s="1465"/>
    </row>
    <row r="475" spans="2:20">
      <c r="B475" s="1426">
        <v>41294</v>
      </c>
      <c r="C475" s="1425"/>
      <c r="D475" s="1428" t="e">
        <f t="shared" si="33"/>
        <v>#DIV/0!</v>
      </c>
      <c r="F475" s="1427"/>
      <c r="G475" s="1428" t="e">
        <f t="shared" si="34"/>
        <v>#DIV/0!</v>
      </c>
      <c r="H475" s="1426">
        <v>41294</v>
      </c>
      <c r="M475" s="1432" t="e">
        <f t="shared" si="35"/>
        <v>#DIV/0!</v>
      </c>
      <c r="N475" s="1411">
        <f t="shared" si="36"/>
        <v>0</v>
      </c>
      <c r="P475" s="1462"/>
      <c r="Q475" s="1463"/>
      <c r="R475" s="1464"/>
      <c r="S475" s="1465"/>
      <c r="T475" s="1465"/>
    </row>
    <row r="476" spans="2:20">
      <c r="B476" s="1426">
        <v>41287</v>
      </c>
      <c r="C476" s="1425"/>
      <c r="D476" s="1428" t="e">
        <f t="shared" si="33"/>
        <v>#DIV/0!</v>
      </c>
      <c r="F476" s="1427"/>
      <c r="G476" s="1428" t="e">
        <f t="shared" si="34"/>
        <v>#DIV/0!</v>
      </c>
      <c r="H476" s="1426">
        <v>41287</v>
      </c>
      <c r="M476" s="1432" t="e">
        <f t="shared" si="35"/>
        <v>#DIV/0!</v>
      </c>
      <c r="N476" s="1411">
        <f t="shared" si="36"/>
        <v>0</v>
      </c>
      <c r="P476" s="1462"/>
      <c r="Q476" s="1463"/>
      <c r="R476" s="1464"/>
      <c r="S476" s="1465"/>
      <c r="T476" s="1465"/>
    </row>
    <row r="477" spans="2:20">
      <c r="B477" s="1426">
        <v>41280</v>
      </c>
      <c r="C477" s="1425"/>
      <c r="D477" s="1428" t="e">
        <f t="shared" si="33"/>
        <v>#DIV/0!</v>
      </c>
      <c r="F477" s="1427"/>
      <c r="G477" s="1428" t="e">
        <f t="shared" si="34"/>
        <v>#DIV/0!</v>
      </c>
      <c r="H477" s="1426">
        <v>41280</v>
      </c>
      <c r="M477" s="1432" t="e">
        <f t="shared" si="35"/>
        <v>#DIV/0!</v>
      </c>
      <c r="N477" s="1411">
        <f t="shared" si="36"/>
        <v>0</v>
      </c>
      <c r="P477" s="1462"/>
      <c r="Q477" s="1463"/>
      <c r="R477" s="1464"/>
      <c r="S477" s="1465"/>
      <c r="T477" s="1465"/>
    </row>
    <row r="478" spans="2:20">
      <c r="B478" s="1426">
        <v>41273</v>
      </c>
      <c r="C478" s="1425"/>
      <c r="D478" s="1428" t="e">
        <f t="shared" si="33"/>
        <v>#DIV/0!</v>
      </c>
      <c r="F478" s="1427"/>
      <c r="G478" s="1428" t="e">
        <f t="shared" si="34"/>
        <v>#DIV/0!</v>
      </c>
      <c r="H478" s="1426">
        <v>41273</v>
      </c>
      <c r="M478" s="1432" t="e">
        <f t="shared" si="35"/>
        <v>#DIV/0!</v>
      </c>
      <c r="N478" s="1411">
        <f t="shared" si="36"/>
        <v>0</v>
      </c>
      <c r="P478" s="1462"/>
      <c r="Q478" s="1463"/>
      <c r="R478" s="1464"/>
      <c r="S478" s="1465"/>
      <c r="T478" s="1465"/>
    </row>
    <row r="479" spans="2:20">
      <c r="B479" s="1426">
        <v>41266</v>
      </c>
      <c r="C479" s="1425"/>
      <c r="D479" s="1428" t="e">
        <f t="shared" si="33"/>
        <v>#DIV/0!</v>
      </c>
      <c r="F479" s="1427"/>
      <c r="G479" s="1428" t="e">
        <f t="shared" si="34"/>
        <v>#DIV/0!</v>
      </c>
      <c r="H479" s="1426">
        <v>41266</v>
      </c>
      <c r="M479" s="1432" t="e">
        <f t="shared" si="35"/>
        <v>#DIV/0!</v>
      </c>
      <c r="N479" s="1411">
        <f t="shared" si="36"/>
        <v>0</v>
      </c>
      <c r="P479" s="1462"/>
      <c r="Q479" s="1463"/>
      <c r="R479" s="1464"/>
      <c r="S479" s="1465"/>
      <c r="T479" s="1465"/>
    </row>
    <row r="480" spans="2:20">
      <c r="B480" s="1426">
        <v>41259</v>
      </c>
      <c r="C480" s="1425"/>
      <c r="D480" s="1428" t="e">
        <f t="shared" si="33"/>
        <v>#DIV/0!</v>
      </c>
      <c r="F480" s="1427"/>
      <c r="G480" s="1428" t="e">
        <f t="shared" si="34"/>
        <v>#DIV/0!</v>
      </c>
      <c r="H480" s="1426">
        <v>41259</v>
      </c>
      <c r="M480" s="1432" t="e">
        <f t="shared" si="35"/>
        <v>#DIV/0!</v>
      </c>
      <c r="N480" s="1411">
        <f t="shared" si="36"/>
        <v>0</v>
      </c>
      <c r="P480" s="1462"/>
      <c r="Q480" s="1463"/>
      <c r="R480" s="1464"/>
      <c r="S480" s="1465"/>
      <c r="T480" s="1465"/>
    </row>
    <row r="481" spans="2:20">
      <c r="B481" s="1426">
        <v>41252</v>
      </c>
      <c r="C481" s="1425"/>
      <c r="D481" s="1428" t="e">
        <f t="shared" si="33"/>
        <v>#DIV/0!</v>
      </c>
      <c r="F481" s="1427"/>
      <c r="G481" s="1428" t="e">
        <f t="shared" si="34"/>
        <v>#DIV/0!</v>
      </c>
      <c r="H481" s="1426">
        <v>41252</v>
      </c>
      <c r="M481" s="1432" t="e">
        <f t="shared" si="35"/>
        <v>#DIV/0!</v>
      </c>
      <c r="N481" s="1411">
        <f t="shared" si="36"/>
        <v>0</v>
      </c>
      <c r="P481" s="1462"/>
      <c r="Q481" s="1463"/>
      <c r="R481" s="1464"/>
      <c r="S481" s="1465"/>
      <c r="T481" s="1465"/>
    </row>
    <row r="482" spans="2:20">
      <c r="B482" s="1426">
        <v>41245</v>
      </c>
      <c r="C482" s="1425"/>
      <c r="D482" s="1428" t="e">
        <f t="shared" si="33"/>
        <v>#DIV/0!</v>
      </c>
      <c r="F482" s="1427"/>
      <c r="G482" s="1428" t="e">
        <f t="shared" si="34"/>
        <v>#DIV/0!</v>
      </c>
      <c r="H482" s="1426">
        <v>41245</v>
      </c>
      <c r="M482" s="1432" t="e">
        <f t="shared" si="35"/>
        <v>#DIV/0!</v>
      </c>
      <c r="N482" s="1411">
        <f t="shared" si="36"/>
        <v>0</v>
      </c>
      <c r="P482" s="1462"/>
      <c r="Q482" s="1463"/>
      <c r="R482" s="1464"/>
      <c r="S482" s="1465"/>
      <c r="T482" s="1465"/>
    </row>
    <row r="483" spans="2:20">
      <c r="B483" s="1426">
        <v>41238</v>
      </c>
      <c r="C483" s="1425"/>
      <c r="D483" s="1428" t="e">
        <f t="shared" si="33"/>
        <v>#DIV/0!</v>
      </c>
      <c r="F483" s="1427"/>
      <c r="G483" s="1428" t="e">
        <f t="shared" si="34"/>
        <v>#DIV/0!</v>
      </c>
      <c r="H483" s="1426">
        <v>41238</v>
      </c>
      <c r="M483" s="1432" t="e">
        <f t="shared" si="35"/>
        <v>#DIV/0!</v>
      </c>
      <c r="N483" s="1411">
        <f t="shared" si="36"/>
        <v>0</v>
      </c>
      <c r="P483" s="1462"/>
      <c r="Q483" s="1463"/>
      <c r="R483" s="1464"/>
      <c r="S483" s="1465"/>
      <c r="T483" s="1465"/>
    </row>
    <row r="484" spans="2:20">
      <c r="B484" s="1426">
        <v>41231</v>
      </c>
      <c r="C484" s="1425"/>
      <c r="D484" s="1428" t="e">
        <f t="shared" si="33"/>
        <v>#DIV/0!</v>
      </c>
      <c r="F484" s="1427"/>
      <c r="G484" s="1428" t="e">
        <f t="shared" si="34"/>
        <v>#DIV/0!</v>
      </c>
      <c r="H484" s="1426">
        <v>41231</v>
      </c>
      <c r="M484" s="1432" t="e">
        <f t="shared" si="35"/>
        <v>#DIV/0!</v>
      </c>
      <c r="N484" s="1411">
        <f t="shared" si="36"/>
        <v>0</v>
      </c>
      <c r="P484" s="1462"/>
      <c r="Q484" s="1463"/>
      <c r="R484" s="1464"/>
      <c r="S484" s="1465"/>
      <c r="T484" s="1465"/>
    </row>
    <row r="485" spans="2:20">
      <c r="B485" s="1426">
        <v>41224</v>
      </c>
      <c r="C485" s="1425"/>
      <c r="D485" s="1428" t="e">
        <f t="shared" si="33"/>
        <v>#DIV/0!</v>
      </c>
      <c r="F485" s="1427"/>
      <c r="G485" s="1428" t="e">
        <f t="shared" si="34"/>
        <v>#DIV/0!</v>
      </c>
      <c r="H485" s="1426">
        <v>41224</v>
      </c>
      <c r="M485" s="1432" t="e">
        <f t="shared" si="35"/>
        <v>#DIV/0!</v>
      </c>
      <c r="N485" s="1411">
        <f t="shared" si="36"/>
        <v>0</v>
      </c>
      <c r="P485" s="1462"/>
      <c r="Q485" s="1463"/>
      <c r="R485" s="1464"/>
      <c r="S485" s="1465"/>
      <c r="T485" s="1465"/>
    </row>
    <row r="486" spans="2:20">
      <c r="B486" s="1426">
        <v>41217</v>
      </c>
      <c r="C486" s="1425"/>
      <c r="D486" s="1428" t="e">
        <f t="shared" si="33"/>
        <v>#DIV/0!</v>
      </c>
      <c r="F486" s="1427"/>
      <c r="G486" s="1428" t="e">
        <f t="shared" si="34"/>
        <v>#DIV/0!</v>
      </c>
      <c r="H486" s="1426">
        <v>41217</v>
      </c>
      <c r="M486" s="1432" t="e">
        <f t="shared" si="35"/>
        <v>#DIV/0!</v>
      </c>
      <c r="N486" s="1411">
        <f t="shared" si="36"/>
        <v>0</v>
      </c>
      <c r="P486" s="1462"/>
      <c r="Q486" s="1463"/>
      <c r="R486" s="1464"/>
      <c r="S486" s="1465"/>
      <c r="T486" s="1465"/>
    </row>
    <row r="487" spans="2:20">
      <c r="B487" s="1426">
        <v>41210</v>
      </c>
      <c r="C487" s="1425"/>
      <c r="D487" s="1428" t="e">
        <f t="shared" si="33"/>
        <v>#DIV/0!</v>
      </c>
      <c r="F487" s="1427"/>
      <c r="G487" s="1428" t="e">
        <f t="shared" si="34"/>
        <v>#DIV/0!</v>
      </c>
      <c r="H487" s="1426">
        <v>41210</v>
      </c>
      <c r="M487" s="1432" t="e">
        <f t="shared" si="35"/>
        <v>#DIV/0!</v>
      </c>
      <c r="N487" s="1411">
        <f t="shared" si="36"/>
        <v>0</v>
      </c>
      <c r="P487" s="1462"/>
      <c r="Q487" s="1463"/>
      <c r="R487" s="1464"/>
      <c r="S487" s="1465"/>
      <c r="T487" s="1465"/>
    </row>
    <row r="488" spans="2:20">
      <c r="B488" s="1426">
        <v>41203</v>
      </c>
      <c r="C488" s="1425"/>
      <c r="D488" s="1428" t="e">
        <f t="shared" si="33"/>
        <v>#DIV/0!</v>
      </c>
      <c r="F488" s="1427"/>
      <c r="G488" s="1428" t="e">
        <f t="shared" si="34"/>
        <v>#DIV/0!</v>
      </c>
      <c r="H488" s="1426">
        <v>41203</v>
      </c>
      <c r="M488" s="1432" t="e">
        <f t="shared" si="35"/>
        <v>#DIV/0!</v>
      </c>
      <c r="N488" s="1411">
        <f t="shared" si="36"/>
        <v>0</v>
      </c>
      <c r="P488" s="1462"/>
      <c r="Q488" s="1463"/>
      <c r="R488" s="1464"/>
      <c r="S488" s="1465"/>
      <c r="T488" s="1465"/>
    </row>
    <row r="489" spans="2:20">
      <c r="B489" s="1426">
        <v>41196</v>
      </c>
      <c r="C489" s="1425"/>
      <c r="D489" s="1428" t="e">
        <f t="shared" si="33"/>
        <v>#DIV/0!</v>
      </c>
      <c r="F489" s="1427"/>
      <c r="G489" s="1428" t="e">
        <f t="shared" si="34"/>
        <v>#DIV/0!</v>
      </c>
      <c r="H489" s="1426">
        <v>41196</v>
      </c>
      <c r="M489" s="1432" t="e">
        <f t="shared" si="35"/>
        <v>#DIV/0!</v>
      </c>
      <c r="N489" s="1411">
        <f t="shared" si="36"/>
        <v>0</v>
      </c>
      <c r="P489" s="1462"/>
      <c r="Q489" s="1463"/>
      <c r="R489" s="1464"/>
      <c r="S489" s="1465"/>
      <c r="T489" s="1465"/>
    </row>
    <row r="490" spans="2:20">
      <c r="B490" s="1426">
        <v>41189</v>
      </c>
      <c r="C490" s="1425"/>
      <c r="D490" s="1428" t="e">
        <f t="shared" si="33"/>
        <v>#DIV/0!</v>
      </c>
      <c r="F490" s="1427"/>
      <c r="G490" s="1428" t="e">
        <f t="shared" si="34"/>
        <v>#DIV/0!</v>
      </c>
      <c r="H490" s="1426">
        <v>41189</v>
      </c>
      <c r="M490" s="1432" t="e">
        <f t="shared" si="35"/>
        <v>#DIV/0!</v>
      </c>
      <c r="N490" s="1411">
        <f t="shared" si="36"/>
        <v>0</v>
      </c>
      <c r="P490" s="1462"/>
      <c r="Q490" s="1463"/>
      <c r="R490" s="1464"/>
      <c r="S490" s="1465"/>
      <c r="T490" s="1465"/>
    </row>
    <row r="491" spans="2:20">
      <c r="B491" s="1426">
        <v>41182</v>
      </c>
      <c r="C491" s="1425"/>
      <c r="D491" s="1428" t="e">
        <f t="shared" si="33"/>
        <v>#DIV/0!</v>
      </c>
      <c r="F491" s="1427"/>
      <c r="G491" s="1428" t="e">
        <f t="shared" si="34"/>
        <v>#DIV/0!</v>
      </c>
      <c r="H491" s="1426">
        <v>41182</v>
      </c>
      <c r="M491" s="1432" t="e">
        <f t="shared" si="35"/>
        <v>#DIV/0!</v>
      </c>
      <c r="N491" s="1411">
        <f t="shared" si="36"/>
        <v>0</v>
      </c>
      <c r="P491" s="1462"/>
      <c r="Q491" s="1463"/>
      <c r="R491" s="1464"/>
      <c r="S491" s="1465"/>
      <c r="T491" s="1465"/>
    </row>
    <row r="492" spans="2:20">
      <c r="B492" s="1426">
        <v>41175</v>
      </c>
      <c r="C492" s="1425"/>
      <c r="D492" s="1428" t="e">
        <f t="shared" si="33"/>
        <v>#DIV/0!</v>
      </c>
      <c r="F492" s="1427"/>
      <c r="G492" s="1428" t="e">
        <f t="shared" si="34"/>
        <v>#DIV/0!</v>
      </c>
      <c r="H492" s="1426">
        <v>41175</v>
      </c>
      <c r="M492" s="1432" t="e">
        <f t="shared" si="35"/>
        <v>#DIV/0!</v>
      </c>
      <c r="N492" s="1411">
        <f t="shared" si="36"/>
        <v>0</v>
      </c>
      <c r="P492" s="1462"/>
      <c r="Q492" s="1463"/>
      <c r="R492" s="1464"/>
      <c r="S492" s="1465"/>
      <c r="T492" s="1465"/>
    </row>
    <row r="493" spans="2:20">
      <c r="B493" s="1426">
        <v>41168</v>
      </c>
      <c r="C493" s="1425"/>
      <c r="D493" s="1428" t="e">
        <f t="shared" si="33"/>
        <v>#DIV/0!</v>
      </c>
      <c r="F493" s="1427"/>
      <c r="G493" s="1428" t="e">
        <f t="shared" si="34"/>
        <v>#DIV/0!</v>
      </c>
      <c r="H493" s="1426">
        <v>41168</v>
      </c>
      <c r="M493" s="1432" t="e">
        <f t="shared" si="35"/>
        <v>#DIV/0!</v>
      </c>
      <c r="N493" s="1411">
        <f t="shared" si="36"/>
        <v>0</v>
      </c>
      <c r="P493" s="1462"/>
      <c r="Q493" s="1463"/>
      <c r="R493" s="1464"/>
      <c r="S493" s="1465"/>
      <c r="T493" s="1465"/>
    </row>
    <row r="494" spans="2:20">
      <c r="B494" s="1426">
        <v>41161</v>
      </c>
      <c r="C494" s="1425"/>
      <c r="D494" s="1428" t="e">
        <f t="shared" si="33"/>
        <v>#DIV/0!</v>
      </c>
      <c r="F494" s="1427"/>
      <c r="G494" s="1428" t="e">
        <f t="shared" si="34"/>
        <v>#DIV/0!</v>
      </c>
      <c r="H494" s="1426">
        <v>41161</v>
      </c>
      <c r="M494" s="1432" t="e">
        <f t="shared" si="35"/>
        <v>#DIV/0!</v>
      </c>
      <c r="N494" s="1411">
        <f t="shared" si="36"/>
        <v>0</v>
      </c>
      <c r="P494" s="1462"/>
      <c r="Q494" s="1463"/>
      <c r="R494" s="1464"/>
      <c r="S494" s="1465"/>
      <c r="T494" s="1465"/>
    </row>
    <row r="495" spans="2:20">
      <c r="B495" s="1426">
        <v>41154</v>
      </c>
      <c r="C495" s="1425"/>
      <c r="D495" s="1428" t="e">
        <f t="shared" si="33"/>
        <v>#DIV/0!</v>
      </c>
      <c r="F495" s="1427"/>
      <c r="G495" s="1428" t="e">
        <f t="shared" si="34"/>
        <v>#DIV/0!</v>
      </c>
      <c r="H495" s="1426">
        <v>41154</v>
      </c>
      <c r="M495" s="1432" t="e">
        <f t="shared" si="35"/>
        <v>#DIV/0!</v>
      </c>
      <c r="N495" s="1411">
        <f t="shared" si="36"/>
        <v>0</v>
      </c>
      <c r="P495" s="1462"/>
      <c r="Q495" s="1463"/>
      <c r="R495" s="1464"/>
      <c r="S495" s="1465"/>
      <c r="T495" s="1465"/>
    </row>
    <row r="496" spans="2:20">
      <c r="B496" s="1426">
        <v>41147</v>
      </c>
      <c r="C496" s="1425"/>
      <c r="D496" s="1428" t="e">
        <f t="shared" si="33"/>
        <v>#DIV/0!</v>
      </c>
      <c r="F496" s="1427"/>
      <c r="G496" s="1428" t="e">
        <f t="shared" si="34"/>
        <v>#DIV/0!</v>
      </c>
      <c r="H496" s="1426">
        <v>41147</v>
      </c>
      <c r="M496" s="1432" t="e">
        <f t="shared" si="35"/>
        <v>#DIV/0!</v>
      </c>
      <c r="N496" s="1411">
        <f t="shared" si="36"/>
        <v>0</v>
      </c>
      <c r="P496" s="1462"/>
      <c r="Q496" s="1463"/>
      <c r="R496" s="1464"/>
      <c r="S496" s="1465"/>
      <c r="T496" s="1465"/>
    </row>
    <row r="497" spans="2:20">
      <c r="B497" s="1426">
        <v>41140</v>
      </c>
      <c r="C497" s="1425"/>
      <c r="D497" s="1428" t="e">
        <f t="shared" si="33"/>
        <v>#DIV/0!</v>
      </c>
      <c r="F497" s="1427"/>
      <c r="G497" s="1428" t="e">
        <f t="shared" si="34"/>
        <v>#DIV/0!</v>
      </c>
      <c r="H497" s="1426">
        <v>41140</v>
      </c>
      <c r="M497" s="1432" t="e">
        <f t="shared" si="35"/>
        <v>#DIV/0!</v>
      </c>
      <c r="N497" s="1411">
        <f t="shared" si="36"/>
        <v>0</v>
      </c>
      <c r="P497" s="1462"/>
      <c r="Q497" s="1463"/>
      <c r="R497" s="1464"/>
      <c r="S497" s="1465"/>
      <c r="T497" s="1465"/>
    </row>
    <row r="498" spans="2:20">
      <c r="B498" s="1426">
        <v>41133</v>
      </c>
      <c r="C498" s="1425"/>
      <c r="D498" s="1428" t="e">
        <f t="shared" si="33"/>
        <v>#DIV/0!</v>
      </c>
      <c r="F498" s="1427"/>
      <c r="G498" s="1428" t="e">
        <f t="shared" si="34"/>
        <v>#DIV/0!</v>
      </c>
      <c r="H498" s="1426">
        <v>41133</v>
      </c>
      <c r="M498" s="1432" t="e">
        <f t="shared" si="35"/>
        <v>#DIV/0!</v>
      </c>
      <c r="N498" s="1411">
        <f t="shared" si="36"/>
        <v>0</v>
      </c>
      <c r="P498" s="1462"/>
      <c r="Q498" s="1463"/>
      <c r="R498" s="1464"/>
      <c r="S498" s="1465"/>
      <c r="T498" s="1465"/>
    </row>
    <row r="499" spans="2:20">
      <c r="B499" s="1426">
        <v>41126</v>
      </c>
      <c r="C499" s="1425"/>
      <c r="D499" s="1428" t="e">
        <f t="shared" si="33"/>
        <v>#DIV/0!</v>
      </c>
      <c r="F499" s="1427"/>
      <c r="G499" s="1428" t="e">
        <f t="shared" si="34"/>
        <v>#DIV/0!</v>
      </c>
      <c r="H499" s="1426">
        <v>41126</v>
      </c>
      <c r="M499" s="1432" t="e">
        <f t="shared" si="35"/>
        <v>#DIV/0!</v>
      </c>
      <c r="N499" s="1411">
        <f t="shared" si="36"/>
        <v>0</v>
      </c>
      <c r="P499" s="1462"/>
      <c r="Q499" s="1463"/>
      <c r="R499" s="1464"/>
      <c r="S499" s="1465"/>
      <c r="T499" s="1465"/>
    </row>
    <row r="500" spans="2:20">
      <c r="B500" s="1426">
        <v>41119</v>
      </c>
      <c r="C500" s="1425"/>
      <c r="D500" s="1428" t="e">
        <f t="shared" si="33"/>
        <v>#DIV/0!</v>
      </c>
      <c r="F500" s="1427"/>
      <c r="G500" s="1428" t="e">
        <f t="shared" si="34"/>
        <v>#DIV/0!</v>
      </c>
      <c r="H500" s="1426">
        <v>41119</v>
      </c>
      <c r="M500" s="1432" t="e">
        <f t="shared" si="35"/>
        <v>#DIV/0!</v>
      </c>
      <c r="N500" s="1411">
        <f t="shared" si="36"/>
        <v>0</v>
      </c>
      <c r="P500" s="1462"/>
      <c r="Q500" s="1463"/>
      <c r="R500" s="1464"/>
      <c r="S500" s="1465"/>
      <c r="T500" s="1465"/>
    </row>
    <row r="501" spans="2:20">
      <c r="B501" s="1426">
        <v>41112</v>
      </c>
      <c r="C501" s="1425"/>
      <c r="D501" s="1428" t="e">
        <f t="shared" si="33"/>
        <v>#DIV/0!</v>
      </c>
      <c r="F501" s="1427"/>
      <c r="G501" s="1428" t="e">
        <f t="shared" si="34"/>
        <v>#DIV/0!</v>
      </c>
      <c r="H501" s="1426">
        <v>41112</v>
      </c>
      <c r="M501" s="1432" t="e">
        <f t="shared" si="35"/>
        <v>#DIV/0!</v>
      </c>
      <c r="N501" s="1411">
        <f t="shared" si="36"/>
        <v>0</v>
      </c>
      <c r="P501" s="1462"/>
      <c r="Q501" s="1463"/>
      <c r="R501" s="1464"/>
      <c r="S501" s="1465"/>
      <c r="T501" s="1465"/>
    </row>
    <row r="502" spans="2:20">
      <c r="B502" s="1426">
        <v>41105</v>
      </c>
      <c r="C502" s="1425"/>
      <c r="D502" s="1428" t="e">
        <f t="shared" si="33"/>
        <v>#DIV/0!</v>
      </c>
      <c r="F502" s="1427"/>
      <c r="G502" s="1428" t="e">
        <f t="shared" si="34"/>
        <v>#DIV/0!</v>
      </c>
      <c r="H502" s="1426">
        <v>41105</v>
      </c>
      <c r="M502" s="1432" t="e">
        <f t="shared" si="35"/>
        <v>#DIV/0!</v>
      </c>
      <c r="N502" s="1411">
        <f t="shared" si="36"/>
        <v>0</v>
      </c>
      <c r="P502" s="1462"/>
      <c r="Q502" s="1463"/>
      <c r="R502" s="1464"/>
      <c r="S502" s="1465"/>
      <c r="T502" s="1465"/>
    </row>
    <row r="503" spans="2:20">
      <c r="B503" s="1426">
        <v>41098</v>
      </c>
      <c r="C503" s="1425"/>
      <c r="D503" s="1428" t="e">
        <f t="shared" si="33"/>
        <v>#DIV/0!</v>
      </c>
      <c r="F503" s="1427"/>
      <c r="G503" s="1428" t="e">
        <f t="shared" si="34"/>
        <v>#DIV/0!</v>
      </c>
      <c r="H503" s="1426">
        <v>41098</v>
      </c>
      <c r="M503" s="1432" t="e">
        <f t="shared" si="35"/>
        <v>#DIV/0!</v>
      </c>
      <c r="N503" s="1411">
        <f t="shared" si="36"/>
        <v>0</v>
      </c>
      <c r="P503" s="1462"/>
      <c r="Q503" s="1463"/>
      <c r="R503" s="1464"/>
      <c r="S503" s="1465"/>
      <c r="T503" s="1465"/>
    </row>
    <row r="504" spans="2:20">
      <c r="B504" s="1426">
        <v>41091</v>
      </c>
      <c r="C504" s="1425"/>
      <c r="D504" s="1428" t="e">
        <f t="shared" si="33"/>
        <v>#DIV/0!</v>
      </c>
      <c r="F504" s="1427"/>
      <c r="G504" s="1428" t="e">
        <f t="shared" si="34"/>
        <v>#DIV/0!</v>
      </c>
      <c r="H504" s="1426">
        <v>41091</v>
      </c>
      <c r="M504" s="1432" t="e">
        <f t="shared" si="35"/>
        <v>#DIV/0!</v>
      </c>
      <c r="N504" s="1411">
        <f t="shared" si="36"/>
        <v>0</v>
      </c>
      <c r="P504" s="1462"/>
      <c r="Q504" s="1463"/>
      <c r="R504" s="1464"/>
      <c r="S504" s="1465"/>
      <c r="T504" s="1465"/>
    </row>
    <row r="505" spans="2:20">
      <c r="B505" s="1426">
        <v>41084</v>
      </c>
      <c r="C505" s="1425"/>
      <c r="D505" s="1428" t="e">
        <f t="shared" si="33"/>
        <v>#DIV/0!</v>
      </c>
      <c r="F505" s="1427"/>
      <c r="G505" s="1428" t="e">
        <f t="shared" si="34"/>
        <v>#DIV/0!</v>
      </c>
      <c r="H505" s="1426">
        <v>41084</v>
      </c>
      <c r="M505" s="1432" t="e">
        <f t="shared" si="35"/>
        <v>#DIV/0!</v>
      </c>
      <c r="N505" s="1411">
        <f t="shared" si="36"/>
        <v>0</v>
      </c>
      <c r="P505" s="1462"/>
      <c r="Q505" s="1463"/>
      <c r="R505" s="1464"/>
      <c r="S505" s="1465"/>
      <c r="T505" s="1465"/>
    </row>
    <row r="506" spans="2:20">
      <c r="B506" s="1426">
        <v>41077</v>
      </c>
      <c r="C506" s="1425"/>
      <c r="D506" s="1428" t="e">
        <f t="shared" si="33"/>
        <v>#DIV/0!</v>
      </c>
      <c r="F506" s="1427"/>
      <c r="G506" s="1428" t="e">
        <f t="shared" si="34"/>
        <v>#DIV/0!</v>
      </c>
      <c r="H506" s="1426">
        <v>41077</v>
      </c>
      <c r="M506" s="1432" t="e">
        <f t="shared" si="35"/>
        <v>#DIV/0!</v>
      </c>
      <c r="N506" s="1411">
        <f t="shared" si="36"/>
        <v>0</v>
      </c>
      <c r="P506" s="1462"/>
      <c r="Q506" s="1463"/>
      <c r="R506" s="1464"/>
      <c r="S506" s="1465"/>
      <c r="T506" s="1465"/>
    </row>
    <row r="507" spans="2:20">
      <c r="B507" s="1426">
        <v>41070</v>
      </c>
      <c r="C507" s="1425"/>
      <c r="D507" s="1428" t="e">
        <f t="shared" si="33"/>
        <v>#DIV/0!</v>
      </c>
      <c r="F507" s="1427"/>
      <c r="G507" s="1428" t="e">
        <f t="shared" si="34"/>
        <v>#DIV/0!</v>
      </c>
      <c r="H507" s="1426">
        <v>41070</v>
      </c>
      <c r="M507" s="1432" t="e">
        <f t="shared" si="35"/>
        <v>#DIV/0!</v>
      </c>
      <c r="N507" s="1411">
        <f t="shared" si="36"/>
        <v>0</v>
      </c>
      <c r="P507" s="1462"/>
      <c r="Q507" s="1463"/>
      <c r="R507" s="1464"/>
      <c r="S507" s="1465"/>
      <c r="T507" s="1465"/>
    </row>
    <row r="508" spans="2:20">
      <c r="B508" s="1426">
        <v>41063</v>
      </c>
      <c r="C508" s="1425"/>
      <c r="D508" s="1428" t="e">
        <f t="shared" si="33"/>
        <v>#DIV/0!</v>
      </c>
      <c r="F508" s="1427"/>
      <c r="G508" s="1428" t="e">
        <f t="shared" si="34"/>
        <v>#DIV/0!</v>
      </c>
      <c r="H508" s="1426">
        <v>41063</v>
      </c>
      <c r="M508" s="1432" t="e">
        <f t="shared" si="35"/>
        <v>#DIV/0!</v>
      </c>
      <c r="N508" s="1411">
        <f t="shared" si="36"/>
        <v>0</v>
      </c>
      <c r="P508" s="1462"/>
      <c r="Q508" s="1463"/>
      <c r="R508" s="1464"/>
      <c r="S508" s="1465"/>
      <c r="T508" s="1465"/>
    </row>
    <row r="509" spans="2:20">
      <c r="B509" s="1426">
        <v>41056</v>
      </c>
      <c r="C509" s="1425"/>
      <c r="D509" s="1428" t="e">
        <f t="shared" si="33"/>
        <v>#DIV/0!</v>
      </c>
      <c r="F509" s="1427"/>
      <c r="G509" s="1428" t="e">
        <f t="shared" si="34"/>
        <v>#DIV/0!</v>
      </c>
      <c r="H509" s="1426">
        <v>41056</v>
      </c>
      <c r="M509" s="1432" t="e">
        <f t="shared" si="35"/>
        <v>#DIV/0!</v>
      </c>
      <c r="N509" s="1411">
        <f t="shared" si="36"/>
        <v>0</v>
      </c>
      <c r="P509" s="1462"/>
      <c r="Q509" s="1463"/>
      <c r="R509" s="1464"/>
      <c r="S509" s="1465"/>
      <c r="T509" s="1465"/>
    </row>
    <row r="510" spans="2:20">
      <c r="B510" s="1426">
        <v>41049</v>
      </c>
      <c r="C510" s="1425"/>
      <c r="D510" s="1428" t="e">
        <f t="shared" si="33"/>
        <v>#DIV/0!</v>
      </c>
      <c r="F510" s="1427"/>
      <c r="G510" s="1428" t="e">
        <f t="shared" si="34"/>
        <v>#DIV/0!</v>
      </c>
      <c r="H510" s="1426">
        <v>41049</v>
      </c>
      <c r="M510" s="1432" t="e">
        <f t="shared" si="35"/>
        <v>#DIV/0!</v>
      </c>
      <c r="N510" s="1411">
        <f t="shared" si="36"/>
        <v>0</v>
      </c>
      <c r="P510" s="1462"/>
      <c r="Q510" s="1463"/>
      <c r="R510" s="1464"/>
      <c r="S510" s="1465"/>
      <c r="T510" s="1465"/>
    </row>
    <row r="511" spans="2:20">
      <c r="B511" s="1426">
        <v>41042</v>
      </c>
      <c r="C511" s="1425"/>
      <c r="D511" s="1428" t="e">
        <f t="shared" si="33"/>
        <v>#DIV/0!</v>
      </c>
      <c r="F511" s="1427"/>
      <c r="G511" s="1428" t="e">
        <f t="shared" si="34"/>
        <v>#DIV/0!</v>
      </c>
      <c r="H511" s="1426">
        <v>41042</v>
      </c>
      <c r="M511" s="1432" t="e">
        <f t="shared" si="35"/>
        <v>#DIV/0!</v>
      </c>
      <c r="N511" s="1411">
        <f t="shared" si="36"/>
        <v>0</v>
      </c>
      <c r="P511" s="1462"/>
      <c r="Q511" s="1463"/>
      <c r="R511" s="1464"/>
      <c r="S511" s="1465"/>
      <c r="T511" s="1465"/>
    </row>
    <row r="512" spans="2:20">
      <c r="B512" s="1426">
        <v>41035</v>
      </c>
      <c r="C512" s="1425"/>
      <c r="D512" s="1428" t="e">
        <f t="shared" si="33"/>
        <v>#DIV/0!</v>
      </c>
      <c r="F512" s="1427"/>
      <c r="G512" s="1428" t="e">
        <f t="shared" si="34"/>
        <v>#DIV/0!</v>
      </c>
      <c r="H512" s="1426">
        <v>41035</v>
      </c>
      <c r="M512" s="1432" t="e">
        <f t="shared" si="35"/>
        <v>#DIV/0!</v>
      </c>
      <c r="N512" s="1411">
        <f t="shared" si="36"/>
        <v>0</v>
      </c>
      <c r="P512" s="1462"/>
      <c r="Q512" s="1463"/>
      <c r="R512" s="1464"/>
      <c r="S512" s="1465"/>
      <c r="T512" s="1465"/>
    </row>
    <row r="513" spans="2:20">
      <c r="B513" s="1426">
        <v>41028</v>
      </c>
      <c r="C513" s="1425"/>
      <c r="D513" s="1428" t="e">
        <f t="shared" si="33"/>
        <v>#DIV/0!</v>
      </c>
      <c r="F513" s="1427"/>
      <c r="G513" s="1428" t="e">
        <f t="shared" si="34"/>
        <v>#DIV/0!</v>
      </c>
      <c r="H513" s="1426">
        <v>41028</v>
      </c>
      <c r="M513" s="1432" t="e">
        <f t="shared" si="35"/>
        <v>#DIV/0!</v>
      </c>
      <c r="N513" s="1411">
        <f t="shared" si="36"/>
        <v>0</v>
      </c>
      <c r="P513" s="1462"/>
      <c r="Q513" s="1463"/>
      <c r="R513" s="1464"/>
      <c r="S513" s="1465"/>
      <c r="T513" s="1465"/>
    </row>
    <row r="514" spans="2:20">
      <c r="B514" s="1426">
        <v>41021</v>
      </c>
      <c r="C514" s="1425"/>
      <c r="D514" s="1428" t="e">
        <f t="shared" si="33"/>
        <v>#DIV/0!</v>
      </c>
      <c r="F514" s="1427"/>
      <c r="G514" s="1428" t="e">
        <f t="shared" si="34"/>
        <v>#DIV/0!</v>
      </c>
      <c r="H514" s="1426">
        <v>41021</v>
      </c>
      <c r="M514" s="1432" t="e">
        <f t="shared" si="35"/>
        <v>#DIV/0!</v>
      </c>
      <c r="N514" s="1411">
        <f t="shared" si="36"/>
        <v>0</v>
      </c>
      <c r="P514" s="1462"/>
      <c r="Q514" s="1463"/>
      <c r="R514" s="1464"/>
      <c r="S514" s="1465"/>
      <c r="T514" s="1465"/>
    </row>
    <row r="515" spans="2:20">
      <c r="B515" s="1426">
        <v>41014</v>
      </c>
      <c r="C515" s="1425"/>
      <c r="D515" s="1428" t="e">
        <f t="shared" si="33"/>
        <v>#DIV/0!</v>
      </c>
      <c r="F515" s="1427"/>
      <c r="G515" s="1428" t="e">
        <f t="shared" si="34"/>
        <v>#DIV/0!</v>
      </c>
      <c r="H515" s="1426">
        <v>41014</v>
      </c>
      <c r="M515" s="1432" t="e">
        <f t="shared" si="35"/>
        <v>#DIV/0!</v>
      </c>
      <c r="N515" s="1411">
        <f t="shared" si="36"/>
        <v>0</v>
      </c>
      <c r="P515" s="1462"/>
      <c r="Q515" s="1463"/>
      <c r="R515" s="1464"/>
      <c r="S515" s="1465"/>
      <c r="T515" s="1465"/>
    </row>
    <row r="516" spans="2:20">
      <c r="B516" s="1426">
        <v>41007</v>
      </c>
      <c r="C516" s="1425"/>
      <c r="D516" s="1428" t="e">
        <f t="shared" si="33"/>
        <v>#DIV/0!</v>
      </c>
      <c r="F516" s="1427"/>
      <c r="G516" s="1428" t="e">
        <f t="shared" si="34"/>
        <v>#DIV/0!</v>
      </c>
      <c r="H516" s="1426">
        <v>41007</v>
      </c>
      <c r="M516" s="1432" t="e">
        <f t="shared" si="35"/>
        <v>#DIV/0!</v>
      </c>
      <c r="N516" s="1411">
        <f t="shared" si="36"/>
        <v>0</v>
      </c>
      <c r="P516" s="1462"/>
      <c r="Q516" s="1463"/>
      <c r="R516" s="1464"/>
      <c r="S516" s="1465"/>
      <c r="T516" s="1465"/>
    </row>
    <row r="517" spans="2:20">
      <c r="B517" s="1426">
        <v>41000</v>
      </c>
      <c r="C517" s="1425"/>
      <c r="D517" s="1428" t="e">
        <f t="shared" si="33"/>
        <v>#DIV/0!</v>
      </c>
      <c r="F517" s="1427"/>
      <c r="G517" s="1428" t="e">
        <f t="shared" si="34"/>
        <v>#DIV/0!</v>
      </c>
      <c r="H517" s="1426">
        <v>41000</v>
      </c>
      <c r="M517" s="1432" t="e">
        <f t="shared" si="35"/>
        <v>#DIV/0!</v>
      </c>
      <c r="N517" s="1411">
        <f t="shared" si="36"/>
        <v>0</v>
      </c>
      <c r="P517" s="1462"/>
      <c r="Q517" s="1463"/>
      <c r="R517" s="1464"/>
      <c r="S517" s="1465"/>
      <c r="T517" s="1465"/>
    </row>
    <row r="518" spans="2:20">
      <c r="B518" s="1426">
        <v>40993</v>
      </c>
      <c r="C518" s="1425"/>
      <c r="D518" s="1428" t="e">
        <f t="shared" si="33"/>
        <v>#DIV/0!</v>
      </c>
      <c r="F518" s="1427"/>
      <c r="G518" s="1428" t="e">
        <f t="shared" si="34"/>
        <v>#DIV/0!</v>
      </c>
      <c r="H518" s="1426">
        <v>40993</v>
      </c>
      <c r="M518" s="1432" t="e">
        <f t="shared" si="35"/>
        <v>#DIV/0!</v>
      </c>
      <c r="N518" s="1411">
        <f t="shared" si="36"/>
        <v>0</v>
      </c>
      <c r="P518" s="1462"/>
      <c r="Q518" s="1463"/>
      <c r="R518" s="1464"/>
      <c r="S518" s="1465"/>
      <c r="T518" s="1465"/>
    </row>
    <row r="519" spans="2:20">
      <c r="B519" s="1426">
        <v>40986</v>
      </c>
      <c r="C519" s="1425"/>
      <c r="D519" s="1428" t="e">
        <f t="shared" ref="D519:D577" si="37">C519/C520-1</f>
        <v>#DIV/0!</v>
      </c>
      <c r="F519" s="1427"/>
      <c r="G519" s="1428" t="e">
        <f t="shared" ref="G519:G577" si="38">F519/F520-1</f>
        <v>#DIV/0!</v>
      </c>
      <c r="H519" s="1426">
        <v>40986</v>
      </c>
      <c r="M519" s="1432" t="e">
        <f t="shared" ref="M519:M577" si="39">F519/F520-1</f>
        <v>#DIV/0!</v>
      </c>
      <c r="N519" s="1411">
        <f t="shared" ref="N519:N578" si="40">H519-B519</f>
        <v>0</v>
      </c>
      <c r="P519" s="1462"/>
      <c r="Q519" s="1463"/>
      <c r="R519" s="1464"/>
      <c r="S519" s="1465"/>
      <c r="T519" s="1465"/>
    </row>
    <row r="520" spans="2:20">
      <c r="B520" s="1426">
        <v>40979</v>
      </c>
      <c r="C520" s="1425"/>
      <c r="D520" s="1428" t="e">
        <f t="shared" si="37"/>
        <v>#DIV/0!</v>
      </c>
      <c r="F520" s="1427"/>
      <c r="G520" s="1428" t="e">
        <f t="shared" si="38"/>
        <v>#DIV/0!</v>
      </c>
      <c r="H520" s="1426">
        <v>40979</v>
      </c>
      <c r="M520" s="1432" t="e">
        <f t="shared" si="39"/>
        <v>#DIV/0!</v>
      </c>
      <c r="N520" s="1411">
        <f t="shared" si="40"/>
        <v>0</v>
      </c>
      <c r="P520" s="1462"/>
      <c r="Q520" s="1463"/>
      <c r="R520" s="1464"/>
      <c r="S520" s="1465"/>
      <c r="T520" s="1465"/>
    </row>
    <row r="521" spans="2:20">
      <c r="B521" s="1426">
        <v>40972</v>
      </c>
      <c r="C521" s="1425"/>
      <c r="D521" s="1428" t="e">
        <f t="shared" si="37"/>
        <v>#DIV/0!</v>
      </c>
      <c r="F521" s="1427"/>
      <c r="G521" s="1428" t="e">
        <f t="shared" si="38"/>
        <v>#DIV/0!</v>
      </c>
      <c r="H521" s="1426">
        <v>40972</v>
      </c>
      <c r="M521" s="1432" t="e">
        <f t="shared" si="39"/>
        <v>#DIV/0!</v>
      </c>
      <c r="N521" s="1411">
        <f t="shared" si="40"/>
        <v>0</v>
      </c>
      <c r="P521" s="1462"/>
      <c r="Q521" s="1463"/>
      <c r="R521" s="1464"/>
      <c r="S521" s="1465"/>
      <c r="T521" s="1465"/>
    </row>
    <row r="522" spans="2:20">
      <c r="B522" s="1426">
        <v>40965</v>
      </c>
      <c r="C522" s="1425"/>
      <c r="D522" s="1428" t="e">
        <f t="shared" si="37"/>
        <v>#DIV/0!</v>
      </c>
      <c r="F522" s="1427"/>
      <c r="G522" s="1428" t="e">
        <f t="shared" si="38"/>
        <v>#DIV/0!</v>
      </c>
      <c r="H522" s="1426">
        <v>40965</v>
      </c>
      <c r="M522" s="1432" t="e">
        <f t="shared" si="39"/>
        <v>#DIV/0!</v>
      </c>
      <c r="N522" s="1411">
        <f t="shared" si="40"/>
        <v>0</v>
      </c>
      <c r="P522" s="1462"/>
      <c r="Q522" s="1463"/>
      <c r="R522" s="1464"/>
      <c r="S522" s="1465"/>
      <c r="T522" s="1465"/>
    </row>
    <row r="523" spans="2:20">
      <c r="B523" s="1426">
        <v>40958</v>
      </c>
      <c r="C523" s="1425"/>
      <c r="D523" s="1428" t="e">
        <f t="shared" si="37"/>
        <v>#DIV/0!</v>
      </c>
      <c r="F523" s="1427"/>
      <c r="G523" s="1428" t="e">
        <f t="shared" si="38"/>
        <v>#DIV/0!</v>
      </c>
      <c r="H523" s="1426">
        <v>40958</v>
      </c>
      <c r="M523" s="1432" t="e">
        <f t="shared" si="39"/>
        <v>#DIV/0!</v>
      </c>
      <c r="N523" s="1411">
        <f t="shared" si="40"/>
        <v>0</v>
      </c>
      <c r="P523" s="1462"/>
      <c r="Q523" s="1463"/>
      <c r="R523" s="1464"/>
      <c r="S523" s="1465"/>
      <c r="T523" s="1465"/>
    </row>
    <row r="524" spans="2:20">
      <c r="B524" s="1426">
        <v>40951</v>
      </c>
      <c r="C524" s="1425"/>
      <c r="D524" s="1428" t="e">
        <f t="shared" si="37"/>
        <v>#DIV/0!</v>
      </c>
      <c r="F524" s="1427"/>
      <c r="G524" s="1428" t="e">
        <f t="shared" si="38"/>
        <v>#DIV/0!</v>
      </c>
      <c r="H524" s="1426">
        <v>40951</v>
      </c>
      <c r="M524" s="1432" t="e">
        <f t="shared" si="39"/>
        <v>#DIV/0!</v>
      </c>
      <c r="N524" s="1411">
        <f t="shared" si="40"/>
        <v>0</v>
      </c>
      <c r="P524" s="1462"/>
      <c r="Q524" s="1463"/>
      <c r="R524" s="1464"/>
      <c r="S524" s="1465"/>
      <c r="T524" s="1465"/>
    </row>
    <row r="525" spans="2:20">
      <c r="B525" s="1426">
        <v>40944</v>
      </c>
      <c r="C525" s="1425"/>
      <c r="D525" s="1428" t="e">
        <f t="shared" si="37"/>
        <v>#DIV/0!</v>
      </c>
      <c r="F525" s="1427"/>
      <c r="G525" s="1428" t="e">
        <f t="shared" si="38"/>
        <v>#DIV/0!</v>
      </c>
      <c r="H525" s="1426">
        <v>40944</v>
      </c>
      <c r="M525" s="1432" t="e">
        <f t="shared" si="39"/>
        <v>#DIV/0!</v>
      </c>
      <c r="N525" s="1411">
        <f t="shared" si="40"/>
        <v>0</v>
      </c>
      <c r="P525" s="1462"/>
      <c r="Q525" s="1463"/>
      <c r="R525" s="1464"/>
      <c r="S525" s="1465"/>
      <c r="T525" s="1465"/>
    </row>
    <row r="526" spans="2:20">
      <c r="B526" s="1426">
        <v>40937</v>
      </c>
      <c r="C526" s="1425"/>
      <c r="D526" s="1428" t="e">
        <f t="shared" si="37"/>
        <v>#DIV/0!</v>
      </c>
      <c r="F526" s="1427"/>
      <c r="G526" s="1428" t="e">
        <f t="shared" si="38"/>
        <v>#DIV/0!</v>
      </c>
      <c r="H526" s="1426">
        <v>40937</v>
      </c>
      <c r="M526" s="1432" t="e">
        <f t="shared" si="39"/>
        <v>#DIV/0!</v>
      </c>
      <c r="N526" s="1411">
        <f t="shared" si="40"/>
        <v>0</v>
      </c>
      <c r="P526" s="1462"/>
      <c r="Q526" s="1463"/>
      <c r="R526" s="1464"/>
      <c r="S526" s="1465"/>
      <c r="T526" s="1465"/>
    </row>
    <row r="527" spans="2:20">
      <c r="B527" s="1426">
        <v>40923</v>
      </c>
      <c r="C527" s="1425"/>
      <c r="D527" s="1428" t="e">
        <f t="shared" si="37"/>
        <v>#DIV/0!</v>
      </c>
      <c r="F527" s="1427"/>
      <c r="G527" s="1428" t="e">
        <f t="shared" si="38"/>
        <v>#DIV/0!</v>
      </c>
      <c r="H527" s="1426">
        <v>40923</v>
      </c>
      <c r="M527" s="1432" t="e">
        <f t="shared" si="39"/>
        <v>#DIV/0!</v>
      </c>
      <c r="N527" s="1411">
        <f t="shared" si="40"/>
        <v>0</v>
      </c>
      <c r="P527" s="1462"/>
      <c r="Q527" s="1463"/>
      <c r="R527" s="1464"/>
      <c r="S527" s="1465"/>
      <c r="T527" s="1465"/>
    </row>
    <row r="528" spans="2:20">
      <c r="B528" s="1426">
        <v>40916</v>
      </c>
      <c r="C528" s="1425"/>
      <c r="D528" s="1428" t="e">
        <f t="shared" si="37"/>
        <v>#DIV/0!</v>
      </c>
      <c r="F528" s="1427"/>
      <c r="G528" s="1428" t="e">
        <f t="shared" si="38"/>
        <v>#DIV/0!</v>
      </c>
      <c r="H528" s="1426">
        <v>40916</v>
      </c>
      <c r="M528" s="1432" t="e">
        <f t="shared" si="39"/>
        <v>#DIV/0!</v>
      </c>
      <c r="N528" s="1411">
        <f t="shared" si="40"/>
        <v>0</v>
      </c>
      <c r="P528" s="1462"/>
      <c r="Q528" s="1463"/>
      <c r="R528" s="1464"/>
      <c r="S528" s="1465"/>
      <c r="T528" s="1465"/>
    </row>
    <row r="529" spans="2:20">
      <c r="B529" s="1426">
        <v>40909</v>
      </c>
      <c r="C529" s="1425"/>
      <c r="D529" s="1428" t="e">
        <f t="shared" si="37"/>
        <v>#DIV/0!</v>
      </c>
      <c r="F529" s="1427"/>
      <c r="G529" s="1428" t="e">
        <f t="shared" si="38"/>
        <v>#DIV/0!</v>
      </c>
      <c r="H529" s="1426">
        <v>40909</v>
      </c>
      <c r="M529" s="1432" t="e">
        <f t="shared" si="39"/>
        <v>#DIV/0!</v>
      </c>
      <c r="N529" s="1411">
        <f t="shared" si="40"/>
        <v>0</v>
      </c>
      <c r="P529" s="1462"/>
      <c r="Q529" s="1463"/>
      <c r="R529" s="1464"/>
      <c r="S529" s="1465"/>
      <c r="T529" s="1465"/>
    </row>
    <row r="530" spans="2:20">
      <c r="B530" s="1426">
        <v>40902</v>
      </c>
      <c r="C530" s="1425"/>
      <c r="D530" s="1428" t="e">
        <f t="shared" si="37"/>
        <v>#DIV/0!</v>
      </c>
      <c r="F530" s="1427"/>
      <c r="G530" s="1428" t="e">
        <f t="shared" si="38"/>
        <v>#DIV/0!</v>
      </c>
      <c r="H530" s="1426">
        <v>40902</v>
      </c>
      <c r="M530" s="1432" t="e">
        <f t="shared" si="39"/>
        <v>#DIV/0!</v>
      </c>
      <c r="N530" s="1411">
        <f t="shared" si="40"/>
        <v>0</v>
      </c>
      <c r="P530" s="1462"/>
      <c r="Q530" s="1463"/>
      <c r="R530" s="1464"/>
      <c r="S530" s="1465"/>
      <c r="T530" s="1465"/>
    </row>
    <row r="531" spans="2:20">
      <c r="B531" s="1426">
        <v>40895</v>
      </c>
      <c r="C531" s="1425"/>
      <c r="D531" s="1428" t="e">
        <f t="shared" si="37"/>
        <v>#DIV/0!</v>
      </c>
      <c r="F531" s="1427"/>
      <c r="G531" s="1428" t="e">
        <f t="shared" si="38"/>
        <v>#DIV/0!</v>
      </c>
      <c r="H531" s="1426">
        <v>40895</v>
      </c>
      <c r="M531" s="1432" t="e">
        <f t="shared" si="39"/>
        <v>#DIV/0!</v>
      </c>
      <c r="N531" s="1411">
        <f t="shared" si="40"/>
        <v>0</v>
      </c>
      <c r="P531" s="1462"/>
      <c r="Q531" s="1463"/>
      <c r="R531" s="1464"/>
      <c r="S531" s="1465"/>
      <c r="T531" s="1465"/>
    </row>
    <row r="532" spans="2:20">
      <c r="B532" s="1426">
        <v>40888</v>
      </c>
      <c r="C532" s="1425"/>
      <c r="D532" s="1428" t="e">
        <f t="shared" si="37"/>
        <v>#DIV/0!</v>
      </c>
      <c r="F532" s="1427"/>
      <c r="G532" s="1428" t="e">
        <f t="shared" si="38"/>
        <v>#DIV/0!</v>
      </c>
      <c r="H532" s="1426">
        <v>40888</v>
      </c>
      <c r="M532" s="1432" t="e">
        <f t="shared" si="39"/>
        <v>#DIV/0!</v>
      </c>
      <c r="N532" s="1411">
        <f t="shared" si="40"/>
        <v>0</v>
      </c>
      <c r="P532" s="1462"/>
      <c r="Q532" s="1463"/>
      <c r="R532" s="1464"/>
      <c r="S532" s="1465"/>
      <c r="T532" s="1465"/>
    </row>
    <row r="533" spans="2:20">
      <c r="B533" s="1426">
        <v>40881</v>
      </c>
      <c r="C533" s="1425"/>
      <c r="D533" s="1428" t="e">
        <f t="shared" si="37"/>
        <v>#DIV/0!</v>
      </c>
      <c r="F533" s="1427"/>
      <c r="G533" s="1428" t="e">
        <f t="shared" si="38"/>
        <v>#DIV/0!</v>
      </c>
      <c r="H533" s="1426">
        <v>40881</v>
      </c>
      <c r="M533" s="1432" t="e">
        <f t="shared" si="39"/>
        <v>#DIV/0!</v>
      </c>
      <c r="N533" s="1411">
        <f t="shared" si="40"/>
        <v>0</v>
      </c>
      <c r="P533" s="1462"/>
      <c r="Q533" s="1463"/>
      <c r="R533" s="1464"/>
      <c r="S533" s="1465"/>
      <c r="T533" s="1465"/>
    </row>
    <row r="534" spans="2:20">
      <c r="B534" s="1426">
        <v>40874</v>
      </c>
      <c r="C534" s="1425"/>
      <c r="D534" s="1428" t="e">
        <f t="shared" si="37"/>
        <v>#DIV/0!</v>
      </c>
      <c r="F534" s="1427"/>
      <c r="G534" s="1428" t="e">
        <f t="shared" si="38"/>
        <v>#DIV/0!</v>
      </c>
      <c r="H534" s="1426">
        <v>40874</v>
      </c>
      <c r="M534" s="1432" t="e">
        <f t="shared" si="39"/>
        <v>#DIV/0!</v>
      </c>
      <c r="N534" s="1411">
        <f t="shared" si="40"/>
        <v>0</v>
      </c>
      <c r="P534" s="1462"/>
      <c r="Q534" s="1463"/>
      <c r="R534" s="1464"/>
      <c r="S534" s="1465"/>
      <c r="T534" s="1465"/>
    </row>
    <row r="535" spans="2:20">
      <c r="B535" s="1426">
        <v>40867</v>
      </c>
      <c r="C535" s="1425"/>
      <c r="D535" s="1428" t="e">
        <f t="shared" si="37"/>
        <v>#DIV/0!</v>
      </c>
      <c r="F535" s="1427"/>
      <c r="G535" s="1428" t="e">
        <f t="shared" si="38"/>
        <v>#DIV/0!</v>
      </c>
      <c r="H535" s="1426">
        <v>40867</v>
      </c>
      <c r="M535" s="1432" t="e">
        <f t="shared" si="39"/>
        <v>#DIV/0!</v>
      </c>
      <c r="N535" s="1411">
        <f t="shared" si="40"/>
        <v>0</v>
      </c>
      <c r="P535" s="1462"/>
      <c r="Q535" s="1463"/>
      <c r="R535" s="1464"/>
      <c r="S535" s="1465"/>
      <c r="T535" s="1465"/>
    </row>
    <row r="536" spans="2:20">
      <c r="B536" s="1426">
        <v>40860</v>
      </c>
      <c r="C536" s="1425"/>
      <c r="D536" s="1428" t="e">
        <f t="shared" si="37"/>
        <v>#DIV/0!</v>
      </c>
      <c r="F536" s="1427"/>
      <c r="G536" s="1428" t="e">
        <f t="shared" si="38"/>
        <v>#DIV/0!</v>
      </c>
      <c r="H536" s="1426">
        <v>40860</v>
      </c>
      <c r="M536" s="1432" t="e">
        <f t="shared" si="39"/>
        <v>#DIV/0!</v>
      </c>
      <c r="N536" s="1411">
        <f t="shared" si="40"/>
        <v>0</v>
      </c>
      <c r="P536" s="1462"/>
      <c r="Q536" s="1463"/>
      <c r="R536" s="1464"/>
      <c r="S536" s="1465"/>
      <c r="T536" s="1465"/>
    </row>
    <row r="537" spans="2:20">
      <c r="B537" s="1426">
        <v>40853</v>
      </c>
      <c r="C537" s="1425"/>
      <c r="D537" s="1428" t="e">
        <f t="shared" si="37"/>
        <v>#DIV/0!</v>
      </c>
      <c r="F537" s="1427"/>
      <c r="G537" s="1428" t="e">
        <f t="shared" si="38"/>
        <v>#DIV/0!</v>
      </c>
      <c r="H537" s="1426">
        <v>40853</v>
      </c>
      <c r="M537" s="1432" t="e">
        <f t="shared" si="39"/>
        <v>#DIV/0!</v>
      </c>
      <c r="N537" s="1411">
        <f t="shared" si="40"/>
        <v>0</v>
      </c>
      <c r="P537" s="1462"/>
      <c r="Q537" s="1463"/>
      <c r="R537" s="1464"/>
      <c r="S537" s="1465"/>
      <c r="T537" s="1465"/>
    </row>
    <row r="538" spans="2:20">
      <c r="B538" s="1426">
        <v>40846</v>
      </c>
      <c r="C538" s="1425"/>
      <c r="D538" s="1428" t="e">
        <f t="shared" si="37"/>
        <v>#DIV/0!</v>
      </c>
      <c r="F538" s="1427"/>
      <c r="G538" s="1428" t="e">
        <f t="shared" si="38"/>
        <v>#DIV/0!</v>
      </c>
      <c r="H538" s="1426">
        <v>40846</v>
      </c>
      <c r="M538" s="1432" t="e">
        <f t="shared" si="39"/>
        <v>#DIV/0!</v>
      </c>
      <c r="N538" s="1411">
        <f t="shared" si="40"/>
        <v>0</v>
      </c>
      <c r="P538" s="1462"/>
      <c r="Q538" s="1463"/>
      <c r="R538" s="1464"/>
      <c r="S538" s="1465"/>
      <c r="T538" s="1465"/>
    </row>
    <row r="539" spans="2:20">
      <c r="B539" s="1426">
        <v>40839</v>
      </c>
      <c r="C539" s="1425"/>
      <c r="D539" s="1428" t="e">
        <f t="shared" si="37"/>
        <v>#DIV/0!</v>
      </c>
      <c r="F539" s="1427"/>
      <c r="G539" s="1428" t="e">
        <f t="shared" si="38"/>
        <v>#DIV/0!</v>
      </c>
      <c r="H539" s="1426">
        <v>40839</v>
      </c>
      <c r="M539" s="1432" t="e">
        <f t="shared" si="39"/>
        <v>#DIV/0!</v>
      </c>
      <c r="N539" s="1411">
        <f t="shared" si="40"/>
        <v>0</v>
      </c>
      <c r="P539" s="1462"/>
      <c r="Q539" s="1463"/>
      <c r="R539" s="1464"/>
      <c r="S539" s="1465"/>
      <c r="T539" s="1465"/>
    </row>
    <row r="540" spans="2:20">
      <c r="B540" s="1426">
        <v>40832</v>
      </c>
      <c r="C540" s="1425"/>
      <c r="D540" s="1428" t="e">
        <f t="shared" si="37"/>
        <v>#DIV/0!</v>
      </c>
      <c r="F540" s="1427"/>
      <c r="G540" s="1428" t="e">
        <f t="shared" si="38"/>
        <v>#DIV/0!</v>
      </c>
      <c r="H540" s="1426">
        <v>40832</v>
      </c>
      <c r="M540" s="1432" t="e">
        <f t="shared" si="39"/>
        <v>#DIV/0!</v>
      </c>
      <c r="N540" s="1411">
        <f t="shared" si="40"/>
        <v>0</v>
      </c>
      <c r="P540" s="1462"/>
      <c r="Q540" s="1463"/>
      <c r="R540" s="1464"/>
      <c r="S540" s="1465"/>
      <c r="T540" s="1465"/>
    </row>
    <row r="541" spans="2:20">
      <c r="B541" s="1426">
        <v>40825</v>
      </c>
      <c r="C541" s="1425"/>
      <c r="D541" s="1428" t="e">
        <f t="shared" si="37"/>
        <v>#DIV/0!</v>
      </c>
      <c r="F541" s="1427"/>
      <c r="G541" s="1428" t="e">
        <f t="shared" si="38"/>
        <v>#DIV/0!</v>
      </c>
      <c r="H541" s="1426">
        <v>40825</v>
      </c>
      <c r="M541" s="1432" t="e">
        <f t="shared" si="39"/>
        <v>#DIV/0!</v>
      </c>
      <c r="N541" s="1411">
        <f t="shared" si="40"/>
        <v>0</v>
      </c>
      <c r="P541" s="1462"/>
      <c r="Q541" s="1463"/>
      <c r="R541" s="1464"/>
      <c r="S541" s="1465"/>
      <c r="T541" s="1465"/>
    </row>
    <row r="542" spans="2:20">
      <c r="B542" s="1426">
        <v>40818</v>
      </c>
      <c r="C542" s="1425"/>
      <c r="D542" s="1428" t="e">
        <f t="shared" si="37"/>
        <v>#DIV/0!</v>
      </c>
      <c r="F542" s="1427"/>
      <c r="G542" s="1428" t="e">
        <f t="shared" si="38"/>
        <v>#DIV/0!</v>
      </c>
      <c r="H542" s="1426">
        <v>40818</v>
      </c>
      <c r="M542" s="1432" t="e">
        <f t="shared" si="39"/>
        <v>#DIV/0!</v>
      </c>
      <c r="N542" s="1411">
        <f t="shared" si="40"/>
        <v>0</v>
      </c>
      <c r="P542" s="1462"/>
      <c r="Q542" s="1463"/>
      <c r="R542" s="1464"/>
      <c r="S542" s="1465"/>
      <c r="T542" s="1465"/>
    </row>
    <row r="543" spans="2:20">
      <c r="B543" s="1426">
        <v>40811</v>
      </c>
      <c r="C543" s="1425"/>
      <c r="D543" s="1428" t="e">
        <f t="shared" si="37"/>
        <v>#DIV/0!</v>
      </c>
      <c r="F543" s="1427"/>
      <c r="G543" s="1428" t="e">
        <f t="shared" si="38"/>
        <v>#DIV/0!</v>
      </c>
      <c r="H543" s="1426">
        <v>40811</v>
      </c>
      <c r="M543" s="1432" t="e">
        <f t="shared" si="39"/>
        <v>#DIV/0!</v>
      </c>
      <c r="N543" s="1411">
        <f t="shared" si="40"/>
        <v>0</v>
      </c>
      <c r="P543" s="1462"/>
      <c r="Q543" s="1463"/>
      <c r="R543" s="1464"/>
      <c r="S543" s="1465"/>
      <c r="T543" s="1465"/>
    </row>
    <row r="544" spans="2:20">
      <c r="B544" s="1426">
        <v>40804</v>
      </c>
      <c r="C544" s="1425"/>
      <c r="D544" s="1428" t="e">
        <f t="shared" si="37"/>
        <v>#DIV/0!</v>
      </c>
      <c r="F544" s="1427"/>
      <c r="G544" s="1428" t="e">
        <f t="shared" si="38"/>
        <v>#DIV/0!</v>
      </c>
      <c r="H544" s="1426">
        <v>40804</v>
      </c>
      <c r="M544" s="1432" t="e">
        <f t="shared" si="39"/>
        <v>#DIV/0!</v>
      </c>
      <c r="N544" s="1411">
        <f t="shared" si="40"/>
        <v>0</v>
      </c>
      <c r="P544" s="1462"/>
      <c r="Q544" s="1463"/>
      <c r="R544" s="1464"/>
      <c r="S544" s="1465"/>
      <c r="T544" s="1465"/>
    </row>
    <row r="545" spans="2:20">
      <c r="B545" s="1426">
        <v>40797</v>
      </c>
      <c r="C545" s="1425"/>
      <c r="D545" s="1428" t="e">
        <f t="shared" si="37"/>
        <v>#DIV/0!</v>
      </c>
      <c r="F545" s="1427"/>
      <c r="G545" s="1428" t="e">
        <f t="shared" si="38"/>
        <v>#DIV/0!</v>
      </c>
      <c r="H545" s="1426">
        <v>40797</v>
      </c>
      <c r="M545" s="1432" t="e">
        <f t="shared" si="39"/>
        <v>#DIV/0!</v>
      </c>
      <c r="N545" s="1411">
        <f t="shared" si="40"/>
        <v>0</v>
      </c>
      <c r="P545" s="1462"/>
      <c r="Q545" s="1463"/>
      <c r="R545" s="1464"/>
      <c r="S545" s="1466"/>
      <c r="T545" s="1466"/>
    </row>
    <row r="546" spans="2:20">
      <c r="B546" s="1426">
        <v>40790</v>
      </c>
      <c r="C546" s="1425"/>
      <c r="D546" s="1428" t="e">
        <f t="shared" si="37"/>
        <v>#DIV/0!</v>
      </c>
      <c r="F546" s="1427"/>
      <c r="G546" s="1428" t="e">
        <f t="shared" si="38"/>
        <v>#DIV/0!</v>
      </c>
      <c r="H546" s="1426">
        <v>40790</v>
      </c>
      <c r="M546" s="1432" t="e">
        <f t="shared" si="39"/>
        <v>#DIV/0!</v>
      </c>
      <c r="N546" s="1411">
        <f t="shared" si="40"/>
        <v>0</v>
      </c>
    </row>
    <row r="547" spans="2:20">
      <c r="B547" s="1426">
        <v>40783</v>
      </c>
      <c r="C547" s="1425"/>
      <c r="D547" s="1428" t="e">
        <f t="shared" si="37"/>
        <v>#DIV/0!</v>
      </c>
      <c r="F547" s="1427"/>
      <c r="G547" s="1428" t="e">
        <f t="shared" si="38"/>
        <v>#DIV/0!</v>
      </c>
      <c r="H547" s="1426">
        <v>40783</v>
      </c>
      <c r="M547" s="1432" t="e">
        <f t="shared" si="39"/>
        <v>#DIV/0!</v>
      </c>
      <c r="N547" s="1411">
        <f t="shared" si="40"/>
        <v>0</v>
      </c>
    </row>
    <row r="548" spans="2:20">
      <c r="B548" s="1426">
        <v>40776</v>
      </c>
      <c r="C548" s="1425"/>
      <c r="D548" s="1428" t="e">
        <f t="shared" si="37"/>
        <v>#DIV/0!</v>
      </c>
      <c r="F548" s="1427"/>
      <c r="G548" s="1428" t="e">
        <f t="shared" si="38"/>
        <v>#DIV/0!</v>
      </c>
      <c r="H548" s="1426">
        <v>40776</v>
      </c>
      <c r="M548" s="1432" t="e">
        <f t="shared" si="39"/>
        <v>#DIV/0!</v>
      </c>
      <c r="N548" s="1411">
        <f t="shared" si="40"/>
        <v>0</v>
      </c>
    </row>
    <row r="549" spans="2:20">
      <c r="B549" s="1426">
        <v>40769</v>
      </c>
      <c r="C549" s="1425"/>
      <c r="D549" s="1428" t="e">
        <f t="shared" si="37"/>
        <v>#DIV/0!</v>
      </c>
      <c r="F549" s="1427"/>
      <c r="G549" s="1428" t="e">
        <f t="shared" si="38"/>
        <v>#DIV/0!</v>
      </c>
      <c r="H549" s="1426">
        <v>40769</v>
      </c>
      <c r="M549" s="1432" t="e">
        <f t="shared" si="39"/>
        <v>#DIV/0!</v>
      </c>
      <c r="N549" s="1411">
        <f t="shared" si="40"/>
        <v>0</v>
      </c>
    </row>
    <row r="550" spans="2:20">
      <c r="B550" s="1426">
        <v>40762</v>
      </c>
      <c r="C550" s="1425"/>
      <c r="D550" s="1428" t="e">
        <f t="shared" si="37"/>
        <v>#DIV/0!</v>
      </c>
      <c r="F550" s="1427"/>
      <c r="G550" s="1428" t="e">
        <f t="shared" si="38"/>
        <v>#DIV/0!</v>
      </c>
      <c r="H550" s="1426">
        <v>40762</v>
      </c>
      <c r="M550" s="1432" t="e">
        <f t="shared" si="39"/>
        <v>#DIV/0!</v>
      </c>
      <c r="N550" s="1411">
        <f t="shared" si="40"/>
        <v>0</v>
      </c>
    </row>
    <row r="551" spans="2:20">
      <c r="B551" s="1426">
        <v>40755</v>
      </c>
      <c r="C551" s="1425"/>
      <c r="D551" s="1428" t="e">
        <f t="shared" si="37"/>
        <v>#DIV/0!</v>
      </c>
      <c r="F551" s="1427"/>
      <c r="G551" s="1428" t="e">
        <f t="shared" si="38"/>
        <v>#DIV/0!</v>
      </c>
      <c r="H551" s="1426">
        <v>40755</v>
      </c>
      <c r="M551" s="1432" t="e">
        <f t="shared" si="39"/>
        <v>#DIV/0!</v>
      </c>
      <c r="N551" s="1411">
        <f t="shared" si="40"/>
        <v>0</v>
      </c>
    </row>
    <row r="552" spans="2:20">
      <c r="B552" s="1426">
        <v>40748</v>
      </c>
      <c r="C552" s="1425"/>
      <c r="D552" s="1428" t="e">
        <f t="shared" si="37"/>
        <v>#DIV/0!</v>
      </c>
      <c r="F552" s="1427"/>
      <c r="G552" s="1428" t="e">
        <f t="shared" si="38"/>
        <v>#DIV/0!</v>
      </c>
      <c r="H552" s="1426">
        <v>40748</v>
      </c>
      <c r="M552" s="1432" t="e">
        <f t="shared" si="39"/>
        <v>#DIV/0!</v>
      </c>
      <c r="N552" s="1411">
        <f t="shared" si="40"/>
        <v>0</v>
      </c>
    </row>
    <row r="553" spans="2:20">
      <c r="B553" s="1426">
        <v>40741</v>
      </c>
      <c r="C553" s="1425"/>
      <c r="D553" s="1428" t="e">
        <f t="shared" si="37"/>
        <v>#DIV/0!</v>
      </c>
      <c r="F553" s="1427"/>
      <c r="G553" s="1428" t="e">
        <f t="shared" si="38"/>
        <v>#DIV/0!</v>
      </c>
      <c r="H553" s="1426">
        <v>40741</v>
      </c>
      <c r="M553" s="1432" t="e">
        <f t="shared" si="39"/>
        <v>#DIV/0!</v>
      </c>
      <c r="N553" s="1411">
        <f t="shared" si="40"/>
        <v>0</v>
      </c>
    </row>
    <row r="554" spans="2:20">
      <c r="B554" s="1426">
        <v>40734</v>
      </c>
      <c r="C554" s="1425"/>
      <c r="D554" s="1428" t="e">
        <f t="shared" si="37"/>
        <v>#DIV/0!</v>
      </c>
      <c r="F554" s="1427"/>
      <c r="G554" s="1428" t="e">
        <f t="shared" si="38"/>
        <v>#DIV/0!</v>
      </c>
      <c r="H554" s="1426">
        <v>40734</v>
      </c>
      <c r="M554" s="1432" t="e">
        <f t="shared" si="39"/>
        <v>#DIV/0!</v>
      </c>
      <c r="N554" s="1411">
        <f t="shared" si="40"/>
        <v>0</v>
      </c>
    </row>
    <row r="555" spans="2:20">
      <c r="B555" s="1426">
        <v>40727</v>
      </c>
      <c r="C555" s="1425"/>
      <c r="D555" s="1428" t="e">
        <f t="shared" si="37"/>
        <v>#DIV/0!</v>
      </c>
      <c r="F555" s="1427"/>
      <c r="G555" s="1428" t="e">
        <f t="shared" si="38"/>
        <v>#DIV/0!</v>
      </c>
      <c r="H555" s="1426">
        <v>40727</v>
      </c>
      <c r="M555" s="1432" t="e">
        <f t="shared" si="39"/>
        <v>#DIV/0!</v>
      </c>
      <c r="N555" s="1411">
        <f t="shared" si="40"/>
        <v>0</v>
      </c>
    </row>
    <row r="556" spans="2:20">
      <c r="B556" s="1426">
        <v>40720</v>
      </c>
      <c r="C556" s="1425"/>
      <c r="D556" s="1428" t="e">
        <f t="shared" si="37"/>
        <v>#DIV/0!</v>
      </c>
      <c r="F556" s="1427"/>
      <c r="G556" s="1428" t="e">
        <f t="shared" si="38"/>
        <v>#DIV/0!</v>
      </c>
      <c r="H556" s="1426">
        <v>40720</v>
      </c>
      <c r="M556" s="1432" t="e">
        <f t="shared" si="39"/>
        <v>#DIV/0!</v>
      </c>
      <c r="N556" s="1411">
        <f t="shared" si="40"/>
        <v>0</v>
      </c>
    </row>
    <row r="557" spans="2:20">
      <c r="B557" s="1426">
        <v>40713</v>
      </c>
      <c r="C557" s="1425"/>
      <c r="D557" s="1428" t="e">
        <f t="shared" si="37"/>
        <v>#DIV/0!</v>
      </c>
      <c r="F557" s="1427"/>
      <c r="G557" s="1428" t="e">
        <f t="shared" si="38"/>
        <v>#DIV/0!</v>
      </c>
      <c r="H557" s="1426">
        <v>40713</v>
      </c>
      <c r="M557" s="1432" t="e">
        <f t="shared" si="39"/>
        <v>#DIV/0!</v>
      </c>
      <c r="N557" s="1411">
        <f t="shared" si="40"/>
        <v>0</v>
      </c>
    </row>
    <row r="558" spans="2:20">
      <c r="B558" s="1426">
        <v>40706</v>
      </c>
      <c r="C558" s="1425"/>
      <c r="D558" s="1428" t="e">
        <f t="shared" si="37"/>
        <v>#DIV/0!</v>
      </c>
      <c r="F558" s="1427"/>
      <c r="G558" s="1428" t="e">
        <f t="shared" si="38"/>
        <v>#DIV/0!</v>
      </c>
      <c r="H558" s="1426">
        <v>40706</v>
      </c>
      <c r="M558" s="1432" t="e">
        <f t="shared" si="39"/>
        <v>#DIV/0!</v>
      </c>
      <c r="N558" s="1411">
        <f t="shared" si="40"/>
        <v>0</v>
      </c>
    </row>
    <row r="559" spans="2:20">
      <c r="B559" s="1426">
        <v>40699</v>
      </c>
      <c r="C559" s="1425"/>
      <c r="D559" s="1428" t="e">
        <f t="shared" si="37"/>
        <v>#DIV/0!</v>
      </c>
      <c r="F559" s="1427"/>
      <c r="G559" s="1428" t="e">
        <f t="shared" si="38"/>
        <v>#DIV/0!</v>
      </c>
      <c r="H559" s="1426">
        <v>40699</v>
      </c>
      <c r="M559" s="1432" t="e">
        <f t="shared" si="39"/>
        <v>#DIV/0!</v>
      </c>
      <c r="N559" s="1411">
        <f t="shared" si="40"/>
        <v>0</v>
      </c>
    </row>
    <row r="560" spans="2:20">
      <c r="B560" s="1426">
        <v>40692</v>
      </c>
      <c r="C560" s="1425"/>
      <c r="D560" s="1428" t="e">
        <f t="shared" si="37"/>
        <v>#DIV/0!</v>
      </c>
      <c r="F560" s="1427"/>
      <c r="G560" s="1428" t="e">
        <f t="shared" si="38"/>
        <v>#DIV/0!</v>
      </c>
      <c r="H560" s="1426">
        <v>40692</v>
      </c>
      <c r="M560" s="1432" t="e">
        <f t="shared" si="39"/>
        <v>#DIV/0!</v>
      </c>
      <c r="N560" s="1411">
        <f t="shared" si="40"/>
        <v>0</v>
      </c>
    </row>
    <row r="561" spans="2:14">
      <c r="B561" s="1426">
        <v>40685</v>
      </c>
      <c r="C561" s="1425"/>
      <c r="D561" s="1428" t="e">
        <f t="shared" si="37"/>
        <v>#DIV/0!</v>
      </c>
      <c r="E561" s="1411"/>
      <c r="F561" s="1427"/>
      <c r="G561" s="1428" t="e">
        <f t="shared" si="38"/>
        <v>#DIV/0!</v>
      </c>
      <c r="H561" s="1426">
        <v>40685</v>
      </c>
      <c r="M561" s="1432" t="e">
        <f t="shared" si="39"/>
        <v>#DIV/0!</v>
      </c>
      <c r="N561" s="1411">
        <f t="shared" si="40"/>
        <v>0</v>
      </c>
    </row>
    <row r="562" spans="2:14">
      <c r="B562" s="1426">
        <v>40678</v>
      </c>
      <c r="C562" s="1425"/>
      <c r="D562" s="1428" t="e">
        <f t="shared" si="37"/>
        <v>#DIV/0!</v>
      </c>
      <c r="E562" s="1411"/>
      <c r="F562" s="1427"/>
      <c r="G562" s="1428" t="e">
        <f t="shared" si="38"/>
        <v>#DIV/0!</v>
      </c>
      <c r="H562" s="1426">
        <v>40678</v>
      </c>
      <c r="M562" s="1432" t="e">
        <f t="shared" si="39"/>
        <v>#DIV/0!</v>
      </c>
      <c r="N562" s="1411">
        <f t="shared" si="40"/>
        <v>0</v>
      </c>
    </row>
    <row r="563" spans="2:14">
      <c r="B563" s="1426">
        <v>40671</v>
      </c>
      <c r="C563" s="1425"/>
      <c r="D563" s="1428" t="e">
        <f t="shared" si="37"/>
        <v>#DIV/0!</v>
      </c>
      <c r="E563" s="1411"/>
      <c r="F563" s="1427"/>
      <c r="G563" s="1428" t="e">
        <f t="shared" si="38"/>
        <v>#DIV/0!</v>
      </c>
      <c r="H563" s="1426">
        <v>40671</v>
      </c>
      <c r="M563" s="1432" t="e">
        <f t="shared" si="39"/>
        <v>#DIV/0!</v>
      </c>
      <c r="N563" s="1411">
        <f t="shared" si="40"/>
        <v>0</v>
      </c>
    </row>
    <row r="564" spans="2:14">
      <c r="B564" s="1426">
        <v>40664</v>
      </c>
      <c r="C564" s="1425"/>
      <c r="D564" s="1428" t="e">
        <f t="shared" si="37"/>
        <v>#DIV/0!</v>
      </c>
      <c r="E564" s="1411"/>
      <c r="F564" s="1427"/>
      <c r="G564" s="1428" t="e">
        <f t="shared" si="38"/>
        <v>#DIV/0!</v>
      </c>
      <c r="H564" s="1426">
        <v>40664</v>
      </c>
      <c r="M564" s="1432" t="e">
        <f t="shared" si="39"/>
        <v>#DIV/0!</v>
      </c>
      <c r="N564" s="1411">
        <f t="shared" si="40"/>
        <v>0</v>
      </c>
    </row>
    <row r="565" spans="2:14">
      <c r="B565" s="1426">
        <v>40657</v>
      </c>
      <c r="C565" s="1425"/>
      <c r="D565" s="1428" t="e">
        <f t="shared" si="37"/>
        <v>#DIV/0!</v>
      </c>
      <c r="E565" s="1411"/>
      <c r="F565" s="1427"/>
      <c r="G565" s="1428" t="e">
        <f t="shared" si="38"/>
        <v>#DIV/0!</v>
      </c>
      <c r="H565" s="1426">
        <v>40657</v>
      </c>
      <c r="M565" s="1432" t="e">
        <f t="shared" si="39"/>
        <v>#DIV/0!</v>
      </c>
      <c r="N565" s="1411">
        <f t="shared" si="40"/>
        <v>0</v>
      </c>
    </row>
    <row r="566" spans="2:14">
      <c r="B566" s="1426">
        <v>40650</v>
      </c>
      <c r="C566" s="1425"/>
      <c r="D566" s="1428" t="e">
        <f t="shared" si="37"/>
        <v>#DIV/0!</v>
      </c>
      <c r="F566" s="1427"/>
      <c r="G566" s="1428" t="e">
        <f t="shared" si="38"/>
        <v>#DIV/0!</v>
      </c>
      <c r="H566" s="1426">
        <v>40650</v>
      </c>
      <c r="M566" s="1432" t="e">
        <f t="shared" si="39"/>
        <v>#DIV/0!</v>
      </c>
      <c r="N566" s="1411">
        <f t="shared" si="40"/>
        <v>0</v>
      </c>
    </row>
    <row r="567" spans="2:14">
      <c r="B567" s="1426">
        <v>40643</v>
      </c>
      <c r="C567" s="1425"/>
      <c r="D567" s="1428" t="e">
        <f t="shared" si="37"/>
        <v>#DIV/0!</v>
      </c>
      <c r="F567" s="1427"/>
      <c r="G567" s="1428" t="e">
        <f t="shared" si="38"/>
        <v>#DIV/0!</v>
      </c>
      <c r="H567" s="1426">
        <v>40643</v>
      </c>
      <c r="M567" s="1432" t="e">
        <f t="shared" si="39"/>
        <v>#DIV/0!</v>
      </c>
      <c r="N567" s="1411">
        <f t="shared" si="40"/>
        <v>0</v>
      </c>
    </row>
    <row r="568" spans="2:14">
      <c r="B568" s="1426">
        <v>40636</v>
      </c>
      <c r="C568" s="1425"/>
      <c r="D568" s="1428" t="e">
        <f t="shared" si="37"/>
        <v>#DIV/0!</v>
      </c>
      <c r="F568" s="1427"/>
      <c r="G568" s="1428" t="e">
        <f t="shared" si="38"/>
        <v>#DIV/0!</v>
      </c>
      <c r="H568" s="1426">
        <v>40636</v>
      </c>
      <c r="M568" s="1432" t="e">
        <f t="shared" si="39"/>
        <v>#DIV/0!</v>
      </c>
      <c r="N568" s="1411">
        <f t="shared" si="40"/>
        <v>0</v>
      </c>
    </row>
    <row r="569" spans="2:14">
      <c r="B569" s="1426">
        <v>40629</v>
      </c>
      <c r="C569" s="1425"/>
      <c r="D569" s="1428" t="e">
        <f t="shared" si="37"/>
        <v>#DIV/0!</v>
      </c>
      <c r="F569" s="1427"/>
      <c r="G569" s="1428" t="e">
        <f t="shared" si="38"/>
        <v>#DIV/0!</v>
      </c>
      <c r="H569" s="1426">
        <v>40629</v>
      </c>
      <c r="M569" s="1432" t="e">
        <f t="shared" si="39"/>
        <v>#DIV/0!</v>
      </c>
      <c r="N569" s="1411">
        <f t="shared" si="40"/>
        <v>0</v>
      </c>
    </row>
    <row r="570" spans="2:14">
      <c r="B570" s="1426">
        <v>40622</v>
      </c>
      <c r="C570" s="1425"/>
      <c r="D570" s="1428" t="e">
        <f t="shared" si="37"/>
        <v>#DIV/0!</v>
      </c>
      <c r="F570" s="1427"/>
      <c r="G570" s="1428" t="e">
        <f t="shared" si="38"/>
        <v>#DIV/0!</v>
      </c>
      <c r="H570" s="1426">
        <v>40622</v>
      </c>
      <c r="M570" s="1432" t="e">
        <f t="shared" si="39"/>
        <v>#DIV/0!</v>
      </c>
      <c r="N570" s="1411">
        <f t="shared" si="40"/>
        <v>0</v>
      </c>
    </row>
    <row r="571" spans="2:14">
      <c r="B571" s="1426">
        <v>40615</v>
      </c>
      <c r="C571" s="1425"/>
      <c r="D571" s="1428" t="e">
        <f t="shared" si="37"/>
        <v>#DIV/0!</v>
      </c>
      <c r="F571" s="1427"/>
      <c r="G571" s="1428" t="e">
        <f t="shared" si="38"/>
        <v>#DIV/0!</v>
      </c>
      <c r="H571" s="1426">
        <v>40615</v>
      </c>
      <c r="M571" s="1432" t="e">
        <f t="shared" si="39"/>
        <v>#DIV/0!</v>
      </c>
      <c r="N571" s="1411">
        <f t="shared" si="40"/>
        <v>0</v>
      </c>
    </row>
    <row r="572" spans="2:14">
      <c r="B572" s="1426">
        <v>40608</v>
      </c>
      <c r="C572" s="1425"/>
      <c r="D572" s="1428" t="e">
        <f t="shared" si="37"/>
        <v>#DIV/0!</v>
      </c>
      <c r="F572" s="1427"/>
      <c r="G572" s="1428" t="e">
        <f t="shared" si="38"/>
        <v>#DIV/0!</v>
      </c>
      <c r="H572" s="1426">
        <v>40608</v>
      </c>
      <c r="M572" s="1432" t="e">
        <f t="shared" si="39"/>
        <v>#DIV/0!</v>
      </c>
      <c r="N572" s="1411">
        <f t="shared" si="40"/>
        <v>0</v>
      </c>
    </row>
    <row r="573" spans="2:14">
      <c r="B573" s="1426">
        <v>40601</v>
      </c>
      <c r="C573" s="1425"/>
      <c r="D573" s="1428" t="e">
        <f t="shared" si="37"/>
        <v>#DIV/0!</v>
      </c>
      <c r="F573" s="1427"/>
      <c r="G573" s="1428" t="e">
        <f t="shared" si="38"/>
        <v>#DIV/0!</v>
      </c>
      <c r="H573" s="1426">
        <v>40601</v>
      </c>
      <c r="M573" s="1432" t="e">
        <f t="shared" si="39"/>
        <v>#DIV/0!</v>
      </c>
      <c r="N573" s="1411">
        <f t="shared" si="40"/>
        <v>0</v>
      </c>
    </row>
    <row r="574" spans="2:14">
      <c r="B574" s="1426">
        <v>40594</v>
      </c>
      <c r="C574" s="1425"/>
      <c r="D574" s="1428" t="e">
        <f t="shared" si="37"/>
        <v>#DIV/0!</v>
      </c>
      <c r="F574" s="1427"/>
      <c r="G574" s="1428" t="e">
        <f t="shared" si="38"/>
        <v>#DIV/0!</v>
      </c>
      <c r="H574" s="1426">
        <v>40594</v>
      </c>
      <c r="M574" s="1432" t="e">
        <f t="shared" si="39"/>
        <v>#DIV/0!</v>
      </c>
      <c r="N574" s="1411">
        <f t="shared" si="40"/>
        <v>0</v>
      </c>
    </row>
    <row r="575" spans="2:14">
      <c r="B575" s="1426">
        <v>40587</v>
      </c>
      <c r="C575" s="1425"/>
      <c r="D575" s="1428" t="e">
        <f t="shared" si="37"/>
        <v>#DIV/0!</v>
      </c>
      <c r="F575" s="1427"/>
      <c r="G575" s="1428" t="e">
        <f t="shared" si="38"/>
        <v>#DIV/0!</v>
      </c>
      <c r="H575" s="1426">
        <v>40587</v>
      </c>
      <c r="M575" s="1432" t="e">
        <f t="shared" si="39"/>
        <v>#DIV/0!</v>
      </c>
      <c r="N575" s="1411">
        <f t="shared" si="40"/>
        <v>0</v>
      </c>
    </row>
    <row r="576" spans="2:14">
      <c r="B576" s="1426">
        <v>40580</v>
      </c>
      <c r="C576" s="1425"/>
      <c r="D576" s="1428" t="e">
        <f t="shared" si="37"/>
        <v>#DIV/0!</v>
      </c>
      <c r="F576" s="1427"/>
      <c r="G576" s="1428" t="e">
        <f t="shared" si="38"/>
        <v>#DIV/0!</v>
      </c>
      <c r="H576" s="1426">
        <v>40580</v>
      </c>
      <c r="M576" s="1432" t="e">
        <f t="shared" si="39"/>
        <v>#DIV/0!</v>
      </c>
      <c r="N576" s="1411">
        <f t="shared" si="40"/>
        <v>0</v>
      </c>
    </row>
    <row r="577" spans="2:14">
      <c r="B577" s="1426">
        <v>40566</v>
      </c>
      <c r="C577" s="1425"/>
      <c r="D577" s="1428" t="e">
        <f t="shared" si="37"/>
        <v>#DIV/0!</v>
      </c>
      <c r="F577" s="1427"/>
      <c r="G577" s="1428" t="e">
        <f t="shared" si="38"/>
        <v>#DIV/0!</v>
      </c>
      <c r="H577" s="1426">
        <v>40566</v>
      </c>
      <c r="M577" s="1432" t="e">
        <f t="shared" si="39"/>
        <v>#DIV/0!</v>
      </c>
      <c r="N577" s="1411">
        <f t="shared" si="40"/>
        <v>0</v>
      </c>
    </row>
    <row r="578" spans="2:14">
      <c r="B578" s="1426">
        <v>40559</v>
      </c>
      <c r="C578" s="1425"/>
      <c r="D578" s="1428"/>
      <c r="F578" s="1427"/>
      <c r="H578" s="1426">
        <v>40559</v>
      </c>
      <c r="N578" s="1411">
        <f t="shared" si="40"/>
        <v>0</v>
      </c>
    </row>
  </sheetData>
  <mergeCells count="6">
    <mergeCell ref="C4:D4"/>
    <mergeCell ref="F4:G4"/>
    <mergeCell ref="J4:K4"/>
    <mergeCell ref="P28:R28"/>
    <mergeCell ref="S28:T28"/>
    <mergeCell ref="T22:W2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D95E4-A9B1-44EE-A63D-44D705C1B23D}">
  <dimension ref="B1:AC44"/>
  <sheetViews>
    <sheetView topLeftCell="A3" zoomScale="76" zoomScaleNormal="76" workbookViewId="0">
      <selection activeCell="N15" sqref="N15"/>
    </sheetView>
  </sheetViews>
  <sheetFormatPr defaultColWidth="9.109375" defaultRowHeight="13.2"/>
  <cols>
    <col min="1" max="1" width="9.109375" style="684"/>
    <col min="2" max="2" width="11.33203125" style="684" customWidth="1"/>
    <col min="3" max="3" width="34.6640625" style="684" bestFit="1" customWidth="1"/>
    <col min="4" max="4" width="15.109375" style="684" customWidth="1"/>
    <col min="5" max="5" width="11.5546875" style="684" bestFit="1" customWidth="1"/>
    <col min="6" max="6" width="5.6640625" style="684" customWidth="1"/>
    <col min="7" max="7" width="11" style="684" customWidth="1"/>
    <col min="8" max="11" width="9.109375" style="684"/>
    <col min="12" max="12" width="29.6640625" style="684" customWidth="1"/>
    <col min="13" max="13" width="23.6640625" style="684" customWidth="1"/>
    <col min="14" max="14" width="12.5546875" style="684" bestFit="1" customWidth="1"/>
    <col min="15" max="15" width="15.33203125" style="684" customWidth="1"/>
    <col min="16" max="18" width="9.109375" style="684"/>
    <col min="19" max="19" width="28.5546875" style="684" bestFit="1" customWidth="1"/>
    <col min="20" max="20" width="15.44140625" style="684" customWidth="1"/>
    <col min="21" max="21" width="9.109375" style="684"/>
    <col min="22" max="22" width="28.88671875" style="684" bestFit="1" customWidth="1"/>
    <col min="23" max="31" width="9.109375" style="684"/>
    <col min="32" max="32" width="14" style="684" customWidth="1"/>
    <col min="33" max="33" width="12.44140625" style="684" customWidth="1"/>
    <col min="34" max="16384" width="9.109375" style="684"/>
  </cols>
  <sheetData>
    <row r="1" spans="2:29" s="476" customFormat="1"/>
    <row r="2" spans="2:29" s="476" customFormat="1">
      <c r="B2" s="2752" t="s">
        <v>1004</v>
      </c>
      <c r="C2" s="2752"/>
      <c r="D2" s="2752"/>
      <c r="E2" s="2752"/>
      <c r="K2" s="2752" t="s">
        <v>1005</v>
      </c>
      <c r="L2" s="2752"/>
      <c r="M2" s="2752"/>
      <c r="N2" s="2752"/>
      <c r="O2" s="2752"/>
      <c r="P2" s="2752"/>
    </row>
    <row r="3" spans="2:29" s="476" customFormat="1">
      <c r="C3" s="520"/>
    </row>
    <row r="4" spans="2:29" s="476" customFormat="1">
      <c r="B4" s="1649"/>
      <c r="C4" s="1650"/>
      <c r="D4" s="1650"/>
      <c r="E4" s="1651"/>
      <c r="K4" s="1649"/>
      <c r="L4" s="1650"/>
      <c r="M4" s="1650"/>
      <c r="N4" s="1650"/>
      <c r="O4" s="1650"/>
      <c r="P4" s="1651"/>
    </row>
    <row r="5" spans="2:29" s="633" customFormat="1">
      <c r="B5" s="1652"/>
      <c r="C5" s="2741" t="s">
        <v>1006</v>
      </c>
      <c r="D5" s="2741"/>
      <c r="E5" s="1653"/>
      <c r="G5" s="2753"/>
      <c r="H5" s="2753"/>
      <c r="I5" s="1654"/>
      <c r="J5" s="1654"/>
      <c r="K5" s="1652"/>
      <c r="L5" s="2754" t="s">
        <v>1007</v>
      </c>
      <c r="M5" s="2754"/>
      <c r="N5" s="1655" t="s">
        <v>1008</v>
      </c>
      <c r="O5" s="1655" t="s">
        <v>1009</v>
      </c>
      <c r="P5" s="1653"/>
      <c r="S5" s="2749" t="s">
        <v>1006</v>
      </c>
      <c r="T5" s="2749"/>
      <c r="U5" s="2749"/>
      <c r="V5" s="2749"/>
      <c r="W5" s="2749"/>
    </row>
    <row r="6" spans="2:29" s="476" customFormat="1">
      <c r="B6" s="1656"/>
      <c r="C6" s="1657"/>
      <c r="D6" s="1657"/>
      <c r="E6" s="1658"/>
      <c r="G6" s="2753"/>
      <c r="H6" s="2753"/>
      <c r="I6" s="1654"/>
      <c r="J6" s="1654"/>
      <c r="K6" s="1656"/>
      <c r="L6" s="1519" t="s">
        <v>1010</v>
      </c>
      <c r="M6" s="1519"/>
      <c r="N6" s="1659">
        <f>$D$28</f>
        <v>2.2000000000000002E-2</v>
      </c>
      <c r="O6" s="1659">
        <f>$D$28</f>
        <v>2.2000000000000002E-2</v>
      </c>
      <c r="P6" s="1658"/>
      <c r="S6" s="2750" t="s">
        <v>1011</v>
      </c>
      <c r="T6" s="2750"/>
      <c r="U6" s="1648"/>
      <c r="V6" s="2750" t="s">
        <v>1012</v>
      </c>
      <c r="W6" s="2750"/>
    </row>
    <row r="7" spans="2:29" s="520" customFormat="1">
      <c r="B7" s="1656"/>
      <c r="C7" s="18" t="s">
        <v>1011</v>
      </c>
      <c r="D7" s="5"/>
      <c r="E7" s="8"/>
      <c r="F7" s="18"/>
      <c r="G7" s="1660"/>
      <c r="H7" s="166"/>
      <c r="I7" s="166"/>
      <c r="J7" s="166"/>
      <c r="K7" s="1661"/>
      <c r="L7" s="1513" t="s">
        <v>1013</v>
      </c>
      <c r="M7" s="1513"/>
      <c r="N7" s="1662">
        <f ca="1">DCF!D75</f>
        <v>12495.247111200419</v>
      </c>
      <c r="O7" s="1662">
        <f ca="1">DCF!D29</f>
        <v>12053.078461435689</v>
      </c>
      <c r="P7" s="1663"/>
      <c r="Q7" s="476"/>
      <c r="R7" s="476"/>
      <c r="S7" s="539" t="s">
        <v>1014</v>
      </c>
      <c r="T7" s="1664">
        <f>D9</f>
        <v>0.05</v>
      </c>
      <c r="U7" s="1665"/>
      <c r="V7" s="539" t="s">
        <v>1015</v>
      </c>
      <c r="W7" s="1666">
        <f ca="1">+D17</f>
        <v>0.10163942353641151</v>
      </c>
      <c r="AC7" s="476"/>
    </row>
    <row r="8" spans="2:29" s="476" customFormat="1">
      <c r="B8" s="1661"/>
      <c r="C8" s="5" t="s">
        <v>972</v>
      </c>
      <c r="D8" s="1667">
        <v>10</v>
      </c>
      <c r="E8" s="19"/>
      <c r="F8" s="5"/>
      <c r="G8" s="1660"/>
      <c r="H8" s="166"/>
      <c r="I8" s="166"/>
      <c r="J8" s="166"/>
      <c r="K8" s="1656"/>
      <c r="L8" s="1513" t="s">
        <v>1016</v>
      </c>
      <c r="M8" s="1513"/>
      <c r="N8" s="1662">
        <f ca="1">DCF!D76</f>
        <v>7948.3477005851282</v>
      </c>
      <c r="O8" s="1662">
        <f ca="1">DCF!D30</f>
        <v>6531.7657566576918</v>
      </c>
      <c r="P8" s="1658"/>
      <c r="Q8" s="520"/>
      <c r="R8" s="520"/>
      <c r="S8" s="539" t="s">
        <v>949</v>
      </c>
      <c r="T8" s="1668">
        <f>D10</f>
        <v>0.94412201552536512</v>
      </c>
      <c r="U8" s="1669"/>
      <c r="V8" s="674" t="s">
        <v>1017</v>
      </c>
      <c r="W8" s="1664">
        <f ca="1">+D18</f>
        <v>0.16224423724823789</v>
      </c>
      <c r="AC8" s="520"/>
    </row>
    <row r="9" spans="2:29" s="520" customFormat="1" ht="43.2" customHeight="1">
      <c r="B9" s="1656"/>
      <c r="C9" s="75" t="s">
        <v>1014</v>
      </c>
      <c r="D9" s="1688">
        <f>2.79% + 2.21%</f>
        <v>0.05</v>
      </c>
      <c r="E9" s="8"/>
      <c r="F9" s="2755"/>
      <c r="G9" s="2756"/>
      <c r="H9" s="2756"/>
      <c r="I9" s="2756"/>
      <c r="J9" s="2757"/>
      <c r="K9" s="1661"/>
      <c r="L9" s="1671" t="s">
        <v>1018</v>
      </c>
      <c r="M9" s="1671"/>
      <c r="N9" s="1672">
        <f ca="1">N8/(N7+N8)</f>
        <v>0.38879403420786729</v>
      </c>
      <c r="O9" s="1672">
        <f ca="1">O8/(O7+O8)</f>
        <v>0.3514565782746058</v>
      </c>
      <c r="P9" s="1663"/>
      <c r="S9" s="539" t="s">
        <v>1019</v>
      </c>
      <c r="T9" s="1664">
        <f>+D11</f>
        <v>0.10950000000000001</v>
      </c>
      <c r="U9" s="1665"/>
      <c r="V9" s="539"/>
      <c r="W9" s="1673"/>
      <c r="AC9" s="476"/>
    </row>
    <row r="10" spans="2:29" s="476" customFormat="1">
      <c r="B10" s="1661"/>
      <c r="C10" s="5" t="s">
        <v>949</v>
      </c>
      <c r="D10" s="2637">
        <f>'ERP-Beta'!Q25</f>
        <v>0.94412201552536512</v>
      </c>
      <c r="E10" s="1675"/>
      <c r="F10" s="2546"/>
      <c r="G10" s="2547"/>
      <c r="H10" s="2547"/>
      <c r="I10" s="2547"/>
      <c r="J10" s="2548"/>
      <c r="K10" s="1656"/>
      <c r="L10" s="1671" t="s">
        <v>1020</v>
      </c>
      <c r="M10" s="1671"/>
      <c r="N10" s="1662">
        <f>DCF!D78+DCF!D79+DCF!D80</f>
        <v>7039.0512328770001</v>
      </c>
      <c r="O10" s="1662">
        <f>N10</f>
        <v>7039.0512328770001</v>
      </c>
      <c r="P10" s="1658"/>
      <c r="S10" s="539"/>
      <c r="T10" s="1673"/>
      <c r="U10" s="1673"/>
      <c r="V10" s="539"/>
      <c r="W10" s="1673"/>
      <c r="AC10" s="520"/>
    </row>
    <row r="11" spans="2:29" s="476" customFormat="1">
      <c r="B11" s="1656"/>
      <c r="C11" s="241" t="s">
        <v>1019</v>
      </c>
      <c r="D11" s="1676">
        <f>IF(D13,D13,D12)</f>
        <v>0.10950000000000001</v>
      </c>
      <c r="E11" s="8"/>
      <c r="F11" s="2546"/>
      <c r="G11" s="2547"/>
      <c r="H11" s="2547"/>
      <c r="I11" s="2547"/>
      <c r="J11" s="2548"/>
      <c r="K11" s="1656"/>
      <c r="L11" s="1519" t="s">
        <v>1021</v>
      </c>
      <c r="M11" s="1519"/>
      <c r="N11" s="1677">
        <f ca="1">+N7+N8+N10</f>
        <v>27482.64604466255</v>
      </c>
      <c r="O11" s="1677"/>
      <c r="P11" s="1658"/>
      <c r="S11" s="539" t="s">
        <v>1022</v>
      </c>
      <c r="T11" s="1668">
        <f>+D30</f>
        <v>529.4</v>
      </c>
      <c r="U11" s="1669"/>
      <c r="V11" s="539" t="s">
        <v>1023</v>
      </c>
      <c r="W11" s="1664">
        <f>+D21</f>
        <v>0.15652879143065074</v>
      </c>
    </row>
    <row r="12" spans="2:29" s="476" customFormat="1">
      <c r="B12" s="1656"/>
      <c r="C12" s="241" t="s">
        <v>1024</v>
      </c>
      <c r="D12" s="1670">
        <f>'ERP-Beta'!L23</f>
        <v>0.109538</v>
      </c>
      <c r="E12" s="8"/>
      <c r="F12" s="5"/>
      <c r="G12" s="1660"/>
      <c r="H12" s="166"/>
      <c r="I12" s="166"/>
      <c r="J12" s="166"/>
      <c r="K12" s="1656"/>
      <c r="L12" s="1671" t="s">
        <v>1025</v>
      </c>
      <c r="M12" s="1671"/>
      <c r="N12" s="1662">
        <f>DCF!D81</f>
        <v>691.83929486800002</v>
      </c>
      <c r="O12" s="1662"/>
      <c r="P12" s="1658"/>
      <c r="S12" s="539" t="s">
        <v>1026</v>
      </c>
      <c r="T12" s="1668">
        <f>+D31</f>
        <v>529.4</v>
      </c>
      <c r="U12" s="1669"/>
      <c r="V12" s="674" t="s">
        <v>1027</v>
      </c>
      <c r="W12" s="1664">
        <f>+D28</f>
        <v>2.2000000000000002E-2</v>
      </c>
    </row>
    <row r="13" spans="2:29" s="476" customFormat="1" ht="51.6" customHeight="1">
      <c r="B13" s="1656"/>
      <c r="C13" s="532" t="s">
        <v>1028</v>
      </c>
      <c r="D13" s="1688">
        <f>7.78%+3.17%</f>
        <v>0.10950000000000001</v>
      </c>
      <c r="E13" s="8"/>
      <c r="F13" s="2755"/>
      <c r="G13" s="2756"/>
      <c r="H13" s="2756"/>
      <c r="I13" s="2756"/>
      <c r="J13" s="2757"/>
      <c r="K13" s="1656"/>
      <c r="L13" s="1678" t="s">
        <v>1029</v>
      </c>
      <c r="M13" s="1678"/>
      <c r="N13" s="1677">
        <f ca="1">N11-N12</f>
        <v>26790.806749794549</v>
      </c>
      <c r="O13" s="1677">
        <f ca="1">+O7+O8+O10</f>
        <v>25623.895450970384</v>
      </c>
      <c r="P13" s="1658"/>
      <c r="S13" s="1679"/>
      <c r="T13" s="1680"/>
      <c r="U13" s="1680"/>
      <c r="V13" s="1679"/>
      <c r="W13" s="1679"/>
    </row>
    <row r="14" spans="2:29" s="476" customFormat="1">
      <c r="B14" s="1656"/>
      <c r="C14" s="182"/>
      <c r="D14" s="182"/>
      <c r="E14" s="8"/>
      <c r="F14" s="5"/>
      <c r="G14" s="1660"/>
      <c r="H14" s="166"/>
      <c r="I14" s="166"/>
      <c r="J14" s="166"/>
      <c r="K14" s="1656"/>
      <c r="L14" s="1671" t="s">
        <v>1030</v>
      </c>
      <c r="M14" s="1671"/>
      <c r="N14" s="1662">
        <f>D31</f>
        <v>529.4</v>
      </c>
      <c r="O14" s="1662">
        <f>D31</f>
        <v>529.4</v>
      </c>
      <c r="P14" s="1658"/>
    </row>
    <row r="15" spans="2:29" s="476" customFormat="1">
      <c r="B15" s="1656"/>
      <c r="C15" s="18" t="s">
        <v>1012</v>
      </c>
      <c r="D15" s="5"/>
      <c r="E15" s="8"/>
      <c r="F15" s="5"/>
      <c r="G15" s="1660"/>
      <c r="H15" s="166"/>
      <c r="I15" s="166"/>
      <c r="J15" s="166"/>
      <c r="K15" s="1656"/>
      <c r="L15" s="2751" t="s">
        <v>1031</v>
      </c>
      <c r="M15" s="2751"/>
      <c r="N15" s="1681">
        <f ca="1">N13/N14*1000</f>
        <v>50605.981771429069</v>
      </c>
      <c r="O15" s="1681">
        <f ca="1">O13/O14*1000</f>
        <v>48401.767002210778</v>
      </c>
      <c r="P15" s="1658"/>
    </row>
    <row r="16" spans="2:29" s="476" customFormat="1">
      <c r="B16" s="1656"/>
      <c r="C16" s="5" t="s">
        <v>1032</v>
      </c>
      <c r="D16" s="1682">
        <f ca="1">DCF!W50</f>
        <v>9.2261970082856345E-2</v>
      </c>
      <c r="E16" s="8"/>
      <c r="F16" s="5"/>
      <c r="G16" s="1660"/>
      <c r="H16" s="166"/>
      <c r="I16" s="166"/>
      <c r="J16" s="166"/>
      <c r="K16" s="1656"/>
      <c r="L16" s="1683" t="s">
        <v>1033</v>
      </c>
      <c r="M16" s="1683"/>
      <c r="N16" s="1684">
        <v>37150</v>
      </c>
      <c r="O16" s="1684">
        <f>N16</f>
        <v>37150</v>
      </c>
      <c r="P16" s="1658"/>
    </row>
    <row r="17" spans="2:16" s="476" customFormat="1">
      <c r="B17" s="1656"/>
      <c r="C17" s="5" t="s">
        <v>1015</v>
      </c>
      <c r="D17" s="1685">
        <f ca="1">D16/(1-D16)</f>
        <v>0.10163942353641151</v>
      </c>
      <c r="E17" s="8"/>
      <c r="F17" s="5"/>
      <c r="G17" s="1660"/>
      <c r="H17" s="166"/>
      <c r="I17" s="166"/>
      <c r="J17" s="166"/>
      <c r="K17" s="1656"/>
      <c r="L17" s="1686" t="s">
        <v>1034</v>
      </c>
      <c r="M17" s="1686"/>
      <c r="N17" s="1687">
        <f ca="1">N15/N16-1</f>
        <v>0.36220677715825222</v>
      </c>
      <c r="O17" s="1687">
        <f ca="1">O15/O16-1</f>
        <v>0.30287394353191854</v>
      </c>
      <c r="P17" s="1658"/>
    </row>
    <row r="18" spans="2:16" s="476" customFormat="1">
      <c r="B18" s="1656"/>
      <c r="C18" s="18" t="s">
        <v>1017</v>
      </c>
      <c r="D18" s="911">
        <f ca="1">D9+D10*(1+D17*(1-D21))*D11</f>
        <v>0.16224423724823789</v>
      </c>
      <c r="E18" s="8"/>
      <c r="F18" s="5"/>
      <c r="G18" s="1660"/>
      <c r="H18" s="166"/>
      <c r="I18" s="166"/>
      <c r="J18" s="166"/>
      <c r="K18" s="1656"/>
      <c r="P18" s="1658"/>
    </row>
    <row r="19" spans="2:16" s="476" customFormat="1">
      <c r="B19" s="1656"/>
      <c r="C19" s="5" t="s">
        <v>1035</v>
      </c>
      <c r="D19" s="911">
        <v>0.15</v>
      </c>
      <c r="E19" s="8"/>
      <c r="F19" s="5"/>
      <c r="G19" s="1660"/>
      <c r="H19" s="166"/>
      <c r="I19" s="166"/>
      <c r="J19" s="166"/>
      <c r="K19" s="1656"/>
      <c r="P19" s="1658"/>
    </row>
    <row r="20" spans="2:16" s="476" customFormat="1">
      <c r="B20" s="1656"/>
      <c r="C20" s="75" t="s">
        <v>1036</v>
      </c>
      <c r="D20" s="1688">
        <f>Debt!R108</f>
        <v>7.8E-2</v>
      </c>
      <c r="E20" s="8"/>
      <c r="F20" s="5"/>
      <c r="G20" s="1689"/>
      <c r="H20" s="119"/>
      <c r="I20" s="166"/>
      <c r="J20" s="166"/>
      <c r="K20" s="1656"/>
      <c r="L20" s="1690" t="s">
        <v>1037</v>
      </c>
      <c r="M20" s="1691" t="s">
        <v>1038</v>
      </c>
      <c r="N20" s="1691" t="s">
        <v>1039</v>
      </c>
      <c r="O20" s="1692" t="s">
        <v>1040</v>
      </c>
      <c r="P20" s="1658"/>
    </row>
    <row r="21" spans="2:16" s="476" customFormat="1">
      <c r="B21" s="1656"/>
      <c r="C21" s="5" t="s">
        <v>989</v>
      </c>
      <c r="D21" s="1693">
        <f>'ERP-Beta'!Q24</f>
        <v>0.15652879143065074</v>
      </c>
      <c r="E21" s="8"/>
      <c r="F21" s="5"/>
      <c r="G21" s="1660"/>
      <c r="H21" s="166"/>
      <c r="I21" s="166"/>
      <c r="J21" s="166"/>
      <c r="K21" s="1656"/>
      <c r="L21" s="216" t="s">
        <v>1009</v>
      </c>
      <c r="M21" s="95">
        <f ca="1">O15</f>
        <v>48401.767002210778</v>
      </c>
      <c r="N21" s="1694">
        <v>0.5</v>
      </c>
      <c r="O21" s="1695">
        <f ca="1">ROUND(M21*N21,-2)</f>
        <v>24200</v>
      </c>
      <c r="P21" s="1658"/>
    </row>
    <row r="22" spans="2:16" s="476" customFormat="1">
      <c r="B22" s="1656"/>
      <c r="C22" s="5" t="s">
        <v>1041</v>
      </c>
      <c r="D22" s="229"/>
      <c r="E22" s="8"/>
      <c r="F22" s="5"/>
      <c r="G22" s="1660"/>
      <c r="H22" s="166"/>
      <c r="I22" s="166"/>
      <c r="J22" s="166"/>
      <c r="K22" s="1661"/>
      <c r="L22" s="216" t="s">
        <v>1008</v>
      </c>
      <c r="M22" s="95">
        <f ca="1">N15</f>
        <v>50605.981771429069</v>
      </c>
      <c r="N22" s="1694">
        <v>0.5</v>
      </c>
      <c r="O22" s="1695">
        <f ca="1">ROUND(M22*N22,-2)</f>
        <v>25300</v>
      </c>
      <c r="P22" s="1658"/>
    </row>
    <row r="23" spans="2:16" s="476" customFormat="1">
      <c r="B23" s="1656"/>
      <c r="C23" s="5"/>
      <c r="D23" s="5"/>
      <c r="E23" s="8"/>
      <c r="F23" s="18"/>
      <c r="G23" s="1660"/>
      <c r="H23" s="166"/>
      <c r="I23" s="166"/>
      <c r="J23" s="166"/>
      <c r="K23" s="1656"/>
      <c r="L23" s="216" t="s">
        <v>1042</v>
      </c>
      <c r="M23" s="174"/>
      <c r="N23" s="1694">
        <v>0.25</v>
      </c>
      <c r="O23" s="1695">
        <f>IFERROR(ROUND(M23*N23,-2),"")</f>
        <v>0</v>
      </c>
      <c r="P23" s="1658"/>
    </row>
    <row r="24" spans="2:16" s="476" customFormat="1">
      <c r="B24" s="1656"/>
      <c r="C24" s="18" t="s">
        <v>1043</v>
      </c>
      <c r="D24" s="911">
        <f ca="1">IF(D26,D26,D25)</f>
        <v>0.14727526428512513</v>
      </c>
      <c r="E24" s="8"/>
      <c r="F24" s="5"/>
      <c r="G24" s="1660"/>
      <c r="H24" s="166"/>
      <c r="I24" s="166"/>
      <c r="J24" s="166"/>
      <c r="K24" s="1656"/>
      <c r="L24" s="216" t="s">
        <v>1044</v>
      </c>
      <c r="M24" s="174"/>
      <c r="N24" s="1694">
        <v>0.25</v>
      </c>
      <c r="O24" s="1695">
        <f>IFERROR(ROUND(M24*N24,-2),"")</f>
        <v>0</v>
      </c>
      <c r="P24" s="1658"/>
    </row>
    <row r="25" spans="2:16" s="476" customFormat="1">
      <c r="B25" s="1656"/>
      <c r="C25" s="377" t="s">
        <v>1045</v>
      </c>
      <c r="D25" s="373">
        <f ca="1">(1-D16)*D18+D16*D22</f>
        <v>0.14727526428512513</v>
      </c>
      <c r="E25" s="8"/>
      <c r="F25" s="5"/>
      <c r="G25" s="5"/>
      <c r="H25" s="5"/>
      <c r="I25" s="5"/>
      <c r="J25" s="5"/>
      <c r="K25" s="1656"/>
      <c r="L25" s="1696" t="s">
        <v>1046</v>
      </c>
      <c r="M25" s="1696"/>
      <c r="N25" s="1696"/>
      <c r="O25" s="1697">
        <f ca="1">SUM(O21:O24)</f>
        <v>49500</v>
      </c>
      <c r="P25" s="1658"/>
    </row>
    <row r="26" spans="2:16" s="476" customFormat="1">
      <c r="B26" s="1656"/>
      <c r="C26" s="377" t="s">
        <v>1047</v>
      </c>
      <c r="D26" s="1670"/>
      <c r="E26" s="8"/>
      <c r="F26" s="5"/>
      <c r="G26" s="5"/>
      <c r="H26" s="5"/>
      <c r="I26" s="5"/>
      <c r="J26" s="5"/>
      <c r="K26" s="1656"/>
      <c r="P26" s="1658"/>
    </row>
    <row r="27" spans="2:16" s="476" customFormat="1">
      <c r="B27" s="1656"/>
      <c r="C27" s="5"/>
      <c r="D27" s="5"/>
      <c r="E27" s="8"/>
      <c r="F27" s="5"/>
      <c r="G27" s="5"/>
      <c r="H27" s="5"/>
      <c r="I27" s="5"/>
      <c r="J27" s="5"/>
      <c r="K27" s="1656"/>
      <c r="P27" s="1658"/>
    </row>
    <row r="28" spans="2:16" s="476" customFormat="1">
      <c r="B28" s="1656"/>
      <c r="C28" s="18" t="s">
        <v>1027</v>
      </c>
      <c r="D28" s="1693">
        <f>AVERAGE((10/5), (12/5))/100</f>
        <v>2.2000000000000002E-2</v>
      </c>
      <c r="E28" s="1817"/>
      <c r="F28" s="1818" t="s">
        <v>1484</v>
      </c>
      <c r="G28" s="5"/>
      <c r="H28" s="5"/>
      <c r="I28" s="5"/>
      <c r="J28" s="5"/>
      <c r="K28" s="1656"/>
      <c r="L28" s="848" t="s">
        <v>1048</v>
      </c>
      <c r="M28" s="1698"/>
      <c r="N28" s="1698"/>
      <c r="O28" s="1699"/>
      <c r="P28" s="1658"/>
    </row>
    <row r="29" spans="2:16" s="476" customFormat="1">
      <c r="B29" s="1656"/>
      <c r="C29" s="18"/>
      <c r="D29" s="5"/>
      <c r="E29" s="8"/>
      <c r="F29" s="5"/>
      <c r="G29" s="5"/>
      <c r="H29" s="5"/>
      <c r="I29" s="5"/>
      <c r="J29" s="5"/>
      <c r="K29" s="1656"/>
      <c r="L29" s="5" t="s">
        <v>1049</v>
      </c>
      <c r="M29" s="5"/>
      <c r="N29" s="5"/>
      <c r="O29" s="95">
        <f>N16</f>
        <v>37150</v>
      </c>
      <c r="P29" s="1658"/>
    </row>
    <row r="30" spans="2:16" s="476" customFormat="1">
      <c r="B30" s="1656"/>
      <c r="C30" s="5" t="s">
        <v>1022</v>
      </c>
      <c r="D30" s="1674">
        <f>'Welfare &amp; Dividends'!N27/10^6</f>
        <v>529.4</v>
      </c>
      <c r="E30" s="8"/>
      <c r="F30" s="5"/>
      <c r="G30" s="5"/>
      <c r="H30" s="5"/>
      <c r="I30" s="5"/>
      <c r="J30" s="5"/>
      <c r="K30" s="1656"/>
      <c r="L30" s="5" t="s">
        <v>1046</v>
      </c>
      <c r="M30" s="5"/>
      <c r="N30" s="5"/>
      <c r="O30" s="95">
        <f ca="1">O25</f>
        <v>49500</v>
      </c>
      <c r="P30" s="1658"/>
    </row>
    <row r="31" spans="2:16" s="476" customFormat="1">
      <c r="B31" s="1656"/>
      <c r="C31" s="5" t="s">
        <v>1026</v>
      </c>
      <c r="D31" s="1674">
        <f>'Welfare &amp; Dividends'!N27/10^6</f>
        <v>529.4</v>
      </c>
      <c r="E31" s="8"/>
      <c r="F31" s="5"/>
      <c r="G31" s="5"/>
      <c r="H31" s="5"/>
      <c r="I31" s="5"/>
      <c r="J31" s="5"/>
      <c r="K31" s="1656"/>
      <c r="L31" s="5" t="s">
        <v>1050</v>
      </c>
      <c r="M31" s="5"/>
      <c r="N31" s="5"/>
      <c r="O31" s="166">
        <f ca="1">O30/O29-1</f>
        <v>0.33243606998654096</v>
      </c>
      <c r="P31" s="1658"/>
    </row>
    <row r="32" spans="2:16" s="476" customFormat="1">
      <c r="B32" s="1700"/>
      <c r="C32" s="1701"/>
      <c r="D32" s="1701"/>
      <c r="E32" s="1702"/>
      <c r="F32" s="5"/>
      <c r="G32" s="5"/>
      <c r="H32" s="5"/>
      <c r="I32" s="5"/>
      <c r="J32" s="5"/>
      <c r="K32" s="1656"/>
      <c r="L32" s="5" t="s">
        <v>1051</v>
      </c>
      <c r="M32" s="5"/>
      <c r="N32" s="5"/>
      <c r="O32" s="166">
        <v>0</v>
      </c>
      <c r="P32" s="1658"/>
    </row>
    <row r="33" spans="2:16" s="476" customFormat="1">
      <c r="C33" s="5"/>
      <c r="D33" s="5"/>
      <c r="E33" s="5"/>
      <c r="F33" s="5"/>
      <c r="G33" s="5"/>
      <c r="H33" s="5"/>
      <c r="I33" s="5"/>
      <c r="J33" s="5"/>
      <c r="K33" s="1656"/>
      <c r="L33" s="1696" t="s">
        <v>1052</v>
      </c>
      <c r="M33" s="1703"/>
      <c r="N33" s="1703"/>
      <c r="O33" s="1704">
        <f ca="1">O31+O32</f>
        <v>0.33243606998654096</v>
      </c>
      <c r="P33" s="1658"/>
    </row>
    <row r="34" spans="2:16" s="476" customFormat="1" ht="14.4">
      <c r="B34" s="1816"/>
      <c r="C34" s="5"/>
      <c r="D34" s="5"/>
      <c r="E34" s="5"/>
      <c r="F34" s="5"/>
      <c r="G34" s="5"/>
      <c r="H34" s="5"/>
      <c r="I34" s="5"/>
      <c r="J34" s="5"/>
      <c r="K34" s="1700"/>
      <c r="L34" s="1705"/>
      <c r="M34" s="1705"/>
      <c r="N34" s="1705"/>
      <c r="O34" s="1705"/>
      <c r="P34" s="1706"/>
    </row>
    <row r="35" spans="2:16" s="476" customFormat="1">
      <c r="B35" s="520"/>
    </row>
    <row r="36" spans="2:16" s="476" customFormat="1">
      <c r="B36" s="476" t="s">
        <v>1483</v>
      </c>
      <c r="F36" s="633"/>
    </row>
    <row r="37" spans="2:16" s="476" customFormat="1" ht="14.4">
      <c r="B37" s="1816" t="s">
        <v>1482</v>
      </c>
    </row>
    <row r="38" spans="2:16" s="476" customFormat="1"/>
    <row r="39" spans="2:16" s="476" customFormat="1"/>
    <row r="40" spans="2:16" s="476" customFormat="1"/>
    <row r="41" spans="2:16" s="476" customFormat="1">
      <c r="F41" s="520"/>
    </row>
    <row r="42" spans="2:16" s="476" customFormat="1">
      <c r="B42" s="520"/>
      <c r="C42" s="18"/>
      <c r="D42" s="18"/>
      <c r="E42" s="20"/>
      <c r="F42" s="5"/>
      <c r="G42" s="5"/>
      <c r="H42" s="5"/>
      <c r="I42" s="5"/>
      <c r="J42" s="5"/>
      <c r="K42" s="684"/>
      <c r="L42" s="684"/>
      <c r="M42" s="684"/>
      <c r="N42" s="684"/>
      <c r="O42" s="684"/>
      <c r="P42" s="684"/>
    </row>
    <row r="43" spans="2:16">
      <c r="E43" s="1707"/>
    </row>
    <row r="44" spans="2:16">
      <c r="B44" s="1708"/>
    </row>
  </sheetData>
  <mergeCells count="11">
    <mergeCell ref="S5:W5"/>
    <mergeCell ref="S6:T6"/>
    <mergeCell ref="V6:W6"/>
    <mergeCell ref="L15:M15"/>
    <mergeCell ref="B2:E2"/>
    <mergeCell ref="K2:P2"/>
    <mergeCell ref="C5:D5"/>
    <mergeCell ref="G5:H6"/>
    <mergeCell ref="L5:M5"/>
    <mergeCell ref="F9:J9"/>
    <mergeCell ref="F13:J13"/>
  </mergeCells>
  <dataValidations disablePrompts="1" count="1">
    <dataValidation type="list" allowBlank="1" showInputMessage="1" showErrorMessage="1" sqref="F23 K22" xr:uid="{22590F95-2056-4B08-81EF-482D73E932CE}">
      <formula1>$C$25:$C$26</formula1>
    </dataValidation>
  </dataValidations>
  <hyperlinks>
    <hyperlink ref="B37" r:id="rId1" xr:uid="{203E5A50-3E40-4107-90CC-B9C41076C3D6}"/>
  </hyperlinks>
  <pageMargins left="0.7" right="0.7" top="0.75" bottom="0.75" header="0.3" footer="0.3"/>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FB901-3BC9-439E-956F-A324423D5648}">
  <dimension ref="B1:BK130295"/>
  <sheetViews>
    <sheetView zoomScale="70" zoomScaleNormal="70" workbookViewId="0">
      <pane ySplit="1" topLeftCell="A2" activePane="bottomLeft" state="frozen"/>
      <selection pane="bottomLeft" activeCell="Z15" sqref="Z15"/>
    </sheetView>
  </sheetViews>
  <sheetFormatPr defaultColWidth="9.109375" defaultRowHeight="13.2"/>
  <cols>
    <col min="1" max="1" width="3.6640625" style="1489" customWidth="1"/>
    <col min="2" max="2" width="7.109375" style="1489" customWidth="1"/>
    <col min="3" max="3" width="50.88671875" style="1489" bestFit="1" customWidth="1"/>
    <col min="4" max="4" width="19.33203125" style="1489" bestFit="1" customWidth="1"/>
    <col min="5" max="10" width="7.6640625" style="1490" customWidth="1"/>
    <col min="11" max="11" width="10.21875" style="1490" customWidth="1"/>
    <col min="12" max="12" width="7.6640625" style="1490" customWidth="1"/>
    <col min="13" max="13" width="7.6640625" style="1492" customWidth="1"/>
    <col min="14" max="14" width="9.88671875" style="1490" bestFit="1" customWidth="1"/>
    <col min="15" max="15" width="7.6640625" style="1490" customWidth="1"/>
    <col min="16" max="16" width="10.33203125" style="1490" customWidth="1"/>
    <col min="17" max="17" width="9.109375" style="1490" bestFit="1"/>
    <col min="18" max="18" width="9" style="1490" customWidth="1"/>
    <col min="19" max="22" width="9.109375" style="1490"/>
    <col min="23" max="23" width="12.109375" style="1490" customWidth="1"/>
    <col min="24" max="52" width="11.5546875" style="1490" customWidth="1"/>
    <col min="53" max="53" width="14.6640625" style="1490" customWidth="1"/>
    <col min="54" max="54" width="9.109375" style="1490"/>
    <col min="55" max="55" width="6.88671875" style="1490" customWidth="1"/>
    <col min="56" max="58" width="9.109375" style="1490"/>
    <col min="59" max="59" width="12.88671875" style="1490" customWidth="1"/>
    <col min="60" max="60" width="12.88671875" style="1489" customWidth="1"/>
    <col min="61" max="16384" width="9.109375" style="1489"/>
  </cols>
  <sheetData>
    <row r="1" spans="2:61">
      <c r="G1" s="1709">
        <f>G9</f>
        <v>43465</v>
      </c>
      <c r="H1" s="1709">
        <f t="shared" ref="H1:W1" si="0">H9</f>
        <v>43830</v>
      </c>
      <c r="I1" s="1709">
        <f t="shared" si="0"/>
        <v>44196</v>
      </c>
      <c r="J1" s="1709">
        <f t="shared" si="0"/>
        <v>44561</v>
      </c>
      <c r="K1" s="1709">
        <f t="shared" si="0"/>
        <v>44926</v>
      </c>
      <c r="L1" s="1709">
        <f t="shared" si="0"/>
        <v>45291</v>
      </c>
      <c r="M1" s="1709">
        <f t="shared" si="0"/>
        <v>45657</v>
      </c>
      <c r="N1" s="1709">
        <f t="shared" si="0"/>
        <v>46022</v>
      </c>
      <c r="O1" s="1709">
        <f t="shared" si="0"/>
        <v>46387</v>
      </c>
      <c r="P1" s="1709">
        <f t="shared" si="0"/>
        <v>46752</v>
      </c>
      <c r="Q1" s="1709">
        <f t="shared" si="0"/>
        <v>47118</v>
      </c>
      <c r="R1" s="1709">
        <f t="shared" si="0"/>
        <v>47483</v>
      </c>
      <c r="S1" s="1709">
        <f t="shared" si="0"/>
        <v>47848</v>
      </c>
      <c r="T1" s="1709">
        <f t="shared" si="0"/>
        <v>48213</v>
      </c>
      <c r="U1" s="1709">
        <f t="shared" si="0"/>
        <v>48579</v>
      </c>
      <c r="V1" s="1709">
        <f t="shared" si="0"/>
        <v>48944</v>
      </c>
      <c r="W1" s="1709">
        <f t="shared" si="0"/>
        <v>49309</v>
      </c>
    </row>
    <row r="2" spans="2:61">
      <c r="B2" s="1488" t="s">
        <v>956</v>
      </c>
      <c r="L2" s="1491"/>
    </row>
    <row r="3" spans="2:61">
      <c r="B3" s="1488"/>
      <c r="L3" s="1491"/>
    </row>
    <row r="4" spans="2:61">
      <c r="C4" s="1493" t="s">
        <v>957</v>
      </c>
      <c r="D4" s="1494">
        <f ca="1">TODAY()</f>
        <v>45931</v>
      </c>
      <c r="E4" s="1495"/>
      <c r="F4" s="1495"/>
      <c r="G4" s="1495"/>
      <c r="H4" s="1495"/>
      <c r="I4" s="1495"/>
      <c r="J4" s="1495"/>
      <c r="K4" s="1495"/>
      <c r="L4" s="1495"/>
      <c r="M4" s="1496"/>
      <c r="N4" s="1495"/>
      <c r="O4" s="1495"/>
      <c r="P4" s="1495"/>
      <c r="Q4" s="1495"/>
      <c r="R4" s="1495"/>
      <c r="S4" s="1495"/>
      <c r="T4" s="1495"/>
      <c r="U4" s="1495"/>
      <c r="V4" s="1495"/>
      <c r="W4" s="1495"/>
      <c r="X4" s="1495"/>
      <c r="Y4" s="1495"/>
      <c r="Z4" s="1495"/>
      <c r="AA4" s="1495"/>
      <c r="AB4" s="1495"/>
      <c r="AC4" s="1495"/>
      <c r="AD4" s="1495"/>
      <c r="AE4" s="1495"/>
      <c r="AF4" s="1495"/>
      <c r="AG4" s="1495"/>
      <c r="AH4" s="1495"/>
      <c r="AI4" s="1495"/>
      <c r="AJ4" s="1495"/>
      <c r="AK4" s="1495"/>
      <c r="AL4" s="1495"/>
      <c r="AM4" s="1495"/>
      <c r="AN4" s="1495"/>
      <c r="AO4" s="1495"/>
      <c r="AP4" s="1495"/>
      <c r="AQ4" s="1495"/>
      <c r="AR4" s="1495"/>
      <c r="AS4" s="1495"/>
      <c r="AT4" s="1495"/>
      <c r="AU4" s="1495"/>
      <c r="AV4" s="1495"/>
      <c r="AW4" s="1495"/>
      <c r="AX4" s="1495"/>
      <c r="AY4" s="1495"/>
      <c r="AZ4" s="1495"/>
      <c r="BA4" s="1495"/>
      <c r="BB4" s="1489"/>
      <c r="BC4" s="1489"/>
      <c r="BD4" s="1489"/>
      <c r="BE4" s="1489"/>
      <c r="BF4" s="1489"/>
      <c r="BG4" s="1489"/>
    </row>
    <row r="5" spans="2:61">
      <c r="C5" s="1497" t="s">
        <v>958</v>
      </c>
      <c r="D5" s="1498">
        <f ca="1">DAYS360(D4,N9)/360</f>
        <v>0.25</v>
      </c>
      <c r="E5" s="1495"/>
      <c r="F5" s="1495"/>
      <c r="G5" s="1495"/>
      <c r="H5" s="1495"/>
      <c r="I5" s="1495"/>
      <c r="J5" s="1495"/>
      <c r="K5" s="1495"/>
      <c r="L5" s="1495"/>
      <c r="M5" s="1496"/>
      <c r="N5" s="1495"/>
      <c r="O5" s="1495"/>
      <c r="P5" s="1495"/>
      <c r="Q5" s="1495"/>
      <c r="R5" s="1495"/>
      <c r="S5" s="1495"/>
      <c r="T5" s="1495"/>
      <c r="U5" s="1495"/>
      <c r="V5" s="1495"/>
      <c r="W5" s="1495"/>
      <c r="X5" s="1495"/>
      <c r="Y5" s="1495"/>
      <c r="Z5" s="1495"/>
      <c r="AA5" s="1495"/>
      <c r="AB5" s="1495"/>
      <c r="AC5" s="1495"/>
      <c r="AD5" s="1495"/>
      <c r="AE5" s="1495"/>
      <c r="AF5" s="1495"/>
      <c r="AG5" s="1495"/>
      <c r="AH5" s="1495"/>
      <c r="AI5" s="1495"/>
      <c r="AJ5" s="1495"/>
      <c r="AK5" s="1495"/>
      <c r="AL5" s="1495"/>
      <c r="AM5" s="1495"/>
      <c r="AN5" s="1495"/>
      <c r="AO5" s="1495"/>
      <c r="AP5" s="1495"/>
      <c r="AQ5" s="1495"/>
      <c r="AR5" s="1495"/>
      <c r="AS5" s="1495"/>
      <c r="AT5" s="1495"/>
      <c r="AU5" s="1495"/>
      <c r="AV5" s="1495"/>
      <c r="AW5" s="1495"/>
      <c r="AX5" s="1495"/>
      <c r="AY5" s="1495"/>
      <c r="AZ5" s="1495"/>
      <c r="BA5" s="1495"/>
      <c r="BB5" s="1489"/>
      <c r="BC5" s="1489"/>
      <c r="BD5" s="1489"/>
      <c r="BE5" s="1489"/>
      <c r="BF5" s="1489"/>
      <c r="BG5" s="1489"/>
    </row>
    <row r="6" spans="2:61" ht="11.25" customHeight="1">
      <c r="C6" s="1497"/>
      <c r="D6" s="1498"/>
      <c r="E6" s="1495"/>
      <c r="F6" s="1495"/>
      <c r="G6" s="1495"/>
      <c r="H6" s="1495"/>
      <c r="I6" s="1495"/>
      <c r="J6" s="1495"/>
      <c r="K6" s="1495"/>
      <c r="L6" s="1495"/>
      <c r="M6" s="1496"/>
      <c r="N6" s="1495"/>
      <c r="O6" s="1495"/>
      <c r="P6" s="1495"/>
      <c r="Q6" s="1495"/>
      <c r="R6" s="1495"/>
      <c r="S6" s="1495"/>
      <c r="T6" s="1495"/>
      <c r="U6" s="1495"/>
      <c r="V6" s="1495"/>
      <c r="W6" s="1495"/>
      <c r="X6" s="1495"/>
      <c r="Y6" s="1495"/>
      <c r="Z6" s="1495"/>
      <c r="AA6" s="1495"/>
      <c r="AB6" s="1495"/>
      <c r="AC6" s="1495"/>
      <c r="AD6" s="1495"/>
      <c r="AE6" s="1495"/>
      <c r="AF6" s="1495"/>
      <c r="AG6" s="1495"/>
      <c r="AH6" s="1495"/>
      <c r="AI6" s="1495"/>
      <c r="AJ6" s="1495"/>
      <c r="AK6" s="1495"/>
      <c r="AL6" s="1495"/>
      <c r="AM6" s="1495"/>
      <c r="AN6" s="1495"/>
      <c r="AO6" s="1495"/>
      <c r="AP6" s="1495"/>
      <c r="AQ6" s="1495"/>
      <c r="AR6" s="1495"/>
      <c r="AS6" s="1495"/>
      <c r="AT6" s="1495"/>
      <c r="AU6" s="1495"/>
      <c r="AV6" s="1495"/>
      <c r="AW6" s="1495"/>
      <c r="AX6" s="1495"/>
      <c r="AY6" s="1495"/>
      <c r="AZ6" s="1495"/>
      <c r="BA6" s="1495"/>
      <c r="BB6" s="1489"/>
      <c r="BC6" s="1489"/>
      <c r="BD6" s="1489"/>
      <c r="BE6" s="1489"/>
      <c r="BF6" s="1489"/>
      <c r="BG6" s="1489"/>
    </row>
    <row r="7" spans="2:61" ht="18" customHeight="1">
      <c r="C7" s="1499" t="s">
        <v>959</v>
      </c>
      <c r="D7" s="1500"/>
      <c r="E7" s="1501"/>
      <c r="F7" s="1501"/>
      <c r="G7" s="1501"/>
      <c r="H7" s="1501"/>
      <c r="I7" s="1501"/>
      <c r="J7" s="1501"/>
      <c r="K7" s="1501"/>
      <c r="L7" s="1501"/>
      <c r="M7" s="1502"/>
      <c r="N7" s="1503">
        <v>1</v>
      </c>
      <c r="O7" s="1503">
        <v>2</v>
      </c>
      <c r="P7" s="1503">
        <v>3</v>
      </c>
      <c r="Q7" s="1503">
        <v>4</v>
      </c>
      <c r="R7" s="1503">
        <v>5</v>
      </c>
      <c r="S7" s="1503">
        <v>6</v>
      </c>
      <c r="T7" s="1503">
        <v>7</v>
      </c>
      <c r="U7" s="1503">
        <v>8</v>
      </c>
      <c r="V7" s="1503">
        <v>9</v>
      </c>
      <c r="W7" s="1503">
        <v>10</v>
      </c>
      <c r="X7" s="1503">
        <v>11</v>
      </c>
      <c r="Y7" s="1503">
        <v>12</v>
      </c>
      <c r="Z7" s="1503">
        <v>13</v>
      </c>
      <c r="AA7" s="1503">
        <v>14</v>
      </c>
      <c r="AB7" s="1503">
        <v>15</v>
      </c>
      <c r="AC7" s="1503">
        <v>16</v>
      </c>
      <c r="AD7" s="1503">
        <v>17</v>
      </c>
      <c r="AE7" s="1503">
        <v>18</v>
      </c>
      <c r="AF7" s="1503">
        <v>19</v>
      </c>
      <c r="AG7" s="1503">
        <v>20</v>
      </c>
      <c r="AH7" s="1503">
        <v>21</v>
      </c>
      <c r="AI7" s="1503">
        <v>22</v>
      </c>
      <c r="AJ7" s="1503">
        <v>23</v>
      </c>
      <c r="AK7" s="1503">
        <v>24</v>
      </c>
      <c r="AL7" s="1503">
        <v>25</v>
      </c>
      <c r="AM7" s="1503">
        <v>26</v>
      </c>
      <c r="AN7" s="1503">
        <v>27</v>
      </c>
      <c r="AO7" s="1503">
        <v>28</v>
      </c>
      <c r="AP7" s="1503">
        <v>29</v>
      </c>
      <c r="AQ7" s="1503">
        <v>30</v>
      </c>
      <c r="AR7" s="1503">
        <v>31</v>
      </c>
      <c r="AS7" s="1503">
        <v>32</v>
      </c>
      <c r="AT7" s="1503">
        <v>33</v>
      </c>
      <c r="AU7" s="1503">
        <v>34</v>
      </c>
      <c r="AV7" s="1503">
        <v>35</v>
      </c>
      <c r="AW7" s="1503">
        <v>36</v>
      </c>
      <c r="AX7" s="1503">
        <v>37</v>
      </c>
      <c r="AY7" s="1503">
        <v>38</v>
      </c>
      <c r="AZ7" s="1503">
        <v>39</v>
      </c>
      <c r="BA7" s="1503">
        <v>40</v>
      </c>
      <c r="BB7" s="1489"/>
      <c r="BC7" s="1489"/>
      <c r="BD7" s="1489"/>
      <c r="BE7" s="1489"/>
      <c r="BF7" s="1489"/>
      <c r="BG7" s="1489"/>
    </row>
    <row r="8" spans="2:61" ht="18" customHeight="1">
      <c r="C8" s="1499"/>
      <c r="D8" s="1500"/>
      <c r="E8" s="1501"/>
      <c r="F8" s="1501"/>
      <c r="G8" s="1501"/>
      <c r="H8" s="1501"/>
      <c r="I8" s="1501"/>
      <c r="J8" s="1501"/>
      <c r="K8" s="1501"/>
      <c r="L8" s="1501"/>
      <c r="M8" s="1502"/>
      <c r="N8" s="1504" t="str">
        <f t="shared" ref="N8:BA8" ca="1" si="1">IF(TODAY()&lt;N9,"Proj","")</f>
        <v>Proj</v>
      </c>
      <c r="O8" s="1504" t="str">
        <f t="shared" ca="1" si="1"/>
        <v>Proj</v>
      </c>
      <c r="P8" s="1504" t="str">
        <f t="shared" ca="1" si="1"/>
        <v>Proj</v>
      </c>
      <c r="Q8" s="1504" t="str">
        <f t="shared" ca="1" si="1"/>
        <v>Proj</v>
      </c>
      <c r="R8" s="1504" t="str">
        <f t="shared" ca="1" si="1"/>
        <v>Proj</v>
      </c>
      <c r="S8" s="1504" t="str">
        <f t="shared" ca="1" si="1"/>
        <v>Proj</v>
      </c>
      <c r="T8" s="1504" t="str">
        <f t="shared" ca="1" si="1"/>
        <v>Proj</v>
      </c>
      <c r="U8" s="1504" t="str">
        <f t="shared" ca="1" si="1"/>
        <v>Proj</v>
      </c>
      <c r="V8" s="1504" t="str">
        <f t="shared" ca="1" si="1"/>
        <v>Proj</v>
      </c>
      <c r="W8" s="1504" t="str">
        <f t="shared" ca="1" si="1"/>
        <v>Proj</v>
      </c>
      <c r="X8" s="1504" t="str">
        <f t="shared" ca="1" si="1"/>
        <v>Proj</v>
      </c>
      <c r="Y8" s="1504" t="str">
        <f t="shared" ca="1" si="1"/>
        <v>Proj</v>
      </c>
      <c r="Z8" s="1504" t="str">
        <f t="shared" ca="1" si="1"/>
        <v>Proj</v>
      </c>
      <c r="AA8" s="1504" t="str">
        <f t="shared" ca="1" si="1"/>
        <v>Proj</v>
      </c>
      <c r="AB8" s="1504" t="str">
        <f t="shared" ca="1" si="1"/>
        <v>Proj</v>
      </c>
      <c r="AC8" s="1504" t="str">
        <f t="shared" ca="1" si="1"/>
        <v>Proj</v>
      </c>
      <c r="AD8" s="1504" t="str">
        <f t="shared" ca="1" si="1"/>
        <v>Proj</v>
      </c>
      <c r="AE8" s="1504" t="str">
        <f t="shared" ca="1" si="1"/>
        <v>Proj</v>
      </c>
      <c r="AF8" s="1504" t="str">
        <f t="shared" ca="1" si="1"/>
        <v>Proj</v>
      </c>
      <c r="AG8" s="1504" t="str">
        <f t="shared" ca="1" si="1"/>
        <v>Proj</v>
      </c>
      <c r="AH8" s="1504" t="str">
        <f t="shared" ca="1" si="1"/>
        <v>Proj</v>
      </c>
      <c r="AI8" s="1504" t="str">
        <f t="shared" ca="1" si="1"/>
        <v>Proj</v>
      </c>
      <c r="AJ8" s="1504" t="str">
        <f t="shared" ca="1" si="1"/>
        <v>Proj</v>
      </c>
      <c r="AK8" s="1504" t="str">
        <f t="shared" ca="1" si="1"/>
        <v>Proj</v>
      </c>
      <c r="AL8" s="1504" t="str">
        <f t="shared" ca="1" si="1"/>
        <v>Proj</v>
      </c>
      <c r="AM8" s="1504" t="str">
        <f t="shared" ca="1" si="1"/>
        <v>Proj</v>
      </c>
      <c r="AN8" s="1504" t="str">
        <f t="shared" ca="1" si="1"/>
        <v>Proj</v>
      </c>
      <c r="AO8" s="1504" t="str">
        <f t="shared" ca="1" si="1"/>
        <v>Proj</v>
      </c>
      <c r="AP8" s="1504" t="str">
        <f t="shared" ca="1" si="1"/>
        <v>Proj</v>
      </c>
      <c r="AQ8" s="1504" t="str">
        <f t="shared" ca="1" si="1"/>
        <v>Proj</v>
      </c>
      <c r="AR8" s="1504" t="str">
        <f t="shared" ca="1" si="1"/>
        <v>Proj</v>
      </c>
      <c r="AS8" s="1504" t="str">
        <f t="shared" ca="1" si="1"/>
        <v>Proj</v>
      </c>
      <c r="AT8" s="1504" t="str">
        <f t="shared" ca="1" si="1"/>
        <v>Proj</v>
      </c>
      <c r="AU8" s="1504" t="str">
        <f t="shared" ca="1" si="1"/>
        <v>Proj</v>
      </c>
      <c r="AV8" s="1504" t="str">
        <f t="shared" ca="1" si="1"/>
        <v>Proj</v>
      </c>
      <c r="AW8" s="1504" t="str">
        <f t="shared" ca="1" si="1"/>
        <v>Proj</v>
      </c>
      <c r="AX8" s="1504" t="str">
        <f t="shared" ca="1" si="1"/>
        <v>Proj</v>
      </c>
      <c r="AY8" s="1504" t="str">
        <f t="shared" ca="1" si="1"/>
        <v>Proj</v>
      </c>
      <c r="AZ8" s="1504" t="str">
        <f t="shared" ca="1" si="1"/>
        <v>Proj</v>
      </c>
      <c r="BA8" s="1504" t="str">
        <f t="shared" ca="1" si="1"/>
        <v>Proj</v>
      </c>
      <c r="BB8" s="1489"/>
      <c r="BC8" s="1489"/>
      <c r="BD8" s="1489"/>
      <c r="BE8" s="1489"/>
      <c r="BF8" s="1489"/>
      <c r="BG8" s="1489"/>
    </row>
    <row r="9" spans="2:61" ht="21.9" customHeight="1" thickBot="1">
      <c r="B9" s="1505"/>
      <c r="C9" s="1506" t="s">
        <v>960</v>
      </c>
      <c r="D9" s="1507">
        <v>42369</v>
      </c>
      <c r="E9" s="1508">
        <f>DATE(YEAR(D9),MONTH(D9)+13,0)</f>
        <v>42735</v>
      </c>
      <c r="F9" s="1508">
        <f t="shared" ref="F9:BA9" si="2">DATE(YEAR(E9),MONTH(E9)+13,0)</f>
        <v>43100</v>
      </c>
      <c r="G9" s="1508">
        <f t="shared" si="2"/>
        <v>43465</v>
      </c>
      <c r="H9" s="1508">
        <f t="shared" si="2"/>
        <v>43830</v>
      </c>
      <c r="I9" s="1508">
        <f t="shared" si="2"/>
        <v>44196</v>
      </c>
      <c r="J9" s="1508">
        <f t="shared" si="2"/>
        <v>44561</v>
      </c>
      <c r="K9" s="1508">
        <f t="shared" si="2"/>
        <v>44926</v>
      </c>
      <c r="L9" s="1508">
        <f t="shared" si="2"/>
        <v>45291</v>
      </c>
      <c r="M9" s="1509">
        <f t="shared" si="2"/>
        <v>45657</v>
      </c>
      <c r="N9" s="1510">
        <f t="shared" si="2"/>
        <v>46022</v>
      </c>
      <c r="O9" s="1510">
        <f t="shared" si="2"/>
        <v>46387</v>
      </c>
      <c r="P9" s="1510">
        <f t="shared" si="2"/>
        <v>46752</v>
      </c>
      <c r="Q9" s="1510">
        <f t="shared" si="2"/>
        <v>47118</v>
      </c>
      <c r="R9" s="1510">
        <f t="shared" si="2"/>
        <v>47483</v>
      </c>
      <c r="S9" s="1510">
        <f t="shared" si="2"/>
        <v>47848</v>
      </c>
      <c r="T9" s="1510">
        <f t="shared" si="2"/>
        <v>48213</v>
      </c>
      <c r="U9" s="1510">
        <f t="shared" si="2"/>
        <v>48579</v>
      </c>
      <c r="V9" s="1510">
        <f t="shared" si="2"/>
        <v>48944</v>
      </c>
      <c r="W9" s="1510">
        <f t="shared" si="2"/>
        <v>49309</v>
      </c>
      <c r="X9" s="1510">
        <f t="shared" si="2"/>
        <v>49674</v>
      </c>
      <c r="Y9" s="1510">
        <f t="shared" si="2"/>
        <v>50040</v>
      </c>
      <c r="Z9" s="1510">
        <f t="shared" si="2"/>
        <v>50405</v>
      </c>
      <c r="AA9" s="1510">
        <f t="shared" si="2"/>
        <v>50770</v>
      </c>
      <c r="AB9" s="1510">
        <f t="shared" si="2"/>
        <v>51135</v>
      </c>
      <c r="AC9" s="1510">
        <f t="shared" si="2"/>
        <v>51501</v>
      </c>
      <c r="AD9" s="1510">
        <f t="shared" si="2"/>
        <v>51866</v>
      </c>
      <c r="AE9" s="1510">
        <f t="shared" si="2"/>
        <v>52231</v>
      </c>
      <c r="AF9" s="1510">
        <f t="shared" si="2"/>
        <v>52596</v>
      </c>
      <c r="AG9" s="1510">
        <f t="shared" si="2"/>
        <v>52962</v>
      </c>
      <c r="AH9" s="1510">
        <f t="shared" si="2"/>
        <v>53327</v>
      </c>
      <c r="AI9" s="1510">
        <f t="shared" si="2"/>
        <v>53692</v>
      </c>
      <c r="AJ9" s="1510">
        <f t="shared" si="2"/>
        <v>54057</v>
      </c>
      <c r="AK9" s="1510">
        <f t="shared" si="2"/>
        <v>54423</v>
      </c>
      <c r="AL9" s="1510">
        <f t="shared" si="2"/>
        <v>54788</v>
      </c>
      <c r="AM9" s="1510">
        <f t="shared" si="2"/>
        <v>55153</v>
      </c>
      <c r="AN9" s="1510">
        <f t="shared" si="2"/>
        <v>55518</v>
      </c>
      <c r="AO9" s="1510">
        <f t="shared" si="2"/>
        <v>55884</v>
      </c>
      <c r="AP9" s="1510">
        <f t="shared" si="2"/>
        <v>56249</v>
      </c>
      <c r="AQ9" s="1510">
        <f t="shared" si="2"/>
        <v>56614</v>
      </c>
      <c r="AR9" s="1510">
        <f t="shared" si="2"/>
        <v>56979</v>
      </c>
      <c r="AS9" s="1510">
        <f t="shared" si="2"/>
        <v>57345</v>
      </c>
      <c r="AT9" s="1510">
        <f t="shared" si="2"/>
        <v>57710</v>
      </c>
      <c r="AU9" s="1510">
        <f t="shared" si="2"/>
        <v>58075</v>
      </c>
      <c r="AV9" s="1510">
        <f t="shared" si="2"/>
        <v>58440</v>
      </c>
      <c r="AW9" s="1510">
        <f t="shared" si="2"/>
        <v>58806</v>
      </c>
      <c r="AX9" s="1510">
        <f t="shared" si="2"/>
        <v>59171</v>
      </c>
      <c r="AY9" s="1510">
        <f t="shared" si="2"/>
        <v>59536</v>
      </c>
      <c r="AZ9" s="1510">
        <f t="shared" si="2"/>
        <v>59901</v>
      </c>
      <c r="BA9" s="1510">
        <f t="shared" si="2"/>
        <v>60267</v>
      </c>
      <c r="BB9" s="1489"/>
      <c r="BC9" s="1511"/>
      <c r="BD9" s="1511"/>
      <c r="BE9" s="1511"/>
      <c r="BF9" s="1511"/>
      <c r="BG9" s="1512"/>
      <c r="BH9" s="1512"/>
    </row>
    <row r="10" spans="2:61" s="1513" customFormat="1" ht="13.8" thickTop="1">
      <c r="C10" s="1513" t="s">
        <v>406</v>
      </c>
      <c r="D10" s="1514"/>
      <c r="E10" s="1515"/>
      <c r="F10" s="1516"/>
      <c r="G10" s="1517"/>
      <c r="H10" s="1517">
        <f>'Output-FR (show)'!K40</f>
        <v>317.02522939000005</v>
      </c>
      <c r="I10" s="1517">
        <f>'Output-FR (show)'!L40</f>
        <v>575.60607419200005</v>
      </c>
      <c r="J10" s="1517">
        <f>'Output-FR (show)'!M40</f>
        <v>1724.469057715</v>
      </c>
      <c r="K10" s="1517">
        <f>'Output-FR (show)'!N40</f>
        <v>4193.423289589</v>
      </c>
      <c r="L10" s="1517">
        <f>'Output-FR (show)'!O40</f>
        <v>986.53282508199993</v>
      </c>
      <c r="M10" s="1517">
        <f>'Output-FR (show)'!P40</f>
        <v>1297.9079380420001</v>
      </c>
      <c r="N10" s="1517">
        <f ca="1">'Output-FR (show)'!Q40</f>
        <v>2016.3355554713582</v>
      </c>
      <c r="O10" s="1517">
        <f ca="1">'Output-FR (show)'!R40</f>
        <v>2304.5647076211962</v>
      </c>
      <c r="P10" s="1517">
        <f ca="1">'Output-FR (show)'!S40</f>
        <v>2682.2049434847913</v>
      </c>
      <c r="Q10" s="1517">
        <f ca="1">'Output-FR (show)'!T40</f>
        <v>4148.8191582930131</v>
      </c>
      <c r="R10" s="1517">
        <f ca="1">'Output-FR (show)'!U40</f>
        <v>3583.7793738281516</v>
      </c>
      <c r="S10" s="1517">
        <f ca="1">'Output-FR (show)'!V40</f>
        <v>3126.2570684287962</v>
      </c>
      <c r="T10" s="1517">
        <f ca="1">'Output-FR (show)'!W40</f>
        <v>3126.1016960253583</v>
      </c>
      <c r="U10" s="1517">
        <f ca="1">'Output-FR (show)'!X40</f>
        <v>3459.4198028426381</v>
      </c>
      <c r="V10" s="1517">
        <f ca="1">'Output-FR (show)'!Y40</f>
        <v>3978.3291202185401</v>
      </c>
      <c r="W10" s="1517">
        <f ca="1">'Output-FR (show)'!Z40</f>
        <v>3989.5305261468511</v>
      </c>
      <c r="X10" s="1518"/>
      <c r="Y10" s="1515"/>
      <c r="Z10" s="1515"/>
      <c r="AA10" s="1515"/>
      <c r="AB10" s="1515"/>
      <c r="AC10" s="1515"/>
      <c r="AD10" s="1515"/>
      <c r="AE10" s="1515"/>
      <c r="AF10" s="1515"/>
      <c r="AG10" s="1515"/>
      <c r="AH10" s="1515"/>
      <c r="AI10" s="1515"/>
      <c r="AJ10" s="1515"/>
      <c r="AK10" s="1515"/>
      <c r="AL10" s="1515"/>
      <c r="AM10" s="1515"/>
      <c r="AN10" s="1515"/>
      <c r="AO10" s="1515"/>
      <c r="AP10" s="1515"/>
      <c r="AQ10" s="1515"/>
      <c r="AR10" s="1515"/>
      <c r="AS10" s="1515"/>
      <c r="AT10" s="1515"/>
      <c r="AU10" s="1515"/>
      <c r="AV10" s="1515"/>
      <c r="AW10" s="1515"/>
      <c r="AX10" s="1515"/>
      <c r="AY10" s="1515"/>
      <c r="AZ10" s="1515"/>
      <c r="BA10" s="1515"/>
      <c r="BC10" s="1519"/>
      <c r="BD10" s="2764"/>
      <c r="BE10" s="2764"/>
      <c r="BF10" s="2764"/>
      <c r="BG10" s="2764"/>
      <c r="BH10" s="2764"/>
      <c r="BI10" s="2764"/>
    </row>
    <row r="11" spans="2:61" s="1513" customFormat="1">
      <c r="C11" s="1513" t="s">
        <v>961</v>
      </c>
      <c r="D11" s="1514"/>
      <c r="E11" s="1515"/>
      <c r="F11" s="1515"/>
      <c r="G11" s="1518"/>
      <c r="H11" s="1518">
        <f>+'Output-FR (show)'!K138</f>
        <v>0</v>
      </c>
      <c r="I11" s="1518">
        <f>+'Output-FR (show)'!L138</f>
        <v>0</v>
      </c>
      <c r="J11" s="1518">
        <f>+'Output-FR (show)'!M138</f>
        <v>0</v>
      </c>
      <c r="K11" s="1518">
        <f>+'Output-FR (show)'!N138</f>
        <v>0</v>
      </c>
      <c r="L11" s="1518">
        <f>+'Output-FR (show)'!O138</f>
        <v>0</v>
      </c>
      <c r="M11" s="1518">
        <f>+'Output-FR (show)'!P138</f>
        <v>0</v>
      </c>
      <c r="N11" s="1518">
        <f ca="1">+'Output-FR (show)'!Q138</f>
        <v>-2.5371452690944429E-2</v>
      </c>
      <c r="O11" s="1518">
        <f ca="1">+'Output-FR (show)'!R138</f>
        <v>-8.7591255150297129E-2</v>
      </c>
      <c r="P11" s="1518">
        <f ca="1">+'Output-FR (show)'!S138</f>
        <v>-9.2069872583320264E-2</v>
      </c>
      <c r="Q11" s="1518">
        <f ca="1">+'Output-FR (show)'!T138</f>
        <v>-6.6691363983486573E-2</v>
      </c>
      <c r="R11" s="1518">
        <f ca="1">+'Output-FR (show)'!U138</f>
        <v>-0.13624507823653478</v>
      </c>
      <c r="S11" s="1518">
        <f ca="1">+'Output-FR (show)'!V138</f>
        <v>-0.21662463254172398</v>
      </c>
      <c r="T11" s="1518">
        <f ca="1">+'Output-FR (show)'!W138</f>
        <v>-0.26330702056865657</v>
      </c>
      <c r="U11" s="1518">
        <f ca="1">+'Output-FR (show)'!X138</f>
        <v>-0.27322785146043432</v>
      </c>
      <c r="V11" s="1518">
        <f ca="1">+'Output-FR (show)'!Y138</f>
        <v>-0.1840830546276066</v>
      </c>
      <c r="W11" s="1518">
        <f ca="1">+'Output-FR (show)'!Z138</f>
        <v>-0.12633188719804878</v>
      </c>
      <c r="X11" s="1518"/>
      <c r="Y11" s="1515"/>
      <c r="Z11" s="1515"/>
      <c r="AA11" s="1515"/>
      <c r="AB11" s="1515"/>
      <c r="AC11" s="1515"/>
      <c r="AD11" s="1515"/>
      <c r="AE11" s="1515"/>
      <c r="AF11" s="1515"/>
      <c r="AG11" s="1515"/>
      <c r="AH11" s="1515"/>
      <c r="AI11" s="1515"/>
      <c r="AJ11" s="1515"/>
      <c r="AK11" s="1515"/>
      <c r="AL11" s="1515"/>
      <c r="AM11" s="1515"/>
      <c r="AN11" s="1515"/>
      <c r="AO11" s="1515"/>
      <c r="AP11" s="1515"/>
      <c r="AQ11" s="1515"/>
      <c r="AR11" s="1515"/>
      <c r="AS11" s="1515"/>
      <c r="AT11" s="1515"/>
      <c r="AU11" s="1515"/>
      <c r="AV11" s="1515"/>
      <c r="AW11" s="1515"/>
      <c r="AX11" s="1515"/>
      <c r="AY11" s="1515"/>
      <c r="AZ11" s="1515"/>
      <c r="BA11" s="1515"/>
      <c r="BD11" s="851"/>
      <c r="BE11" s="2758" t="s">
        <v>382</v>
      </c>
      <c r="BF11" s="2759"/>
      <c r="BG11" s="2759"/>
      <c r="BH11" s="2759"/>
      <c r="BI11" s="2758"/>
    </row>
    <row r="12" spans="2:61" s="1513" customFormat="1">
      <c r="C12" s="1513" t="s">
        <v>962</v>
      </c>
      <c r="D12" s="1514"/>
      <c r="E12" s="1515"/>
      <c r="F12" s="1515"/>
      <c r="G12" s="1518"/>
      <c r="H12" s="1518">
        <f>-'Output-FR (show)'!K24</f>
        <v>0</v>
      </c>
      <c r="I12" s="1518">
        <f>-'Output-FR (show)'!L24</f>
        <v>0</v>
      </c>
      <c r="J12" s="1518">
        <f>-'Output-FR (show)'!M24</f>
        <v>0</v>
      </c>
      <c r="K12" s="1518">
        <f>-'Output-FR (show)'!N24</f>
        <v>0</v>
      </c>
      <c r="L12" s="1518">
        <f>-'Output-FR (show)'!O24</f>
        <v>0</v>
      </c>
      <c r="M12" s="1518">
        <f>-'Output-FR (show)'!P24</f>
        <v>0</v>
      </c>
      <c r="N12" s="1518">
        <f>-'Output-FR (show)'!Q24</f>
        <v>0</v>
      </c>
      <c r="O12" s="1518">
        <f>-'Output-FR (show)'!R24</f>
        <v>0</v>
      </c>
      <c r="P12" s="1518">
        <f>-'Output-FR (show)'!S24</f>
        <v>0</v>
      </c>
      <c r="Q12" s="1518">
        <f>-'Output-FR (show)'!T24</f>
        <v>0</v>
      </c>
      <c r="R12" s="1518">
        <f>-'Output-FR (show)'!U24</f>
        <v>0</v>
      </c>
      <c r="S12" s="1518">
        <f>-'Output-FR (show)'!V24</f>
        <v>0</v>
      </c>
      <c r="T12" s="1518">
        <f>-'Output-FR (show)'!W24</f>
        <v>0</v>
      </c>
      <c r="U12" s="1518">
        <f>-'Output-FR (show)'!X24</f>
        <v>0</v>
      </c>
      <c r="V12" s="1518">
        <f>-'Output-FR (show)'!Y24</f>
        <v>0</v>
      </c>
      <c r="W12" s="1518">
        <f>-'Output-FR (show)'!Z24</f>
        <v>0</v>
      </c>
      <c r="X12" s="1518"/>
      <c r="Y12" s="1515"/>
      <c r="Z12" s="1515"/>
      <c r="AA12" s="1515"/>
      <c r="AB12" s="1515"/>
      <c r="AC12" s="1515"/>
      <c r="AD12" s="1515"/>
      <c r="AE12" s="1515"/>
      <c r="AF12" s="1515"/>
      <c r="AG12" s="1515"/>
      <c r="AH12" s="1515"/>
      <c r="AI12" s="1515"/>
      <c r="AJ12" s="1515"/>
      <c r="AK12" s="1515"/>
      <c r="AL12" s="1515"/>
      <c r="AM12" s="1515"/>
      <c r="AN12" s="1515"/>
      <c r="AO12" s="1515"/>
      <c r="AP12" s="1515"/>
      <c r="AQ12" s="1515"/>
      <c r="AR12" s="1515"/>
      <c r="AS12" s="1515"/>
      <c r="AT12" s="1515"/>
      <c r="AU12" s="1515"/>
      <c r="AV12" s="1515"/>
      <c r="AW12" s="1515"/>
      <c r="AX12" s="1515"/>
      <c r="AY12" s="1515"/>
      <c r="AZ12" s="1515"/>
      <c r="BA12" s="1515"/>
      <c r="BD12" s="1521">
        <f ca="1">D37</f>
        <v>48401.767002210778</v>
      </c>
      <c r="BE12" s="1522">
        <v>0</v>
      </c>
      <c r="BF12" s="1523">
        <f>+BE12+1%</f>
        <v>0.01</v>
      </c>
      <c r="BG12" s="1523">
        <f t="shared" ref="BG12:BI12" si="3">+BF12+1%</f>
        <v>0.02</v>
      </c>
      <c r="BH12" s="1523">
        <f t="shared" si="3"/>
        <v>0.03</v>
      </c>
      <c r="BI12" s="1523">
        <f t="shared" si="3"/>
        <v>0.04</v>
      </c>
    </row>
    <row r="13" spans="2:61" s="1513" customFormat="1">
      <c r="C13" s="1513" t="s">
        <v>963</v>
      </c>
      <c r="D13" s="1514"/>
      <c r="E13" s="1515"/>
      <c r="F13" s="1515"/>
      <c r="G13" s="1518"/>
      <c r="H13" s="1518">
        <f>'Output-FR (show)'!K15</f>
        <v>1318.8406424909999</v>
      </c>
      <c r="I13" s="1518">
        <f>'Output-FR (show)'!L15</f>
        <v>1318.1524527060001</v>
      </c>
      <c r="J13" s="1518">
        <f>'Output-FR (show)'!M15</f>
        <v>1385.810943875</v>
      </c>
      <c r="K13" s="1518">
        <f>'Output-FR (show)'!N15</f>
        <v>1398.029397737</v>
      </c>
      <c r="L13" s="1518">
        <f>'Output-FR (show)'!O15</f>
        <v>1083.3806986520001</v>
      </c>
      <c r="M13" s="1518">
        <f>'Output-FR (show)'!P15</f>
        <v>268.08145841499999</v>
      </c>
      <c r="N13" s="1518">
        <f>'Output-FR (show)'!Q15</f>
        <v>866.19597450905121</v>
      </c>
      <c r="O13" s="1518">
        <f>'Output-FR (show)'!R15</f>
        <v>958.07836251496497</v>
      </c>
      <c r="P13" s="1518">
        <f>'Output-FR (show)'!S15</f>
        <v>400.06569213431158</v>
      </c>
      <c r="Q13" s="1518">
        <f>'Output-FR (show)'!T15</f>
        <v>404.65673999404856</v>
      </c>
      <c r="R13" s="1518">
        <f>'Output-FR (show)'!U15</f>
        <v>391.81912495422546</v>
      </c>
      <c r="S13" s="1518">
        <f>'Output-FR (show)'!V15</f>
        <v>391.68502453039241</v>
      </c>
      <c r="T13" s="1518">
        <f>'Output-FR (show)'!W15</f>
        <v>351.67260372664737</v>
      </c>
      <c r="U13" s="1518">
        <f>'Output-FR (show)'!X15</f>
        <v>394.01552606931426</v>
      </c>
      <c r="V13" s="1518">
        <f>'Output-FR (show)'!Y15</f>
        <v>419.30626490537486</v>
      </c>
      <c r="W13" s="1518">
        <f>'Output-FR (show)'!Z15</f>
        <v>447.65035783578924</v>
      </c>
      <c r="X13" s="1518"/>
      <c r="Y13" s="1515"/>
      <c r="Z13" s="1515"/>
      <c r="AA13" s="1515"/>
      <c r="AB13" s="1515"/>
      <c r="AC13" s="1515"/>
      <c r="AD13" s="1515"/>
      <c r="AE13" s="1515"/>
      <c r="AF13" s="1515"/>
      <c r="AG13" s="1515"/>
      <c r="AH13" s="1515"/>
      <c r="AI13" s="1515"/>
      <c r="AJ13" s="1515"/>
      <c r="AK13" s="1515"/>
      <c r="AL13" s="1515"/>
      <c r="AM13" s="1515"/>
      <c r="AN13" s="1515"/>
      <c r="AO13" s="1515"/>
      <c r="AP13" s="1515"/>
      <c r="AQ13" s="1515"/>
      <c r="AR13" s="1515"/>
      <c r="AS13" s="1515"/>
      <c r="AT13" s="1515"/>
      <c r="AU13" s="1515"/>
      <c r="AV13" s="1515"/>
      <c r="AW13" s="1515"/>
      <c r="AX13" s="1515"/>
      <c r="AY13" s="1515"/>
      <c r="AZ13" s="1515"/>
      <c r="BA13" s="1515"/>
      <c r="BC13" s="2760" t="s">
        <v>964</v>
      </c>
      <c r="BD13" s="1524">
        <f t="shared" ref="BD13:BD14" si="4">+BD14-1%</f>
        <v>8.1731846885732887E-2</v>
      </c>
      <c r="BE13" s="1525">
        <v>78914.140079915334</v>
      </c>
      <c r="BF13" s="1525">
        <v>86536.657197401044</v>
      </c>
      <c r="BG13" s="1526">
        <v>96628.731764413591</v>
      </c>
      <c r="BH13" s="1525">
        <v>110622.49365734139</v>
      </c>
      <c r="BI13" s="1525">
        <v>131322.77008879156</v>
      </c>
    </row>
    <row r="14" spans="2:61" s="1513" customFormat="1">
      <c r="C14" s="1513" t="s">
        <v>965</v>
      </c>
      <c r="D14" s="1514"/>
      <c r="E14" s="1515"/>
      <c r="F14" s="1515"/>
      <c r="G14" s="1515"/>
      <c r="H14" s="1515"/>
      <c r="I14" s="1515"/>
      <c r="J14" s="1515"/>
      <c r="K14" s="1515"/>
      <c r="L14" s="1515"/>
      <c r="M14" s="1515"/>
      <c r="N14" s="1515"/>
      <c r="O14" s="1515"/>
      <c r="P14" s="1515"/>
      <c r="Q14" s="1515"/>
      <c r="R14" s="1515"/>
      <c r="S14" s="1515"/>
      <c r="T14" s="1515"/>
      <c r="U14" s="1515"/>
      <c r="V14" s="1515"/>
      <c r="W14" s="1515"/>
      <c r="X14" s="1518"/>
      <c r="Y14" s="1515"/>
      <c r="Z14" s="1515"/>
      <c r="AA14" s="1515"/>
      <c r="AB14" s="1515"/>
      <c r="AC14" s="1515"/>
      <c r="AD14" s="1515"/>
      <c r="AE14" s="1515"/>
      <c r="AF14" s="1515"/>
      <c r="AG14" s="1515"/>
      <c r="AH14" s="1515"/>
      <c r="AI14" s="1515"/>
      <c r="AJ14" s="1515"/>
      <c r="AK14" s="1515"/>
      <c r="AL14" s="1515"/>
      <c r="AM14" s="1515"/>
      <c r="AN14" s="1515"/>
      <c r="AO14" s="1515"/>
      <c r="AP14" s="1515"/>
      <c r="AQ14" s="1515"/>
      <c r="AR14" s="1515"/>
      <c r="AS14" s="1515"/>
      <c r="AT14" s="1515"/>
      <c r="AU14" s="1515"/>
      <c r="AV14" s="1515"/>
      <c r="AW14" s="1515"/>
      <c r="AX14" s="1515"/>
      <c r="AY14" s="1515"/>
      <c r="AZ14" s="1515"/>
      <c r="BA14" s="1515"/>
      <c r="BC14" s="2760"/>
      <c r="BD14" s="1524">
        <f t="shared" si="4"/>
        <v>9.1731846885732882E-2</v>
      </c>
      <c r="BE14" s="1527">
        <v>73403.898141910962</v>
      </c>
      <c r="BF14" s="1527">
        <v>79419.604749675695</v>
      </c>
      <c r="BG14" s="1528">
        <v>87112.58773298045</v>
      </c>
      <c r="BH14" s="1527">
        <v>97297.957829712963</v>
      </c>
      <c r="BI14" s="1527">
        <v>111421.08414815173</v>
      </c>
    </row>
    <row r="15" spans="2:61" s="1513" customFormat="1">
      <c r="C15" s="1513" t="s">
        <v>966</v>
      </c>
      <c r="D15" s="1514"/>
      <c r="E15" s="1515"/>
      <c r="F15" s="1515"/>
      <c r="G15" s="1518"/>
      <c r="H15" s="1518">
        <f>'Output-FR (show)'!K158</f>
        <v>-414.76276050299998</v>
      </c>
      <c r="I15" s="1518">
        <f>'Output-FR (show)'!L158</f>
        <v>-272.86203394299997</v>
      </c>
      <c r="J15" s="1518">
        <f>'Output-FR (show)'!M158</f>
        <v>-156.94816908799999</v>
      </c>
      <c r="K15" s="1518">
        <f>'Output-FR (show)'!N158</f>
        <v>-143.78998269599998</v>
      </c>
      <c r="L15" s="1518">
        <f>'Output-FR (show)'!O158</f>
        <v>-544.06761910399996</v>
      </c>
      <c r="M15" s="1518">
        <f>'Output-FR (show)'!P158</f>
        <v>-787.05758273100002</v>
      </c>
      <c r="N15" s="1518">
        <f>'Output-FR (show)'!Q158</f>
        <v>-793.61444847162204</v>
      </c>
      <c r="O15" s="1518">
        <f>'Output-FR (show)'!R158</f>
        <v>-719.4857840413008</v>
      </c>
      <c r="P15" s="1518">
        <f>'Output-FR (show)'!S158</f>
        <v>-706.27265251081963</v>
      </c>
      <c r="Q15" s="1518">
        <f>'Output-FR (show)'!T158</f>
        <v>-1167.4691175791336</v>
      </c>
      <c r="R15" s="1518">
        <f>'Output-FR (show)'!U158</f>
        <v>-452.06637167829581</v>
      </c>
      <c r="S15" s="1518">
        <f>'Output-FR (show)'!V158</f>
        <v>-367.64817422706108</v>
      </c>
      <c r="T15" s="1518">
        <f>'Output-FR (show)'!W158</f>
        <v>-297.41873156308685</v>
      </c>
      <c r="U15" s="1518">
        <f>'Output-FR (show)'!X158</f>
        <v>-332.72512452640376</v>
      </c>
      <c r="V15" s="1518">
        <f>'Output-FR (show)'!Y158</f>
        <v>-391.10138790970905</v>
      </c>
      <c r="W15" s="1518">
        <f>'Output-FR (show)'!Z158</f>
        <v>-379.0911800676617</v>
      </c>
      <c r="X15" s="1518"/>
      <c r="Y15" s="1515"/>
      <c r="Z15" s="1515"/>
      <c r="AA15" s="1515"/>
      <c r="AB15" s="1515"/>
      <c r="AC15" s="1515"/>
      <c r="AD15" s="1515"/>
      <c r="AE15" s="1515"/>
      <c r="AF15" s="1515"/>
      <c r="AG15" s="1515"/>
      <c r="AH15" s="1515"/>
      <c r="AI15" s="1515"/>
      <c r="AJ15" s="1515"/>
      <c r="AK15" s="1515"/>
      <c r="AL15" s="1515"/>
      <c r="AM15" s="1515"/>
      <c r="AN15" s="1515"/>
      <c r="AO15" s="1515"/>
      <c r="AP15" s="1515"/>
      <c r="AQ15" s="1515"/>
      <c r="AR15" s="1515"/>
      <c r="AS15" s="1515"/>
      <c r="AT15" s="1515"/>
      <c r="AU15" s="1515"/>
      <c r="AV15" s="1515"/>
      <c r="AW15" s="1515"/>
      <c r="AX15" s="1515"/>
      <c r="AY15" s="1515"/>
      <c r="AZ15" s="1515"/>
      <c r="BA15" s="1515"/>
      <c r="BC15" s="2760"/>
      <c r="BD15" s="1524">
        <f>+BD16-2%</f>
        <v>0.10173184688573288</v>
      </c>
      <c r="BE15" s="1527">
        <v>68976.94371055995</v>
      </c>
      <c r="BF15" s="1527">
        <v>73854.260392291282</v>
      </c>
      <c r="BG15" s="1528">
        <v>79925.069419436055</v>
      </c>
      <c r="BH15" s="1527">
        <v>87688.518268559899</v>
      </c>
      <c r="BI15" s="1527">
        <v>97967.183895012335</v>
      </c>
    </row>
    <row r="16" spans="2:61" s="1513" customFormat="1">
      <c r="C16" s="1513" t="s">
        <v>967</v>
      </c>
      <c r="D16" s="1514"/>
      <c r="E16" s="1515"/>
      <c r="F16" s="1515"/>
      <c r="G16" s="1518"/>
      <c r="H16" s="1518">
        <f>('Output-FR (show)'!J61+'Output-FR (show)'!J63+'Output-FR (show)'!J64+'Output-FR (show)'!J65)-('Output-FR (show)'!K61+'Output-FR (show)'!K63+'Output-FR (show)'!K64+'Output-FR (show)'!K65)+('Output-FR (show)'!K85+'Output-FR (show)'!K86+'Output-FR (show)'!K87)-('Output-FR (show)'!J85+'Output-FR (show)'!J86+'Output-FR (show)'!J87)</f>
        <v>-104.41080388699993</v>
      </c>
      <c r="I16" s="1518">
        <f>('Output-FR (show)'!K61+'Output-FR (show)'!K63+'Output-FR (show)'!K64+'Output-FR (show)'!K65)-('Output-FR (show)'!L61+'Output-FR (show)'!L63+'Output-FR (show)'!L64+'Output-FR (show)'!L65)+('Output-FR (show)'!L85+'Output-FR (show)'!L86+'Output-FR (show)'!L87)-('Output-FR (show)'!K85+'Output-FR (show)'!K86+'Output-FR (show)'!K87)</f>
        <v>-207.03610204400024</v>
      </c>
      <c r="J16" s="1518">
        <f>('Output-FR (show)'!L61+'Output-FR (show)'!L63+'Output-FR (show)'!L64+'Output-FR (show)'!L65)-('Output-FR (show)'!M61+'Output-FR (show)'!M63+'Output-FR (show)'!M64+'Output-FR (show)'!M65)+('Output-FR (show)'!M85+'Output-FR (show)'!M86+'Output-FR (show)'!M87)-('Output-FR (show)'!L85+'Output-FR (show)'!L86+'Output-FR (show)'!L87)</f>
        <v>-105.3971521409992</v>
      </c>
      <c r="K16" s="1518">
        <f>('Output-FR (show)'!M61+'Output-FR (show)'!M63+'Output-FR (show)'!M64+'Output-FR (show)'!M65)-('Output-FR (show)'!N61+'Output-FR (show)'!N63+'Output-FR (show)'!N64+'Output-FR (show)'!N65)+('Output-FR (show)'!N85+'Output-FR (show)'!N86+'Output-FR (show)'!N87)-('Output-FR (show)'!M85+'Output-FR (show)'!M86+'Output-FR (show)'!M87)</f>
        <v>-1523.4659522490006</v>
      </c>
      <c r="L16" s="1518">
        <f>('Output-FR (show)'!N61+'Output-FR (show)'!N63+'Output-FR (show)'!N64+'Output-FR (show)'!N65)-('Output-FR (show)'!O61+'Output-FR (show)'!O63+'Output-FR (show)'!O64+'Output-FR (show)'!O65)+('Output-FR (show)'!O85+'Output-FR (show)'!O86+'Output-FR (show)'!O87)-('Output-FR (show)'!N85+'Output-FR (show)'!N86+'Output-FR (show)'!N87)</f>
        <v>349.26656553599969</v>
      </c>
      <c r="M16" s="1518">
        <f>('Output-FR (show)'!O61+'Output-FR (show)'!O63+'Output-FR (show)'!O64+'Output-FR (show)'!O65)-('Output-FR (show)'!P61+'Output-FR (show)'!P63+'Output-FR (show)'!P64+'Output-FR (show)'!P65)+('Output-FR (show)'!P85+'Output-FR (show)'!P86+'Output-FR (show)'!P87)-('Output-FR (show)'!O85+'Output-FR (show)'!O86+'Output-FR (show)'!O87)</f>
        <v>-839.26600873999951</v>
      </c>
      <c r="N16" s="1518">
        <f>('Output-FR (show)'!P61+'Output-FR (show)'!P63+'Output-FR (show)'!P64+'Output-FR (show)'!P65)-('Output-FR (show)'!Q61+'Output-FR (show)'!Q63+'Output-FR (show)'!Q64+'Output-FR (show)'!Q65)+('Output-FR (show)'!Q85+'Output-FR (show)'!Q86+'Output-FR (show)'!Q87)-('Output-FR (show)'!P85+'Output-FR (show)'!P86+'Output-FR (show)'!P87)</f>
        <v>-1668.5057623855787</v>
      </c>
      <c r="O16" s="1518">
        <f>('Output-FR (show)'!Q61+'Output-FR (show)'!Q63+'Output-FR (show)'!Q64+'Output-FR (show)'!Q65)-('Output-FR (show)'!R61+'Output-FR (show)'!R63+'Output-FR (show)'!R64+'Output-FR (show)'!R65)+('Output-FR (show)'!R85+'Output-FR (show)'!R86+'Output-FR (show)'!R87)-('Output-FR (show)'!Q85+'Output-FR (show)'!Q86+'Output-FR (show)'!Q87)</f>
        <v>-824.98831932403755</v>
      </c>
      <c r="P16" s="1518">
        <f>('Output-FR (show)'!R61+'Output-FR (show)'!R63+'Output-FR (show)'!R64+'Output-FR (show)'!R65)-('Output-FR (show)'!S61+'Output-FR (show)'!S63+'Output-FR (show)'!S64+'Output-FR (show)'!S65)+('Output-FR (show)'!S85+'Output-FR (show)'!S86+'Output-FR (show)'!S87)-('Output-FR (show)'!R85+'Output-FR (show)'!R86+'Output-FR (show)'!R87)</f>
        <v>171.66599166363358</v>
      </c>
      <c r="Q16" s="1518">
        <f>('Output-FR (show)'!S61+'Output-FR (show)'!S63+'Output-FR (show)'!S64+'Output-FR (show)'!S65)-('Output-FR (show)'!T61+'Output-FR (show)'!T63+'Output-FR (show)'!T64+'Output-FR (show)'!T65)+('Output-FR (show)'!T85+'Output-FR (show)'!T86+'Output-FR (show)'!T87)-('Output-FR (show)'!S85+'Output-FR (show)'!S86+'Output-FR (show)'!S87)</f>
        <v>-1677.682647516127</v>
      </c>
      <c r="R16" s="1518">
        <f>('Output-FR (show)'!T61+'Output-FR (show)'!T63+'Output-FR (show)'!T64+'Output-FR (show)'!T65)-('Output-FR (show)'!U61+'Output-FR (show)'!U63+'Output-FR (show)'!U64+'Output-FR (show)'!U65)+('Output-FR (show)'!U85+'Output-FR (show)'!U86+'Output-FR (show)'!U87)-('Output-FR (show)'!T85+'Output-FR (show)'!T86+'Output-FR (show)'!T87)</f>
        <v>-150.80708964454152</v>
      </c>
      <c r="S16" s="1518">
        <f>('Output-FR (show)'!U61+'Output-FR (show)'!U63+'Output-FR (show)'!U64+'Output-FR (show)'!U65)-('Output-FR (show)'!V61+'Output-FR (show)'!V63+'Output-FR (show)'!V64+'Output-FR (show)'!V65)+('Output-FR (show)'!V85+'Output-FR (show)'!V86+'Output-FR (show)'!V87)-('Output-FR (show)'!U85+'Output-FR (show)'!U86+'Output-FR (show)'!U87)</f>
        <v>32.768389412871329</v>
      </c>
      <c r="T16" s="1518">
        <f>('Output-FR (show)'!V61+'Output-FR (show)'!V63+'Output-FR (show)'!V64+'Output-FR (show)'!V65)-('Output-FR (show)'!W61+'Output-FR (show)'!W63+'Output-FR (show)'!W64+'Output-FR (show)'!W65)+('Output-FR (show)'!W85+'Output-FR (show)'!W86+'Output-FR (show)'!W87)-('Output-FR (show)'!V85+'Output-FR (show)'!V86+'Output-FR (show)'!V87)</f>
        <v>-697.44761890183327</v>
      </c>
      <c r="U16" s="1518">
        <f>('Output-FR (show)'!W61+'Output-FR (show)'!W63+'Output-FR (show)'!W64+'Output-FR (show)'!W65)-('Output-FR (show)'!X61+'Output-FR (show)'!X63+'Output-FR (show)'!X64+'Output-FR (show)'!X65)+('Output-FR (show)'!X85+'Output-FR (show)'!X86+'Output-FR (show)'!X87)-('Output-FR (show)'!W85+'Output-FR (show)'!W86+'Output-FR (show)'!W87)</f>
        <v>-488.41463668746655</v>
      </c>
      <c r="V16" s="1518">
        <f>('Output-FR (show)'!X61+'Output-FR (show)'!X63+'Output-FR (show)'!X64+'Output-FR (show)'!X65)-('Output-FR (show)'!Y61+'Output-FR (show)'!Y63+'Output-FR (show)'!Y64+'Output-FR (show)'!Y65)+('Output-FR (show)'!Y85+'Output-FR (show)'!Y86+'Output-FR (show)'!Y87)-('Output-FR (show)'!X85+'Output-FR (show)'!X86+'Output-FR (show)'!X87)</f>
        <v>-540.41546101717176</v>
      </c>
      <c r="W16" s="1518">
        <f>('Output-FR (show)'!Y61+'Output-FR (show)'!Y63+'Output-FR (show)'!Y64+'Output-FR (show)'!Y65)-('Output-FR (show)'!Z61+'Output-FR (show)'!Z63+'Output-FR (show)'!Z64+'Output-FR (show)'!Z65)+('Output-FR (show)'!Z85+'Output-FR (show)'!Z86+'Output-FR (show)'!Z87)-('Output-FR (show)'!Y85+'Output-FR (show)'!Y86+'Output-FR (show)'!Y87)</f>
        <v>-588.78967108142206</v>
      </c>
      <c r="X16" s="1518"/>
      <c r="Y16" s="1515"/>
      <c r="Z16" s="1515"/>
      <c r="AA16" s="1515"/>
      <c r="AB16" s="1515"/>
      <c r="AC16" s="1515"/>
      <c r="AD16" s="1515"/>
      <c r="AE16" s="1515"/>
      <c r="AF16" s="1515"/>
      <c r="AG16" s="1515"/>
      <c r="AH16" s="1515"/>
      <c r="AI16" s="1515"/>
      <c r="AJ16" s="1515"/>
      <c r="AK16" s="1515"/>
      <c r="AL16" s="1515"/>
      <c r="AM16" s="1515"/>
      <c r="AN16" s="1515"/>
      <c r="AO16" s="1515"/>
      <c r="AP16" s="1515"/>
      <c r="AQ16" s="1515"/>
      <c r="AR16" s="1515"/>
      <c r="AS16" s="1515"/>
      <c r="AT16" s="1515"/>
      <c r="AU16" s="1515"/>
      <c r="AV16" s="1515"/>
      <c r="AW16" s="1515"/>
      <c r="AX16" s="1515"/>
      <c r="AY16" s="1515"/>
      <c r="AZ16" s="1515"/>
      <c r="BA16" s="1515"/>
      <c r="BC16" s="2760"/>
      <c r="BD16" s="1524">
        <v>0.12173184688573288</v>
      </c>
      <c r="BE16" s="1529">
        <v>62305.021506865836</v>
      </c>
      <c r="BF16" s="1529">
        <v>65712.161508894002</v>
      </c>
      <c r="BG16" s="1530">
        <v>69789.129122693572</v>
      </c>
      <c r="BH16" s="1529">
        <v>74754.984893051907</v>
      </c>
      <c r="BI16" s="1529">
        <v>80935.99875895679</v>
      </c>
    </row>
    <row r="17" spans="3:63" s="1513" customFormat="1">
      <c r="C17" s="1513" t="s">
        <v>968</v>
      </c>
      <c r="D17" s="1514"/>
      <c r="E17" s="1515"/>
      <c r="F17" s="1515"/>
      <c r="G17" s="1518"/>
      <c r="H17" s="1518">
        <f>+'Output-FR (show)'!K166+'Output-FR (show)'!K167+'Output-FR (show)'!K171</f>
        <v>-916.70386144000008</v>
      </c>
      <c r="I17" s="1518">
        <f>+'Output-FR (show)'!L166+'Output-FR (show)'!L167+'Output-FR (show)'!L171</f>
        <v>-960.55125682999983</v>
      </c>
      <c r="J17" s="1518">
        <f>+'Output-FR (show)'!M166+'Output-FR (show)'!M167+'Output-FR (show)'!M171</f>
        <v>-123.6687409719998</v>
      </c>
      <c r="K17" s="1518">
        <f>+'Output-FR (show)'!N166+'Output-FR (show)'!N167+'Output-FR (show)'!N171</f>
        <v>-682.80508751799994</v>
      </c>
      <c r="L17" s="1518">
        <f>+'Output-FR (show)'!O166+'Output-FR (show)'!O167+'Output-FR (show)'!O171</f>
        <v>835.86052247400005</v>
      </c>
      <c r="M17" s="1518">
        <f>+'Output-FR (show)'!P166+'Output-FR (show)'!P167+'Output-FR (show)'!P171</f>
        <v>437.05549722299997</v>
      </c>
      <c r="N17" s="1518">
        <f ca="1">+'Output-FR (show)'!Q166+'Output-FR (show)'!Q167+'Output-FR (show)'!Q171</f>
        <v>630.06922863919317</v>
      </c>
      <c r="O17" s="1518">
        <f ca="1">+'Output-FR (show)'!R166+'Output-FR (show)'!R167+'Output-FR (show)'!R171</f>
        <v>203.63133696922068</v>
      </c>
      <c r="P17" s="1518">
        <f ca="1">+'Output-FR (show)'!S166+'Output-FR (show)'!S167+'Output-FR (show)'!S171</f>
        <v>-48.192580162103695</v>
      </c>
      <c r="Q17" s="1518">
        <f ca="1">+'Output-FR (show)'!T166+'Output-FR (show)'!T167+'Output-FR (show)'!T171</f>
        <v>816.91299275350264</v>
      </c>
      <c r="R17" s="1518">
        <f ca="1">+'Output-FR (show)'!U166+'Output-FR (show)'!U167+'Output-FR (show)'!U171</f>
        <v>-85.484825933154752</v>
      </c>
      <c r="S17" s="1518">
        <f ca="1">+'Output-FR (show)'!V166+'Output-FR (show)'!V167+'Output-FR (show)'!V171</f>
        <v>-244.86624235862837</v>
      </c>
      <c r="T17" s="1518">
        <f ca="1">+'Output-FR (show)'!W166+'Output-FR (show)'!W167+'Output-FR (show)'!W171</f>
        <v>-69.347705318378758</v>
      </c>
      <c r="U17" s="1518">
        <f ca="1">+'Output-FR (show)'!X166+'Output-FR (show)'!X167+'Output-FR (show)'!X171</f>
        <v>55.802603568722134</v>
      </c>
      <c r="V17" s="1518">
        <f ca="1">+'Output-FR (show)'!Y166+'Output-FR (show)'!Y167+'Output-FR (show)'!Y171</f>
        <v>98.294286073507919</v>
      </c>
      <c r="W17" s="1518">
        <f ca="1">+'Output-FR (show)'!Z166+'Output-FR (show)'!Z167+'Output-FR (show)'!Z171</f>
        <v>132.17931563921354</v>
      </c>
      <c r="X17" s="1518"/>
      <c r="Y17" s="1515"/>
      <c r="Z17" s="1515"/>
      <c r="AA17" s="1515"/>
      <c r="AB17" s="1515"/>
      <c r="AC17" s="1515"/>
      <c r="AD17" s="1515"/>
      <c r="AE17" s="1515"/>
      <c r="AF17" s="1515"/>
      <c r="AG17" s="1515"/>
      <c r="AH17" s="1515"/>
      <c r="AI17" s="1515"/>
      <c r="AJ17" s="1515"/>
      <c r="AK17" s="1515"/>
      <c r="AL17" s="1515"/>
      <c r="AM17" s="1515"/>
      <c r="AN17" s="1515"/>
      <c r="AO17" s="1515"/>
      <c r="AP17" s="1515"/>
      <c r="AQ17" s="1515"/>
      <c r="AR17" s="1515"/>
      <c r="AS17" s="1515"/>
      <c r="AT17" s="1515"/>
      <c r="AU17" s="1515"/>
      <c r="AV17" s="1515"/>
      <c r="AW17" s="1515"/>
      <c r="AX17" s="1515"/>
      <c r="AY17" s="1515"/>
      <c r="AZ17" s="1515"/>
      <c r="BA17" s="1515"/>
      <c r="BC17" s="2760"/>
      <c r="BD17" s="1524">
        <f>+BD16+2%</f>
        <v>0.14173184688573287</v>
      </c>
      <c r="BE17" s="1527">
        <v>57516.069814117822</v>
      </c>
      <c r="BF17" s="1527">
        <v>60042.387754426229</v>
      </c>
      <c r="BG17" s="1528">
        <v>62983.768474925571</v>
      </c>
      <c r="BH17" s="1527">
        <v>66451.656328795289</v>
      </c>
      <c r="BI17" s="1527">
        <v>70601.314534827194</v>
      </c>
      <c r="BJ17" s="1531"/>
      <c r="BK17" s="1532"/>
    </row>
    <row r="18" spans="3:63" s="1513" customFormat="1">
      <c r="C18" s="1533" t="s">
        <v>969</v>
      </c>
      <c r="D18" s="1534"/>
      <c r="E18" s="1535"/>
      <c r="F18" s="1535"/>
      <c r="G18" s="1536"/>
      <c r="H18" s="1536">
        <f>SUM(H10:H17)</f>
        <v>199.98844605099998</v>
      </c>
      <c r="I18" s="1536">
        <f t="shared" ref="I18:W18" si="5">SUM(I10:I17)</f>
        <v>453.30913408100014</v>
      </c>
      <c r="J18" s="1536">
        <f t="shared" si="5"/>
        <v>2724.2659393890008</v>
      </c>
      <c r="K18" s="1536">
        <f t="shared" si="5"/>
        <v>3241.3916648629993</v>
      </c>
      <c r="L18" s="1536">
        <f t="shared" si="5"/>
        <v>2710.97299264</v>
      </c>
      <c r="M18" s="1536">
        <f t="shared" si="5"/>
        <v>376.72130220900056</v>
      </c>
      <c r="N18" s="1536">
        <f t="shared" ca="1" si="5"/>
        <v>1050.4551763097111</v>
      </c>
      <c r="O18" s="1536">
        <f t="shared" ca="1" si="5"/>
        <v>1921.7127124848939</v>
      </c>
      <c r="P18" s="1536">
        <f t="shared" ca="1" si="5"/>
        <v>2499.37932473723</v>
      </c>
      <c r="Q18" s="1536">
        <f t="shared" ca="1" si="5"/>
        <v>2525.1704345813205</v>
      </c>
      <c r="R18" s="1536">
        <f t="shared" ca="1" si="5"/>
        <v>3287.1039664481486</v>
      </c>
      <c r="S18" s="1536">
        <f t="shared" ca="1" si="5"/>
        <v>2937.9794411538282</v>
      </c>
      <c r="T18" s="1536">
        <f t="shared" ca="1" si="5"/>
        <v>2413.296936948138</v>
      </c>
      <c r="U18" s="1536">
        <f t="shared" ca="1" si="5"/>
        <v>3087.8249434153436</v>
      </c>
      <c r="V18" s="1536">
        <f t="shared" ca="1" si="5"/>
        <v>3564.2287392159146</v>
      </c>
      <c r="W18" s="1536">
        <f t="shared" ca="1" si="5"/>
        <v>3601.3530165855718</v>
      </c>
      <c r="X18" s="1536"/>
      <c r="Y18" s="1535"/>
      <c r="Z18" s="1535"/>
      <c r="AA18" s="1535"/>
      <c r="AB18" s="1535"/>
      <c r="AC18" s="1535"/>
      <c r="AD18" s="1535"/>
      <c r="AE18" s="1535"/>
      <c r="AF18" s="1535"/>
      <c r="AG18" s="1535"/>
      <c r="AH18" s="1535"/>
      <c r="AI18" s="1535"/>
      <c r="AJ18" s="1535"/>
      <c r="AK18" s="1535"/>
      <c r="AL18" s="1535"/>
      <c r="AM18" s="1535"/>
      <c r="AN18" s="1535"/>
      <c r="AO18" s="1535"/>
      <c r="AP18" s="1535"/>
      <c r="AQ18" s="1535"/>
      <c r="AR18" s="1535"/>
      <c r="AS18" s="1535"/>
      <c r="AT18" s="1535"/>
      <c r="AU18" s="1535"/>
      <c r="AV18" s="1535"/>
      <c r="AW18" s="1535"/>
      <c r="AX18" s="1535"/>
      <c r="AY18" s="1535"/>
      <c r="AZ18" s="1535"/>
      <c r="BA18" s="1535"/>
      <c r="BC18" s="2760"/>
      <c r="BD18" s="1524">
        <f t="shared" ref="BD18:BD19" si="6">+BD17+2%</f>
        <v>0.16173184688573286</v>
      </c>
      <c r="BE18" s="1527">
        <v>53911.535856024529</v>
      </c>
      <c r="BF18" s="1527">
        <v>55867.296591870137</v>
      </c>
      <c r="BG18" s="1528">
        <v>58099.037748322589</v>
      </c>
      <c r="BH18" s="1527">
        <v>60669.609826714302</v>
      </c>
      <c r="BI18" s="1527">
        <v>63662.515442985306</v>
      </c>
    </row>
    <row r="19" spans="3:63" s="1513" customFormat="1">
      <c r="C19" s="1513" t="s">
        <v>970</v>
      </c>
      <c r="D19" s="1514"/>
      <c r="E19" s="1515"/>
      <c r="F19" s="1537"/>
      <c r="G19" s="1538"/>
      <c r="H19" s="1538">
        <f>IF(H26&lt;0,H18,IF(H26&lt;1,H18*(1-H26),0))</f>
        <v>199.98844605099998</v>
      </c>
      <c r="I19" s="1538">
        <f t="shared" ref="I19:W19" si="7">IF(I26&lt;0,I18,IF(I26&lt;1,I18*(1-I26),0))</f>
        <v>453.30913408100014</v>
      </c>
      <c r="J19" s="1538">
        <f t="shared" si="7"/>
        <v>2724.2659393890008</v>
      </c>
      <c r="K19" s="1538">
        <f t="shared" si="7"/>
        <v>3241.3916648629993</v>
      </c>
      <c r="L19" s="1538">
        <f t="shared" si="7"/>
        <v>2710.97299264</v>
      </c>
      <c r="M19" s="1538">
        <f t="shared" si="7"/>
        <v>376.72130220900056</v>
      </c>
      <c r="N19" s="1538">
        <f t="shared" ca="1" si="7"/>
        <v>787.84138223228331</v>
      </c>
      <c r="O19" s="1538">
        <f t="shared" ca="1" si="7"/>
        <v>0</v>
      </c>
      <c r="P19" s="1538">
        <f t="shared" ca="1" si="7"/>
        <v>0</v>
      </c>
      <c r="Q19" s="1538">
        <f t="shared" ca="1" si="7"/>
        <v>0</v>
      </c>
      <c r="R19" s="1538">
        <f t="shared" ca="1" si="7"/>
        <v>0</v>
      </c>
      <c r="S19" s="1538">
        <f t="shared" ca="1" si="7"/>
        <v>0</v>
      </c>
      <c r="T19" s="1538">
        <f t="shared" ca="1" si="7"/>
        <v>0</v>
      </c>
      <c r="U19" s="1538">
        <f t="shared" ca="1" si="7"/>
        <v>0</v>
      </c>
      <c r="V19" s="1538">
        <f t="shared" ca="1" si="7"/>
        <v>0</v>
      </c>
      <c r="W19" s="1538">
        <f t="shared" ca="1" si="7"/>
        <v>0</v>
      </c>
      <c r="X19" s="1518"/>
      <c r="Y19" s="1515"/>
      <c r="Z19" s="1515"/>
      <c r="AA19" s="1515"/>
      <c r="AB19" s="1515"/>
      <c r="AC19" s="1515"/>
      <c r="AD19" s="1515"/>
      <c r="AE19" s="1515"/>
      <c r="AF19" s="1515"/>
      <c r="AG19" s="1515"/>
      <c r="AH19" s="1515"/>
      <c r="AI19" s="1515"/>
      <c r="AJ19" s="1515"/>
      <c r="AK19" s="1515"/>
      <c r="AL19" s="1515"/>
      <c r="AM19" s="1515"/>
      <c r="AN19" s="1515"/>
      <c r="AO19" s="1515"/>
      <c r="AP19" s="1515"/>
      <c r="AQ19" s="1515"/>
      <c r="AR19" s="1515"/>
      <c r="AS19" s="1515"/>
      <c r="AT19" s="1515"/>
      <c r="AU19" s="1515"/>
      <c r="AV19" s="1515"/>
      <c r="AW19" s="1515"/>
      <c r="AX19" s="1515"/>
      <c r="AY19" s="1515"/>
      <c r="AZ19" s="1515"/>
      <c r="BA19" s="1515"/>
      <c r="BC19" s="2760"/>
      <c r="BD19" s="1524">
        <f t="shared" si="6"/>
        <v>0.18173184688573285</v>
      </c>
      <c r="BE19" s="1527">
        <v>51100.376096204716</v>
      </c>
      <c r="BF19" s="1527">
        <v>52664.672968275307</v>
      </c>
      <c r="BG19" s="1528">
        <v>54422.413111067428</v>
      </c>
      <c r="BH19" s="1527">
        <v>56411.843591632329</v>
      </c>
      <c r="BI19" s="1527">
        <v>58682.005682527379</v>
      </c>
    </row>
    <row r="20" spans="3:63" s="1513" customFormat="1">
      <c r="C20" s="1533" t="s">
        <v>971</v>
      </c>
      <c r="D20" s="1535"/>
      <c r="E20" s="1535"/>
      <c r="F20" s="1535"/>
      <c r="G20" s="1535"/>
      <c r="H20" s="1535"/>
      <c r="I20" s="1535"/>
      <c r="J20" s="1535"/>
      <c r="K20" s="1535"/>
      <c r="L20" s="1535"/>
      <c r="M20" s="1534"/>
      <c r="N20" s="1536">
        <f ca="1">N18-N19</f>
        <v>262.61379407742777</v>
      </c>
      <c r="O20" s="1536">
        <f t="shared" ref="O20:W20" ca="1" si="8">O18-O19</f>
        <v>1921.7127124848939</v>
      </c>
      <c r="P20" s="1536">
        <f t="shared" ca="1" si="8"/>
        <v>2499.37932473723</v>
      </c>
      <c r="Q20" s="1536">
        <f t="shared" ca="1" si="8"/>
        <v>2525.1704345813205</v>
      </c>
      <c r="R20" s="1536">
        <f t="shared" ca="1" si="8"/>
        <v>3287.1039664481486</v>
      </c>
      <c r="S20" s="1536">
        <f t="shared" ca="1" si="8"/>
        <v>2937.9794411538282</v>
      </c>
      <c r="T20" s="1536">
        <f t="shared" ca="1" si="8"/>
        <v>2413.296936948138</v>
      </c>
      <c r="U20" s="1536">
        <f t="shared" ca="1" si="8"/>
        <v>3087.8249434153436</v>
      </c>
      <c r="V20" s="1536">
        <f t="shared" ca="1" si="8"/>
        <v>3564.2287392159146</v>
      </c>
      <c r="W20" s="1536">
        <f t="shared" ca="1" si="8"/>
        <v>3601.3530165855718</v>
      </c>
      <c r="X20" s="1536"/>
      <c r="Y20" s="1535"/>
      <c r="Z20" s="1535"/>
      <c r="AA20" s="1535"/>
      <c r="AB20" s="1535"/>
      <c r="AC20" s="1535"/>
      <c r="AD20" s="1535"/>
      <c r="AE20" s="1535"/>
      <c r="AF20" s="1535"/>
      <c r="AG20" s="1535"/>
      <c r="AH20" s="1535"/>
      <c r="AI20" s="1535"/>
      <c r="AJ20" s="1535"/>
      <c r="AK20" s="1535"/>
      <c r="AL20" s="1535"/>
      <c r="AM20" s="1535"/>
      <c r="AN20" s="1535"/>
      <c r="AO20" s="1535"/>
      <c r="AP20" s="1535"/>
      <c r="AQ20" s="1535"/>
      <c r="AR20" s="1535"/>
      <c r="AS20" s="1535"/>
      <c r="AT20" s="1535"/>
      <c r="AU20" s="1535"/>
      <c r="AV20" s="1535"/>
      <c r="AW20" s="1535"/>
      <c r="AX20" s="1535"/>
      <c r="AY20" s="1535"/>
      <c r="AZ20" s="1535"/>
      <c r="BA20" s="1535"/>
      <c r="BC20" s="1519"/>
      <c r="BD20" s="1519"/>
      <c r="BE20" s="1519"/>
      <c r="BF20" s="1519"/>
      <c r="BG20" s="1539"/>
      <c r="BH20" s="1539"/>
    </row>
    <row r="21" spans="3:63" s="1513" customFormat="1">
      <c r="C21" s="1519"/>
      <c r="D21" s="1540"/>
      <c r="E21" s="1540"/>
      <c r="F21" s="1540"/>
      <c r="G21" s="1540"/>
      <c r="H21" s="1540"/>
      <c r="I21" s="1540"/>
      <c r="J21" s="1540"/>
      <c r="K21" s="1540"/>
      <c r="L21" s="1540"/>
      <c r="M21" s="1541"/>
      <c r="N21" s="1542"/>
      <c r="O21" s="1543"/>
      <c r="P21" s="1543"/>
      <c r="Q21" s="1543"/>
      <c r="R21" s="1543"/>
      <c r="S21" s="1543"/>
      <c r="T21" s="1543"/>
      <c r="U21" s="1543"/>
      <c r="V21" s="1543"/>
      <c r="W21" s="1543"/>
      <c r="X21" s="1542"/>
      <c r="Y21" s="1542"/>
      <c r="Z21" s="1542"/>
      <c r="AA21" s="1542"/>
      <c r="AB21" s="1542"/>
      <c r="AC21" s="1542"/>
      <c r="AD21" s="1542"/>
      <c r="AE21" s="1542"/>
      <c r="AF21" s="1542"/>
      <c r="AG21" s="1542"/>
      <c r="AH21" s="1542"/>
      <c r="AI21" s="1542"/>
      <c r="AJ21" s="1542"/>
      <c r="AK21" s="1542"/>
      <c r="AL21" s="1542"/>
      <c r="AM21" s="1542"/>
      <c r="AN21" s="1542"/>
      <c r="AO21" s="1542"/>
      <c r="AP21" s="1542"/>
      <c r="AQ21" s="1542"/>
      <c r="AR21" s="1542"/>
      <c r="AS21" s="1542"/>
      <c r="AT21" s="1542"/>
      <c r="AU21" s="1542"/>
      <c r="AV21" s="1542"/>
      <c r="AW21" s="1542"/>
      <c r="AX21" s="1542"/>
      <c r="AY21" s="1542"/>
      <c r="AZ21" s="1542"/>
      <c r="BA21" s="1542"/>
      <c r="BB21" s="1544"/>
      <c r="BC21" s="1519"/>
      <c r="BD21" s="1519"/>
      <c r="BE21" s="1519"/>
      <c r="BF21" s="1519"/>
      <c r="BG21" s="1545"/>
      <c r="BH21" s="1545"/>
    </row>
    <row r="22" spans="3:63" s="1513" customFormat="1">
      <c r="C22" s="1519" t="s">
        <v>972</v>
      </c>
      <c r="D22" s="1540">
        <f>'Assumption &amp; Result'!D8</f>
        <v>10</v>
      </c>
      <c r="E22" s="1540" t="str">
        <f>"&lt;"&amp;D22+1</f>
        <v>&lt;11</v>
      </c>
      <c r="F22" s="1540"/>
      <c r="G22" s="1540"/>
      <c r="H22" s="1540"/>
      <c r="I22" s="1540"/>
      <c r="J22" s="1540"/>
      <c r="K22" s="1540"/>
      <c r="L22" s="1546"/>
      <c r="M22" s="1547"/>
      <c r="N22" s="1518"/>
      <c r="O22" s="1518"/>
      <c r="P22" s="1518"/>
      <c r="Q22" s="1518"/>
      <c r="R22" s="1518"/>
      <c r="S22" s="1518"/>
      <c r="T22" s="1518"/>
      <c r="U22" s="1518"/>
      <c r="V22" s="1518"/>
      <c r="W22" s="1518"/>
      <c r="X22" s="1515"/>
      <c r="Y22" s="1515"/>
      <c r="Z22" s="1515"/>
      <c r="AA22" s="1515"/>
      <c r="AB22" s="1515"/>
      <c r="AC22" s="1515"/>
      <c r="AD22" s="1515"/>
      <c r="AE22" s="1515"/>
      <c r="AF22" s="1515"/>
      <c r="AG22" s="1515"/>
      <c r="AH22" s="1515"/>
      <c r="AI22" s="1515"/>
      <c r="AJ22" s="1515"/>
      <c r="AK22" s="1515"/>
      <c r="AL22" s="1515"/>
      <c r="AM22" s="1515"/>
      <c r="AN22" s="1515"/>
      <c r="AO22" s="1515"/>
      <c r="AP22" s="1515"/>
      <c r="AQ22" s="1515"/>
      <c r="AR22" s="1515"/>
      <c r="AS22" s="1515"/>
      <c r="AT22" s="1515"/>
      <c r="AU22" s="1515"/>
      <c r="AV22" s="1515"/>
      <c r="AW22" s="1515"/>
      <c r="AX22" s="1515"/>
      <c r="AY22" s="1515"/>
      <c r="AZ22" s="1515"/>
      <c r="BA22" s="1515"/>
      <c r="BB22" s="1544"/>
      <c r="BG22" s="1548"/>
      <c r="BH22" s="1548"/>
    </row>
    <row r="23" spans="3:63" s="1513" customFormat="1">
      <c r="C23" s="1519" t="s">
        <v>973</v>
      </c>
      <c r="D23" s="1549">
        <f>'Assumption &amp; Result'!D28</f>
        <v>2.2000000000000002E-2</v>
      </c>
      <c r="E23" s="1540"/>
      <c r="F23" s="1540"/>
      <c r="G23" s="1540"/>
      <c r="H23" s="1540"/>
      <c r="I23" s="1540"/>
      <c r="J23" s="1540"/>
      <c r="K23" s="1540"/>
      <c r="L23" s="1546"/>
      <c r="M23" s="1547"/>
      <c r="N23" s="1515"/>
      <c r="O23" s="1515"/>
      <c r="P23" s="1515"/>
      <c r="Q23" s="1515"/>
      <c r="R23" s="1515"/>
      <c r="S23" s="1515"/>
      <c r="T23" s="1515"/>
      <c r="U23" s="1515"/>
      <c r="V23" s="1515"/>
      <c r="W23" s="1515"/>
      <c r="X23" s="1515"/>
      <c r="Y23" s="1515"/>
      <c r="Z23" s="1515"/>
      <c r="AA23" s="1515"/>
      <c r="AB23" s="1515"/>
      <c r="AC23" s="1515"/>
      <c r="AD23" s="1515"/>
      <c r="AE23" s="1515"/>
      <c r="AF23" s="1515"/>
      <c r="AG23" s="1515"/>
      <c r="AH23" s="1515"/>
      <c r="AI23" s="1515"/>
      <c r="AJ23" s="1515"/>
      <c r="AK23" s="1515"/>
      <c r="AL23" s="1515"/>
      <c r="AM23" s="1515"/>
      <c r="AN23" s="1515"/>
      <c r="AO23" s="1515"/>
      <c r="AP23" s="1515"/>
      <c r="AQ23" s="1515"/>
      <c r="AR23" s="1515"/>
      <c r="AS23" s="1515"/>
      <c r="AT23" s="1515"/>
      <c r="AU23" s="1515"/>
      <c r="AV23" s="1515"/>
      <c r="AW23" s="1515"/>
      <c r="AX23" s="1515"/>
      <c r="AY23" s="1515"/>
      <c r="AZ23" s="1515"/>
      <c r="BA23" s="1515"/>
      <c r="BC23" s="1544"/>
      <c r="BD23" s="1544"/>
      <c r="BE23" s="1544"/>
      <c r="BF23" s="1544"/>
      <c r="BG23" s="1544"/>
    </row>
    <row r="24" spans="3:63" s="1513" customFormat="1">
      <c r="C24" s="1519" t="s">
        <v>974</v>
      </c>
      <c r="D24" s="1549">
        <f ca="1">'Assumption &amp; Result'!D18</f>
        <v>0.16224423724823789</v>
      </c>
      <c r="E24" s="1540"/>
      <c r="F24" s="1540"/>
      <c r="G24" s="1540"/>
      <c r="H24" s="1540"/>
      <c r="I24" s="1540"/>
      <c r="J24" s="1540"/>
      <c r="K24" s="1540"/>
      <c r="L24" s="1546"/>
      <c r="M24" s="1547"/>
      <c r="N24" s="1518"/>
      <c r="O24" s="1518"/>
      <c r="P24" s="1518"/>
      <c r="Q24" s="1518"/>
      <c r="R24" s="1518"/>
      <c r="S24" s="1518"/>
      <c r="T24" s="1518"/>
      <c r="U24" s="1518"/>
      <c r="V24" s="1518"/>
      <c r="W24" s="1518"/>
      <c r="X24" s="1518"/>
      <c r="Y24" s="1515"/>
      <c r="Z24" s="1515"/>
      <c r="AA24" s="1515"/>
      <c r="AB24" s="1515"/>
      <c r="AC24" s="1515"/>
      <c r="AD24" s="1515"/>
      <c r="AE24" s="1515"/>
      <c r="AF24" s="1515"/>
      <c r="AG24" s="1515"/>
      <c r="AH24" s="1515"/>
      <c r="AI24" s="1515"/>
      <c r="AJ24" s="1515"/>
      <c r="AK24" s="1515"/>
      <c r="AL24" s="1515"/>
      <c r="AM24" s="1515"/>
      <c r="AN24" s="1515"/>
      <c r="AO24" s="1515"/>
      <c r="AP24" s="1515"/>
      <c r="AQ24" s="1515"/>
      <c r="AR24" s="1515"/>
      <c r="AS24" s="1515"/>
      <c r="AT24" s="1515"/>
      <c r="AU24" s="1515"/>
      <c r="AV24" s="1515"/>
      <c r="AW24" s="1515"/>
      <c r="AX24" s="1515"/>
      <c r="AY24" s="1515"/>
      <c r="AZ24" s="1515"/>
      <c r="BA24" s="1515"/>
      <c r="BC24" s="1544"/>
      <c r="BD24" s="1544"/>
      <c r="BE24" s="1544"/>
      <c r="BF24" s="1544"/>
      <c r="BG24" s="1544"/>
    </row>
    <row r="25" spans="3:63" s="1513" customFormat="1">
      <c r="C25" s="1519"/>
      <c r="D25" s="1549"/>
      <c r="E25" s="1540"/>
      <c r="F25" s="1540"/>
      <c r="G25" s="1540"/>
      <c r="H25" s="1540"/>
      <c r="I25" s="1540"/>
      <c r="J25" s="1540"/>
      <c r="K25" s="1540"/>
      <c r="L25" s="1540"/>
      <c r="M25" s="1541"/>
      <c r="N25" s="1543"/>
      <c r="O25" s="1543"/>
      <c r="P25" s="1543"/>
      <c r="Q25" s="1543"/>
      <c r="R25" s="1543"/>
      <c r="S25" s="1543"/>
      <c r="T25" s="1543"/>
      <c r="U25" s="1543"/>
      <c r="V25" s="1543"/>
      <c r="W25" s="1543"/>
      <c r="X25" s="1543"/>
      <c r="Y25" s="1542"/>
      <c r="Z25" s="1542"/>
      <c r="AA25" s="1542"/>
      <c r="AB25" s="1542"/>
      <c r="AC25" s="1542"/>
      <c r="AD25" s="1542"/>
      <c r="AE25" s="1542"/>
      <c r="AF25" s="1542"/>
      <c r="AG25" s="1542"/>
      <c r="AH25" s="1542"/>
      <c r="AI25" s="1542"/>
      <c r="AJ25" s="1542"/>
      <c r="AK25" s="1542"/>
      <c r="AL25" s="1542"/>
      <c r="AM25" s="1542"/>
      <c r="AN25" s="1542"/>
      <c r="AO25" s="1542"/>
      <c r="AP25" s="1542"/>
      <c r="AQ25" s="1542"/>
      <c r="AR25" s="1542"/>
      <c r="AS25" s="1542"/>
      <c r="AT25" s="1542"/>
      <c r="AU25" s="1542"/>
      <c r="AV25" s="1542"/>
      <c r="AW25" s="1542"/>
      <c r="AX25" s="1542"/>
      <c r="AY25" s="1542"/>
      <c r="AZ25" s="1542"/>
      <c r="BA25" s="1542"/>
      <c r="BC25" s="1544"/>
      <c r="BD25" s="1544"/>
      <c r="BE25" s="1544"/>
      <c r="BF25" s="1544"/>
      <c r="BG25" s="1544"/>
    </row>
    <row r="26" spans="3:63" s="1513" customFormat="1">
      <c r="C26" s="1513" t="s">
        <v>958</v>
      </c>
      <c r="D26" s="1546"/>
      <c r="E26" s="1546"/>
      <c r="F26" s="1546"/>
      <c r="G26" s="1546"/>
      <c r="H26" s="1546"/>
      <c r="I26" s="1546"/>
      <c r="J26" s="1546"/>
      <c r="K26" s="1546"/>
      <c r="L26" s="1550"/>
      <c r="M26" s="1551"/>
      <c r="N26" s="1552">
        <f ca="1">D5</f>
        <v>0.25</v>
      </c>
      <c r="O26" s="1552">
        <f ca="1">+N26+1</f>
        <v>1.25</v>
      </c>
      <c r="P26" s="1552">
        <f t="shared" ref="P26:W26" ca="1" si="9">+O26+1</f>
        <v>2.25</v>
      </c>
      <c r="Q26" s="1552">
        <f t="shared" ca="1" si="9"/>
        <v>3.25</v>
      </c>
      <c r="R26" s="1552">
        <f t="shared" ca="1" si="9"/>
        <v>4.25</v>
      </c>
      <c r="S26" s="1552">
        <f t="shared" ca="1" si="9"/>
        <v>5.25</v>
      </c>
      <c r="T26" s="1552">
        <f t="shared" ca="1" si="9"/>
        <v>6.25</v>
      </c>
      <c r="U26" s="1552">
        <f t="shared" ca="1" si="9"/>
        <v>7.25</v>
      </c>
      <c r="V26" s="1552">
        <f t="shared" ca="1" si="9"/>
        <v>8.25</v>
      </c>
      <c r="W26" s="1552">
        <f t="shared" ca="1" si="9"/>
        <v>9.25</v>
      </c>
      <c r="X26" s="1552"/>
      <c r="Y26" s="1553"/>
      <c r="Z26" s="1553"/>
      <c r="AA26" s="1553"/>
      <c r="AB26" s="1553"/>
      <c r="AC26" s="1553"/>
      <c r="AD26" s="1553"/>
      <c r="AE26" s="1553"/>
      <c r="AF26" s="1553"/>
      <c r="AG26" s="1553"/>
      <c r="AH26" s="1553"/>
      <c r="AI26" s="1553"/>
      <c r="AJ26" s="1553"/>
      <c r="AK26" s="1553"/>
      <c r="AL26" s="1553"/>
      <c r="AM26" s="1553"/>
      <c r="AN26" s="1553"/>
      <c r="AO26" s="1553"/>
      <c r="AP26" s="1553"/>
      <c r="AQ26" s="1553"/>
      <c r="AR26" s="1553"/>
      <c r="AS26" s="1553"/>
      <c r="AT26" s="1553"/>
      <c r="AU26" s="1553"/>
      <c r="AV26" s="1553"/>
      <c r="AW26" s="1553"/>
      <c r="AX26" s="1553"/>
      <c r="AY26" s="1553"/>
      <c r="AZ26" s="1553"/>
      <c r="BA26" s="1553"/>
      <c r="BC26" s="1544"/>
      <c r="BD26" s="1544"/>
      <c r="BE26" s="1544"/>
      <c r="BF26" s="1544"/>
      <c r="BG26" s="1542"/>
    </row>
    <row r="27" spans="3:63" s="1513" customFormat="1">
      <c r="C27" s="1513" t="s">
        <v>975</v>
      </c>
      <c r="D27" s="1515"/>
      <c r="E27" s="1515"/>
      <c r="F27" s="1515"/>
      <c r="G27" s="1515"/>
      <c r="H27" s="1515"/>
      <c r="I27" s="1515"/>
      <c r="J27" s="1515"/>
      <c r="K27" s="1515"/>
      <c r="L27" s="1518"/>
      <c r="M27" s="1520"/>
      <c r="N27" s="1518">
        <f ca="1">(1+N48)^N26</f>
        <v>1.0393325155308057</v>
      </c>
      <c r="O27" s="1518">
        <f t="shared" ref="O27:W27" ca="1" si="10">(1+O48)^O26</f>
        <v>1.2147599527134483</v>
      </c>
      <c r="P27" s="1518">
        <f t="shared" ca="1" si="10"/>
        <v>1.4160251961307173</v>
      </c>
      <c r="Q27" s="1518">
        <f t="shared" ca="1" si="10"/>
        <v>1.6523990432533879</v>
      </c>
      <c r="R27" s="1518">
        <f t="shared" ca="1" si="10"/>
        <v>1.9262042901725835</v>
      </c>
      <c r="S27" s="1518">
        <f t="shared" ca="1" si="10"/>
        <v>2.2278608826804209</v>
      </c>
      <c r="T27" s="1518">
        <f t="shared" ca="1" si="10"/>
        <v>2.5743304380757053</v>
      </c>
      <c r="U27" s="1518">
        <f t="shared" ca="1" si="10"/>
        <v>2.9815203163978454</v>
      </c>
      <c r="V27" s="1518">
        <f t="shared" ca="1" si="10"/>
        <v>3.4587548533969459</v>
      </c>
      <c r="W27" s="1518">
        <f t="shared" ca="1" si="10"/>
        <v>4.0179170258244987</v>
      </c>
      <c r="X27" s="1518"/>
      <c r="Y27" s="1554"/>
      <c r="Z27" s="1554"/>
      <c r="AA27" s="1554"/>
      <c r="AB27" s="1554"/>
      <c r="AC27" s="1554"/>
      <c r="AD27" s="1554"/>
      <c r="AE27" s="1554"/>
      <c r="AF27" s="1554"/>
      <c r="AG27" s="1554"/>
      <c r="AH27" s="1554"/>
      <c r="AI27" s="1554"/>
      <c r="AJ27" s="1554"/>
      <c r="AK27" s="1554"/>
      <c r="AL27" s="1554"/>
      <c r="AM27" s="1554"/>
      <c r="AN27" s="1554"/>
      <c r="AO27" s="1554"/>
      <c r="AP27" s="1554"/>
      <c r="AQ27" s="1554"/>
      <c r="AR27" s="1554"/>
      <c r="AS27" s="1554"/>
      <c r="AT27" s="1554"/>
      <c r="AU27" s="1554"/>
      <c r="AV27" s="1554"/>
      <c r="AW27" s="1554"/>
      <c r="AX27" s="1554"/>
      <c r="AY27" s="1554"/>
      <c r="AZ27" s="1554"/>
      <c r="BA27" s="1554"/>
    </row>
    <row r="28" spans="3:63" s="1513" customFormat="1">
      <c r="C28" s="1533" t="s">
        <v>976</v>
      </c>
      <c r="D28" s="1535"/>
      <c r="E28" s="1555"/>
      <c r="F28" s="1555"/>
      <c r="G28" s="1555"/>
      <c r="H28" s="1555"/>
      <c r="I28" s="1555"/>
      <c r="J28" s="1555"/>
      <c r="K28" s="1555"/>
      <c r="L28" s="1555"/>
      <c r="M28" s="1556"/>
      <c r="N28" s="1536">
        <f ca="1">IF(N26&lt;0,0,N20/N27)</f>
        <v>252.67543365879033</v>
      </c>
      <c r="O28" s="1536">
        <f t="shared" ref="O28:W28" ca="1" si="11">IF(O26&lt;0,0,O20/O27)</f>
        <v>1581.9691027781271</v>
      </c>
      <c r="P28" s="1536">
        <f t="shared" ca="1" si="11"/>
        <v>1765.0669857900643</v>
      </c>
      <c r="Q28" s="1536">
        <f t="shared" ca="1" si="11"/>
        <v>1528.1843964334087</v>
      </c>
      <c r="R28" s="1536">
        <f t="shared" ca="1" si="11"/>
        <v>1706.5188688545759</v>
      </c>
      <c r="S28" s="1536">
        <f t="shared" ca="1" si="11"/>
        <v>1318.7445697323064</v>
      </c>
      <c r="T28" s="1536">
        <f t="shared" ca="1" si="11"/>
        <v>937.44645258207845</v>
      </c>
      <c r="U28" s="1536">
        <f t="shared" ca="1" si="11"/>
        <v>1035.6545036546761</v>
      </c>
      <c r="V28" s="1536">
        <f t="shared" ca="1" si="11"/>
        <v>1030.4947561447957</v>
      </c>
      <c r="W28" s="1536">
        <f t="shared" ca="1" si="11"/>
        <v>896.32339180686643</v>
      </c>
      <c r="X28" s="1536"/>
      <c r="Y28" s="1535"/>
      <c r="Z28" s="1535"/>
      <c r="AA28" s="1535"/>
      <c r="AB28" s="1535"/>
      <c r="AC28" s="1535"/>
      <c r="AD28" s="1535"/>
      <c r="AE28" s="1535"/>
      <c r="AF28" s="1535"/>
      <c r="AG28" s="1535"/>
      <c r="AH28" s="1535"/>
      <c r="AI28" s="1535"/>
      <c r="AJ28" s="1535"/>
      <c r="AK28" s="1535"/>
      <c r="AL28" s="1535"/>
      <c r="AM28" s="1535"/>
      <c r="AN28" s="1535"/>
      <c r="AO28" s="1535"/>
      <c r="AP28" s="1535"/>
      <c r="AQ28" s="1535"/>
      <c r="AR28" s="1535"/>
      <c r="AS28" s="1535"/>
      <c r="AT28" s="1535"/>
      <c r="AU28" s="1535"/>
      <c r="AV28" s="1535"/>
      <c r="AW28" s="1535"/>
      <c r="AX28" s="1535"/>
      <c r="AY28" s="1535"/>
      <c r="AZ28" s="1535"/>
      <c r="BA28" s="1535"/>
    </row>
    <row r="29" spans="3:63" s="1513" customFormat="1">
      <c r="C29" s="1513" t="s">
        <v>977</v>
      </c>
      <c r="D29" s="1557">
        <f ca="1">SUMIF(N7:AY7,E22,DCF!N28:W28)</f>
        <v>12053.078461435689</v>
      </c>
      <c r="E29" s="1558"/>
      <c r="F29" s="1558"/>
      <c r="G29" s="1558"/>
      <c r="H29" s="1558"/>
      <c r="I29" s="1558"/>
      <c r="J29" s="1558"/>
      <c r="K29" s="1558"/>
      <c r="L29" s="1558"/>
      <c r="M29" s="1559"/>
      <c r="N29" s="1560"/>
      <c r="O29" s="1560"/>
      <c r="P29" s="1560"/>
      <c r="Q29" s="1560"/>
      <c r="R29" s="1560"/>
      <c r="S29" s="1560"/>
      <c r="T29" s="1560"/>
      <c r="U29" s="1560"/>
      <c r="V29" s="1560"/>
      <c r="W29" s="1560"/>
      <c r="X29" s="1560"/>
      <c r="Y29" s="1561"/>
      <c r="Z29" s="1561"/>
      <c r="AA29" s="1561"/>
      <c r="AB29" s="1561"/>
      <c r="AC29" s="1561"/>
      <c r="AD29" s="1561"/>
      <c r="AE29" s="1561"/>
      <c r="AF29" s="1561"/>
      <c r="AG29" s="1561"/>
      <c r="AH29" s="1561"/>
      <c r="AI29" s="1561"/>
      <c r="AJ29" s="1561"/>
      <c r="AK29" s="1561"/>
      <c r="AL29" s="1561"/>
      <c r="AM29" s="1561"/>
      <c r="AN29" s="1561"/>
      <c r="AO29" s="1561"/>
      <c r="AP29" s="1561"/>
      <c r="AQ29" s="1561"/>
      <c r="AR29" s="1561"/>
      <c r="AS29" s="1561"/>
      <c r="AT29" s="1561"/>
      <c r="AU29" s="1561"/>
      <c r="AV29" s="1561"/>
      <c r="AW29" s="1561"/>
      <c r="AX29" s="1561"/>
      <c r="AY29" s="1561"/>
      <c r="AZ29" s="1561"/>
      <c r="BA29" s="1561"/>
      <c r="BB29" s="75"/>
      <c r="BC29" s="2765"/>
      <c r="BD29" s="2765"/>
      <c r="BE29" s="2765"/>
      <c r="BF29" s="2765"/>
      <c r="BG29" s="2765"/>
      <c r="BH29" s="2765"/>
    </row>
    <row r="30" spans="3:63" s="1513" customFormat="1">
      <c r="C30" s="1513" t="s">
        <v>978</v>
      </c>
      <c r="D30" s="1557">
        <f ca="1">(CELL("contents",OFFSET(M28,0,D22)))*(1+D23)/(D24-D23)</f>
        <v>6531.7657566576918</v>
      </c>
      <c r="E30" s="1562"/>
      <c r="G30" s="1562"/>
      <c r="H30" s="1562"/>
      <c r="I30" s="1562"/>
      <c r="J30" s="1562"/>
      <c r="K30" s="1562"/>
      <c r="L30" s="1562"/>
      <c r="M30" s="1563"/>
      <c r="N30" s="1544"/>
      <c r="O30" s="1544"/>
      <c r="P30" s="1544"/>
      <c r="Q30" s="1544"/>
      <c r="R30" s="1544"/>
      <c r="S30" s="1544"/>
      <c r="T30" s="1544"/>
      <c r="U30" s="1544"/>
      <c r="V30" s="1544"/>
      <c r="W30" s="1544"/>
      <c r="X30" s="1544"/>
      <c r="Y30" s="1544"/>
      <c r="Z30" s="1544"/>
      <c r="AA30" s="1544"/>
      <c r="AB30" s="1544"/>
      <c r="AC30" s="1544"/>
      <c r="AD30" s="1544"/>
      <c r="AE30" s="1544"/>
      <c r="AF30" s="1544"/>
      <c r="AG30" s="1544"/>
      <c r="AH30" s="1544"/>
      <c r="AI30" s="1544"/>
      <c r="AJ30" s="1544"/>
      <c r="AK30" s="1544"/>
      <c r="AL30" s="1544"/>
      <c r="AM30" s="1544"/>
      <c r="AN30" s="1544"/>
      <c r="AO30" s="1544"/>
      <c r="AP30" s="1544"/>
      <c r="AQ30" s="1544"/>
      <c r="AR30" s="1544"/>
      <c r="AS30" s="1544"/>
      <c r="AT30" s="1544"/>
      <c r="AU30" s="1544"/>
      <c r="AV30" s="1544"/>
      <c r="AW30" s="1544"/>
      <c r="AX30" s="1544"/>
      <c r="AY30" s="1544"/>
      <c r="AZ30" s="1544"/>
      <c r="BA30" s="1544"/>
      <c r="BB30" s="1564"/>
      <c r="BC30" s="140"/>
      <c r="BD30" s="2761"/>
      <c r="BE30" s="2761"/>
      <c r="BF30" s="2761"/>
      <c r="BG30" s="2761"/>
      <c r="BH30" s="2761"/>
      <c r="BI30" s="2761"/>
    </row>
    <row r="31" spans="3:63" s="1570" customFormat="1" ht="15" customHeight="1">
      <c r="C31" s="1565" t="s">
        <v>979</v>
      </c>
      <c r="D31" s="1566">
        <f ca="1">+D29+D30</f>
        <v>18584.844218093382</v>
      </c>
      <c r="E31" s="1567"/>
      <c r="F31" s="1567"/>
      <c r="G31" s="1785"/>
      <c r="H31" s="1567"/>
      <c r="I31" s="1567"/>
      <c r="J31" s="1567"/>
      <c r="K31" s="1567"/>
      <c r="L31" s="1562"/>
      <c r="M31" s="1563"/>
      <c r="N31" s="1490"/>
      <c r="O31" s="1490"/>
      <c r="P31" s="1568"/>
      <c r="Q31" s="1490"/>
      <c r="R31" s="1490"/>
      <c r="S31" s="1490"/>
      <c r="T31" s="1490"/>
      <c r="U31" s="1490"/>
      <c r="V31" s="1490"/>
      <c r="W31" s="1490"/>
      <c r="X31" s="1490"/>
      <c r="Y31" s="1490"/>
      <c r="Z31" s="1490"/>
      <c r="AA31" s="1490"/>
      <c r="AB31" s="1490"/>
      <c r="AC31" s="1490"/>
      <c r="AD31" s="1490"/>
      <c r="AE31" s="1490"/>
      <c r="AF31" s="1490"/>
      <c r="AG31" s="1490"/>
      <c r="AH31" s="1490"/>
      <c r="AI31" s="1490"/>
      <c r="AJ31" s="1490"/>
      <c r="AK31" s="1490"/>
      <c r="AL31" s="1490"/>
      <c r="AM31" s="1490"/>
      <c r="AN31" s="1490"/>
      <c r="AO31" s="1490"/>
      <c r="AP31" s="1490"/>
      <c r="AQ31" s="1490"/>
      <c r="AR31" s="1490"/>
      <c r="AS31" s="1490"/>
      <c r="AT31" s="1490"/>
      <c r="AU31" s="1490"/>
      <c r="AV31" s="1490"/>
      <c r="AW31" s="1490"/>
      <c r="AX31" s="1490"/>
      <c r="AY31" s="1490"/>
      <c r="AZ31" s="1490"/>
      <c r="BA31" s="1490"/>
      <c r="BB31" s="2763"/>
      <c r="BC31" s="1569"/>
      <c r="BD31" s="851"/>
      <c r="BE31" s="2762"/>
      <c r="BF31" s="2762"/>
      <c r="BG31" s="2762"/>
      <c r="BH31" s="2762"/>
      <c r="BI31" s="2762"/>
      <c r="BJ31" s="1489"/>
      <c r="BK31" s="1489"/>
    </row>
    <row r="32" spans="3:63" s="1513" customFormat="1">
      <c r="C32" s="1571" t="s">
        <v>980</v>
      </c>
      <c r="D32" s="1572">
        <f>Input!P158</f>
        <v>0</v>
      </c>
      <c r="E32" s="1573"/>
      <c r="F32" s="1573"/>
      <c r="G32" s="1573"/>
      <c r="H32" s="1573"/>
      <c r="I32" s="1573"/>
      <c r="J32" s="1573"/>
      <c r="K32" s="1573"/>
      <c r="L32" s="1574"/>
      <c r="M32" s="1575"/>
      <c r="N32" s="1519"/>
      <c r="O32" s="1519"/>
      <c r="P32" s="1519"/>
      <c r="Q32" s="1519"/>
      <c r="R32" s="1519"/>
      <c r="S32" s="1519"/>
      <c r="T32" s="1519"/>
      <c r="U32" s="1519"/>
      <c r="V32" s="1519"/>
      <c r="W32" s="1519"/>
      <c r="X32" s="1519"/>
      <c r="Y32" s="1519"/>
      <c r="Z32" s="1519"/>
      <c r="AA32" s="1519"/>
      <c r="AB32" s="1519"/>
      <c r="AC32" s="1519"/>
      <c r="AD32" s="1519"/>
      <c r="AE32" s="1519"/>
      <c r="AF32" s="1519"/>
      <c r="AG32" s="1519"/>
      <c r="AH32" s="1519"/>
      <c r="AI32" s="1519"/>
      <c r="AJ32" s="1519"/>
      <c r="AK32" s="1519"/>
      <c r="AL32" s="1519"/>
      <c r="AM32" s="1519"/>
      <c r="AN32" s="1519"/>
      <c r="AO32" s="1519"/>
      <c r="AP32" s="1519"/>
      <c r="AQ32" s="1519"/>
      <c r="AR32" s="1519"/>
      <c r="AS32" s="1519"/>
      <c r="AT32" s="1519"/>
      <c r="AU32" s="1519"/>
      <c r="AV32" s="1519"/>
      <c r="AW32" s="1519"/>
      <c r="AX32" s="1519"/>
      <c r="AY32" s="1519"/>
      <c r="AZ32" s="1519"/>
      <c r="BA32" s="1519"/>
      <c r="BB32" s="2763"/>
      <c r="BC32" s="1569"/>
      <c r="BD32" s="1576"/>
      <c r="BE32" s="1522"/>
      <c r="BF32" s="1522"/>
      <c r="BG32" s="1522"/>
      <c r="BH32" s="1522"/>
      <c r="BI32" s="1522"/>
    </row>
    <row r="33" spans="3:61" s="1513" customFormat="1">
      <c r="C33" s="1571" t="s">
        <v>981</v>
      </c>
      <c r="D33" s="1572">
        <f>+Input!P176</f>
        <v>7039.0512328770001</v>
      </c>
      <c r="E33" s="1573"/>
      <c r="F33" s="1573"/>
      <c r="G33" s="1573"/>
      <c r="H33" s="1573"/>
      <c r="I33" s="1573"/>
      <c r="J33" s="1573"/>
      <c r="K33" s="1573"/>
      <c r="L33" s="1574"/>
      <c r="M33" s="1575"/>
      <c r="N33" s="1519"/>
      <c r="O33" s="1519"/>
      <c r="P33" s="1519"/>
      <c r="Q33" s="1519"/>
      <c r="R33" s="1519"/>
      <c r="S33" s="1519"/>
      <c r="T33" s="1519"/>
      <c r="U33" s="1519"/>
      <c r="V33" s="1519"/>
      <c r="W33" s="1519"/>
      <c r="X33" s="1519"/>
      <c r="Y33" s="1519"/>
      <c r="Z33" s="1519"/>
      <c r="AA33" s="1519"/>
      <c r="AB33" s="1519"/>
      <c r="AC33" s="1519"/>
      <c r="AD33" s="1519"/>
      <c r="AE33" s="1519"/>
      <c r="AF33" s="1519"/>
      <c r="AG33" s="1519"/>
      <c r="AH33" s="1519"/>
      <c r="AI33" s="1519"/>
      <c r="AJ33" s="1519"/>
      <c r="AK33" s="1519"/>
      <c r="AL33" s="1519"/>
      <c r="AM33" s="1519"/>
      <c r="AN33" s="1519"/>
      <c r="AO33" s="1519"/>
      <c r="AP33" s="1519"/>
      <c r="AQ33" s="1519"/>
      <c r="AR33" s="1519"/>
      <c r="AS33" s="1519"/>
      <c r="AT33" s="1519"/>
      <c r="AU33" s="1519"/>
      <c r="AV33" s="1519"/>
      <c r="AW33" s="1519"/>
      <c r="AX33" s="1519"/>
      <c r="AY33" s="1519"/>
      <c r="AZ33" s="1519"/>
      <c r="BA33" s="1519"/>
      <c r="BB33" s="2763"/>
      <c r="BC33" s="2763"/>
      <c r="BD33" s="1577"/>
      <c r="BE33" s="1578"/>
      <c r="BF33" s="1578"/>
      <c r="BG33" s="1578"/>
      <c r="BH33" s="1578"/>
      <c r="BI33" s="1578"/>
    </row>
    <row r="34" spans="3:61" s="1513" customFormat="1">
      <c r="C34" s="1571" t="s">
        <v>982</v>
      </c>
      <c r="D34" s="1572">
        <f>Input!P254</f>
        <v>0</v>
      </c>
      <c r="E34" s="1562"/>
      <c r="F34" s="1562"/>
      <c r="G34" s="1562"/>
      <c r="H34" s="1562"/>
      <c r="I34" s="1562"/>
      <c r="J34" s="1562"/>
      <c r="K34" s="1562"/>
      <c r="L34" s="1562"/>
      <c r="M34" s="1563"/>
      <c r="N34" s="1544"/>
      <c r="O34" s="1544"/>
      <c r="P34" s="1579"/>
      <c r="Q34" s="1544"/>
      <c r="R34" s="1544"/>
      <c r="S34" s="1544"/>
      <c r="T34" s="1544"/>
      <c r="U34" s="1544"/>
      <c r="V34" s="1544"/>
      <c r="W34" s="1544"/>
      <c r="X34" s="1544"/>
      <c r="Y34" s="1544"/>
      <c r="Z34" s="1544"/>
      <c r="AA34" s="1544"/>
      <c r="AB34" s="1544"/>
      <c r="AC34" s="1544"/>
      <c r="AD34" s="1544"/>
      <c r="AE34" s="1544"/>
      <c r="AF34" s="1544"/>
      <c r="AG34" s="1544"/>
      <c r="AH34" s="1544"/>
      <c r="AI34" s="1544"/>
      <c r="AJ34" s="1544"/>
      <c r="AK34" s="1544"/>
      <c r="AL34" s="1544"/>
      <c r="AM34" s="1544"/>
      <c r="AN34" s="1544"/>
      <c r="AO34" s="1544"/>
      <c r="AP34" s="1544"/>
      <c r="AQ34" s="1544"/>
      <c r="AR34" s="1544"/>
      <c r="AS34" s="1544"/>
      <c r="AT34" s="1544"/>
      <c r="AU34" s="1544"/>
      <c r="AV34" s="1544"/>
      <c r="AW34" s="1544"/>
      <c r="AX34" s="1544"/>
      <c r="AY34" s="1544"/>
      <c r="AZ34" s="1544"/>
      <c r="BA34" s="1544"/>
      <c r="BB34" s="2763"/>
      <c r="BC34" s="2763"/>
      <c r="BD34" s="1577"/>
      <c r="BE34" s="1527"/>
      <c r="BF34" s="1527"/>
      <c r="BG34" s="1527"/>
      <c r="BH34" s="1527"/>
      <c r="BI34" s="1527"/>
    </row>
    <row r="35" spans="3:61">
      <c r="C35" s="1565" t="s">
        <v>983</v>
      </c>
      <c r="D35" s="1566">
        <f ca="1">SUM(D31:D34)</f>
        <v>25623.895450970384</v>
      </c>
      <c r="E35" s="1567"/>
      <c r="F35" s="1567"/>
      <c r="G35" s="1567"/>
      <c r="H35" s="1567"/>
      <c r="I35" s="1567"/>
      <c r="J35" s="1567"/>
      <c r="K35" s="1567"/>
      <c r="L35" s="1562"/>
      <c r="M35" s="1563"/>
      <c r="BB35" s="2763"/>
      <c r="BC35" s="2763"/>
      <c r="BD35" s="1577"/>
      <c r="BE35" s="1580"/>
      <c r="BF35" s="1580"/>
      <c r="BG35" s="1580"/>
      <c r="BH35" s="1580"/>
      <c r="BI35" s="1580"/>
    </row>
    <row r="36" spans="3:61" s="1513" customFormat="1">
      <c r="C36" s="1513" t="s">
        <v>984</v>
      </c>
      <c r="D36" s="1581">
        <f>'Assumption &amp; Result'!D31</f>
        <v>529.4</v>
      </c>
      <c r="E36" s="1582"/>
      <c r="F36" s="1582"/>
      <c r="G36" s="1582"/>
      <c r="H36" s="1582"/>
      <c r="I36" s="1786"/>
      <c r="J36" s="1582"/>
      <c r="K36" s="1582"/>
      <c r="L36" s="1562"/>
      <c r="M36" s="1563"/>
      <c r="N36" s="1544"/>
      <c r="O36" s="1544"/>
      <c r="P36" s="1544"/>
      <c r="Q36" s="1544"/>
      <c r="R36" s="1544"/>
      <c r="S36" s="1544"/>
      <c r="T36" s="1544"/>
      <c r="U36" s="1544"/>
      <c r="V36" s="1544"/>
      <c r="W36" s="1544"/>
      <c r="X36" s="1544"/>
      <c r="Y36" s="1544"/>
      <c r="Z36" s="1544"/>
      <c r="AA36" s="1544"/>
      <c r="AB36" s="1544"/>
      <c r="AC36" s="1544"/>
      <c r="AD36" s="1544"/>
      <c r="AE36" s="1544"/>
      <c r="AF36" s="1544"/>
      <c r="AG36" s="1544"/>
      <c r="AH36" s="1544"/>
      <c r="AI36" s="1544"/>
      <c r="AJ36" s="1544"/>
      <c r="AK36" s="1544"/>
      <c r="AL36" s="1544"/>
      <c r="AM36" s="1544"/>
      <c r="AN36" s="1544"/>
      <c r="AO36" s="1544"/>
      <c r="AP36" s="1544"/>
      <c r="AQ36" s="1544"/>
      <c r="AR36" s="1544"/>
      <c r="AS36" s="1544"/>
      <c r="AT36" s="1544"/>
      <c r="AU36" s="1544"/>
      <c r="AV36" s="1544"/>
      <c r="AW36" s="1544"/>
      <c r="AX36" s="1544"/>
      <c r="AY36" s="1544"/>
      <c r="AZ36" s="1544"/>
      <c r="BA36" s="1544"/>
      <c r="BB36" s="2763"/>
      <c r="BC36" s="2763"/>
      <c r="BD36" s="1524"/>
      <c r="BE36" s="1527"/>
      <c r="BF36" s="1527"/>
      <c r="BG36" s="1527"/>
      <c r="BH36" s="1527"/>
      <c r="BI36" s="1527"/>
    </row>
    <row r="37" spans="3:61">
      <c r="C37" s="1583" t="s">
        <v>985</v>
      </c>
      <c r="D37" s="1584">
        <f ca="1">D35*1000/D36</f>
        <v>48401.767002210778</v>
      </c>
      <c r="E37" s="1585"/>
      <c r="F37" s="1585"/>
      <c r="G37" s="1585"/>
      <c r="H37" s="1585"/>
      <c r="I37" s="1585"/>
      <c r="J37" s="1585"/>
      <c r="K37" s="1585"/>
      <c r="L37" s="1562"/>
      <c r="M37" s="1563"/>
      <c r="BC37" s="2763"/>
      <c r="BD37" s="1577"/>
      <c r="BE37" s="1580"/>
      <c r="BF37" s="1580"/>
      <c r="BG37" s="1580"/>
      <c r="BH37" s="1580"/>
      <c r="BI37" s="1580"/>
    </row>
    <row r="38" spans="3:61">
      <c r="D38" s="1586"/>
      <c r="E38" s="1558"/>
      <c r="F38" s="1558"/>
      <c r="G38" s="1558"/>
      <c r="H38" s="1558"/>
      <c r="I38" s="1558"/>
      <c r="J38" s="1558"/>
      <c r="K38" s="1558"/>
      <c r="L38" s="1558"/>
      <c r="M38" s="1559"/>
      <c r="N38" s="1587"/>
      <c r="O38" s="1587"/>
      <c r="P38" s="1587"/>
      <c r="Q38" s="1587"/>
      <c r="R38" s="1587"/>
      <c r="S38" s="1587"/>
      <c r="T38" s="1587"/>
      <c r="U38" s="1587"/>
      <c r="V38" s="1587"/>
      <c r="W38" s="1587"/>
      <c r="X38" s="1587"/>
      <c r="Y38" s="1587"/>
      <c r="Z38" s="1587"/>
      <c r="AA38" s="1587"/>
      <c r="AB38" s="1587"/>
      <c r="AC38" s="1587"/>
      <c r="AD38" s="1587"/>
      <c r="AE38" s="1587"/>
      <c r="AF38" s="1587"/>
      <c r="AG38" s="1587"/>
      <c r="AH38" s="1587"/>
      <c r="AI38" s="1587"/>
      <c r="AJ38" s="1587"/>
      <c r="AK38" s="1587"/>
      <c r="AL38" s="1587"/>
      <c r="AM38" s="1587"/>
      <c r="AN38" s="1587"/>
      <c r="AO38" s="1587"/>
      <c r="AP38" s="1587"/>
      <c r="AQ38" s="1587"/>
      <c r="AR38" s="1587"/>
      <c r="AS38" s="1587"/>
      <c r="AT38" s="1587"/>
      <c r="AU38" s="1587"/>
      <c r="AV38" s="1587"/>
      <c r="AW38" s="1587"/>
      <c r="AX38" s="1587"/>
      <c r="AY38" s="1587"/>
      <c r="AZ38" s="1587"/>
      <c r="BA38" s="1587"/>
      <c r="BC38" s="2763"/>
      <c r="BD38" s="1577"/>
      <c r="BE38" s="1580"/>
      <c r="BF38" s="1580"/>
      <c r="BG38" s="1580"/>
      <c r="BH38" s="1580"/>
      <c r="BI38" s="1580"/>
    </row>
    <row r="39" spans="3:61">
      <c r="D39" s="1587"/>
      <c r="E39" s="1558"/>
      <c r="F39" s="1558"/>
      <c r="G39" s="1558"/>
      <c r="H39" s="1558"/>
      <c r="I39" s="1558"/>
      <c r="J39" s="1558"/>
      <c r="K39" s="1558"/>
      <c r="L39" s="1558"/>
      <c r="M39" s="1559"/>
      <c r="N39" s="1587"/>
      <c r="O39" s="1587"/>
      <c r="P39" s="1587"/>
      <c r="Q39" s="1587"/>
      <c r="R39" s="1587"/>
      <c r="S39" s="1587"/>
      <c r="T39" s="1587"/>
      <c r="U39" s="1587"/>
      <c r="V39" s="1587"/>
      <c r="W39" s="1587"/>
      <c r="X39" s="1587"/>
      <c r="Y39" s="1587"/>
      <c r="Z39" s="1587"/>
      <c r="AA39" s="1587"/>
      <c r="AB39" s="1587"/>
      <c r="AC39" s="1587"/>
      <c r="AD39" s="1587"/>
      <c r="AE39" s="1587"/>
      <c r="AF39" s="1587"/>
      <c r="AG39" s="1587"/>
      <c r="AH39" s="1587"/>
      <c r="AI39" s="1587"/>
      <c r="AJ39" s="1587"/>
      <c r="AK39" s="1587"/>
      <c r="AL39" s="1587"/>
      <c r="AM39" s="1587"/>
      <c r="AN39" s="1587"/>
      <c r="AO39" s="1587"/>
      <c r="AP39" s="1587"/>
      <c r="AQ39" s="1587"/>
      <c r="AR39" s="1587"/>
      <c r="AS39" s="1587"/>
      <c r="AT39" s="1587"/>
      <c r="AU39" s="1587"/>
      <c r="AV39" s="1587"/>
      <c r="AW39" s="1587"/>
      <c r="AX39" s="1587"/>
      <c r="AY39" s="1587"/>
      <c r="AZ39" s="1587"/>
      <c r="BA39" s="1587"/>
      <c r="BC39" s="2763"/>
      <c r="BD39" s="1577"/>
      <c r="BE39" s="1580"/>
      <c r="BF39" s="1580"/>
      <c r="BG39" s="1580"/>
      <c r="BH39" s="1580"/>
      <c r="BI39" s="1580"/>
    </row>
    <row r="40" spans="3:61" s="1570" customFormat="1" ht="14.4" customHeight="1" thickBot="1">
      <c r="C40" s="1489"/>
      <c r="D40" s="1489"/>
      <c r="E40" s="1562"/>
      <c r="F40" s="1562"/>
      <c r="G40" s="1562"/>
      <c r="H40" s="1562"/>
      <c r="I40" s="1562"/>
      <c r="J40" s="1562"/>
      <c r="K40" s="1562"/>
      <c r="L40" s="1562"/>
      <c r="M40" s="1563"/>
      <c r="N40" s="1491"/>
      <c r="O40" s="1490"/>
      <c r="P40" s="1490"/>
      <c r="Q40" s="1490"/>
      <c r="R40" s="1490"/>
      <c r="S40" s="1490"/>
      <c r="T40" s="1490"/>
      <c r="U40" s="1490"/>
      <c r="V40" s="1490"/>
      <c r="W40" s="1490"/>
      <c r="X40" s="1490"/>
      <c r="Y40" s="1490"/>
      <c r="Z40" s="1490"/>
      <c r="AA40" s="1490"/>
      <c r="AB40" s="1490"/>
      <c r="AC40" s="1490"/>
      <c r="AD40" s="1490"/>
      <c r="AE40" s="1490"/>
      <c r="AF40" s="1490"/>
      <c r="AG40" s="1490"/>
      <c r="AH40" s="1490"/>
      <c r="AI40" s="1490"/>
      <c r="AJ40" s="1490"/>
      <c r="AK40" s="1490"/>
      <c r="AL40" s="1490"/>
      <c r="AM40" s="1490"/>
      <c r="AN40" s="1490"/>
      <c r="AO40" s="1490"/>
      <c r="AP40" s="1490"/>
      <c r="AQ40" s="1490"/>
      <c r="AR40" s="1490"/>
      <c r="AS40" s="1490"/>
      <c r="AT40" s="1490"/>
      <c r="AU40" s="1490"/>
      <c r="AV40" s="1490"/>
      <c r="AW40" s="1490"/>
      <c r="AX40" s="1490"/>
      <c r="AY40" s="1490"/>
      <c r="AZ40" s="1490"/>
      <c r="BA40" s="1490"/>
    </row>
    <row r="41" spans="3:61" ht="15.75" customHeight="1">
      <c r="C41" s="1588" t="s">
        <v>986</v>
      </c>
      <c r="D41" s="1589"/>
      <c r="E41" s="1590"/>
      <c r="F41" s="1590"/>
      <c r="G41" s="1590"/>
      <c r="H41" s="1590"/>
      <c r="I41" s="1590"/>
      <c r="J41" s="1590"/>
      <c r="K41" s="1590"/>
      <c r="L41" s="1590"/>
      <c r="M41" s="1591"/>
      <c r="N41" s="1590"/>
      <c r="O41" s="1590"/>
      <c r="P41" s="1590"/>
      <c r="Q41" s="1590"/>
      <c r="R41" s="1590"/>
      <c r="S41" s="1590"/>
      <c r="T41" s="1590"/>
      <c r="U41" s="1590"/>
      <c r="V41" s="1590"/>
      <c r="W41" s="1590"/>
      <c r="X41" s="1590"/>
      <c r="Y41" s="1590"/>
      <c r="Z41" s="1590"/>
      <c r="AA41" s="1590"/>
      <c r="AB41" s="1590"/>
      <c r="AC41" s="1590"/>
      <c r="AD41" s="1590"/>
      <c r="AE41" s="1590"/>
      <c r="AF41" s="1590"/>
      <c r="AG41" s="1590"/>
      <c r="AH41" s="1590"/>
      <c r="AI41" s="1590"/>
      <c r="AJ41" s="1590"/>
      <c r="AK41" s="1590"/>
      <c r="AL41" s="1590"/>
      <c r="AM41" s="1590"/>
      <c r="AN41" s="1590"/>
      <c r="AO41" s="1590"/>
      <c r="AP41" s="1590"/>
      <c r="AQ41" s="1590"/>
      <c r="AR41" s="1590"/>
      <c r="AS41" s="1590"/>
      <c r="AT41" s="1590"/>
      <c r="AU41" s="1590"/>
      <c r="AV41" s="1590"/>
      <c r="AW41" s="1590"/>
      <c r="AX41" s="1590"/>
      <c r="AY41" s="1590"/>
      <c r="AZ41" s="1590"/>
      <c r="BA41" s="1590"/>
    </row>
    <row r="42" spans="3:61" s="1513" customFormat="1">
      <c r="C42" s="1592" t="s">
        <v>987</v>
      </c>
      <c r="D42" s="1593">
        <f>'Assumption &amp; Result'!D9</f>
        <v>0.05</v>
      </c>
      <c r="E42" s="1544"/>
      <c r="F42" s="1544"/>
      <c r="G42" s="1544"/>
      <c r="H42" s="1544"/>
      <c r="I42" s="1544"/>
      <c r="J42" s="1544"/>
      <c r="K42" s="1544"/>
      <c r="L42" s="1544"/>
      <c r="M42" s="1594"/>
      <c r="N42" s="1544"/>
      <c r="O42" s="1544"/>
      <c r="P42" s="1544"/>
      <c r="Q42" s="1544"/>
      <c r="R42" s="1544"/>
      <c r="S42" s="1544"/>
      <c r="T42" s="1544"/>
      <c r="U42" s="1544"/>
      <c r="V42" s="1544"/>
      <c r="W42" s="1544"/>
      <c r="X42" s="1544"/>
      <c r="Y42" s="1544"/>
      <c r="Z42" s="1544"/>
      <c r="AA42" s="1544"/>
      <c r="AB42" s="1544"/>
      <c r="AC42" s="1544"/>
      <c r="AD42" s="1544"/>
      <c r="AE42" s="1544"/>
      <c r="AF42" s="1544"/>
      <c r="AG42" s="1544"/>
      <c r="AH42" s="1544"/>
      <c r="AI42" s="1544"/>
      <c r="AJ42" s="1544"/>
      <c r="AK42" s="1544"/>
      <c r="AL42" s="1544"/>
      <c r="AM42" s="1544"/>
      <c r="AN42" s="1544"/>
      <c r="AO42" s="1544"/>
      <c r="AP42" s="1544"/>
      <c r="AQ42" s="1544"/>
      <c r="AR42" s="1544"/>
      <c r="AS42" s="1544"/>
      <c r="AT42" s="1544"/>
      <c r="AU42" s="1544"/>
      <c r="AV42" s="1544"/>
      <c r="AW42" s="1544"/>
      <c r="AX42" s="1544"/>
      <c r="AY42" s="1544"/>
      <c r="AZ42" s="1544"/>
      <c r="BA42" s="1544"/>
      <c r="BB42" s="1544"/>
      <c r="BC42" s="1595"/>
      <c r="BD42" s="1544"/>
      <c r="BE42" s="1544"/>
      <c r="BF42" s="1544"/>
      <c r="BG42" s="1544"/>
    </row>
    <row r="43" spans="3:61" s="1519" customFormat="1">
      <c r="C43" s="1592" t="s">
        <v>949</v>
      </c>
      <c r="D43" s="1596">
        <f>'Assumption &amp; Result'!D10</f>
        <v>0.94412201552536512</v>
      </c>
      <c r="E43" s="1544"/>
      <c r="F43" s="1544"/>
      <c r="G43" s="1544"/>
      <c r="H43" s="1544"/>
      <c r="I43" s="1544"/>
      <c r="J43" s="1544"/>
      <c r="K43" s="1544"/>
      <c r="L43" s="1544"/>
      <c r="M43" s="1594"/>
      <c r="N43" s="1544"/>
      <c r="O43" s="1544"/>
      <c r="P43" s="1544"/>
      <c r="Q43" s="1544"/>
      <c r="R43" s="1544"/>
      <c r="S43" s="1544"/>
      <c r="T43" s="1544"/>
      <c r="U43" s="1544"/>
      <c r="V43" s="1544"/>
      <c r="W43" s="1544"/>
      <c r="X43" s="1544"/>
      <c r="Y43" s="1544"/>
      <c r="Z43" s="1544"/>
      <c r="AA43" s="1544"/>
      <c r="AB43" s="1544"/>
      <c r="AC43" s="1544"/>
      <c r="AD43" s="1544"/>
      <c r="AE43" s="1544"/>
      <c r="AF43" s="1544"/>
      <c r="AG43" s="1544"/>
      <c r="AH43" s="1544"/>
      <c r="AI43" s="1544"/>
      <c r="AJ43" s="1544"/>
      <c r="AK43" s="1544"/>
      <c r="AL43" s="1544"/>
      <c r="AM43" s="1544"/>
      <c r="AN43" s="1544"/>
      <c r="AO43" s="1544"/>
      <c r="AP43" s="1544"/>
      <c r="AQ43" s="1544"/>
      <c r="AR43" s="1544"/>
      <c r="AS43" s="1544"/>
      <c r="AT43" s="1544"/>
      <c r="AU43" s="1544"/>
      <c r="AV43" s="1544"/>
      <c r="AW43" s="1544"/>
      <c r="AX43" s="1544"/>
      <c r="AY43" s="1544"/>
      <c r="AZ43" s="1544"/>
      <c r="BA43" s="1544"/>
    </row>
    <row r="44" spans="3:61" s="1519" customFormat="1">
      <c r="C44" s="1592" t="s">
        <v>988</v>
      </c>
      <c r="D44" s="1597">
        <f>'Assumption &amp; Result'!D11</f>
        <v>0.10950000000000001</v>
      </c>
      <c r="E44" s="1544"/>
      <c r="F44" s="1544"/>
      <c r="G44" s="1544"/>
      <c r="H44" s="1544"/>
      <c r="I44" s="1544"/>
      <c r="J44" s="1544"/>
      <c r="K44" s="1544"/>
      <c r="L44" s="1544"/>
      <c r="M44" s="1594"/>
      <c r="N44" s="1544"/>
      <c r="O44" s="1544"/>
      <c r="P44" s="1544"/>
      <c r="Q44" s="1544"/>
      <c r="R44" s="1544"/>
      <c r="S44" s="1544"/>
      <c r="T44" s="1544"/>
      <c r="U44" s="1544"/>
      <c r="V44" s="1544"/>
      <c r="W44" s="1544"/>
      <c r="X44" s="1544"/>
      <c r="Y44" s="1544"/>
      <c r="Z44" s="1544"/>
      <c r="AA44" s="1544"/>
      <c r="AB44" s="1544"/>
      <c r="AC44" s="1544"/>
      <c r="AD44" s="1544"/>
      <c r="AE44" s="1544"/>
      <c r="AF44" s="1544"/>
      <c r="AG44" s="1544"/>
      <c r="AH44" s="1544"/>
      <c r="AI44" s="1544"/>
      <c r="AJ44" s="1544"/>
      <c r="AK44" s="1544"/>
      <c r="AL44" s="1544"/>
      <c r="AM44" s="1544"/>
      <c r="AN44" s="1544"/>
      <c r="AO44" s="1544"/>
      <c r="AP44" s="1544"/>
      <c r="AQ44" s="1544"/>
      <c r="AR44" s="1544"/>
      <c r="AS44" s="1544"/>
      <c r="AT44" s="1544"/>
      <c r="AU44" s="1544"/>
      <c r="AV44" s="1544"/>
      <c r="AW44" s="1544"/>
      <c r="AX44" s="1544"/>
      <c r="AY44" s="1544"/>
      <c r="AZ44" s="1544"/>
      <c r="BA44" s="1544"/>
    </row>
    <row r="45" spans="3:61" s="1513" customFormat="1">
      <c r="C45" s="1598" t="s">
        <v>947</v>
      </c>
      <c r="E45" s="1544"/>
      <c r="F45" s="1544"/>
      <c r="G45" s="1544"/>
      <c r="H45" s="1544"/>
      <c r="I45" s="1544"/>
      <c r="J45" s="1544"/>
      <c r="K45" s="1544"/>
      <c r="L45" s="1599"/>
      <c r="M45" s="2636">
        <f>Ratio!P59</f>
        <v>0.13295579699530313</v>
      </c>
      <c r="N45" s="1600">
        <f ca="1">(('Output-FR (show)'!Q82+'Output-FR (show)'!P82+'Output-FR (show)'!Q92+'Output-FR (show)'!P92)/2)/(('Output-FR (show)'!Q103+'Output-FR (show)'!P103+'Output-FR (show)'!Q111+'Output-FR (show)'!P111)/2)</f>
        <v>0.15455155800533529</v>
      </c>
      <c r="O45" s="1600">
        <f ca="1">(('Output-FR (show)'!R82+'Output-FR (show)'!Q82+'Output-FR (show)'!R92+'Output-FR (show)'!Q92)/2)/(('Output-FR (show)'!R103+'Output-FR (show)'!Q103+'Output-FR (show)'!R111+'Output-FR (show)'!Q111)/2)</f>
        <v>0.1722591175994922</v>
      </c>
      <c r="P45" s="1600">
        <f ca="1">(('Output-FR (show)'!S82+'Output-FR (show)'!R82+'Output-FR (show)'!S92+'Output-FR (show)'!R92)/2)/(('Output-FR (show)'!S103+'Output-FR (show)'!R103+'Output-FR (show)'!S111+'Output-FR (show)'!R111)/2)</f>
        <v>0.15839131515974988</v>
      </c>
      <c r="Q45" s="1600">
        <f ca="1">(('Output-FR (show)'!T82+'Output-FR (show)'!S82+'Output-FR (show)'!T92+'Output-FR (show)'!S92)/2)/(('Output-FR (show)'!T103+'Output-FR (show)'!S103+'Output-FR (show)'!T111+'Output-FR (show)'!S111)/2)</f>
        <v>0.15745529730528329</v>
      </c>
      <c r="R45" s="1600">
        <f ca="1">(('Output-FR (show)'!U82+'Output-FR (show)'!T82+'Output-FR (show)'!U92+'Output-FR (show)'!T92)/2)/(('Output-FR (show)'!U103+'Output-FR (show)'!T103+'Output-FR (show)'!U111+'Output-FR (show)'!T111)/2)</f>
        <v>0.15364970671152187</v>
      </c>
      <c r="S45" s="1600">
        <f ca="1">(('Output-FR (show)'!V82+'Output-FR (show)'!U82+'Output-FR (show)'!V92+'Output-FR (show)'!U92)/2)/(('Output-FR (show)'!V103+'Output-FR (show)'!U103+'Output-FR (show)'!V111+'Output-FR (show)'!U111)/2)</f>
        <v>0.13134973755883725</v>
      </c>
      <c r="T45" s="1600">
        <f ca="1">(('Output-FR (show)'!W82+'Output-FR (show)'!V82+'Output-FR (show)'!W92+'Output-FR (show)'!V92)/2)/(('Output-FR (show)'!W103+'Output-FR (show)'!V103+'Output-FR (show)'!W111+'Output-FR (show)'!V111)/2)</f>
        <v>0.1141941253153571</v>
      </c>
      <c r="U45" s="1600">
        <f ca="1">(('Output-FR (show)'!X82+'Output-FR (show)'!W82+'Output-FR (show)'!X92+'Output-FR (show)'!W92)/2)/(('Output-FR (show)'!X103+'Output-FR (show)'!W103+'Output-FR (show)'!X111+'Output-FR (show)'!W111)/2)</f>
        <v>0.10600709710382879</v>
      </c>
      <c r="V45" s="1600">
        <f ca="1">(('Output-FR (show)'!Y82+'Output-FR (show)'!X82+'Output-FR (show)'!Y92+'Output-FR (show)'!X92)/2)/(('Output-FR (show)'!Y103+'Output-FR (show)'!X103+'Output-FR (show)'!Y111+'Output-FR (show)'!X111)/2)</f>
        <v>0.10244379003337657</v>
      </c>
      <c r="W45" s="1600">
        <f ca="1">(('Output-FR (show)'!Z82+'Output-FR (show)'!Y82+'Output-FR (show)'!Z92+'Output-FR (show)'!Y92)/2)/(('Output-FR (show)'!Z103+'Output-FR (show)'!Y103+'Output-FR (show)'!Z111+'Output-FR (show)'!Y111)/2)</f>
        <v>0.10163942353641151</v>
      </c>
      <c r="X45" s="1600"/>
      <c r="Y45" s="1600"/>
      <c r="Z45" s="1600"/>
      <c r="AA45" s="1600"/>
      <c r="AB45" s="1600"/>
      <c r="AC45" s="1600"/>
      <c r="AD45" s="1600"/>
      <c r="AE45" s="1600"/>
      <c r="AF45" s="1600"/>
      <c r="AG45" s="1600"/>
      <c r="AH45" s="1600"/>
      <c r="AI45" s="1600"/>
      <c r="AJ45" s="1600"/>
      <c r="AK45" s="1600"/>
      <c r="AL45" s="1600"/>
      <c r="AM45" s="1600"/>
      <c r="AN45" s="1600"/>
      <c r="AO45" s="1600"/>
      <c r="AP45" s="1600"/>
      <c r="AQ45" s="1600"/>
      <c r="AR45" s="1600"/>
      <c r="AS45" s="1600"/>
      <c r="AT45" s="1600"/>
      <c r="AU45" s="1600"/>
      <c r="AV45" s="1600"/>
      <c r="AW45" s="1600"/>
      <c r="AX45" s="1600"/>
      <c r="AY45" s="1600"/>
      <c r="AZ45" s="1600"/>
      <c r="BA45" s="1600"/>
      <c r="BB45" s="1544"/>
      <c r="BC45" s="1544"/>
      <c r="BD45" s="1544"/>
      <c r="BE45" s="1544"/>
      <c r="BF45" s="1544"/>
      <c r="BG45" s="1544"/>
    </row>
    <row r="46" spans="3:61" s="1513" customFormat="1">
      <c r="C46" s="1598" t="s">
        <v>989</v>
      </c>
      <c r="D46" s="1601"/>
      <c r="E46" s="1601"/>
      <c r="F46" s="1601"/>
      <c r="G46" s="1602"/>
      <c r="H46" s="1602">
        <f>Input!K89</f>
        <v>7.6366542000978838E-2</v>
      </c>
      <c r="I46" s="1602">
        <f>Input!L89</f>
        <v>7.5484882512224225E-2</v>
      </c>
      <c r="J46" s="1602">
        <f>Input!M89</f>
        <v>6.6527474554831434E-2</v>
      </c>
      <c r="K46" s="1602">
        <f>Input!N89</f>
        <v>5.9881049090749011E-2</v>
      </c>
      <c r="L46" s="1602">
        <f>Input!O89</f>
        <v>0.11528989627919854</v>
      </c>
      <c r="M46" s="1602">
        <f>Input!P89</f>
        <v>6.1795652729826858E-2</v>
      </c>
      <c r="N46" s="1602">
        <f>Input!Q89</f>
        <v>0.15652879143065074</v>
      </c>
      <c r="O46" s="1602">
        <f>Input!R89</f>
        <v>0.15652879143065074</v>
      </c>
      <c r="P46" s="1602">
        <f>Input!S89</f>
        <v>0.15652879143065074</v>
      </c>
      <c r="Q46" s="1602">
        <f>Input!T89</f>
        <v>0.15652879143065074</v>
      </c>
      <c r="R46" s="1602">
        <f>Input!U89</f>
        <v>0.15652879143065074</v>
      </c>
      <c r="S46" s="1602">
        <f>Input!V89</f>
        <v>0.15652879143065074</v>
      </c>
      <c r="T46" s="1602">
        <f>Input!W89</f>
        <v>0.15652879143065074</v>
      </c>
      <c r="U46" s="1602">
        <f>Input!X89</f>
        <v>0.15652879143065074</v>
      </c>
      <c r="V46" s="1602">
        <f>Input!Y89</f>
        <v>0.15652879143065074</v>
      </c>
      <c r="W46" s="1602">
        <f>Input!Z89</f>
        <v>0.15652879143065074</v>
      </c>
      <c r="X46" s="1602"/>
      <c r="Y46" s="1601"/>
      <c r="Z46" s="1601"/>
      <c r="AA46" s="1601"/>
      <c r="AB46" s="1601"/>
      <c r="AC46" s="1601"/>
      <c r="AD46" s="1601"/>
      <c r="AE46" s="1601"/>
      <c r="AF46" s="1601"/>
      <c r="AG46" s="1601"/>
      <c r="AH46" s="1601"/>
      <c r="AI46" s="1601"/>
      <c r="AJ46" s="1601"/>
      <c r="AK46" s="1601"/>
      <c r="AL46" s="1601"/>
      <c r="AM46" s="1601"/>
      <c r="AN46" s="1601"/>
      <c r="AO46" s="1601"/>
      <c r="AP46" s="1601"/>
      <c r="AQ46" s="1601"/>
      <c r="AR46" s="1601"/>
      <c r="AS46" s="1601"/>
      <c r="AT46" s="1601"/>
      <c r="AU46" s="1601"/>
      <c r="AV46" s="1601"/>
      <c r="AW46" s="1601"/>
      <c r="AX46" s="1601"/>
      <c r="AY46" s="1601"/>
      <c r="AZ46" s="1601"/>
      <c r="BA46" s="1601"/>
      <c r="BB46" s="1544"/>
      <c r="BC46" s="1544"/>
      <c r="BD46" s="1544"/>
      <c r="BE46" s="1544"/>
      <c r="BF46" s="1544"/>
      <c r="BG46" s="1544"/>
    </row>
    <row r="47" spans="3:61" s="1513" customFormat="1">
      <c r="C47" s="1598" t="s">
        <v>946</v>
      </c>
      <c r="E47" s="1544"/>
      <c r="F47" s="1544"/>
      <c r="G47" s="1544"/>
      <c r="H47" s="1544"/>
      <c r="I47" s="1544"/>
      <c r="J47" s="1544"/>
      <c r="K47" s="1544"/>
      <c r="L47" s="1599"/>
      <c r="M47" s="1609"/>
      <c r="N47" s="1599">
        <f ca="1">$D$43*(1+N45*(1-N46))</f>
        <v>1.0671975626532393</v>
      </c>
      <c r="O47" s="1599">
        <f t="shared" ref="O47:W47" ca="1" si="12">$D$43*(1+O45*(1-O46))</f>
        <v>1.081298796011722</v>
      </c>
      <c r="P47" s="1599">
        <f t="shared" ca="1" si="12"/>
        <v>1.0702553138575426</v>
      </c>
      <c r="Q47" s="1599">
        <f t="shared" ca="1" si="12"/>
        <v>1.0695099256450475</v>
      </c>
      <c r="R47" s="1599">
        <f t="shared" ca="1" si="12"/>
        <v>1.0664793826306851</v>
      </c>
      <c r="S47" s="1599">
        <f t="shared" ca="1" si="12"/>
        <v>1.0487210310500001</v>
      </c>
      <c r="T47" s="1599">
        <f t="shared" ca="1" si="12"/>
        <v>1.0350593352998538</v>
      </c>
      <c r="U47" s="1599">
        <f t="shared" ca="1" si="12"/>
        <v>1.0285396794032087</v>
      </c>
      <c r="V47" s="1599">
        <f t="shared" ca="1" si="12"/>
        <v>1.0257020763861922</v>
      </c>
      <c r="W47" s="1599">
        <f t="shared" ca="1" si="12"/>
        <v>1.0250615273811676</v>
      </c>
      <c r="X47" s="1599"/>
      <c r="Y47" s="1599"/>
      <c r="Z47" s="1599"/>
      <c r="AA47" s="1599"/>
      <c r="AB47" s="1599"/>
      <c r="AC47" s="1599"/>
      <c r="AD47" s="1599"/>
      <c r="AE47" s="1599"/>
      <c r="AF47" s="1599"/>
      <c r="AG47" s="1599"/>
      <c r="AH47" s="1599"/>
      <c r="AI47" s="1599"/>
      <c r="AJ47" s="1599"/>
      <c r="AK47" s="1599"/>
      <c r="AL47" s="1599"/>
      <c r="AM47" s="1599"/>
      <c r="AN47" s="1599"/>
      <c r="AO47" s="1599"/>
      <c r="AP47" s="1599"/>
      <c r="AQ47" s="1599"/>
      <c r="AR47" s="1599"/>
      <c r="AS47" s="1599"/>
      <c r="AT47" s="1599"/>
      <c r="AU47" s="1599"/>
      <c r="AV47" s="1599"/>
      <c r="AW47" s="1599"/>
      <c r="AX47" s="1599"/>
      <c r="AY47" s="1599"/>
      <c r="AZ47" s="1599"/>
      <c r="BA47" s="1599"/>
      <c r="BB47" s="1544"/>
      <c r="BC47" s="1544"/>
      <c r="BD47" s="1544"/>
      <c r="BE47" s="1544"/>
      <c r="BF47" s="1544"/>
      <c r="BG47" s="1544"/>
    </row>
    <row r="48" spans="3:61" s="1513" customFormat="1" ht="12.75" customHeight="1">
      <c r="C48" s="2675" t="s">
        <v>990</v>
      </c>
      <c r="D48" s="1519"/>
      <c r="E48" s="1595"/>
      <c r="F48" s="1595"/>
      <c r="G48" s="1595"/>
      <c r="H48" s="1595"/>
      <c r="I48" s="1595"/>
      <c r="J48" s="1595"/>
      <c r="K48" s="1595"/>
      <c r="L48" s="1603"/>
      <c r="M48" s="1604"/>
      <c r="N48" s="2674">
        <f ca="1">$D$42+N47*$D$44</f>
        <v>0.16685813311052972</v>
      </c>
      <c r="O48" s="2674">
        <f t="shared" ref="O48:W48" ca="1" si="13">$D$42+O47*$D$44</f>
        <v>0.16840221816328357</v>
      </c>
      <c r="P48" s="2674">
        <f t="shared" ca="1" si="13"/>
        <v>0.16719295686740093</v>
      </c>
      <c r="Q48" s="2674">
        <f t="shared" ca="1" si="13"/>
        <v>0.16711133685813273</v>
      </c>
      <c r="R48" s="2674">
        <f t="shared" ca="1" si="13"/>
        <v>0.16677949239806003</v>
      </c>
      <c r="S48" s="2674">
        <f t="shared" ca="1" si="13"/>
        <v>0.16483495289997502</v>
      </c>
      <c r="T48" s="2674">
        <f t="shared" ca="1" si="13"/>
        <v>0.16333899721533401</v>
      </c>
      <c r="U48" s="2674">
        <f t="shared" ca="1" si="13"/>
        <v>0.16262509489465138</v>
      </c>
      <c r="V48" s="2674">
        <f t="shared" ca="1" si="13"/>
        <v>0.16231437736428805</v>
      </c>
      <c r="W48" s="2674">
        <f t="shared" ca="1" si="13"/>
        <v>0.16224423724823789</v>
      </c>
      <c r="X48" s="1603"/>
      <c r="Y48" s="1605"/>
      <c r="Z48" s="1605"/>
      <c r="AA48" s="1605"/>
      <c r="AB48" s="1605"/>
      <c r="AC48" s="1605"/>
      <c r="AD48" s="1605"/>
      <c r="AE48" s="1605"/>
      <c r="AF48" s="1605"/>
      <c r="AG48" s="1605"/>
      <c r="AH48" s="1605"/>
      <c r="AI48" s="1605"/>
      <c r="AJ48" s="1605"/>
      <c r="AK48" s="1605"/>
      <c r="AL48" s="1605"/>
      <c r="AM48" s="1605"/>
      <c r="AN48" s="1605"/>
      <c r="AO48" s="1605"/>
      <c r="AP48" s="1605"/>
      <c r="AQ48" s="1605"/>
      <c r="AR48" s="1605"/>
      <c r="AS48" s="1605"/>
      <c r="AT48" s="1605"/>
      <c r="AU48" s="1605"/>
      <c r="AV48" s="1605"/>
      <c r="AW48" s="1605"/>
      <c r="AX48" s="1605"/>
      <c r="AY48" s="1605"/>
      <c r="AZ48" s="1605"/>
      <c r="BA48" s="1605"/>
      <c r="BB48" s="1544"/>
      <c r="BC48" s="1544"/>
      <c r="BD48" s="1544"/>
      <c r="BE48" s="1544"/>
      <c r="BF48" s="1544"/>
      <c r="BG48" s="1544"/>
    </row>
    <row r="49" spans="3:61" s="1513" customFormat="1">
      <c r="C49" s="1598" t="s">
        <v>991</v>
      </c>
      <c r="E49" s="1544"/>
      <c r="F49" s="1544"/>
      <c r="G49" s="1544"/>
      <c r="H49" s="1544"/>
      <c r="I49" s="1544"/>
      <c r="J49" s="1544"/>
      <c r="K49" s="1544"/>
      <c r="L49" s="1606"/>
      <c r="M49" s="1607"/>
      <c r="N49" s="1608">
        <f>AVERAGE(Debt!S17,Debt!S20)
/
((Debt!S17+Debt!S20+Debt!S24+Debt!S27)/2)
*
Debt!$R$47
+
AVERAGE(Debt!S24,Debt!S27)
/
(
(Debt!S17+Debt!S20+Debt!S24+Debt!S27)/2
)
*Debt!$R$155</f>
        <v>4.4897094232236874E-2</v>
      </c>
      <c r="O49" s="1608">
        <f>AVERAGE(Debt!T17,Debt!T20)
/
((Debt!T17+Debt!T20+Debt!T24+Debt!T27)/2)
*
Debt!$R$47
+
AVERAGE(Debt!T24,Debt!T27)
/
(
(Debt!T17+Debt!T20+Debt!T24+Debt!T27)/2
)
*Debt!$R$155</f>
        <v>4.7302099384182797E-2</v>
      </c>
      <c r="P49" s="1608">
        <f>AVERAGE(Debt!U17,Debt!U20)
/
((Debt!U17+Debt!U20+Debt!U24+Debt!U27)/2)
*
Debt!$R$47
+
AVERAGE(Debt!U24,Debt!U27)
/
(
(Debt!U17+Debt!U20+Debt!U24+Debt!U27)/2
)
*Debt!$R$155</f>
        <v>4.9096798682471007E-2</v>
      </c>
      <c r="Q49" s="1608">
        <f>AVERAGE(Debt!V17,Debt!V20)
/
((Debt!V17+Debt!V20+Debt!V24+Debt!V27)/2)
*
Debt!$R$47
+
AVERAGE(Debt!V24,Debt!V27)
/
(
(Debt!V17+Debt!V20+Debt!V24+Debt!V27)/2
)
*Debt!$R$155</f>
        <v>5.0043399046039952E-2</v>
      </c>
      <c r="R49" s="1608">
        <f>AVERAGE(Debt!W17,Debt!W20)
/
((Debt!W17+Debt!W20+Debt!W24+Debt!W27)/2)
*
Debt!$R$47
+
AVERAGE(Debt!W24,Debt!W27)
/
(
(Debt!W17+Debt!W20+Debt!W24+Debt!W27)/2
)
*Debt!$R$155</f>
        <v>4.9557761098156336E-2</v>
      </c>
      <c r="S49" s="1608">
        <f>AVERAGE(Debt!X17,Debt!X20)
/
((Debt!X17+Debt!X20+Debt!X24+Debt!X27)/2)
*
Debt!$R$47
+
AVERAGE(Debt!X24,Debt!X27)
/
(
(Debt!X17+Debt!X20+Debt!X24+Debt!X27)/2
)
*Debt!$R$155</f>
        <v>4.8489582358872671E-2</v>
      </c>
      <c r="T49" s="1608">
        <f>AVERAGE(Debt!Y17,Debt!Y20)
/
((Debt!Y17+Debt!Y20+Debt!Y24+Debt!Y27)/2)
*
Debt!$R$47
+
AVERAGE(Debt!Y24,Debt!Y27)
/
(
(Debt!Y17+Debt!Y20+Debt!Y24+Debt!Y27)/2
)
*Debt!$R$155</f>
        <v>4.7054830362411725E-2</v>
      </c>
      <c r="U49" s="1608">
        <f>AVERAGE(Debt!Z17,Debt!Z20)
/
((Debt!Z17+Debt!Z20+Debt!Z24+Debt!Z27)/2)
*
Debt!$R$47
+
AVERAGE(Debt!Z24,Debt!Z27)
/
(
(Debt!Z17+Debt!Z20+Debt!Z24+Debt!Z27)/2
)
*Debt!$R$155</f>
        <v>4.5452964335210538E-2</v>
      </c>
      <c r="V49" s="1608">
        <f>AVERAGE(Debt!AA17,Debt!AA20)
/
((Debt!AA17+Debt!AA20+Debt!AA24+Debt!AA27)/2)
*
Debt!$R$47
+
AVERAGE(Debt!AA24,Debt!AA27)
/
(
(Debt!AA17+Debt!AA20+Debt!AA24+Debt!AA27)/2
)
*Debt!$R$155</f>
        <v>4.4498737391594087E-2</v>
      </c>
      <c r="W49" s="1608">
        <f>AVERAGE(Debt!AB17,Debt!AB20)
/
((Debt!AB17+Debt!AB20+Debt!AB24+Debt!AB27)/2)
*
Debt!$R$47
+
AVERAGE(Debt!AB24,Debt!AB27)
/
(
(Debt!AB17+Debt!AB20+Debt!AB24+Debt!AB27)/2
)
*Debt!$R$155</f>
        <v>4.4192026498494311E-2</v>
      </c>
      <c r="X49" s="1608"/>
      <c r="Y49" s="1606"/>
      <c r="Z49" s="1606"/>
      <c r="AA49" s="1606"/>
      <c r="AB49" s="1606"/>
      <c r="AC49" s="1606"/>
      <c r="AD49" s="1606"/>
      <c r="AE49" s="1606"/>
      <c r="AF49" s="1606"/>
      <c r="AG49" s="1606"/>
      <c r="AH49" s="1606"/>
      <c r="AI49" s="1606"/>
      <c r="AJ49" s="1606"/>
      <c r="AK49" s="1606"/>
      <c r="AL49" s="1606"/>
      <c r="AM49" s="1606"/>
      <c r="AN49" s="1606"/>
      <c r="AO49" s="1606"/>
      <c r="AP49" s="1606"/>
      <c r="AQ49" s="1606"/>
      <c r="AR49" s="1606"/>
      <c r="AS49" s="1606"/>
      <c r="AT49" s="1606"/>
      <c r="AU49" s="1606"/>
      <c r="AV49" s="1606"/>
      <c r="AW49" s="1606"/>
      <c r="AX49" s="1606"/>
      <c r="AY49" s="1606"/>
      <c r="AZ49" s="1606"/>
      <c r="BA49" s="1606"/>
      <c r="BB49" s="1544"/>
      <c r="BC49" s="1544"/>
      <c r="BD49" s="1544"/>
      <c r="BE49" s="1544"/>
      <c r="BF49" s="1544"/>
      <c r="BG49" s="1544"/>
    </row>
    <row r="50" spans="3:61" s="1513" customFormat="1">
      <c r="C50" s="1598" t="s">
        <v>992</v>
      </c>
      <c r="E50" s="1544"/>
      <c r="F50" s="1544"/>
      <c r="G50" s="1544"/>
      <c r="H50" s="1544"/>
      <c r="I50" s="1544"/>
      <c r="J50" s="1544"/>
      <c r="K50" s="1544"/>
      <c r="L50" s="1599"/>
      <c r="M50" s="1609"/>
      <c r="N50" s="1608">
        <f ca="1">N45/(1+N45)</f>
        <v>0.13386284651708996</v>
      </c>
      <c r="O50" s="1608">
        <f t="shared" ref="O50:W50" ca="1" si="14">O45/(1+O45)</f>
        <v>0.14694628091461373</v>
      </c>
      <c r="P50" s="1608">
        <f t="shared" ca="1" si="14"/>
        <v>0.13673385935037563</v>
      </c>
      <c r="Q50" s="1608">
        <f t="shared" ca="1" si="14"/>
        <v>0.13603574813805863</v>
      </c>
      <c r="R50" s="1608">
        <f t="shared" ca="1" si="14"/>
        <v>0.13318575458186549</v>
      </c>
      <c r="S50" s="1608">
        <f t="shared" ca="1" si="14"/>
        <v>0.11610002919367472</v>
      </c>
      <c r="T50" s="1608">
        <f t="shared" ca="1" si="14"/>
        <v>0.10249033155064971</v>
      </c>
      <c r="U50" s="1608">
        <f t="shared" ca="1" si="14"/>
        <v>9.5846669864431397E-2</v>
      </c>
      <c r="V50" s="1608">
        <f t="shared" ca="1" si="14"/>
        <v>9.292427510546826E-2</v>
      </c>
      <c r="W50" s="1608">
        <f t="shared" ca="1" si="14"/>
        <v>9.2261970082856345E-2</v>
      </c>
      <c r="X50" s="1608"/>
      <c r="Y50" s="1610"/>
      <c r="Z50" s="1610"/>
      <c r="AA50" s="1610"/>
      <c r="AB50" s="1610"/>
      <c r="AC50" s="1610"/>
      <c r="AD50" s="1610"/>
      <c r="AE50" s="1610"/>
      <c r="AF50" s="1610"/>
      <c r="AG50" s="1610"/>
      <c r="AH50" s="1610"/>
      <c r="AI50" s="1610"/>
      <c r="AJ50" s="1610"/>
      <c r="AK50" s="1610"/>
      <c r="AL50" s="1610"/>
      <c r="AM50" s="1610"/>
      <c r="AN50" s="1610"/>
      <c r="AO50" s="1610"/>
      <c r="AP50" s="1610"/>
      <c r="AQ50" s="1610"/>
      <c r="AR50" s="1610"/>
      <c r="AS50" s="1610"/>
      <c r="AT50" s="1610"/>
      <c r="AU50" s="1610"/>
      <c r="AV50" s="1610"/>
      <c r="AW50" s="1610"/>
      <c r="AX50" s="1610"/>
      <c r="AY50" s="1610"/>
      <c r="AZ50" s="1610"/>
      <c r="BA50" s="1610"/>
      <c r="BC50" s="1544"/>
    </row>
    <row r="51" spans="3:61" s="1513" customFormat="1" ht="13.8" thickBot="1">
      <c r="C51" s="2676" t="s">
        <v>993</v>
      </c>
      <c r="D51" s="1611"/>
      <c r="E51" s="1612"/>
      <c r="F51" s="1612"/>
      <c r="G51" s="1612"/>
      <c r="H51" s="1612"/>
      <c r="I51" s="1612"/>
      <c r="J51" s="1612"/>
      <c r="K51" s="1612"/>
      <c r="L51" s="1613"/>
      <c r="M51" s="1614"/>
      <c r="N51" s="2673">
        <f ca="1">N48*(1-N50)+N49*N50*(1-N46)</f>
        <v>0.14959133497551683</v>
      </c>
      <c r="O51" s="2673">
        <f t="shared" ref="O51:W51" ca="1" si="15">O48*(1-O50)+O49*O50*(1-O46)</f>
        <v>0.14951899518806513</v>
      </c>
      <c r="P51" s="2673">
        <f t="shared" ca="1" si="15"/>
        <v>0.14999440512102463</v>
      </c>
      <c r="Q51" s="2673">
        <f t="shared" ca="1" si="15"/>
        <v>0.15012031267443926</v>
      </c>
      <c r="R51" s="2673">
        <f t="shared" ca="1" si="15"/>
        <v>0.15013407693504788</v>
      </c>
      <c r="S51" s="2673">
        <f t="shared" ca="1" si="15"/>
        <v>0.15044605093651242</v>
      </c>
      <c r="T51" s="2673">
        <f t="shared" ca="1" si="15"/>
        <v>0.15066610845074993</v>
      </c>
      <c r="U51" s="2673">
        <f t="shared" ca="1" si="15"/>
        <v>0.15071261631001645</v>
      </c>
      <c r="V51" s="2673">
        <f t="shared" ca="1" si="15"/>
        <v>0.15071919584956872</v>
      </c>
      <c r="W51" s="2673">
        <f t="shared" ca="1" si="15"/>
        <v>0.15071430172587932</v>
      </c>
      <c r="X51" s="1615"/>
      <c r="Y51" s="1613"/>
      <c r="Z51" s="1613"/>
      <c r="AA51" s="1613"/>
      <c r="AB51" s="1613"/>
      <c r="AC51" s="1613"/>
      <c r="AD51" s="1613"/>
      <c r="AE51" s="1613"/>
      <c r="AF51" s="1613"/>
      <c r="AG51" s="1613"/>
      <c r="AH51" s="1613"/>
      <c r="AI51" s="1613"/>
      <c r="AJ51" s="1613"/>
      <c r="AK51" s="1613"/>
      <c r="AL51" s="1613"/>
      <c r="AM51" s="1613"/>
      <c r="AN51" s="1613"/>
      <c r="AO51" s="1613"/>
      <c r="AP51" s="1613"/>
      <c r="AQ51" s="1613"/>
      <c r="AR51" s="1613"/>
      <c r="AS51" s="1613"/>
      <c r="AT51" s="1613"/>
      <c r="AU51" s="1613"/>
      <c r="AV51" s="1613"/>
      <c r="AW51" s="1613"/>
      <c r="AX51" s="1613"/>
      <c r="AY51" s="1613"/>
      <c r="AZ51" s="1613"/>
      <c r="BA51" s="1613"/>
    </row>
    <row r="52" spans="3:61" s="1513" customFormat="1">
      <c r="C52" s="1519"/>
      <c r="D52" s="1593"/>
      <c r="E52" s="1595"/>
      <c r="F52" s="1595"/>
      <c r="G52" s="1595"/>
      <c r="H52" s="1595"/>
      <c r="I52" s="1595"/>
      <c r="J52" s="1595"/>
      <c r="K52" s="1595"/>
      <c r="L52" s="1616"/>
      <c r="M52" s="1617"/>
      <c r="N52" s="1595"/>
      <c r="O52" s="1595"/>
      <c r="P52" s="1595"/>
      <c r="Q52" s="1595"/>
      <c r="R52" s="1595"/>
      <c r="S52" s="1595"/>
      <c r="T52" s="1595"/>
      <c r="U52" s="1595"/>
      <c r="V52" s="1595"/>
      <c r="W52" s="1595"/>
      <c r="X52" s="1595"/>
      <c r="Y52" s="1595"/>
      <c r="Z52" s="1595"/>
      <c r="AA52" s="1595"/>
      <c r="AB52" s="1595"/>
      <c r="AC52" s="1595"/>
      <c r="AD52" s="1595"/>
      <c r="AE52" s="1595"/>
      <c r="AF52" s="1595"/>
      <c r="AG52" s="1595"/>
      <c r="AH52" s="1595"/>
      <c r="AI52" s="1595"/>
      <c r="AJ52" s="1595"/>
      <c r="AK52" s="1595"/>
      <c r="AL52" s="1595"/>
      <c r="AM52" s="1595"/>
      <c r="AN52" s="1595"/>
      <c r="AO52" s="1595"/>
      <c r="AP52" s="1595"/>
      <c r="AQ52" s="1595"/>
      <c r="AR52" s="1595"/>
      <c r="AS52" s="1595"/>
      <c r="AT52" s="1595"/>
      <c r="AU52" s="1595"/>
      <c r="AV52" s="1595"/>
      <c r="AW52" s="1595"/>
      <c r="AX52" s="1595"/>
      <c r="AY52" s="1595"/>
      <c r="AZ52" s="1595"/>
      <c r="BA52" s="1595"/>
    </row>
    <row r="53" spans="3:61">
      <c r="C53" s="1570"/>
      <c r="D53" s="1618"/>
      <c r="E53" s="1619"/>
      <c r="F53" s="1619"/>
      <c r="G53" s="1619"/>
      <c r="H53" s="1619"/>
      <c r="I53" s="1619"/>
      <c r="J53" s="1619"/>
      <c r="K53" s="1619"/>
      <c r="L53" s="1620"/>
      <c r="M53" s="1621"/>
      <c r="N53" s="1619"/>
      <c r="O53" s="1619"/>
      <c r="P53" s="1619"/>
      <c r="Q53" s="1619"/>
      <c r="R53" s="1619"/>
      <c r="S53" s="1619"/>
      <c r="T53" s="1619"/>
      <c r="U53" s="1619"/>
      <c r="V53" s="1619"/>
      <c r="W53" s="1619"/>
      <c r="X53" s="1619"/>
      <c r="Y53" s="1619"/>
      <c r="Z53" s="1619"/>
      <c r="AA53" s="1619"/>
      <c r="AB53" s="1619"/>
      <c r="AC53" s="1619"/>
      <c r="AD53" s="1619"/>
      <c r="AE53" s="1619"/>
      <c r="AF53" s="1619"/>
      <c r="AG53" s="1619"/>
      <c r="AH53" s="1619"/>
      <c r="AI53" s="1619"/>
      <c r="AJ53" s="1619"/>
      <c r="AK53" s="1619"/>
      <c r="AL53" s="1619"/>
      <c r="AM53" s="1619"/>
      <c r="AN53" s="1619"/>
      <c r="AO53" s="1619"/>
      <c r="AP53" s="1619"/>
      <c r="AQ53" s="1619"/>
      <c r="AR53" s="1619"/>
      <c r="AS53" s="1619"/>
      <c r="AT53" s="1619"/>
      <c r="AU53" s="1619"/>
      <c r="AV53" s="1619"/>
      <c r="AW53" s="1619"/>
      <c r="AX53" s="1619"/>
      <c r="AY53" s="1619"/>
      <c r="AZ53" s="1619"/>
      <c r="BA53" s="1619"/>
      <c r="BB53" s="1489"/>
      <c r="BC53" s="1489"/>
      <c r="BD53" s="1489"/>
      <c r="BE53" s="1489"/>
      <c r="BF53" s="1489"/>
      <c r="BG53" s="1489"/>
    </row>
    <row r="54" spans="3:61">
      <c r="C54" s="1570"/>
      <c r="D54" s="1618"/>
      <c r="E54" s="1619"/>
      <c r="F54" s="1619"/>
      <c r="G54" s="1619"/>
      <c r="H54" s="1619"/>
      <c r="I54" s="1619"/>
      <c r="J54" s="1619"/>
      <c r="K54" s="1619"/>
      <c r="L54" s="1620"/>
      <c r="M54" s="1621"/>
      <c r="N54" s="1619"/>
      <c r="O54" s="1619"/>
      <c r="P54" s="1619"/>
      <c r="Q54" s="1619"/>
      <c r="R54" s="1619"/>
      <c r="S54" s="1619"/>
      <c r="T54" s="1619"/>
      <c r="U54" s="1619"/>
      <c r="V54" s="1619"/>
      <c r="W54" s="1619"/>
      <c r="X54" s="1619"/>
      <c r="Y54" s="1619"/>
      <c r="Z54" s="1619"/>
      <c r="AA54" s="1619"/>
      <c r="AB54" s="1619"/>
      <c r="AC54" s="1619"/>
      <c r="AD54" s="1619"/>
      <c r="AE54" s="1619"/>
      <c r="AF54" s="1619"/>
      <c r="AG54" s="1619"/>
      <c r="AH54" s="1619"/>
      <c r="AI54" s="1619"/>
      <c r="AJ54" s="1619"/>
      <c r="AK54" s="1619"/>
      <c r="AL54" s="1619"/>
      <c r="AM54" s="1619"/>
      <c r="AN54" s="1619"/>
      <c r="AO54" s="1619"/>
      <c r="AP54" s="1619"/>
      <c r="AQ54" s="1619"/>
      <c r="AR54" s="1619"/>
      <c r="AS54" s="1619"/>
      <c r="AT54" s="1619"/>
      <c r="AU54" s="1619"/>
      <c r="AV54" s="1619"/>
      <c r="AW54" s="1619"/>
      <c r="AX54" s="1619"/>
      <c r="AY54" s="1619"/>
      <c r="AZ54" s="1619"/>
      <c r="BA54" s="1619"/>
      <c r="BB54" s="1489"/>
      <c r="BC54" s="1489"/>
      <c r="BD54" s="1489"/>
      <c r="BE54" s="1489"/>
      <c r="BF54" s="1489"/>
      <c r="BG54" s="1489"/>
    </row>
    <row r="55" spans="3:61">
      <c r="BB55" s="1489"/>
      <c r="BC55" s="1489"/>
      <c r="BD55" s="1489"/>
      <c r="BE55" s="1489"/>
      <c r="BF55" s="1489"/>
      <c r="BG55" s="1489"/>
    </row>
    <row r="56" spans="3:61" ht="23.25" customHeight="1">
      <c r="C56" s="1622" t="s">
        <v>994</v>
      </c>
      <c r="D56" s="1623">
        <f t="shared" ref="D56:F56" si="16">D9</f>
        <v>42369</v>
      </c>
      <c r="E56" s="1623">
        <f t="shared" si="16"/>
        <v>42735</v>
      </c>
      <c r="F56" s="1623">
        <f t="shared" si="16"/>
        <v>43100</v>
      </c>
      <c r="G56" s="1623"/>
      <c r="H56" s="1623"/>
      <c r="I56" s="1623"/>
      <c r="J56" s="1623"/>
      <c r="K56" s="1623"/>
      <c r="L56" s="1623"/>
      <c r="M56" s="1624"/>
      <c r="N56" s="1623"/>
      <c r="O56" s="1623"/>
      <c r="P56" s="1623"/>
      <c r="Q56" s="1623"/>
      <c r="R56" s="1623"/>
      <c r="S56" s="1623"/>
      <c r="T56" s="1623"/>
      <c r="U56" s="1623"/>
      <c r="V56" s="1623"/>
      <c r="W56" s="1623"/>
      <c r="X56" s="1623"/>
      <c r="Y56" s="1623"/>
      <c r="Z56" s="1623"/>
      <c r="AA56" s="1623"/>
      <c r="AB56" s="1623"/>
      <c r="AC56" s="1623"/>
      <c r="AD56" s="1623"/>
      <c r="AE56" s="1623"/>
      <c r="AF56" s="1623"/>
      <c r="AG56" s="1623"/>
      <c r="AH56" s="1623"/>
      <c r="AI56" s="1623"/>
      <c r="AJ56" s="1623"/>
      <c r="AK56" s="1623"/>
      <c r="AL56" s="1623"/>
      <c r="AM56" s="1623"/>
      <c r="AN56" s="1623"/>
      <c r="AO56" s="1623"/>
      <c r="AP56" s="1623"/>
      <c r="AQ56" s="1623"/>
      <c r="AR56" s="1623"/>
      <c r="AS56" s="1623"/>
      <c r="AT56" s="1623"/>
      <c r="AU56" s="1623"/>
      <c r="AV56" s="1623"/>
      <c r="AW56" s="1623"/>
      <c r="AX56" s="1623"/>
      <c r="AY56" s="1623"/>
      <c r="AZ56" s="1623"/>
      <c r="BA56" s="1623"/>
      <c r="BB56" s="1489"/>
      <c r="BC56" s="1625"/>
      <c r="BD56" s="1625"/>
      <c r="BE56" s="1625"/>
      <c r="BF56" s="1625"/>
      <c r="BG56" s="1625"/>
      <c r="BH56" s="1625"/>
      <c r="BI56" s="1625"/>
    </row>
    <row r="57" spans="3:61" s="1513" customFormat="1">
      <c r="C57" s="1513" t="s">
        <v>406</v>
      </c>
      <c r="D57" s="1626"/>
      <c r="E57" s="1626"/>
      <c r="F57" s="1626"/>
      <c r="G57" s="1560"/>
      <c r="H57" s="1560">
        <f t="shared" ref="H57:H63" si="17">H10</f>
        <v>317.02522939000005</v>
      </c>
      <c r="I57" s="1560">
        <f t="shared" ref="I57:W57" si="18">I10</f>
        <v>575.60607419200005</v>
      </c>
      <c r="J57" s="1560">
        <f t="shared" si="18"/>
        <v>1724.469057715</v>
      </c>
      <c r="K57" s="1560">
        <f t="shared" si="18"/>
        <v>4193.423289589</v>
      </c>
      <c r="L57" s="1560">
        <f t="shared" si="18"/>
        <v>986.53282508199993</v>
      </c>
      <c r="M57" s="1560">
        <f t="shared" si="18"/>
        <v>1297.9079380420001</v>
      </c>
      <c r="N57" s="1560">
        <f t="shared" ca="1" si="18"/>
        <v>2016.3355554713582</v>
      </c>
      <c r="O57" s="1560">
        <f t="shared" ca="1" si="18"/>
        <v>2304.5647076211962</v>
      </c>
      <c r="P57" s="1560">
        <f t="shared" ca="1" si="18"/>
        <v>2682.2049434847913</v>
      </c>
      <c r="Q57" s="1560">
        <f t="shared" ca="1" si="18"/>
        <v>4148.8191582930131</v>
      </c>
      <c r="R57" s="1560">
        <f t="shared" ca="1" si="18"/>
        <v>3583.7793738281516</v>
      </c>
      <c r="S57" s="1560">
        <f t="shared" ca="1" si="18"/>
        <v>3126.2570684287962</v>
      </c>
      <c r="T57" s="1560">
        <f t="shared" ca="1" si="18"/>
        <v>3126.1016960253583</v>
      </c>
      <c r="U57" s="1560">
        <f t="shared" ca="1" si="18"/>
        <v>3459.4198028426381</v>
      </c>
      <c r="V57" s="1560">
        <f t="shared" ca="1" si="18"/>
        <v>3978.3291202185401</v>
      </c>
      <c r="W57" s="1560">
        <f t="shared" ca="1" si="18"/>
        <v>3989.5305261468511</v>
      </c>
      <c r="X57" s="1560"/>
      <c r="Y57" s="1626"/>
      <c r="Z57" s="1626"/>
      <c r="AA57" s="1626"/>
      <c r="AB57" s="1626"/>
      <c r="AC57" s="1626"/>
      <c r="AD57" s="1626"/>
      <c r="AE57" s="1626"/>
      <c r="AF57" s="1626"/>
      <c r="AG57" s="1626"/>
      <c r="AH57" s="1626"/>
      <c r="AI57" s="1626"/>
      <c r="AJ57" s="1626"/>
      <c r="AK57" s="1626"/>
      <c r="AL57" s="1626"/>
      <c r="AM57" s="1626"/>
      <c r="AN57" s="1626"/>
      <c r="AO57" s="1626"/>
      <c r="AP57" s="1626"/>
      <c r="AQ57" s="1626"/>
      <c r="AR57" s="1626"/>
      <c r="AS57" s="1626"/>
      <c r="AT57" s="1626"/>
      <c r="AU57" s="1626"/>
      <c r="AV57" s="1626"/>
      <c r="AW57" s="1626"/>
      <c r="AX57" s="1626"/>
      <c r="AY57" s="1626"/>
      <c r="AZ57" s="1626"/>
      <c r="BA57" s="1626"/>
      <c r="BD57" s="851"/>
      <c r="BE57" s="2758" t="s">
        <v>382</v>
      </c>
      <c r="BF57" s="2759"/>
      <c r="BG57" s="2759"/>
      <c r="BH57" s="2759"/>
      <c r="BI57" s="2758"/>
    </row>
    <row r="58" spans="3:61" s="1513" customFormat="1">
      <c r="C58" s="1513" t="s">
        <v>961</v>
      </c>
      <c r="D58" s="1626"/>
      <c r="E58" s="1626"/>
      <c r="F58" s="1626"/>
      <c r="G58" s="1560"/>
      <c r="H58" s="1560">
        <f t="shared" si="17"/>
        <v>0</v>
      </c>
      <c r="I58" s="1560">
        <f t="shared" ref="I58:W58" si="19">I11</f>
        <v>0</v>
      </c>
      <c r="J58" s="1560">
        <f t="shared" si="19"/>
        <v>0</v>
      </c>
      <c r="K58" s="1560">
        <f t="shared" si="19"/>
        <v>0</v>
      </c>
      <c r="L58" s="1560">
        <f t="shared" si="19"/>
        <v>0</v>
      </c>
      <c r="M58" s="1560">
        <f t="shared" si="19"/>
        <v>0</v>
      </c>
      <c r="N58" s="1560">
        <f t="shared" ca="1" si="19"/>
        <v>-2.5371452690944429E-2</v>
      </c>
      <c r="O58" s="1560">
        <f t="shared" ca="1" si="19"/>
        <v>-8.7591255150297129E-2</v>
      </c>
      <c r="P58" s="1560">
        <f t="shared" ca="1" si="19"/>
        <v>-9.2069872583320264E-2</v>
      </c>
      <c r="Q58" s="1560">
        <f t="shared" ca="1" si="19"/>
        <v>-6.6691363983486573E-2</v>
      </c>
      <c r="R58" s="1560">
        <f t="shared" ca="1" si="19"/>
        <v>-0.13624507823653478</v>
      </c>
      <c r="S58" s="1560">
        <f t="shared" ca="1" si="19"/>
        <v>-0.21662463254172398</v>
      </c>
      <c r="T58" s="1560">
        <f t="shared" ca="1" si="19"/>
        <v>-0.26330702056865657</v>
      </c>
      <c r="U58" s="1560">
        <f t="shared" ca="1" si="19"/>
        <v>-0.27322785146043432</v>
      </c>
      <c r="V58" s="1560">
        <f t="shared" ca="1" si="19"/>
        <v>-0.1840830546276066</v>
      </c>
      <c r="W58" s="1560">
        <f t="shared" ca="1" si="19"/>
        <v>-0.12633188719804878</v>
      </c>
      <c r="X58" s="1560"/>
      <c r="Y58" s="1626"/>
      <c r="Z58" s="1626"/>
      <c r="AA58" s="1626"/>
      <c r="AB58" s="1626"/>
      <c r="AC58" s="1626"/>
      <c r="AD58" s="1626"/>
      <c r="AE58" s="1626"/>
      <c r="AF58" s="1626"/>
      <c r="AG58" s="1626"/>
      <c r="AH58" s="1626"/>
      <c r="AI58" s="1626"/>
      <c r="AJ58" s="1626"/>
      <c r="AK58" s="1626"/>
      <c r="AL58" s="1626"/>
      <c r="AM58" s="1626"/>
      <c r="AN58" s="1626"/>
      <c r="AO58" s="1626"/>
      <c r="AP58" s="1626"/>
      <c r="AQ58" s="1626"/>
      <c r="AR58" s="1626"/>
      <c r="AS58" s="1626"/>
      <c r="AT58" s="1626"/>
      <c r="AU58" s="1626"/>
      <c r="AV58" s="1626"/>
      <c r="AW58" s="1626"/>
      <c r="AX58" s="1626"/>
      <c r="AY58" s="1626"/>
      <c r="AZ58" s="1626"/>
      <c r="BA58" s="1626"/>
      <c r="BD58" s="1521">
        <f ca="1">D84</f>
        <v>50605.981771429077</v>
      </c>
      <c r="BE58" s="1522">
        <v>0</v>
      </c>
      <c r="BF58" s="1523">
        <f>+BE58+1%</f>
        <v>0.01</v>
      </c>
      <c r="BG58" s="1523">
        <f t="shared" ref="BG58:BI58" si="20">+BF58+1%</f>
        <v>0.02</v>
      </c>
      <c r="BH58" s="1523">
        <f t="shared" si="20"/>
        <v>0.03</v>
      </c>
      <c r="BI58" s="1523">
        <f t="shared" si="20"/>
        <v>0.04</v>
      </c>
    </row>
    <row r="59" spans="3:61" s="1513" customFormat="1">
      <c r="C59" s="1513" t="s">
        <v>962</v>
      </c>
      <c r="D59" s="1626"/>
      <c r="E59" s="1626"/>
      <c r="F59" s="1626"/>
      <c r="G59" s="1560"/>
      <c r="H59" s="1560">
        <f t="shared" si="17"/>
        <v>0</v>
      </c>
      <c r="I59" s="1560">
        <f t="shared" ref="I59:W59" si="21">I12</f>
        <v>0</v>
      </c>
      <c r="J59" s="1560">
        <f t="shared" si="21"/>
        <v>0</v>
      </c>
      <c r="K59" s="1560">
        <f t="shared" si="21"/>
        <v>0</v>
      </c>
      <c r="L59" s="1560">
        <f t="shared" si="21"/>
        <v>0</v>
      </c>
      <c r="M59" s="1560">
        <f t="shared" si="21"/>
        <v>0</v>
      </c>
      <c r="N59" s="1560">
        <f t="shared" si="21"/>
        <v>0</v>
      </c>
      <c r="O59" s="1560">
        <f t="shared" si="21"/>
        <v>0</v>
      </c>
      <c r="P59" s="1560">
        <f t="shared" si="21"/>
        <v>0</v>
      </c>
      <c r="Q59" s="1560">
        <f t="shared" si="21"/>
        <v>0</v>
      </c>
      <c r="R59" s="1560">
        <f t="shared" si="21"/>
        <v>0</v>
      </c>
      <c r="S59" s="1560">
        <f t="shared" si="21"/>
        <v>0</v>
      </c>
      <c r="T59" s="1560">
        <f t="shared" si="21"/>
        <v>0</v>
      </c>
      <c r="U59" s="1560">
        <f t="shared" si="21"/>
        <v>0</v>
      </c>
      <c r="V59" s="1560">
        <f t="shared" si="21"/>
        <v>0</v>
      </c>
      <c r="W59" s="1560">
        <f t="shared" si="21"/>
        <v>0</v>
      </c>
      <c r="X59" s="1560"/>
      <c r="Y59" s="1626"/>
      <c r="Z59" s="1626"/>
      <c r="AA59" s="1626"/>
      <c r="AB59" s="1626"/>
      <c r="AC59" s="1626"/>
      <c r="AD59" s="1626"/>
      <c r="AE59" s="1626"/>
      <c r="AF59" s="1626"/>
      <c r="AG59" s="1626"/>
      <c r="AH59" s="1626"/>
      <c r="AI59" s="1626"/>
      <c r="AJ59" s="1626"/>
      <c r="AK59" s="1626"/>
      <c r="AL59" s="1626"/>
      <c r="AM59" s="1626"/>
      <c r="AN59" s="1626"/>
      <c r="AO59" s="1626"/>
      <c r="AP59" s="1626"/>
      <c r="AQ59" s="1626"/>
      <c r="AR59" s="1626"/>
      <c r="AS59" s="1626"/>
      <c r="AT59" s="1626"/>
      <c r="AU59" s="1626"/>
      <c r="AV59" s="1626"/>
      <c r="AW59" s="1626"/>
      <c r="AX59" s="1626"/>
      <c r="AY59" s="1626"/>
      <c r="AZ59" s="1626"/>
      <c r="BA59" s="1626"/>
      <c r="BC59" s="2760" t="s">
        <v>995</v>
      </c>
      <c r="BD59" s="1627">
        <f t="shared" ref="BD59:BD60" si="22">+BD60-1%</f>
        <v>5.6003626700559923E-2</v>
      </c>
      <c r="BE59" s="1525">
        <v>110386.3157533007</v>
      </c>
      <c r="BF59" s="1525">
        <v>127561.75877510004</v>
      </c>
      <c r="BG59" s="1526">
        <v>154278.15341527187</v>
      </c>
      <c r="BH59" s="1525">
        <v>201542.75461741269</v>
      </c>
      <c r="BI59" s="1525">
        <v>307874.71859487641</v>
      </c>
    </row>
    <row r="60" spans="3:61" s="1513" customFormat="1">
      <c r="C60" s="1513" t="s">
        <v>963</v>
      </c>
      <c r="D60" s="1626"/>
      <c r="E60" s="1626"/>
      <c r="F60" s="1626"/>
      <c r="G60" s="1560"/>
      <c r="H60" s="1560">
        <f t="shared" si="17"/>
        <v>1318.8406424909999</v>
      </c>
      <c r="I60" s="1560">
        <f t="shared" ref="I60:W60" si="23">I13</f>
        <v>1318.1524527060001</v>
      </c>
      <c r="J60" s="1560">
        <f t="shared" si="23"/>
        <v>1385.810943875</v>
      </c>
      <c r="K60" s="1560">
        <f t="shared" si="23"/>
        <v>1398.029397737</v>
      </c>
      <c r="L60" s="1560">
        <f t="shared" si="23"/>
        <v>1083.3806986520001</v>
      </c>
      <c r="M60" s="1560">
        <f t="shared" si="23"/>
        <v>268.08145841499999</v>
      </c>
      <c r="N60" s="1560">
        <f t="shared" si="23"/>
        <v>866.19597450905121</v>
      </c>
      <c r="O60" s="1560">
        <f t="shared" si="23"/>
        <v>958.07836251496497</v>
      </c>
      <c r="P60" s="1560">
        <f t="shared" si="23"/>
        <v>400.06569213431158</v>
      </c>
      <c r="Q60" s="1560">
        <f t="shared" si="23"/>
        <v>404.65673999404856</v>
      </c>
      <c r="R60" s="1560">
        <f t="shared" si="23"/>
        <v>391.81912495422546</v>
      </c>
      <c r="S60" s="1560">
        <f t="shared" si="23"/>
        <v>391.68502453039241</v>
      </c>
      <c r="T60" s="1560">
        <f t="shared" si="23"/>
        <v>351.67260372664737</v>
      </c>
      <c r="U60" s="1560">
        <f t="shared" si="23"/>
        <v>394.01552606931426</v>
      </c>
      <c r="V60" s="1560">
        <f t="shared" si="23"/>
        <v>419.30626490537486</v>
      </c>
      <c r="W60" s="1560">
        <f t="shared" si="23"/>
        <v>447.65035783578924</v>
      </c>
      <c r="X60" s="1560"/>
      <c r="Y60" s="1626"/>
      <c r="Z60" s="1626"/>
      <c r="AA60" s="1626"/>
      <c r="AB60" s="1626"/>
      <c r="AC60" s="1626"/>
      <c r="AD60" s="1626"/>
      <c r="AE60" s="1626"/>
      <c r="AF60" s="1626"/>
      <c r="AG60" s="1626"/>
      <c r="AH60" s="1626"/>
      <c r="AI60" s="1626"/>
      <c r="AJ60" s="1626"/>
      <c r="AK60" s="1626"/>
      <c r="AL60" s="1626"/>
      <c r="AM60" s="1626"/>
      <c r="AN60" s="1626"/>
      <c r="AO60" s="1626"/>
      <c r="AP60" s="1626"/>
      <c r="AQ60" s="1626"/>
      <c r="AR60" s="1626"/>
      <c r="AS60" s="1626"/>
      <c r="AT60" s="1626"/>
      <c r="AU60" s="1626"/>
      <c r="AV60" s="1626"/>
      <c r="AW60" s="1626"/>
      <c r="AX60" s="1626"/>
      <c r="AY60" s="1626"/>
      <c r="AZ60" s="1626"/>
      <c r="BA60" s="1626"/>
      <c r="BC60" s="2760"/>
      <c r="BD60" s="1628">
        <f t="shared" si="22"/>
        <v>6.6003626700559925E-2</v>
      </c>
      <c r="BE60" s="1527">
        <v>99050.13375825774</v>
      </c>
      <c r="BF60" s="1527">
        <v>111134.54487791112</v>
      </c>
      <c r="BG60" s="1528">
        <v>128472.63358186085</v>
      </c>
      <c r="BH60" s="1527">
        <v>155442.02351451709</v>
      </c>
      <c r="BI60" s="1527">
        <v>203154.20463027828</v>
      </c>
    </row>
    <row r="61" spans="3:61" s="1513" customFormat="1">
      <c r="C61" s="1513" t="s">
        <v>965</v>
      </c>
      <c r="D61" s="1626"/>
      <c r="E61" s="1626"/>
      <c r="F61" s="1626"/>
      <c r="G61" s="1560"/>
      <c r="H61" s="1560">
        <f t="shared" si="17"/>
        <v>0</v>
      </c>
      <c r="I61" s="1560">
        <f t="shared" ref="I61:W61" si="24">I14</f>
        <v>0</v>
      </c>
      <c r="J61" s="1560">
        <f t="shared" si="24"/>
        <v>0</v>
      </c>
      <c r="K61" s="1560">
        <f t="shared" si="24"/>
        <v>0</v>
      </c>
      <c r="L61" s="1560">
        <f t="shared" si="24"/>
        <v>0</v>
      </c>
      <c r="M61" s="1560">
        <f t="shared" si="24"/>
        <v>0</v>
      </c>
      <c r="N61" s="1560">
        <f t="shared" si="24"/>
        <v>0</v>
      </c>
      <c r="O61" s="1560">
        <f t="shared" si="24"/>
        <v>0</v>
      </c>
      <c r="P61" s="1560">
        <f t="shared" si="24"/>
        <v>0</v>
      </c>
      <c r="Q61" s="1560">
        <f t="shared" si="24"/>
        <v>0</v>
      </c>
      <c r="R61" s="1560">
        <f t="shared" si="24"/>
        <v>0</v>
      </c>
      <c r="S61" s="1560">
        <f t="shared" si="24"/>
        <v>0</v>
      </c>
      <c r="T61" s="1560">
        <f t="shared" si="24"/>
        <v>0</v>
      </c>
      <c r="U61" s="1560">
        <f t="shared" si="24"/>
        <v>0</v>
      </c>
      <c r="V61" s="1560">
        <f t="shared" si="24"/>
        <v>0</v>
      </c>
      <c r="W61" s="1560">
        <f t="shared" si="24"/>
        <v>0</v>
      </c>
      <c r="X61" s="1560"/>
      <c r="Y61" s="1626"/>
      <c r="Z61" s="1626"/>
      <c r="AA61" s="1626"/>
      <c r="AB61" s="1626"/>
      <c r="AC61" s="1626"/>
      <c r="AD61" s="1626"/>
      <c r="AE61" s="1626"/>
      <c r="AF61" s="1626"/>
      <c r="AG61" s="1626"/>
      <c r="AH61" s="1626"/>
      <c r="AI61" s="1626"/>
      <c r="AJ61" s="1626"/>
      <c r="AK61" s="1626"/>
      <c r="AL61" s="1626"/>
      <c r="AM61" s="1626"/>
      <c r="AN61" s="1626"/>
      <c r="AO61" s="1626"/>
      <c r="AP61" s="1626"/>
      <c r="AQ61" s="1626"/>
      <c r="AR61" s="1626"/>
      <c r="AS61" s="1626"/>
      <c r="AT61" s="1626"/>
      <c r="AU61" s="1626"/>
      <c r="AV61" s="1626"/>
      <c r="AW61" s="1626"/>
      <c r="AX61" s="1626"/>
      <c r="AY61" s="1626"/>
      <c r="AZ61" s="1626"/>
      <c r="BA61" s="1626"/>
      <c r="BC61" s="2760"/>
      <c r="BD61" s="1628">
        <f>+BD62-2%</f>
        <v>7.600362670055992E-2</v>
      </c>
      <c r="BE61" s="1527">
        <v>90697.01520035979</v>
      </c>
      <c r="BF61" s="1527">
        <v>99685.001062917741</v>
      </c>
      <c r="BG61" s="1528">
        <v>111882.77400252158</v>
      </c>
      <c r="BH61" s="1527">
        <v>129383.50838862166</v>
      </c>
      <c r="BI61" s="1527">
        <v>156605.89361376231</v>
      </c>
    </row>
    <row r="62" spans="3:61" s="1513" customFormat="1">
      <c r="C62" s="1513" t="s">
        <v>966</v>
      </c>
      <c r="D62" s="1626"/>
      <c r="E62" s="1626"/>
      <c r="F62" s="1626"/>
      <c r="G62" s="1560"/>
      <c r="H62" s="1560">
        <f t="shared" si="17"/>
        <v>-414.76276050299998</v>
      </c>
      <c r="I62" s="1560">
        <f t="shared" ref="I62:W62" si="25">I15</f>
        <v>-272.86203394299997</v>
      </c>
      <c r="J62" s="1560">
        <f t="shared" si="25"/>
        <v>-156.94816908799999</v>
      </c>
      <c r="K62" s="1560">
        <f t="shared" si="25"/>
        <v>-143.78998269599998</v>
      </c>
      <c r="L62" s="1560">
        <f t="shared" si="25"/>
        <v>-544.06761910399996</v>
      </c>
      <c r="M62" s="1560">
        <f t="shared" si="25"/>
        <v>-787.05758273100002</v>
      </c>
      <c r="N62" s="1560">
        <f t="shared" si="25"/>
        <v>-793.61444847162204</v>
      </c>
      <c r="O62" s="1560">
        <f t="shared" si="25"/>
        <v>-719.4857840413008</v>
      </c>
      <c r="P62" s="1560">
        <f t="shared" si="25"/>
        <v>-706.27265251081963</v>
      </c>
      <c r="Q62" s="1560">
        <f t="shared" si="25"/>
        <v>-1167.4691175791336</v>
      </c>
      <c r="R62" s="1560">
        <f t="shared" si="25"/>
        <v>-452.06637167829581</v>
      </c>
      <c r="S62" s="1560">
        <f t="shared" si="25"/>
        <v>-367.64817422706108</v>
      </c>
      <c r="T62" s="1560">
        <f t="shared" si="25"/>
        <v>-297.41873156308685</v>
      </c>
      <c r="U62" s="1560">
        <f t="shared" si="25"/>
        <v>-332.72512452640376</v>
      </c>
      <c r="V62" s="1560">
        <f t="shared" si="25"/>
        <v>-391.10138790970905</v>
      </c>
      <c r="W62" s="1560">
        <f t="shared" si="25"/>
        <v>-379.0911800676617</v>
      </c>
      <c r="X62" s="1560"/>
      <c r="Y62" s="1626"/>
      <c r="Z62" s="1626"/>
      <c r="AA62" s="1626"/>
      <c r="AB62" s="1626"/>
      <c r="AC62" s="1626"/>
      <c r="AD62" s="1626"/>
      <c r="AE62" s="1626"/>
      <c r="AF62" s="1626"/>
      <c r="AG62" s="1626"/>
      <c r="AH62" s="1626"/>
      <c r="AI62" s="1626"/>
      <c r="AJ62" s="1626"/>
      <c r="AK62" s="1626"/>
      <c r="AL62" s="1626"/>
      <c r="AM62" s="1626"/>
      <c r="AN62" s="1626"/>
      <c r="AO62" s="1626"/>
      <c r="AP62" s="1626"/>
      <c r="AQ62" s="1626"/>
      <c r="AR62" s="1626"/>
      <c r="AS62" s="1626"/>
      <c r="AT62" s="1626"/>
      <c r="AU62" s="1626"/>
      <c r="AV62" s="1626"/>
      <c r="AW62" s="1626"/>
      <c r="AX62" s="1626"/>
      <c r="AY62" s="1626"/>
      <c r="AZ62" s="1626"/>
      <c r="BA62" s="1626"/>
      <c r="BC62" s="2760"/>
      <c r="BD62" s="1628">
        <v>9.6003626700559924E-2</v>
      </c>
      <c r="BE62" s="1529">
        <v>79211.279962447152</v>
      </c>
      <c r="BF62" s="1529">
        <v>84773.630407837656</v>
      </c>
      <c r="BG62" s="1530">
        <v>91799.68743852184</v>
      </c>
      <c r="BH62" s="1529">
        <v>100954.73567223772</v>
      </c>
      <c r="BI62" s="1529">
        <v>113379.23225174242</v>
      </c>
    </row>
    <row r="63" spans="3:61" s="1513" customFormat="1">
      <c r="C63" s="1513" t="s">
        <v>967</v>
      </c>
      <c r="D63" s="1626"/>
      <c r="E63" s="1626"/>
      <c r="F63" s="1626"/>
      <c r="G63" s="1560"/>
      <c r="H63" s="1560">
        <f t="shared" si="17"/>
        <v>-104.41080388699993</v>
      </c>
      <c r="I63" s="1560">
        <f t="shared" ref="I63:W63" si="26">I16</f>
        <v>-207.03610204400024</v>
      </c>
      <c r="J63" s="1560">
        <f t="shared" si="26"/>
        <v>-105.3971521409992</v>
      </c>
      <c r="K63" s="1560">
        <f t="shared" si="26"/>
        <v>-1523.4659522490006</v>
      </c>
      <c r="L63" s="1560">
        <f t="shared" si="26"/>
        <v>349.26656553599969</v>
      </c>
      <c r="M63" s="1560">
        <f t="shared" si="26"/>
        <v>-839.26600873999951</v>
      </c>
      <c r="N63" s="1560">
        <f t="shared" si="26"/>
        <v>-1668.5057623855787</v>
      </c>
      <c r="O63" s="1560">
        <f t="shared" si="26"/>
        <v>-824.98831932403755</v>
      </c>
      <c r="P63" s="1560">
        <f t="shared" si="26"/>
        <v>171.66599166363358</v>
      </c>
      <c r="Q63" s="1560">
        <f t="shared" si="26"/>
        <v>-1677.682647516127</v>
      </c>
      <c r="R63" s="1560">
        <f t="shared" si="26"/>
        <v>-150.80708964454152</v>
      </c>
      <c r="S63" s="1560">
        <f t="shared" si="26"/>
        <v>32.768389412871329</v>
      </c>
      <c r="T63" s="1560">
        <f t="shared" si="26"/>
        <v>-697.44761890183327</v>
      </c>
      <c r="U63" s="1560">
        <f t="shared" si="26"/>
        <v>-488.41463668746655</v>
      </c>
      <c r="V63" s="1560">
        <f t="shared" si="26"/>
        <v>-540.41546101717176</v>
      </c>
      <c r="W63" s="1560">
        <f t="shared" si="26"/>
        <v>-588.78967108142206</v>
      </c>
      <c r="X63" s="1560"/>
      <c r="Y63" s="1626"/>
      <c r="Z63" s="1626"/>
      <c r="AA63" s="1626"/>
      <c r="AB63" s="1626"/>
      <c r="AC63" s="1626"/>
      <c r="AD63" s="1626"/>
      <c r="AE63" s="1626"/>
      <c r="AF63" s="1626"/>
      <c r="AG63" s="1626"/>
      <c r="AH63" s="1626"/>
      <c r="AI63" s="1626"/>
      <c r="AJ63" s="1626"/>
      <c r="AK63" s="1626"/>
      <c r="AL63" s="1626"/>
      <c r="AM63" s="1626"/>
      <c r="AN63" s="1626"/>
      <c r="AO63" s="1626"/>
      <c r="AP63" s="1626"/>
      <c r="AQ63" s="1626"/>
      <c r="AR63" s="1626"/>
      <c r="AS63" s="1626"/>
      <c r="AT63" s="1626"/>
      <c r="AU63" s="1626"/>
      <c r="AV63" s="1626"/>
      <c r="AW63" s="1626"/>
      <c r="AX63" s="1626"/>
      <c r="AY63" s="1626"/>
      <c r="AZ63" s="1626"/>
      <c r="BA63" s="1626"/>
      <c r="BC63" s="2760"/>
      <c r="BD63" s="1628">
        <f>+BD62+2%</f>
        <v>0.11600362670055993</v>
      </c>
      <c r="BE63" s="1527">
        <v>71686.019259545661</v>
      </c>
      <c r="BF63" s="1527">
        <v>75488.999561274453</v>
      </c>
      <c r="BG63" s="1528">
        <v>80084.237495850932</v>
      </c>
      <c r="BH63" s="1527">
        <v>85748.09035072042</v>
      </c>
      <c r="BI63" s="1527">
        <v>92902.359676683845</v>
      </c>
    </row>
    <row r="64" spans="3:61" s="1513" customFormat="1">
      <c r="C64" s="1513" t="s">
        <v>996</v>
      </c>
      <c r="D64" s="1515"/>
      <c r="E64" s="1515"/>
      <c r="F64" s="1515"/>
      <c r="G64" s="1538"/>
      <c r="H64" s="1538">
        <f>+'Output-FR (show)'!K23*(1-DCF!H46)</f>
        <v>80.515465542553656</v>
      </c>
      <c r="I64" s="1538">
        <f>+'Output-FR (show)'!L23*(1-DCF!I46)</f>
        <v>40.032483802199621</v>
      </c>
      <c r="J64" s="1538">
        <f>+'Output-FR (show)'!M23*(1-DCF!J46)</f>
        <v>17.34410716288399</v>
      </c>
      <c r="K64" s="1538">
        <f>+'Output-FR (show)'!N23*(1-DCF!K46)</f>
        <v>9.6595194153121078</v>
      </c>
      <c r="L64" s="1538">
        <f>+'Output-FR (show)'!O23*(1-DCF!L46)</f>
        <v>8.984862880078067</v>
      </c>
      <c r="M64" s="1538">
        <f>+'Output-FR (show)'!P23*(1-DCF!M46)</f>
        <v>41.638264419962717</v>
      </c>
      <c r="N64" s="1538">
        <f ca="1">+'Output-FR (show)'!Q23*(1-DCF!N46)</f>
        <v>63.006744315487822</v>
      </c>
      <c r="O64" s="1538">
        <f ca="1">+'Output-FR (show)'!R23*(1-DCF!O46)</f>
        <v>80.19309098692284</v>
      </c>
      <c r="P64" s="1538">
        <f ca="1">+'Output-FR (show)'!S23*(1-DCF!P46)</f>
        <v>85.702864108273445</v>
      </c>
      <c r="Q64" s="1538">
        <f ca="1">+'Output-FR (show)'!T23*(1-DCF!Q46)</f>
        <v>102.25665060420938</v>
      </c>
      <c r="R64" s="1538">
        <f ca="1">+'Output-FR (show)'!U23*(1-DCF!R46)</f>
        <v>113.21293549538355</v>
      </c>
      <c r="S64" s="1538">
        <f ca="1">+'Output-FR (show)'!V23*(1-DCF!S46)</f>
        <v>106.0931638071218</v>
      </c>
      <c r="T64" s="1538">
        <f ca="1">+'Output-FR (show)'!W23*(1-DCF!T46)</f>
        <v>97.617503613439553</v>
      </c>
      <c r="U64" s="1538">
        <f ca="1">+'Output-FR (show)'!X23*(1-DCF!U46)</f>
        <v>94.547756947985647</v>
      </c>
      <c r="V64" s="1538">
        <f ca="1">+'Output-FR (show)'!Y23*(1-DCF!V46)</f>
        <v>96.335065063692582</v>
      </c>
      <c r="W64" s="1538">
        <f ca="1">+'Output-FR (show)'!Z23*(1-DCF!W46)</f>
        <v>100.60064060969599</v>
      </c>
      <c r="X64" s="1518"/>
      <c r="Y64" s="1515"/>
      <c r="Z64" s="1515"/>
      <c r="AA64" s="1515"/>
      <c r="AB64" s="1515"/>
      <c r="AC64" s="1515"/>
      <c r="AD64" s="1515"/>
      <c r="AE64" s="1515"/>
      <c r="AF64" s="1515"/>
      <c r="AG64" s="1515"/>
      <c r="AH64" s="1515"/>
      <c r="AI64" s="1515"/>
      <c r="AJ64" s="1515"/>
      <c r="AK64" s="1515"/>
      <c r="AL64" s="1515"/>
      <c r="AM64" s="1515"/>
      <c r="AN64" s="1515"/>
      <c r="AO64" s="1515"/>
      <c r="AP64" s="1515"/>
      <c r="AQ64" s="1515"/>
      <c r="AR64" s="1515"/>
      <c r="AS64" s="1515"/>
      <c r="AT64" s="1515"/>
      <c r="AU64" s="1515"/>
      <c r="AV64" s="1515"/>
      <c r="AW64" s="1515"/>
      <c r="AX64" s="1515"/>
      <c r="AY64" s="1515"/>
      <c r="AZ64" s="1515"/>
      <c r="BA64" s="1515"/>
      <c r="BC64" s="2760"/>
      <c r="BD64" s="1628">
        <f t="shared" ref="BD64:BD65" si="27">+BD63+2%</f>
        <v>0.13600362670055993</v>
      </c>
      <c r="BE64" s="1527">
        <v>66374.011507455507</v>
      </c>
      <c r="BF64" s="1527">
        <v>69151.785734263438</v>
      </c>
      <c r="BG64" s="1528">
        <v>72408.471578891404</v>
      </c>
      <c r="BH64" s="1527">
        <v>76279.605427987641</v>
      </c>
      <c r="BI64" s="1527">
        <v>80957.195029254712</v>
      </c>
    </row>
    <row r="65" spans="3:61" s="1513" customFormat="1">
      <c r="C65" s="1533" t="s">
        <v>997</v>
      </c>
      <c r="D65" s="1535"/>
      <c r="E65" s="1535"/>
      <c r="F65" s="1535"/>
      <c r="G65" s="1536"/>
      <c r="H65" s="1536">
        <f>SUM(H57:H64)</f>
        <v>1197.2077730335536</v>
      </c>
      <c r="I65" s="1536">
        <f t="shared" ref="I65:W65" si="28">SUM(I57:I64)</f>
        <v>1453.8928747131995</v>
      </c>
      <c r="J65" s="1536">
        <f t="shared" si="28"/>
        <v>2865.2787875238846</v>
      </c>
      <c r="K65" s="1536">
        <f t="shared" si="28"/>
        <v>3933.8562717963114</v>
      </c>
      <c r="L65" s="1536">
        <f t="shared" si="28"/>
        <v>1884.0973330460779</v>
      </c>
      <c r="M65" s="1536">
        <f t="shared" si="28"/>
        <v>-18.695930594036703</v>
      </c>
      <c r="N65" s="1536">
        <f t="shared" ca="1" si="28"/>
        <v>483.39269198600573</v>
      </c>
      <c r="O65" s="1536">
        <f t="shared" ca="1" si="28"/>
        <v>1798.2744665025962</v>
      </c>
      <c r="P65" s="1536">
        <f t="shared" ca="1" si="28"/>
        <v>2633.2747690076071</v>
      </c>
      <c r="Q65" s="1536">
        <f t="shared" ca="1" si="28"/>
        <v>1810.5140924320272</v>
      </c>
      <c r="R65" s="1536">
        <f t="shared" ca="1" si="28"/>
        <v>3485.801727876687</v>
      </c>
      <c r="S65" s="1536">
        <f t="shared" ca="1" si="28"/>
        <v>3288.9388473195786</v>
      </c>
      <c r="T65" s="1536">
        <f t="shared" ca="1" si="28"/>
        <v>2580.2621458799563</v>
      </c>
      <c r="U65" s="1536">
        <f t="shared" ca="1" si="28"/>
        <v>3126.5700967946073</v>
      </c>
      <c r="V65" s="1536">
        <f t="shared" ca="1" si="28"/>
        <v>3562.2695182060993</v>
      </c>
      <c r="W65" s="1536">
        <f t="shared" ca="1" si="28"/>
        <v>3569.774341556054</v>
      </c>
      <c r="X65" s="1536"/>
      <c r="Y65" s="1535"/>
      <c r="Z65" s="1535"/>
      <c r="AA65" s="1535"/>
      <c r="AB65" s="1535"/>
      <c r="AC65" s="1535"/>
      <c r="AD65" s="1535"/>
      <c r="AE65" s="1535"/>
      <c r="AF65" s="1535"/>
      <c r="AG65" s="1535"/>
      <c r="AH65" s="1535"/>
      <c r="AI65" s="1535"/>
      <c r="AJ65" s="1535"/>
      <c r="AK65" s="1535"/>
      <c r="AL65" s="1535"/>
      <c r="AM65" s="1535"/>
      <c r="AN65" s="1535"/>
      <c r="AO65" s="1535"/>
      <c r="AP65" s="1535"/>
      <c r="AQ65" s="1535"/>
      <c r="AR65" s="1535"/>
      <c r="AS65" s="1535"/>
      <c r="AT65" s="1535"/>
      <c r="AU65" s="1535"/>
      <c r="AV65" s="1535"/>
      <c r="AW65" s="1535"/>
      <c r="AX65" s="1535"/>
      <c r="AY65" s="1535"/>
      <c r="AZ65" s="1535"/>
      <c r="BA65" s="1535"/>
      <c r="BC65" s="2760"/>
      <c r="BD65" s="1628">
        <f t="shared" si="27"/>
        <v>0.15600362670055992</v>
      </c>
      <c r="BE65" s="1527">
        <v>62424.025360744134</v>
      </c>
      <c r="BF65" s="1527">
        <v>64550.751746129441</v>
      </c>
      <c r="BG65" s="1528">
        <v>66990.223671759464</v>
      </c>
      <c r="BH65" s="1527">
        <v>69816.902218263538</v>
      </c>
      <c r="BI65" s="1527">
        <v>73130.923898237146</v>
      </c>
    </row>
    <row r="66" spans="3:61" s="1513" customFormat="1">
      <c r="C66" s="1513" t="s">
        <v>970</v>
      </c>
      <c r="D66" s="1540"/>
      <c r="E66" s="1540"/>
      <c r="F66" s="1540"/>
      <c r="G66" s="1540"/>
      <c r="H66" s="1540"/>
      <c r="I66" s="1540"/>
      <c r="J66" s="1540"/>
      <c r="K66" s="1540"/>
      <c r="L66" s="1540"/>
      <c r="M66" s="1541"/>
      <c r="N66" s="1629">
        <f ca="1">IF(N72&lt;0,N65,IF(N72&lt;1,N65*(1-N72),0))</f>
        <v>362.5445189895043</v>
      </c>
      <c r="O66" s="1629">
        <f t="shared" ref="O66:W66" ca="1" si="29">IF(O72&lt;0,O65,IF(O72&lt;1,O65*(1-O72),0))</f>
        <v>0</v>
      </c>
      <c r="P66" s="1629">
        <f t="shared" ca="1" si="29"/>
        <v>0</v>
      </c>
      <c r="Q66" s="1629">
        <f t="shared" ca="1" si="29"/>
        <v>0</v>
      </c>
      <c r="R66" s="1629">
        <f t="shared" ca="1" si="29"/>
        <v>0</v>
      </c>
      <c r="S66" s="1629">
        <f t="shared" ca="1" si="29"/>
        <v>0</v>
      </c>
      <c r="T66" s="1629">
        <f t="shared" ca="1" si="29"/>
        <v>0</v>
      </c>
      <c r="U66" s="1629">
        <f t="shared" ca="1" si="29"/>
        <v>0</v>
      </c>
      <c r="V66" s="1629">
        <f t="shared" ca="1" si="29"/>
        <v>0</v>
      </c>
      <c r="W66" s="1629">
        <f t="shared" ca="1" si="29"/>
        <v>0</v>
      </c>
      <c r="X66" s="1629"/>
      <c r="Y66" s="1630"/>
      <c r="Z66" s="1630"/>
      <c r="AA66" s="1630"/>
      <c r="AB66" s="1630"/>
      <c r="AC66" s="1630"/>
      <c r="AD66" s="1630"/>
      <c r="AE66" s="1630"/>
      <c r="AF66" s="1630"/>
      <c r="AG66" s="1630"/>
      <c r="AH66" s="1630"/>
      <c r="AI66" s="1630"/>
      <c r="AJ66" s="1630"/>
      <c r="AK66" s="1630"/>
      <c r="AL66" s="1630"/>
      <c r="AM66" s="1630"/>
      <c r="AN66" s="1630"/>
      <c r="AO66" s="1630"/>
      <c r="AP66" s="1630"/>
      <c r="AQ66" s="1630"/>
      <c r="AR66" s="1630"/>
      <c r="AS66" s="1630"/>
      <c r="AT66" s="1630"/>
      <c r="AU66" s="1630"/>
      <c r="AV66" s="1630"/>
      <c r="AW66" s="1630"/>
      <c r="AX66" s="1630"/>
      <c r="AY66" s="1630"/>
      <c r="AZ66" s="1630"/>
      <c r="BA66" s="1630"/>
    </row>
    <row r="67" spans="3:61" s="1513" customFormat="1">
      <c r="C67" s="1533" t="s">
        <v>998</v>
      </c>
      <c r="D67" s="1631"/>
      <c r="E67" s="1631"/>
      <c r="F67" s="1631"/>
      <c r="G67" s="1631"/>
      <c r="H67" s="1631"/>
      <c r="I67" s="1631"/>
      <c r="J67" s="1631"/>
      <c r="K67" s="1631"/>
      <c r="L67" s="1631"/>
      <c r="M67" s="1632"/>
      <c r="N67" s="1536">
        <f ca="1">N65-N66</f>
        <v>120.84817299650143</v>
      </c>
      <c r="O67" s="1536">
        <f t="shared" ref="O67:W67" ca="1" si="30">O65-O66</f>
        <v>1798.2744665025962</v>
      </c>
      <c r="P67" s="1536">
        <f t="shared" ca="1" si="30"/>
        <v>2633.2747690076071</v>
      </c>
      <c r="Q67" s="1536">
        <f t="shared" ca="1" si="30"/>
        <v>1810.5140924320272</v>
      </c>
      <c r="R67" s="1536">
        <f t="shared" ca="1" si="30"/>
        <v>3485.801727876687</v>
      </c>
      <c r="S67" s="1536">
        <f t="shared" ca="1" si="30"/>
        <v>3288.9388473195786</v>
      </c>
      <c r="T67" s="1536">
        <f t="shared" ca="1" si="30"/>
        <v>2580.2621458799563</v>
      </c>
      <c r="U67" s="1536">
        <f t="shared" ca="1" si="30"/>
        <v>3126.5700967946073</v>
      </c>
      <c r="V67" s="1536">
        <f t="shared" ca="1" si="30"/>
        <v>3562.2695182060993</v>
      </c>
      <c r="W67" s="1536">
        <f t="shared" ca="1" si="30"/>
        <v>3569.774341556054</v>
      </c>
      <c r="X67" s="1536"/>
      <c r="Y67" s="1535"/>
      <c r="Z67" s="1535"/>
      <c r="AA67" s="1535"/>
      <c r="AB67" s="1535"/>
      <c r="AC67" s="1535"/>
      <c r="AD67" s="1535"/>
      <c r="AE67" s="1535"/>
      <c r="AF67" s="1535"/>
      <c r="AG67" s="1535"/>
      <c r="AH67" s="1535"/>
      <c r="AI67" s="1535"/>
      <c r="AJ67" s="1535"/>
      <c r="AK67" s="1535"/>
      <c r="AL67" s="1535"/>
      <c r="AM67" s="1535"/>
      <c r="AN67" s="1535"/>
      <c r="AO67" s="1535"/>
      <c r="AP67" s="1535"/>
      <c r="AQ67" s="1535"/>
      <c r="AR67" s="1535"/>
      <c r="AS67" s="1535"/>
      <c r="AT67" s="1535"/>
      <c r="AU67" s="1535"/>
      <c r="AV67" s="1535"/>
      <c r="AW67" s="1535"/>
      <c r="AX67" s="1535"/>
      <c r="AY67" s="1535"/>
      <c r="AZ67" s="1535"/>
      <c r="BA67" s="1535"/>
    </row>
    <row r="68" spans="3:61" s="1513" customFormat="1">
      <c r="C68" s="1519"/>
      <c r="D68" s="1540"/>
      <c r="E68" s="1540"/>
      <c r="F68" s="1540"/>
      <c r="G68" s="1540"/>
      <c r="H68" s="1540"/>
      <c r="I68" s="1540"/>
      <c r="J68" s="1540"/>
      <c r="K68" s="1540"/>
      <c r="L68" s="1540"/>
      <c r="M68" s="1541"/>
      <c r="N68" s="1542"/>
      <c r="O68" s="1542"/>
      <c r="P68" s="1542"/>
      <c r="Q68" s="1542"/>
      <c r="R68" s="1542"/>
      <c r="S68" s="1542"/>
      <c r="T68" s="1542"/>
      <c r="U68" s="1542"/>
      <c r="V68" s="1542"/>
      <c r="W68" s="1542"/>
      <c r="X68" s="1542"/>
      <c r="Y68" s="1542"/>
      <c r="Z68" s="1542"/>
      <c r="AA68" s="1542"/>
      <c r="AB68" s="1542"/>
      <c r="AC68" s="1542"/>
      <c r="AD68" s="1542"/>
      <c r="AE68" s="1542"/>
      <c r="AF68" s="1542"/>
      <c r="AG68" s="1542"/>
      <c r="AH68" s="1542"/>
      <c r="AI68" s="1542"/>
      <c r="AJ68" s="1542"/>
      <c r="AK68" s="1542"/>
      <c r="AL68" s="1542"/>
      <c r="AM68" s="1542"/>
      <c r="AN68" s="1542"/>
      <c r="AO68" s="1542"/>
      <c r="AP68" s="1542"/>
      <c r="AQ68" s="1542"/>
      <c r="AR68" s="1542"/>
      <c r="AS68" s="1542"/>
      <c r="AT68" s="1542"/>
      <c r="AU68" s="1542"/>
      <c r="AV68" s="1542"/>
      <c r="AW68" s="1542"/>
      <c r="AX68" s="1542"/>
      <c r="AY68" s="1542"/>
      <c r="AZ68" s="1542"/>
      <c r="BA68" s="1542"/>
    </row>
    <row r="69" spans="3:61" s="1513" customFormat="1">
      <c r="C69" s="1519" t="s">
        <v>973</v>
      </c>
      <c r="D69" s="1549">
        <f>D23</f>
        <v>2.2000000000000002E-2</v>
      </c>
      <c r="E69" s="1540"/>
      <c r="F69" s="1540"/>
      <c r="G69" s="1540"/>
      <c r="H69" s="1540"/>
      <c r="I69" s="1540"/>
      <c r="J69" s="1540"/>
      <c r="K69" s="1540"/>
      <c r="L69" s="1540"/>
      <c r="M69" s="1541"/>
      <c r="N69" s="1543"/>
      <c r="O69" s="1543"/>
      <c r="P69" s="1543"/>
      <c r="Q69" s="1543"/>
      <c r="R69" s="1543"/>
      <c r="S69" s="1543"/>
      <c r="T69" s="1543"/>
      <c r="U69" s="1543"/>
      <c r="V69" s="1543"/>
      <c r="W69" s="1543"/>
      <c r="X69" s="1543"/>
      <c r="Y69" s="1542"/>
      <c r="Z69" s="1542"/>
      <c r="AA69" s="1542"/>
      <c r="AB69" s="1542"/>
      <c r="AC69" s="1542"/>
      <c r="AD69" s="1542"/>
      <c r="AE69" s="1542"/>
      <c r="AF69" s="1542"/>
      <c r="AG69" s="1542"/>
      <c r="AH69" s="1542"/>
      <c r="AI69" s="1542"/>
      <c r="AJ69" s="1542"/>
      <c r="AK69" s="1542"/>
      <c r="AL69" s="1542"/>
      <c r="AM69" s="1542"/>
      <c r="AN69" s="1542"/>
      <c r="AO69" s="1542"/>
      <c r="AP69" s="1542"/>
      <c r="AQ69" s="1542"/>
      <c r="AR69" s="1542"/>
      <c r="AS69" s="1542"/>
      <c r="AT69" s="1542"/>
      <c r="AU69" s="1542"/>
      <c r="AV69" s="1542"/>
      <c r="AW69" s="1542"/>
      <c r="AX69" s="1542"/>
      <c r="AY69" s="1542"/>
      <c r="AZ69" s="1542"/>
      <c r="BA69" s="1542"/>
    </row>
    <row r="70" spans="3:61" s="1513" customFormat="1">
      <c r="C70" s="1519" t="s">
        <v>999</v>
      </c>
      <c r="D70" s="1549">
        <f ca="1">+'Assumption &amp; Result'!D24</f>
        <v>0.14727526428512513</v>
      </c>
      <c r="E70" s="1540"/>
      <c r="F70" s="1540"/>
      <c r="G70" s="1540"/>
      <c r="H70" s="1540"/>
      <c r="I70" s="1540"/>
      <c r="J70" s="1540"/>
      <c r="K70" s="1540"/>
      <c r="L70" s="1540"/>
      <c r="M70" s="1541"/>
      <c r="N70" s="1543"/>
      <c r="O70" s="1543"/>
      <c r="P70" s="1543"/>
      <c r="Q70" s="1543"/>
      <c r="R70" s="1543"/>
      <c r="S70" s="1543"/>
      <c r="T70" s="1543"/>
      <c r="U70" s="1543"/>
      <c r="V70" s="1543"/>
      <c r="W70" s="1543"/>
      <c r="X70" s="1543"/>
      <c r="Y70" s="1542"/>
      <c r="Z70" s="1542"/>
      <c r="AA70" s="1542"/>
      <c r="AB70" s="1542"/>
      <c r="AC70" s="1542"/>
      <c r="AD70" s="1542"/>
      <c r="AE70" s="1542"/>
      <c r="AF70" s="1542"/>
      <c r="AG70" s="1542"/>
      <c r="AH70" s="1542"/>
      <c r="AI70" s="1542"/>
      <c r="AJ70" s="1542"/>
      <c r="AK70" s="1542"/>
      <c r="AL70" s="1542"/>
      <c r="AM70" s="1542"/>
      <c r="AN70" s="1542"/>
      <c r="AO70" s="1542"/>
      <c r="AP70" s="1542"/>
      <c r="AQ70" s="1542"/>
      <c r="AR70" s="1542"/>
      <c r="AS70" s="1542"/>
      <c r="AT70" s="1542"/>
      <c r="AU70" s="1542"/>
      <c r="AV70" s="1542"/>
      <c r="AW70" s="1542"/>
      <c r="AX70" s="1542"/>
      <c r="AY70" s="1542"/>
      <c r="AZ70" s="1542"/>
      <c r="BA70" s="1542"/>
    </row>
    <row r="71" spans="3:61" s="1513" customFormat="1">
      <c r="C71" s="1519"/>
      <c r="D71" s="1540"/>
      <c r="E71" s="1540"/>
      <c r="F71" s="1540"/>
      <c r="G71" s="1540"/>
      <c r="H71" s="1540"/>
      <c r="I71" s="1540"/>
      <c r="J71" s="1540"/>
      <c r="K71" s="1540"/>
      <c r="L71" s="1540"/>
      <c r="M71" s="1541"/>
      <c r="N71" s="1543"/>
      <c r="O71" s="1543"/>
      <c r="P71" s="1543"/>
      <c r="Q71" s="1543"/>
      <c r="R71" s="1543"/>
      <c r="S71" s="1543"/>
      <c r="T71" s="1543"/>
      <c r="U71" s="1543"/>
      <c r="V71" s="1543"/>
      <c r="W71" s="1543"/>
      <c r="X71" s="1543"/>
      <c r="Y71" s="1542"/>
      <c r="Z71" s="1542"/>
      <c r="AA71" s="1542"/>
      <c r="AB71" s="1542"/>
      <c r="AC71" s="1542"/>
      <c r="AD71" s="1542"/>
      <c r="AE71" s="1542"/>
      <c r="AF71" s="1542"/>
      <c r="AG71" s="1542"/>
      <c r="AH71" s="1542"/>
      <c r="AI71" s="1542"/>
      <c r="AJ71" s="1542"/>
      <c r="AK71" s="1542"/>
      <c r="AL71" s="1542"/>
      <c r="AM71" s="1542"/>
      <c r="AN71" s="1542"/>
      <c r="AO71" s="1542"/>
      <c r="AP71" s="1542"/>
      <c r="AQ71" s="1542"/>
      <c r="AR71" s="1542"/>
      <c r="AS71" s="1542"/>
      <c r="AT71" s="1542"/>
      <c r="AU71" s="1542"/>
      <c r="AV71" s="1542"/>
      <c r="AW71" s="1542"/>
      <c r="AX71" s="1542"/>
      <c r="AY71" s="1542"/>
      <c r="AZ71" s="1542"/>
      <c r="BA71" s="1542"/>
    </row>
    <row r="72" spans="3:61" s="1513" customFormat="1">
      <c r="C72" s="1513" t="s">
        <v>958</v>
      </c>
      <c r="D72" s="1546"/>
      <c r="E72" s="1546"/>
      <c r="F72" s="1546"/>
      <c r="G72" s="1546"/>
      <c r="H72" s="1546"/>
      <c r="I72" s="1546"/>
      <c r="J72" s="1546"/>
      <c r="K72" s="1546"/>
      <c r="L72" s="1550"/>
      <c r="M72" s="1633"/>
      <c r="N72" s="1552">
        <f ca="1">N26</f>
        <v>0.25</v>
      </c>
      <c r="O72" s="1552">
        <f ca="1">O26</f>
        <v>1.25</v>
      </c>
      <c r="P72" s="1552">
        <f t="shared" ref="P72:W72" ca="1" si="31">P26</f>
        <v>2.25</v>
      </c>
      <c r="Q72" s="1552">
        <f t="shared" ca="1" si="31"/>
        <v>3.25</v>
      </c>
      <c r="R72" s="1552">
        <f t="shared" ca="1" si="31"/>
        <v>4.25</v>
      </c>
      <c r="S72" s="1552">
        <f t="shared" ca="1" si="31"/>
        <v>5.25</v>
      </c>
      <c r="T72" s="1552">
        <f t="shared" ca="1" si="31"/>
        <v>6.25</v>
      </c>
      <c r="U72" s="1552">
        <f t="shared" ca="1" si="31"/>
        <v>7.25</v>
      </c>
      <c r="V72" s="1552">
        <f t="shared" ca="1" si="31"/>
        <v>8.25</v>
      </c>
      <c r="W72" s="1552">
        <f t="shared" ca="1" si="31"/>
        <v>9.25</v>
      </c>
      <c r="X72" s="1552"/>
      <c r="Y72" s="1553"/>
      <c r="Z72" s="1553"/>
      <c r="AA72" s="1553"/>
      <c r="AB72" s="1553"/>
      <c r="AC72" s="1553"/>
      <c r="AD72" s="1553"/>
      <c r="AE72" s="1553"/>
      <c r="AF72" s="1553"/>
      <c r="AG72" s="1553"/>
      <c r="AH72" s="1553"/>
      <c r="AI72" s="1553"/>
      <c r="AJ72" s="1553"/>
      <c r="AK72" s="1553"/>
      <c r="AL72" s="1553"/>
      <c r="AM72" s="1553"/>
      <c r="AN72" s="1553"/>
      <c r="AO72" s="1553"/>
      <c r="AP72" s="1553"/>
      <c r="AQ72" s="1553"/>
      <c r="AR72" s="1553"/>
      <c r="AS72" s="1553"/>
      <c r="AT72" s="1553"/>
      <c r="AU72" s="1553"/>
      <c r="AV72" s="1553"/>
      <c r="AW72" s="1553"/>
      <c r="AX72" s="1553"/>
      <c r="AY72" s="1553"/>
      <c r="AZ72" s="1553"/>
      <c r="BA72" s="1553"/>
    </row>
    <row r="73" spans="3:61" s="1513" customFormat="1">
      <c r="C73" s="1513" t="s">
        <v>975</v>
      </c>
      <c r="D73" s="1515"/>
      <c r="E73" s="1515"/>
      <c r="F73" s="1515"/>
      <c r="G73" s="1515"/>
      <c r="H73" s="1515"/>
      <c r="I73" s="1515"/>
      <c r="J73" s="1515"/>
      <c r="K73" s="1515"/>
      <c r="L73" s="1518"/>
      <c r="M73" s="1633"/>
      <c r="N73" s="1552">
        <f ca="1">(1+N51)^N72</f>
        <v>1.0354660648690994</v>
      </c>
      <c r="O73" s="1552">
        <f t="shared" ref="O73:W73" ca="1" si="32">(1+O51)^O72</f>
        <v>1.1902691848274072</v>
      </c>
      <c r="P73" s="1552">
        <f t="shared" ca="1" si="32"/>
        <v>1.3695105644926728</v>
      </c>
      <c r="Q73" s="1552">
        <f t="shared" ca="1" si="32"/>
        <v>1.5754899590540772</v>
      </c>
      <c r="R73" s="1552">
        <f t="shared" ca="1" si="32"/>
        <v>1.8120951692961973</v>
      </c>
      <c r="S73" s="1552">
        <f t="shared" ca="1" si="32"/>
        <v>2.0871220806640265</v>
      </c>
      <c r="T73" s="1552">
        <f t="shared" ca="1" si="32"/>
        <v>2.4039933403487574</v>
      </c>
      <c r="U73" s="1552">
        <f t="shared" ca="1" si="32"/>
        <v>2.7670043473037591</v>
      </c>
      <c r="V73" s="1552">
        <f t="shared" ca="1" si="32"/>
        <v>3.1841770112602426</v>
      </c>
      <c r="W73" s="1552">
        <f t="shared" ca="1" si="32"/>
        <v>3.6639494626247031</v>
      </c>
      <c r="X73" s="1552"/>
      <c r="Y73" s="1553"/>
      <c r="Z73" s="1553"/>
      <c r="AA73" s="1553"/>
      <c r="AB73" s="1553"/>
      <c r="AC73" s="1553"/>
      <c r="AD73" s="1553"/>
      <c r="AE73" s="1553"/>
      <c r="AF73" s="1553"/>
      <c r="AG73" s="1553"/>
      <c r="AH73" s="1553"/>
      <c r="AI73" s="1553"/>
      <c r="AJ73" s="1553"/>
      <c r="AK73" s="1553"/>
      <c r="AL73" s="1553"/>
      <c r="AM73" s="1553"/>
      <c r="AN73" s="1553"/>
      <c r="AO73" s="1553"/>
      <c r="AP73" s="1553"/>
      <c r="AQ73" s="1553"/>
      <c r="AR73" s="1553"/>
      <c r="AS73" s="1553"/>
      <c r="AT73" s="1553"/>
      <c r="AU73" s="1553"/>
      <c r="AV73" s="1553"/>
      <c r="AW73" s="1553"/>
      <c r="AX73" s="1553"/>
      <c r="AY73" s="1553"/>
      <c r="AZ73" s="1553"/>
      <c r="BA73" s="1553"/>
    </row>
    <row r="74" spans="3:61" s="1513" customFormat="1">
      <c r="C74" s="1533" t="s">
        <v>1000</v>
      </c>
      <c r="D74" s="1631"/>
      <c r="E74" s="1631"/>
      <c r="F74" s="1631"/>
      <c r="G74" s="1631"/>
      <c r="H74" s="1631"/>
      <c r="I74" s="1631"/>
      <c r="J74" s="1631"/>
      <c r="K74" s="1631"/>
      <c r="L74" s="1631"/>
      <c r="M74" s="1632"/>
      <c r="N74" s="1536">
        <f ca="1">N67/N73</f>
        <v>116.70896526365517</v>
      </c>
      <c r="O74" s="1536">
        <f t="shared" ref="O74:W74" ca="1" si="33">O67/O73</f>
        <v>1510.8132592404731</v>
      </c>
      <c r="P74" s="1536">
        <f t="shared" ca="1" si="33"/>
        <v>1922.7852908043017</v>
      </c>
      <c r="Q74" s="1536">
        <f t="shared" ca="1" si="33"/>
        <v>1149.1752657814832</v>
      </c>
      <c r="R74" s="1536">
        <f t="shared" ca="1" si="33"/>
        <v>1923.6306055771581</v>
      </c>
      <c r="S74" s="1536">
        <f t="shared" ca="1" si="33"/>
        <v>1575.8248536535962</v>
      </c>
      <c r="T74" s="1536">
        <f t="shared" ca="1" si="33"/>
        <v>1073.3233335436889</v>
      </c>
      <c r="U74" s="1536">
        <f t="shared" ca="1" si="33"/>
        <v>1129.9476633787071</v>
      </c>
      <c r="V74" s="1536">
        <f t="shared" ca="1" si="33"/>
        <v>1118.741045365507</v>
      </c>
      <c r="W74" s="1536">
        <f t="shared" ca="1" si="33"/>
        <v>974.296828591848</v>
      </c>
      <c r="X74" s="1536"/>
      <c r="Y74" s="1535"/>
      <c r="Z74" s="1535"/>
      <c r="AA74" s="1535"/>
      <c r="AB74" s="1535"/>
      <c r="AC74" s="1535"/>
      <c r="AD74" s="1535"/>
      <c r="AE74" s="1535"/>
      <c r="AF74" s="1535"/>
      <c r="AG74" s="1535"/>
      <c r="AH74" s="1535"/>
      <c r="AI74" s="1535"/>
      <c r="AJ74" s="1535"/>
      <c r="AK74" s="1535"/>
      <c r="AL74" s="1535"/>
      <c r="AM74" s="1535"/>
      <c r="AN74" s="1535"/>
      <c r="AO74" s="1535"/>
      <c r="AP74" s="1535"/>
      <c r="AQ74" s="1535"/>
      <c r="AR74" s="1535"/>
      <c r="AS74" s="1535"/>
      <c r="AT74" s="1535"/>
      <c r="AU74" s="1535"/>
      <c r="AV74" s="1535"/>
      <c r="AW74" s="1535"/>
      <c r="AX74" s="1535"/>
      <c r="AY74" s="1535"/>
      <c r="AZ74" s="1535"/>
      <c r="BA74" s="1535"/>
      <c r="BB74" s="1540"/>
      <c r="BC74" s="140"/>
      <c r="BD74" s="2761"/>
      <c r="BE74" s="2761"/>
      <c r="BF74" s="2761"/>
      <c r="BG74" s="2761"/>
      <c r="BH74" s="2761"/>
      <c r="BI74" s="2761"/>
    </row>
    <row r="75" spans="3:61" s="1513" customFormat="1" ht="12.75" customHeight="1">
      <c r="C75" s="1513" t="s">
        <v>1001</v>
      </c>
      <c r="D75" s="1634">
        <f ca="1">SUMIF(N7:AY7,E22,DCF!N74:W74)</f>
        <v>12495.247111200419</v>
      </c>
      <c r="E75" s="1540"/>
      <c r="F75" s="1540"/>
      <c r="G75" s="1540"/>
      <c r="H75" s="1540"/>
      <c r="I75" s="1540"/>
      <c r="J75" s="1540"/>
      <c r="K75" s="1540"/>
      <c r="L75" s="1540"/>
      <c r="M75" s="1541"/>
      <c r="N75" s="1543"/>
      <c r="O75" s="1543"/>
      <c r="P75" s="1543"/>
      <c r="Q75" s="1543"/>
      <c r="R75" s="1543"/>
      <c r="S75" s="1543"/>
      <c r="T75" s="1543"/>
      <c r="U75" s="1543"/>
      <c r="V75" s="1543"/>
      <c r="W75" s="1543"/>
      <c r="X75" s="1543"/>
      <c r="Y75" s="1540"/>
      <c r="Z75" s="1540"/>
      <c r="AA75" s="1540"/>
      <c r="AB75" s="1540"/>
      <c r="AC75" s="1540"/>
      <c r="AD75" s="1540"/>
      <c r="AE75" s="1540"/>
      <c r="AF75" s="1540"/>
      <c r="AG75" s="1540"/>
      <c r="AH75" s="1540"/>
      <c r="AI75" s="1540"/>
      <c r="AJ75" s="1540"/>
      <c r="AK75" s="1540"/>
      <c r="AL75" s="1540"/>
      <c r="AM75" s="1540"/>
      <c r="AN75" s="1540"/>
      <c r="AO75" s="1540"/>
      <c r="AP75" s="1540"/>
      <c r="AQ75" s="1540"/>
      <c r="AR75" s="1540"/>
      <c r="AS75" s="1540"/>
      <c r="AT75" s="1540"/>
      <c r="AU75" s="1540"/>
      <c r="AV75" s="1540"/>
      <c r="AW75" s="1540"/>
      <c r="AX75" s="1540"/>
      <c r="AY75" s="1540"/>
      <c r="AZ75" s="1540"/>
      <c r="BA75" s="1540"/>
      <c r="BB75" s="1544"/>
      <c r="BC75" s="1569"/>
      <c r="BD75" s="851"/>
      <c r="BE75" s="2762"/>
      <c r="BF75" s="2762"/>
      <c r="BG75" s="2762"/>
      <c r="BH75" s="2762"/>
      <c r="BI75" s="2762"/>
    </row>
    <row r="76" spans="3:61" s="1513" customFormat="1">
      <c r="C76" s="1513" t="s">
        <v>978</v>
      </c>
      <c r="D76" s="1557">
        <f ca="1">(CELL("contents",OFFSET(M74,0,D22)))*(1+D69)/(D70-D69)</f>
        <v>7948.3477005851282</v>
      </c>
      <c r="E76" s="1544"/>
      <c r="F76" s="1544"/>
      <c r="G76" s="1544"/>
      <c r="H76" s="1544"/>
      <c r="I76" s="1544"/>
      <c r="J76" s="1544"/>
      <c r="K76" s="1544"/>
      <c r="L76" s="1544"/>
      <c r="M76" s="1594"/>
      <c r="N76" s="1635"/>
      <c r="O76" s="1635"/>
      <c r="P76" s="1635"/>
      <c r="Q76" s="1635"/>
      <c r="R76" s="1635"/>
      <c r="S76" s="1635"/>
      <c r="T76" s="1635"/>
      <c r="U76" s="1635"/>
      <c r="V76" s="1635"/>
      <c r="W76" s="1635"/>
      <c r="X76" s="1635"/>
      <c r="Y76" s="1544"/>
      <c r="Z76" s="1544"/>
      <c r="AA76" s="1544"/>
      <c r="AB76" s="1544"/>
      <c r="AC76" s="1544"/>
      <c r="AD76" s="1544"/>
      <c r="AE76" s="1544"/>
      <c r="AF76" s="1544"/>
      <c r="AG76" s="1544"/>
      <c r="AH76" s="1544"/>
      <c r="AI76" s="1544"/>
      <c r="AJ76" s="1544"/>
      <c r="AK76" s="1544"/>
      <c r="AL76" s="1544"/>
      <c r="AM76" s="1544"/>
      <c r="AN76" s="1544"/>
      <c r="AO76" s="1544"/>
      <c r="AP76" s="1544"/>
      <c r="AQ76" s="1544"/>
      <c r="AR76" s="1544"/>
      <c r="AS76" s="1544"/>
      <c r="AT76" s="1544"/>
      <c r="AU76" s="1544"/>
      <c r="AV76" s="1544"/>
      <c r="AW76" s="1544"/>
      <c r="AX76" s="1544"/>
      <c r="AY76" s="1544"/>
      <c r="AZ76" s="1544"/>
      <c r="BA76" s="1544"/>
      <c r="BB76" s="1544"/>
      <c r="BC76" s="1569"/>
      <c r="BD76" s="1576"/>
      <c r="BE76" s="1522"/>
      <c r="BF76" s="1522"/>
      <c r="BG76" s="1522"/>
      <c r="BH76" s="1522"/>
      <c r="BI76" s="1522"/>
    </row>
    <row r="77" spans="3:61" s="1513" customFormat="1" ht="15" customHeight="1">
      <c r="C77" s="1565" t="s">
        <v>1002</v>
      </c>
      <c r="D77" s="1566">
        <f ca="1">+D75+D76</f>
        <v>20443.594811785548</v>
      </c>
      <c r="E77" s="1544"/>
      <c r="F77" s="1544"/>
      <c r="G77" s="1544"/>
      <c r="H77" s="1544"/>
      <c r="I77" s="1544"/>
      <c r="J77" s="1544"/>
      <c r="K77" s="1544"/>
      <c r="L77" s="1544"/>
      <c r="M77" s="1594"/>
      <c r="N77" s="1635"/>
      <c r="O77" s="1635"/>
      <c r="P77" s="1635"/>
      <c r="Q77" s="1635"/>
      <c r="R77" s="1635"/>
      <c r="S77" s="1635"/>
      <c r="T77" s="1635"/>
      <c r="U77" s="1635"/>
      <c r="V77" s="1635"/>
      <c r="W77" s="1635"/>
      <c r="X77" s="1635"/>
      <c r="Y77" s="1544"/>
      <c r="Z77" s="1544"/>
      <c r="AA77" s="1544"/>
      <c r="AB77" s="1544"/>
      <c r="AC77" s="1544"/>
      <c r="AD77" s="1544"/>
      <c r="AE77" s="1544"/>
      <c r="AF77" s="1544"/>
      <c r="AG77" s="1544"/>
      <c r="AH77" s="1544"/>
      <c r="AI77" s="1544"/>
      <c r="AJ77" s="1544"/>
      <c r="AK77" s="1544"/>
      <c r="AL77" s="1544"/>
      <c r="AM77" s="1544"/>
      <c r="AN77" s="1544"/>
      <c r="AO77" s="1544"/>
      <c r="AP77" s="1544"/>
      <c r="AQ77" s="1544"/>
      <c r="AR77" s="1544"/>
      <c r="AS77" s="1544"/>
      <c r="AT77" s="1544"/>
      <c r="AU77" s="1544"/>
      <c r="AV77" s="1544"/>
      <c r="AW77" s="1544"/>
      <c r="AX77" s="1544"/>
      <c r="AY77" s="1544"/>
      <c r="AZ77" s="1544"/>
      <c r="BA77" s="1544"/>
      <c r="BB77" s="1544"/>
      <c r="BC77" s="2763"/>
      <c r="BD77" s="1577"/>
      <c r="BE77" s="1578"/>
      <c r="BF77" s="1578"/>
      <c r="BG77" s="1578"/>
      <c r="BH77" s="1578"/>
      <c r="BI77" s="1578"/>
    </row>
    <row r="78" spans="3:61">
      <c r="C78" s="1571" t="s">
        <v>980</v>
      </c>
      <c r="D78" s="1572">
        <f>D32</f>
        <v>0</v>
      </c>
      <c r="N78" s="1636"/>
      <c r="O78" s="1636"/>
      <c r="P78" s="1636"/>
      <c r="Q78" s="1636"/>
      <c r="R78" s="1636"/>
      <c r="S78" s="1636"/>
      <c r="T78" s="1636"/>
      <c r="U78" s="1636"/>
      <c r="V78" s="1636"/>
      <c r="W78" s="1636"/>
      <c r="X78" s="1636"/>
      <c r="BC78" s="2763"/>
      <c r="BD78" s="1577"/>
      <c r="BE78" s="1527"/>
      <c r="BF78" s="1527"/>
      <c r="BG78" s="1527"/>
      <c r="BH78" s="1527"/>
      <c r="BI78" s="1527"/>
    </row>
    <row r="79" spans="3:61">
      <c r="C79" s="1571" t="s">
        <v>981</v>
      </c>
      <c r="D79" s="1572">
        <f>D33</f>
        <v>7039.0512328770001</v>
      </c>
      <c r="N79" s="1637"/>
      <c r="O79" s="1637"/>
      <c r="P79" s="1637"/>
      <c r="Q79" s="1637"/>
      <c r="R79" s="1637"/>
      <c r="S79" s="1637"/>
      <c r="T79" s="1637"/>
      <c r="U79" s="1637"/>
      <c r="V79" s="1637"/>
      <c r="W79" s="1637"/>
      <c r="BC79" s="2763"/>
      <c r="BD79" s="1577"/>
      <c r="BE79" s="1580"/>
      <c r="BF79" s="1580"/>
      <c r="BG79" s="1580"/>
      <c r="BH79" s="1580"/>
      <c r="BI79" s="1580"/>
    </row>
    <row r="80" spans="3:61">
      <c r="C80" s="1571" t="s">
        <v>982</v>
      </c>
      <c r="D80" s="1572">
        <f>D34</f>
        <v>0</v>
      </c>
      <c r="N80" s="1637"/>
      <c r="O80" s="1637"/>
      <c r="P80" s="1637"/>
      <c r="Q80" s="1637"/>
      <c r="R80" s="1637"/>
      <c r="S80" s="1637"/>
      <c r="T80" s="1637"/>
      <c r="U80" s="1637"/>
      <c r="V80" s="1637"/>
      <c r="W80" s="1637"/>
      <c r="BC80" s="2763"/>
      <c r="BD80" s="1524"/>
      <c r="BE80" s="1527"/>
      <c r="BF80" s="1527"/>
      <c r="BG80" s="1527"/>
      <c r="BH80" s="1527"/>
      <c r="BI80" s="1527"/>
    </row>
    <row r="81" spans="3:61">
      <c r="C81" s="1571" t="s">
        <v>1003</v>
      </c>
      <c r="D81" s="1557">
        <f>+'Output-FR (show)'!M82+'Output-FR (show)'!M92+'Output-FR (show)'!M96</f>
        <v>691.83929486800002</v>
      </c>
      <c r="N81" s="1637"/>
      <c r="O81" s="1637"/>
      <c r="P81" s="1637"/>
      <c r="Q81" s="1637"/>
      <c r="R81" s="1637"/>
      <c r="S81" s="1637"/>
      <c r="T81" s="1637"/>
      <c r="U81" s="1637"/>
      <c r="V81" s="1637"/>
      <c r="W81" s="1637"/>
      <c r="BC81" s="2763"/>
      <c r="BD81" s="1577"/>
      <c r="BE81" s="1580"/>
      <c r="BF81" s="1580"/>
      <c r="BG81" s="1580"/>
      <c r="BH81" s="1580"/>
      <c r="BI81" s="1580"/>
    </row>
    <row r="82" spans="3:61">
      <c r="C82" s="1565" t="s">
        <v>983</v>
      </c>
      <c r="D82" s="1566">
        <f ca="1">SUM(D77:D80)-D81</f>
        <v>26790.806749794549</v>
      </c>
      <c r="N82" s="1637"/>
      <c r="O82" s="1637"/>
      <c r="P82" s="1637"/>
      <c r="Q82" s="1637"/>
      <c r="R82" s="1637"/>
      <c r="S82" s="1637"/>
      <c r="T82" s="1637"/>
      <c r="U82" s="1637"/>
      <c r="V82" s="1637"/>
      <c r="W82" s="1637"/>
      <c r="BC82" s="2763"/>
      <c r="BD82" s="1577"/>
      <c r="BE82" s="1580"/>
      <c r="BF82" s="1580"/>
      <c r="BG82" s="1580"/>
      <c r="BH82" s="1580"/>
      <c r="BI82" s="1580"/>
    </row>
    <row r="83" spans="3:61">
      <c r="C83" s="1513" t="s">
        <v>984</v>
      </c>
      <c r="D83" s="1557">
        <f>D36</f>
        <v>529.4</v>
      </c>
      <c r="N83" s="1637"/>
      <c r="O83" s="1637"/>
      <c r="P83" s="1637"/>
      <c r="Q83" s="1637"/>
      <c r="R83" s="1637"/>
      <c r="S83" s="1637"/>
      <c r="T83" s="1637"/>
      <c r="U83" s="1637"/>
      <c r="V83" s="1637"/>
      <c r="W83" s="1637"/>
      <c r="BC83" s="2763"/>
      <c r="BD83" s="1577"/>
      <c r="BE83" s="1580"/>
      <c r="BF83" s="1580"/>
      <c r="BG83" s="1580"/>
      <c r="BH83" s="1580"/>
      <c r="BI83" s="1580"/>
    </row>
    <row r="84" spans="3:61">
      <c r="C84" s="1583" t="s">
        <v>985</v>
      </c>
      <c r="D84" s="1584">
        <f ca="1">D82*1000/D83</f>
        <v>50605.981771429077</v>
      </c>
      <c r="N84" s="1637"/>
      <c r="O84" s="1637"/>
      <c r="P84" s="1637"/>
      <c r="Q84" s="1637"/>
      <c r="R84" s="1637"/>
      <c r="S84" s="1637"/>
      <c r="T84" s="1637"/>
      <c r="U84" s="1637"/>
      <c r="V84" s="1637"/>
      <c r="W84" s="1637"/>
    </row>
    <row r="85" spans="3:61">
      <c r="D85" s="1638"/>
      <c r="E85" s="1638"/>
      <c r="F85" s="1638"/>
      <c r="G85" s="1638"/>
      <c r="H85" s="1638"/>
      <c r="I85" s="1638"/>
      <c r="J85" s="1638"/>
      <c r="K85" s="1638"/>
      <c r="L85" s="1638"/>
      <c r="M85" s="1639"/>
      <c r="N85" s="1638"/>
      <c r="O85" s="1638"/>
      <c r="P85" s="1638"/>
      <c r="Q85" s="1638"/>
      <c r="R85" s="1638"/>
      <c r="S85" s="1638"/>
      <c r="T85" s="1638"/>
      <c r="U85" s="1638"/>
      <c r="V85" s="1638"/>
      <c r="W85" s="1638"/>
      <c r="X85" s="1638"/>
      <c r="Y85" s="1638"/>
      <c r="Z85" s="1638"/>
      <c r="AA85" s="1638"/>
      <c r="AB85" s="1638"/>
      <c r="AC85" s="1638"/>
      <c r="AD85" s="1638"/>
      <c r="AE85" s="1638"/>
      <c r="AF85" s="1638"/>
      <c r="AG85" s="1638"/>
      <c r="AH85" s="1638"/>
      <c r="AI85" s="1638"/>
      <c r="AJ85" s="1638"/>
      <c r="AK85" s="1638"/>
      <c r="AL85" s="1638"/>
      <c r="AM85" s="1638"/>
      <c r="AN85" s="1638"/>
      <c r="AO85" s="1638"/>
      <c r="AP85" s="1638"/>
      <c r="AQ85" s="1638"/>
      <c r="AR85" s="1638"/>
      <c r="AS85" s="1638"/>
      <c r="AT85" s="1638"/>
      <c r="AU85" s="1638"/>
      <c r="AV85" s="1638"/>
      <c r="AW85" s="1638"/>
      <c r="AX85" s="1638"/>
      <c r="AY85" s="1638"/>
      <c r="AZ85" s="1638"/>
      <c r="BA85" s="1638"/>
    </row>
    <row r="86" spans="3:61">
      <c r="D86" s="1638"/>
      <c r="E86" s="1638"/>
      <c r="F86" s="1638"/>
      <c r="G86" s="1638"/>
      <c r="H86" s="1638"/>
      <c r="I86" s="1638"/>
      <c r="J86" s="1638"/>
      <c r="K86" s="1638"/>
      <c r="L86" s="1638"/>
      <c r="M86" s="1639"/>
      <c r="N86" s="1638"/>
      <c r="O86" s="1638"/>
      <c r="P86" s="1638"/>
      <c r="Q86" s="1638"/>
      <c r="R86" s="1638"/>
      <c r="S86" s="1638"/>
      <c r="T86" s="1638"/>
      <c r="U86" s="1638"/>
      <c r="V86" s="1638"/>
      <c r="W86" s="1638"/>
      <c r="X86" s="1638"/>
      <c r="Y86" s="1638"/>
      <c r="Z86" s="1638"/>
      <c r="AA86" s="1638"/>
      <c r="AB86" s="1638"/>
      <c r="AC86" s="1638"/>
      <c r="AD86" s="1638"/>
      <c r="AE86" s="1638"/>
      <c r="AF86" s="1638"/>
      <c r="AG86" s="1638"/>
      <c r="AH86" s="1638"/>
      <c r="AI86" s="1638"/>
      <c r="AJ86" s="1638"/>
      <c r="AK86" s="1638"/>
      <c r="AL86" s="1638"/>
      <c r="AM86" s="1638"/>
      <c r="AN86" s="1638"/>
      <c r="AO86" s="1638"/>
      <c r="AP86" s="1638"/>
      <c r="AQ86" s="1638"/>
      <c r="AR86" s="1638"/>
      <c r="AS86" s="1638"/>
      <c r="AT86" s="1638"/>
      <c r="AU86" s="1638"/>
      <c r="AV86" s="1638"/>
      <c r="AW86" s="1638"/>
      <c r="AX86" s="1638"/>
      <c r="AY86" s="1638"/>
      <c r="AZ86" s="1638"/>
      <c r="BA86" s="1638"/>
      <c r="BB86" s="1489"/>
      <c r="BC86" s="1489"/>
      <c r="BD86" s="1489"/>
      <c r="BE86" s="1489"/>
      <c r="BF86" s="1489"/>
      <c r="BG86" s="1489"/>
    </row>
    <row r="87" spans="3:61">
      <c r="D87" s="1638"/>
      <c r="E87" s="1638"/>
      <c r="F87" s="1638"/>
      <c r="G87" s="1638"/>
      <c r="H87" s="1638"/>
      <c r="I87" s="1638"/>
      <c r="J87" s="1638"/>
      <c r="K87" s="1638"/>
      <c r="L87" s="1638"/>
      <c r="M87" s="1639"/>
      <c r="N87" s="1638"/>
      <c r="O87" s="1638"/>
      <c r="P87" s="1638"/>
      <c r="Q87" s="1638"/>
      <c r="R87" s="1638"/>
      <c r="S87" s="1638"/>
      <c r="T87" s="1638"/>
      <c r="U87" s="1638"/>
      <c r="V87" s="1638"/>
      <c r="W87" s="1638"/>
      <c r="X87" s="1638"/>
      <c r="Y87" s="1638"/>
      <c r="Z87" s="1638"/>
      <c r="AA87" s="1638"/>
      <c r="AB87" s="1638"/>
      <c r="AC87" s="1638"/>
      <c r="AD87" s="1638"/>
      <c r="AE87" s="1638"/>
      <c r="AF87" s="1638"/>
      <c r="AG87" s="1638"/>
      <c r="AH87" s="1638"/>
      <c r="AI87" s="1638"/>
      <c r="AJ87" s="1638"/>
      <c r="AK87" s="1638"/>
      <c r="AL87" s="1638"/>
      <c r="AM87" s="1638"/>
      <c r="AN87" s="1638"/>
      <c r="AO87" s="1638"/>
      <c r="AP87" s="1638"/>
      <c r="AQ87" s="1638"/>
      <c r="AR87" s="1638"/>
      <c r="AS87" s="1638"/>
      <c r="AT87" s="1638"/>
      <c r="AU87" s="1638"/>
      <c r="AV87" s="1638"/>
      <c r="AW87" s="1638"/>
      <c r="AX87" s="1638"/>
      <c r="AY87" s="1638"/>
      <c r="AZ87" s="1638"/>
      <c r="BA87" s="1638"/>
      <c r="BB87" s="1489"/>
      <c r="BC87" s="1489"/>
      <c r="BD87" s="1489"/>
      <c r="BE87" s="1489"/>
      <c r="BF87" s="1489"/>
      <c r="BG87" s="1489"/>
    </row>
    <row r="88" spans="3:61">
      <c r="E88" s="1489"/>
      <c r="F88" s="1489"/>
      <c r="G88" s="1489"/>
      <c r="H88" s="1489"/>
      <c r="I88" s="1489"/>
      <c r="J88" s="1489"/>
      <c r="K88" s="1489"/>
      <c r="L88" s="1489"/>
      <c r="M88" s="1640"/>
      <c r="N88" s="1489"/>
      <c r="O88" s="1489"/>
      <c r="P88" s="1489"/>
      <c r="Q88" s="1489"/>
      <c r="R88" s="1489"/>
      <c r="S88" s="1489"/>
      <c r="T88" s="1489"/>
      <c r="U88" s="1489"/>
      <c r="V88" s="1489"/>
      <c r="W88" s="1489"/>
      <c r="X88" s="1489"/>
      <c r="Y88" s="1489"/>
      <c r="Z88" s="1489"/>
      <c r="AA88" s="1489"/>
      <c r="AB88" s="1489"/>
      <c r="AC88" s="1489"/>
      <c r="AD88" s="1489"/>
      <c r="AE88" s="1489"/>
      <c r="AF88" s="1489"/>
      <c r="AG88" s="1489"/>
      <c r="AH88" s="1489"/>
      <c r="AI88" s="1489"/>
      <c r="AJ88" s="1489"/>
      <c r="AK88" s="1489"/>
      <c r="AL88" s="1489"/>
      <c r="AM88" s="1489"/>
      <c r="AN88" s="1489"/>
      <c r="AO88" s="1489"/>
      <c r="AP88" s="1489"/>
      <c r="AQ88" s="1489"/>
      <c r="AR88" s="1489"/>
      <c r="AS88" s="1489"/>
      <c r="AT88" s="1489"/>
      <c r="AU88" s="1489"/>
      <c r="AV88" s="1489"/>
      <c r="AW88" s="1489"/>
      <c r="AX88" s="1489"/>
      <c r="AY88" s="1489"/>
      <c r="AZ88" s="1489"/>
      <c r="BA88" s="1489"/>
      <c r="BB88" s="1489"/>
      <c r="BC88" s="1489"/>
      <c r="BD88" s="1489"/>
      <c r="BE88" s="1489"/>
      <c r="BF88" s="1489"/>
      <c r="BG88" s="1489"/>
    </row>
    <row r="89" spans="3:61">
      <c r="E89" s="1489"/>
      <c r="F89" s="1489"/>
      <c r="G89" s="1489"/>
      <c r="H89" s="1489"/>
      <c r="I89" s="1489"/>
      <c r="J89" s="1489"/>
      <c r="K89" s="1489"/>
      <c r="L89" s="1489"/>
      <c r="M89" s="1640"/>
      <c r="N89" s="1489"/>
      <c r="O89" s="1489"/>
      <c r="P89" s="1489"/>
      <c r="Q89" s="1489"/>
      <c r="R89" s="1489"/>
      <c r="S89" s="1489"/>
      <c r="T89" s="1489"/>
      <c r="U89" s="1489"/>
      <c r="V89" s="1489"/>
      <c r="W89" s="1489"/>
      <c r="X89" s="1489"/>
      <c r="Y89" s="1489"/>
      <c r="Z89" s="1489"/>
      <c r="AA89" s="1489"/>
      <c r="AB89" s="1489"/>
      <c r="AC89" s="1489"/>
      <c r="AD89" s="1489"/>
      <c r="AE89" s="1489"/>
      <c r="AF89" s="1489"/>
      <c r="AG89" s="1489"/>
      <c r="AH89" s="1489"/>
      <c r="AI89" s="1489"/>
      <c r="AJ89" s="1489"/>
      <c r="AK89" s="1489"/>
      <c r="AL89" s="1489"/>
      <c r="AM89" s="1489"/>
      <c r="AN89" s="1489"/>
      <c r="AO89" s="1489"/>
      <c r="AP89" s="1489"/>
      <c r="AQ89" s="1489"/>
      <c r="AR89" s="1489"/>
      <c r="AS89" s="1489"/>
      <c r="AT89" s="1489"/>
      <c r="AU89" s="1489"/>
      <c r="AV89" s="1489"/>
      <c r="AW89" s="1489"/>
      <c r="AX89" s="1489"/>
      <c r="AY89" s="1489"/>
      <c r="AZ89" s="1489"/>
      <c r="BA89" s="1489"/>
      <c r="BB89" s="1489"/>
      <c r="BC89" s="1489"/>
      <c r="BD89" s="1489"/>
      <c r="BE89" s="1489"/>
      <c r="BF89" s="1489"/>
      <c r="BG89" s="1489"/>
    </row>
    <row r="90" spans="3:61">
      <c r="E90" s="1489"/>
      <c r="F90" s="1489"/>
      <c r="G90" s="1489"/>
      <c r="H90" s="1489"/>
      <c r="I90" s="1489"/>
      <c r="J90" s="1489"/>
      <c r="K90" s="1489"/>
      <c r="L90" s="1489"/>
      <c r="M90" s="1640"/>
      <c r="N90" s="1489"/>
      <c r="O90" s="1489"/>
      <c r="P90" s="1489"/>
      <c r="Q90" s="1489"/>
      <c r="R90" s="1489"/>
      <c r="S90" s="1489"/>
      <c r="T90" s="1489"/>
      <c r="U90" s="1489"/>
      <c r="V90" s="1489"/>
      <c r="W90" s="1489"/>
      <c r="X90" s="1489"/>
      <c r="Y90" s="1489"/>
      <c r="Z90" s="1489"/>
      <c r="AA90" s="1489"/>
      <c r="AB90" s="1489"/>
      <c r="AC90" s="1489"/>
      <c r="AD90" s="1489"/>
      <c r="AE90" s="1489"/>
      <c r="AF90" s="1489"/>
      <c r="AG90" s="1489"/>
      <c r="AH90" s="1489"/>
      <c r="AI90" s="1489"/>
      <c r="AJ90" s="1489"/>
      <c r="AK90" s="1489"/>
      <c r="AL90" s="1489"/>
      <c r="AM90" s="1489"/>
      <c r="AN90" s="1489"/>
      <c r="AO90" s="1489"/>
      <c r="AP90" s="1489"/>
      <c r="AQ90" s="1489"/>
      <c r="AR90" s="1489"/>
      <c r="AS90" s="1489"/>
      <c r="AT90" s="1489"/>
      <c r="AU90" s="1489"/>
      <c r="AV90" s="1489"/>
      <c r="AW90" s="1489"/>
      <c r="AX90" s="1489"/>
      <c r="AY90" s="1489"/>
      <c r="AZ90" s="1489"/>
      <c r="BA90" s="1489"/>
      <c r="BB90" s="1489"/>
      <c r="BC90" s="1489"/>
      <c r="BD90" s="1489"/>
      <c r="BE90" s="1489"/>
      <c r="BF90" s="1489"/>
      <c r="BG90" s="1489"/>
    </row>
    <row r="91" spans="3:61">
      <c r="E91" s="1489"/>
      <c r="F91" s="1489"/>
      <c r="G91" s="1489"/>
      <c r="H91" s="1489"/>
      <c r="I91" s="1489"/>
      <c r="J91" s="1489"/>
      <c r="K91" s="1489"/>
      <c r="L91" s="1489"/>
      <c r="M91" s="1640"/>
      <c r="N91" s="1489"/>
      <c r="O91" s="1489"/>
      <c r="P91" s="1489"/>
      <c r="Q91" s="1489"/>
      <c r="R91" s="1489"/>
      <c r="S91" s="1489"/>
      <c r="T91" s="1489"/>
      <c r="U91" s="1489"/>
      <c r="V91" s="1489"/>
      <c r="W91" s="1489"/>
      <c r="X91" s="1489"/>
      <c r="Y91" s="1489"/>
      <c r="Z91" s="1489"/>
      <c r="AA91" s="1489"/>
      <c r="AB91" s="1489"/>
      <c r="AC91" s="1489"/>
      <c r="AD91" s="1489"/>
      <c r="AE91" s="1489"/>
      <c r="AF91" s="1489"/>
      <c r="AG91" s="1489"/>
      <c r="AH91" s="1489"/>
      <c r="AI91" s="1489"/>
      <c r="AJ91" s="1489"/>
      <c r="AK91" s="1489"/>
      <c r="AL91" s="1489"/>
      <c r="AM91" s="1489"/>
      <c r="AN91" s="1489"/>
      <c r="AO91" s="1489"/>
      <c r="AP91" s="1489"/>
      <c r="AQ91" s="1489"/>
      <c r="AR91" s="1489"/>
      <c r="AS91" s="1489"/>
      <c r="AT91" s="1489"/>
      <c r="AU91" s="1489"/>
      <c r="AV91" s="1489"/>
      <c r="AW91" s="1489"/>
      <c r="AX91" s="1489"/>
      <c r="AY91" s="1489"/>
      <c r="AZ91" s="1489"/>
      <c r="BA91" s="1489"/>
      <c r="BB91" s="1489"/>
      <c r="BC91" s="1489"/>
      <c r="BD91" s="1489"/>
      <c r="BE91" s="1489"/>
      <c r="BF91" s="1489"/>
      <c r="BG91" s="1489"/>
    </row>
    <row r="92" spans="3:61">
      <c r="E92" s="1489"/>
      <c r="F92" s="1489"/>
      <c r="G92" s="1489"/>
      <c r="H92" s="1489"/>
      <c r="I92" s="1489"/>
      <c r="J92" s="1489"/>
      <c r="K92" s="1489"/>
      <c r="L92" s="1489"/>
      <c r="M92" s="1640"/>
      <c r="N92" s="1489"/>
      <c r="O92" s="1489"/>
      <c r="P92" s="1489"/>
      <c r="Q92" s="1489"/>
      <c r="R92" s="1489"/>
      <c r="S92" s="1489"/>
      <c r="T92" s="1489"/>
      <c r="U92" s="1489"/>
      <c r="V92" s="1489"/>
      <c r="W92" s="1489"/>
      <c r="X92" s="1489"/>
      <c r="Y92" s="1489"/>
      <c r="Z92" s="1489"/>
      <c r="AA92" s="1489"/>
      <c r="AB92" s="1489"/>
      <c r="AC92" s="1489"/>
      <c r="AD92" s="1489"/>
      <c r="AE92" s="1489"/>
      <c r="AF92" s="1489"/>
      <c r="AG92" s="1489"/>
      <c r="AH92" s="1489"/>
      <c r="AI92" s="1489"/>
      <c r="AJ92" s="1489"/>
      <c r="AK92" s="1489"/>
      <c r="AL92" s="1489"/>
      <c r="AM92" s="1489"/>
      <c r="AN92" s="1489"/>
      <c r="AO92" s="1489"/>
      <c r="AP92" s="1489"/>
      <c r="AQ92" s="1489"/>
      <c r="AR92" s="1489"/>
      <c r="AS92" s="1489"/>
      <c r="AT92" s="1489"/>
      <c r="AU92" s="1489"/>
      <c r="AV92" s="1489"/>
      <c r="AW92" s="1489"/>
      <c r="AX92" s="1489"/>
      <c r="AY92" s="1489"/>
      <c r="AZ92" s="1489"/>
      <c r="BA92" s="1489"/>
      <c r="BB92" s="1489"/>
      <c r="BC92" s="1489"/>
      <c r="BD92" s="1489"/>
      <c r="BE92" s="1489"/>
      <c r="BF92" s="1489"/>
      <c r="BG92" s="1489"/>
    </row>
    <row r="93" spans="3:61">
      <c r="E93" s="1489"/>
      <c r="F93" s="1489"/>
      <c r="G93" s="1489"/>
      <c r="H93" s="1489"/>
      <c r="I93" s="1489"/>
      <c r="J93" s="1489"/>
      <c r="K93" s="1489"/>
      <c r="L93" s="1489"/>
      <c r="M93" s="1640"/>
      <c r="N93" s="1489"/>
      <c r="O93" s="1489"/>
      <c r="P93" s="1489"/>
      <c r="Q93" s="1489"/>
      <c r="R93" s="1489"/>
      <c r="S93" s="1489"/>
      <c r="T93" s="1489"/>
      <c r="U93" s="1489"/>
      <c r="V93" s="1489"/>
      <c r="W93" s="1489"/>
      <c r="X93" s="1489"/>
      <c r="Y93" s="1489"/>
      <c r="Z93" s="1489"/>
      <c r="AA93" s="1489"/>
      <c r="AB93" s="1489"/>
      <c r="AC93" s="1489"/>
      <c r="AD93" s="1489"/>
      <c r="AE93" s="1489"/>
      <c r="AF93" s="1489"/>
      <c r="AG93" s="1489"/>
      <c r="AH93" s="1489"/>
      <c r="AI93" s="1489"/>
      <c r="AJ93" s="1489"/>
      <c r="AK93" s="1489"/>
      <c r="AL93" s="1489"/>
      <c r="AM93" s="1489"/>
      <c r="AN93" s="1489"/>
      <c r="AO93" s="1489"/>
      <c r="AP93" s="1489"/>
      <c r="AQ93" s="1489"/>
      <c r="AR93" s="1489"/>
      <c r="AS93" s="1489"/>
      <c r="AT93" s="1489"/>
      <c r="AU93" s="1489"/>
      <c r="AV93" s="1489"/>
      <c r="AW93" s="1489"/>
      <c r="AX93" s="1489"/>
      <c r="AY93" s="1489"/>
      <c r="AZ93" s="1489"/>
      <c r="BA93" s="1489"/>
      <c r="BB93" s="1489"/>
      <c r="BC93" s="1489"/>
      <c r="BD93" s="1489"/>
      <c r="BE93" s="1489"/>
      <c r="BF93" s="1489"/>
      <c r="BG93" s="1489"/>
    </row>
    <row r="94" spans="3:61">
      <c r="E94" s="1489"/>
      <c r="F94" s="1489"/>
      <c r="G94" s="1489"/>
      <c r="H94" s="1489"/>
      <c r="I94" s="1489"/>
      <c r="J94" s="1489"/>
      <c r="K94" s="1489"/>
      <c r="L94" s="1489"/>
      <c r="M94" s="1640"/>
      <c r="N94" s="1489"/>
      <c r="O94" s="1489"/>
      <c r="P94" s="1489"/>
      <c r="Q94" s="1489"/>
      <c r="R94" s="1489"/>
      <c r="S94" s="1489"/>
      <c r="T94" s="1489"/>
      <c r="U94" s="1489"/>
      <c r="V94" s="1489"/>
      <c r="W94" s="1489"/>
      <c r="X94" s="1489"/>
      <c r="Y94" s="1489"/>
      <c r="Z94" s="1489"/>
      <c r="AA94" s="1489"/>
      <c r="AB94" s="1489"/>
      <c r="AC94" s="1489"/>
      <c r="AD94" s="1489"/>
      <c r="AE94" s="1489"/>
      <c r="AF94" s="1489"/>
      <c r="AG94" s="1489"/>
      <c r="AH94" s="1489"/>
      <c r="AI94" s="1489"/>
      <c r="AJ94" s="1489"/>
      <c r="AK94" s="1489"/>
      <c r="AL94" s="1489"/>
      <c r="AM94" s="1489"/>
      <c r="AN94" s="1489"/>
      <c r="AO94" s="1489"/>
      <c r="AP94" s="1489"/>
      <c r="AQ94" s="1489"/>
      <c r="AR94" s="1489"/>
      <c r="AS94" s="1489"/>
      <c r="AT94" s="1489"/>
      <c r="AU94" s="1489"/>
      <c r="AV94" s="1489"/>
      <c r="AW94" s="1489"/>
      <c r="AX94" s="1489"/>
      <c r="AY94" s="1489"/>
      <c r="AZ94" s="1489"/>
      <c r="BA94" s="1489"/>
      <c r="BB94" s="1489"/>
      <c r="BC94" s="1489"/>
      <c r="BD94" s="1489"/>
      <c r="BE94" s="1489"/>
      <c r="BF94" s="1489"/>
      <c r="BG94" s="1489"/>
    </row>
    <row r="95" spans="3:61">
      <c r="E95" s="1489"/>
      <c r="F95" s="1489"/>
      <c r="G95" s="1489"/>
      <c r="H95" s="1489"/>
      <c r="I95" s="1489"/>
      <c r="J95" s="1489"/>
      <c r="K95" s="1489"/>
      <c r="L95" s="1489"/>
      <c r="M95" s="1640"/>
      <c r="N95" s="1489"/>
      <c r="O95" s="1489"/>
      <c r="P95" s="1489"/>
      <c r="Q95" s="1489"/>
      <c r="R95" s="1489"/>
      <c r="S95" s="1489"/>
      <c r="T95" s="1489"/>
      <c r="U95" s="1489"/>
      <c r="V95" s="1489"/>
      <c r="W95" s="1489"/>
      <c r="X95" s="1489"/>
      <c r="Y95" s="1489"/>
      <c r="Z95" s="1489"/>
      <c r="AA95" s="1489"/>
      <c r="AB95" s="1489"/>
      <c r="AC95" s="1489"/>
      <c r="AD95" s="1489"/>
      <c r="AE95" s="1489"/>
      <c r="AF95" s="1489"/>
      <c r="AG95" s="1489"/>
      <c r="AH95" s="1489"/>
      <c r="AI95" s="1489"/>
      <c r="AJ95" s="1489"/>
      <c r="AK95" s="1489"/>
      <c r="AL95" s="1489"/>
      <c r="AM95" s="1489"/>
      <c r="AN95" s="1489"/>
      <c r="AO95" s="1489"/>
      <c r="AP95" s="1489"/>
      <c r="AQ95" s="1489"/>
      <c r="AR95" s="1489"/>
      <c r="AS95" s="1489"/>
      <c r="AT95" s="1489"/>
      <c r="AU95" s="1489"/>
      <c r="AV95" s="1489"/>
      <c r="AW95" s="1489"/>
      <c r="AX95" s="1489"/>
      <c r="AY95" s="1489"/>
      <c r="AZ95" s="1489"/>
      <c r="BA95" s="1489"/>
      <c r="BB95" s="1489"/>
      <c r="BC95" s="1489"/>
      <c r="BD95" s="1489"/>
      <c r="BE95" s="1489"/>
      <c r="BF95" s="1489"/>
      <c r="BG95" s="1489"/>
    </row>
    <row r="96" spans="3:61">
      <c r="E96" s="1489"/>
      <c r="F96" s="1489"/>
      <c r="G96" s="1489"/>
      <c r="H96" s="1489"/>
      <c r="I96" s="1489"/>
      <c r="J96" s="1489"/>
      <c r="K96" s="1489"/>
      <c r="L96" s="1489"/>
      <c r="M96" s="1640"/>
      <c r="N96" s="1489"/>
      <c r="O96" s="1489"/>
      <c r="P96" s="1489"/>
      <c r="Q96" s="1489"/>
      <c r="R96" s="1489"/>
      <c r="S96" s="1489"/>
      <c r="T96" s="1489"/>
      <c r="U96" s="1489"/>
      <c r="V96" s="1489"/>
      <c r="W96" s="1489"/>
      <c r="X96" s="1489"/>
      <c r="Y96" s="1489"/>
      <c r="Z96" s="1489"/>
      <c r="AA96" s="1489"/>
      <c r="AB96" s="1489"/>
      <c r="AC96" s="1489"/>
      <c r="AD96" s="1489"/>
      <c r="AE96" s="1489"/>
      <c r="AF96" s="1489"/>
      <c r="AG96" s="1489"/>
      <c r="AH96" s="1489"/>
      <c r="AI96" s="1489"/>
      <c r="AJ96" s="1489"/>
      <c r="AK96" s="1489"/>
      <c r="AL96" s="1489"/>
      <c r="AM96" s="1489"/>
      <c r="AN96" s="1489"/>
      <c r="AO96" s="1489"/>
      <c r="AP96" s="1489"/>
      <c r="AQ96" s="1489"/>
      <c r="AR96" s="1489"/>
      <c r="AS96" s="1489"/>
      <c r="AT96" s="1489"/>
      <c r="AU96" s="1489"/>
      <c r="AV96" s="1489"/>
      <c r="AW96" s="1489"/>
      <c r="AX96" s="1489"/>
      <c r="AY96" s="1489"/>
      <c r="AZ96" s="1489"/>
      <c r="BA96" s="1489"/>
      <c r="BB96" s="1489"/>
      <c r="BC96" s="1489"/>
      <c r="BD96" s="1489"/>
      <c r="BE96" s="1489"/>
      <c r="BF96" s="1489"/>
      <c r="BG96" s="1489"/>
    </row>
    <row r="97" spans="5:59">
      <c r="E97" s="1489"/>
      <c r="F97" s="1489"/>
      <c r="G97" s="1489"/>
      <c r="H97" s="1489"/>
      <c r="I97" s="1489"/>
      <c r="J97" s="1489"/>
      <c r="K97" s="1489"/>
      <c r="L97" s="1489"/>
      <c r="M97" s="1640"/>
      <c r="N97" s="1489"/>
      <c r="O97" s="1489"/>
      <c r="P97" s="1489"/>
      <c r="Q97" s="1489"/>
      <c r="R97" s="1489"/>
      <c r="S97" s="1489"/>
      <c r="T97" s="1489"/>
      <c r="U97" s="1489"/>
      <c r="V97" s="1489"/>
      <c r="W97" s="1489"/>
      <c r="X97" s="1489"/>
      <c r="Y97" s="1489"/>
      <c r="Z97" s="1489"/>
      <c r="AA97" s="1489"/>
      <c r="AB97" s="1489"/>
      <c r="AC97" s="1489"/>
      <c r="AD97" s="1489"/>
      <c r="AE97" s="1489"/>
      <c r="AF97" s="1489"/>
      <c r="AG97" s="1489"/>
      <c r="AH97" s="1489"/>
      <c r="AI97" s="1489"/>
      <c r="AJ97" s="1489"/>
      <c r="AK97" s="1489"/>
      <c r="AL97" s="1489"/>
      <c r="AM97" s="1489"/>
      <c r="AN97" s="1489"/>
      <c r="AO97" s="1489"/>
      <c r="AP97" s="1489"/>
      <c r="AQ97" s="1489"/>
      <c r="AR97" s="1489"/>
      <c r="AS97" s="1489"/>
      <c r="AT97" s="1489"/>
      <c r="AU97" s="1489"/>
      <c r="AV97" s="1489"/>
      <c r="AW97" s="1489"/>
      <c r="AX97" s="1489"/>
      <c r="AY97" s="1489"/>
      <c r="AZ97" s="1489"/>
      <c r="BA97" s="1489"/>
      <c r="BB97" s="1489"/>
      <c r="BC97" s="1489"/>
      <c r="BD97" s="1489"/>
      <c r="BE97" s="1489"/>
      <c r="BF97" s="1489"/>
      <c r="BG97" s="1489"/>
    </row>
    <row r="98" spans="5:59">
      <c r="E98" s="1489"/>
      <c r="F98" s="1489"/>
      <c r="G98" s="1489"/>
      <c r="H98" s="1489"/>
      <c r="I98" s="1489"/>
      <c r="J98" s="1489"/>
      <c r="K98" s="1489"/>
      <c r="L98" s="1489"/>
      <c r="M98" s="1640"/>
      <c r="N98" s="1489"/>
      <c r="O98" s="1489"/>
      <c r="P98" s="1489"/>
      <c r="Q98" s="1489"/>
      <c r="R98" s="1489"/>
      <c r="S98" s="1489"/>
      <c r="T98" s="1489"/>
      <c r="U98" s="1489"/>
      <c r="V98" s="1489"/>
      <c r="W98" s="1489"/>
      <c r="X98" s="1489"/>
      <c r="Y98" s="1489"/>
      <c r="Z98" s="1489"/>
      <c r="AA98" s="1489"/>
      <c r="AB98" s="1489"/>
      <c r="AC98" s="1489"/>
      <c r="AD98" s="1489"/>
      <c r="AE98" s="1489"/>
      <c r="AF98" s="1489"/>
      <c r="AG98" s="1489"/>
      <c r="AH98" s="1489"/>
      <c r="AI98" s="1489"/>
      <c r="AJ98" s="1489"/>
      <c r="AK98" s="1489"/>
      <c r="AL98" s="1489"/>
      <c r="AM98" s="1489"/>
      <c r="AN98" s="1489"/>
      <c r="AO98" s="1489"/>
      <c r="AP98" s="1489"/>
      <c r="AQ98" s="1489"/>
      <c r="AR98" s="1489"/>
      <c r="AS98" s="1489"/>
      <c r="AT98" s="1489"/>
      <c r="AU98" s="1489"/>
      <c r="AV98" s="1489"/>
      <c r="AW98" s="1489"/>
      <c r="AX98" s="1489"/>
      <c r="AY98" s="1489"/>
      <c r="AZ98" s="1489"/>
      <c r="BA98" s="1489"/>
    </row>
    <row r="100" spans="5:59">
      <c r="Q100" s="1637"/>
    </row>
    <row r="101" spans="5:59">
      <c r="Q101" s="1637"/>
    </row>
    <row r="130295" spans="5:8">
      <c r="E130295" s="1641"/>
      <c r="F130295" s="1642"/>
      <c r="G130295" s="1642"/>
      <c r="H130295" s="1642"/>
    </row>
  </sheetData>
  <mergeCells count="13">
    <mergeCell ref="BB31:BB36"/>
    <mergeCell ref="BE31:BI31"/>
    <mergeCell ref="BC33:BC39"/>
    <mergeCell ref="BD10:BI10"/>
    <mergeCell ref="BE11:BI11"/>
    <mergeCell ref="BC13:BC19"/>
    <mergeCell ref="BC29:BH29"/>
    <mergeCell ref="BD30:BI30"/>
    <mergeCell ref="BE57:BI57"/>
    <mergeCell ref="BC59:BC65"/>
    <mergeCell ref="BD74:BI74"/>
    <mergeCell ref="BE75:BI75"/>
    <mergeCell ref="BC77:BC83"/>
  </mergeCells>
  <conditionalFormatting sqref="BB74 E75:BA75">
    <cfRule type="expression" dxfId="1" priority="1">
      <formula>E74&lt;0</formula>
    </cfRule>
    <cfRule type="expression" dxfId="0" priority="2">
      <formula>E74&gt;0</formula>
    </cfRule>
  </conditionalFormatting>
  <dataValidations disablePrompts="1" count="4">
    <dataValidation allowBlank="1" showErrorMessage="1" promptTitle="Change in non-cash NWC" prompt="link from Balance Sheet" sqref="WWX983036 WNB983036 WDF983036 VTJ983036 VJN983036 UZR983036 UPV983036 UFZ983036 TWD983036 TMH983036 TCL983036 SSP983036 SIT983036 RYX983036 RPB983036 RFF983036 QVJ983036 QLN983036 QBR983036 PRV983036 PHZ983036 OYD983036 OOH983036 OEL983036 NUP983036 NKT983036 NAX983036 MRB983036 MHF983036 LXJ983036 LNN983036 LDR983036 KTV983036 KJZ983036 KAD983036 JQH983036 JGL983036 IWP983036 IMT983036 ICX983036 HTB983036 HJF983036 GZJ983036 GPN983036 GFR983036 FVV983036 FLZ983036 FCD983036 ESH983036 EIL983036 DYP983036 DOT983036 DEX983036 CVB983036 CLF983036 CBJ983036 BRN983036 BHR983036 AXV983036 ANZ983036 AED983036 UH983036 KL983036 C983046 WWX917500 WNB917500 WDF917500 VTJ917500 VJN917500 UZR917500 UPV917500 UFZ917500 TWD917500 TMH917500 TCL917500 SSP917500 SIT917500 RYX917500 RPB917500 RFF917500 QVJ917500 QLN917500 QBR917500 PRV917500 PHZ917500 OYD917500 OOH917500 OEL917500 NUP917500 NKT917500 NAX917500 MRB917500 MHF917500 LXJ917500 LNN917500 LDR917500 KTV917500 KJZ917500 KAD917500 JQH917500 JGL917500 IWP917500 IMT917500 ICX917500 HTB917500 HJF917500 GZJ917500 GPN917500 GFR917500 FVV917500 FLZ917500 FCD917500 ESH917500 EIL917500 DYP917500 DOT917500 DEX917500 CVB917500 CLF917500 CBJ917500 BRN917500 BHR917500 AXV917500 ANZ917500 AED917500 UH917500 KL917500 C917510 WWX851964 WNB851964 WDF851964 VTJ851964 VJN851964 UZR851964 UPV851964 UFZ851964 TWD851964 TMH851964 TCL851964 SSP851964 SIT851964 RYX851964 RPB851964 RFF851964 QVJ851964 QLN851964 QBR851964 PRV851964 PHZ851964 OYD851964 OOH851964 OEL851964 NUP851964 NKT851964 NAX851964 MRB851964 MHF851964 LXJ851964 LNN851964 LDR851964 KTV851964 KJZ851964 KAD851964 JQH851964 JGL851964 IWP851964 IMT851964 ICX851964 HTB851964 HJF851964 GZJ851964 GPN851964 GFR851964 FVV851964 FLZ851964 FCD851964 ESH851964 EIL851964 DYP851964 DOT851964 DEX851964 CVB851964 CLF851964 CBJ851964 BRN851964 BHR851964 AXV851964 ANZ851964 AED851964 UH851964 KL851964 C851974 WWX786428 WNB786428 WDF786428 VTJ786428 VJN786428 UZR786428 UPV786428 UFZ786428 TWD786428 TMH786428 TCL786428 SSP786428 SIT786428 RYX786428 RPB786428 RFF786428 QVJ786428 QLN786428 QBR786428 PRV786428 PHZ786428 OYD786428 OOH786428 OEL786428 NUP786428 NKT786428 NAX786428 MRB786428 MHF786428 LXJ786428 LNN786428 LDR786428 KTV786428 KJZ786428 KAD786428 JQH786428 JGL786428 IWP786428 IMT786428 ICX786428 HTB786428 HJF786428 GZJ786428 GPN786428 GFR786428 FVV786428 FLZ786428 FCD786428 ESH786428 EIL786428 DYP786428 DOT786428 DEX786428 CVB786428 CLF786428 CBJ786428 BRN786428 BHR786428 AXV786428 ANZ786428 AED786428 UH786428 KL786428 C786438 WWX720892 WNB720892 WDF720892 VTJ720892 VJN720892 UZR720892 UPV720892 UFZ720892 TWD720892 TMH720892 TCL720892 SSP720892 SIT720892 RYX720892 RPB720892 RFF720892 QVJ720892 QLN720892 QBR720892 PRV720892 PHZ720892 OYD720892 OOH720892 OEL720892 NUP720892 NKT720892 NAX720892 MRB720892 MHF720892 LXJ720892 LNN720892 LDR720892 KTV720892 KJZ720892 KAD720892 JQH720892 JGL720892 IWP720892 IMT720892 ICX720892 HTB720892 HJF720892 GZJ720892 GPN720892 GFR720892 FVV720892 FLZ720892 FCD720892 ESH720892 EIL720892 DYP720892 DOT720892 DEX720892 CVB720892 CLF720892 CBJ720892 BRN720892 BHR720892 AXV720892 ANZ720892 AED720892 UH720892 KL720892 C720902 WWX655356 WNB655356 WDF655356 VTJ655356 VJN655356 UZR655356 UPV655356 UFZ655356 TWD655356 TMH655356 TCL655356 SSP655356 SIT655356 RYX655356 RPB655356 RFF655356 QVJ655356 QLN655356 QBR655356 PRV655356 PHZ655356 OYD655356 OOH655356 OEL655356 NUP655356 NKT655356 NAX655356 MRB655356 MHF655356 LXJ655356 LNN655356 LDR655356 KTV655356 KJZ655356 KAD655356 JQH655356 JGL655356 IWP655356 IMT655356 ICX655356 HTB655356 HJF655356 GZJ655356 GPN655356 GFR655356 FVV655356 FLZ655356 FCD655356 ESH655356 EIL655356 DYP655356 DOT655356 DEX655356 CVB655356 CLF655356 CBJ655356 BRN655356 BHR655356 AXV655356 ANZ655356 AED655356 UH655356 KL655356 C655366 WWX589820 WNB589820 WDF589820 VTJ589820 VJN589820 UZR589820 UPV589820 UFZ589820 TWD589820 TMH589820 TCL589820 SSP589820 SIT589820 RYX589820 RPB589820 RFF589820 QVJ589820 QLN589820 QBR589820 PRV589820 PHZ589820 OYD589820 OOH589820 OEL589820 NUP589820 NKT589820 NAX589820 MRB589820 MHF589820 LXJ589820 LNN589820 LDR589820 KTV589820 KJZ589820 KAD589820 JQH589820 JGL589820 IWP589820 IMT589820 ICX589820 HTB589820 HJF589820 GZJ589820 GPN589820 GFR589820 FVV589820 FLZ589820 FCD589820 ESH589820 EIL589820 DYP589820 DOT589820 DEX589820 CVB589820 CLF589820 CBJ589820 BRN589820 BHR589820 AXV589820 ANZ589820 AED589820 UH589820 KL589820 C589830 WWX524284 WNB524284 WDF524284 VTJ524284 VJN524284 UZR524284 UPV524284 UFZ524284 TWD524284 TMH524284 TCL524284 SSP524284 SIT524284 RYX524284 RPB524284 RFF524284 QVJ524284 QLN524284 QBR524284 PRV524284 PHZ524284 OYD524284 OOH524284 OEL524284 NUP524284 NKT524284 NAX524284 MRB524284 MHF524284 LXJ524284 LNN524284 LDR524284 KTV524284 KJZ524284 KAD524284 JQH524284 JGL524284 IWP524284 IMT524284 ICX524284 HTB524284 HJF524284 GZJ524284 GPN524284 GFR524284 FVV524284 FLZ524284 FCD524284 ESH524284 EIL524284 DYP524284 DOT524284 DEX524284 CVB524284 CLF524284 CBJ524284 BRN524284 BHR524284 AXV524284 ANZ524284 AED524284 UH524284 KL524284 C524294 WWX458748 WNB458748 WDF458748 VTJ458748 VJN458748 UZR458748 UPV458748 UFZ458748 TWD458748 TMH458748 TCL458748 SSP458748 SIT458748 RYX458748 RPB458748 RFF458748 QVJ458748 QLN458748 QBR458748 PRV458748 PHZ458748 OYD458748 OOH458748 OEL458748 NUP458748 NKT458748 NAX458748 MRB458748 MHF458748 LXJ458748 LNN458748 LDR458748 KTV458748 KJZ458748 KAD458748 JQH458748 JGL458748 IWP458748 IMT458748 ICX458748 HTB458748 HJF458748 GZJ458748 GPN458748 GFR458748 FVV458748 FLZ458748 FCD458748 ESH458748 EIL458748 DYP458748 DOT458748 DEX458748 CVB458748 CLF458748 CBJ458748 BRN458748 BHR458748 AXV458748 ANZ458748 AED458748 UH458748 KL458748 C458758 WWX393212 WNB393212 WDF393212 VTJ393212 VJN393212 UZR393212 UPV393212 UFZ393212 TWD393212 TMH393212 TCL393212 SSP393212 SIT393212 RYX393212 RPB393212 RFF393212 QVJ393212 QLN393212 QBR393212 PRV393212 PHZ393212 OYD393212 OOH393212 OEL393212 NUP393212 NKT393212 NAX393212 MRB393212 MHF393212 LXJ393212 LNN393212 LDR393212 KTV393212 KJZ393212 KAD393212 JQH393212 JGL393212 IWP393212 IMT393212 ICX393212 HTB393212 HJF393212 GZJ393212 GPN393212 GFR393212 FVV393212 FLZ393212 FCD393212 ESH393212 EIL393212 DYP393212 DOT393212 DEX393212 CVB393212 CLF393212 CBJ393212 BRN393212 BHR393212 AXV393212 ANZ393212 AED393212 UH393212 KL393212 C393222 WWX327676 WNB327676 WDF327676 VTJ327676 VJN327676 UZR327676 UPV327676 UFZ327676 TWD327676 TMH327676 TCL327676 SSP327676 SIT327676 RYX327676 RPB327676 RFF327676 QVJ327676 QLN327676 QBR327676 PRV327676 PHZ327676 OYD327676 OOH327676 OEL327676 NUP327676 NKT327676 NAX327676 MRB327676 MHF327676 LXJ327676 LNN327676 LDR327676 KTV327676 KJZ327676 KAD327676 JQH327676 JGL327676 IWP327676 IMT327676 ICX327676 HTB327676 HJF327676 GZJ327676 GPN327676 GFR327676 FVV327676 FLZ327676 FCD327676 ESH327676 EIL327676 DYP327676 DOT327676 DEX327676 CVB327676 CLF327676 CBJ327676 BRN327676 BHR327676 AXV327676 ANZ327676 AED327676 UH327676 KL327676 C327686 WWX262140 WNB262140 WDF262140 VTJ262140 VJN262140 UZR262140 UPV262140 UFZ262140 TWD262140 TMH262140 TCL262140 SSP262140 SIT262140 RYX262140 RPB262140 RFF262140 QVJ262140 QLN262140 QBR262140 PRV262140 PHZ262140 OYD262140 OOH262140 OEL262140 NUP262140 NKT262140 NAX262140 MRB262140 MHF262140 LXJ262140 LNN262140 LDR262140 KTV262140 KJZ262140 KAD262140 JQH262140 JGL262140 IWP262140 IMT262140 ICX262140 HTB262140 HJF262140 GZJ262140 GPN262140 GFR262140 FVV262140 FLZ262140 FCD262140 ESH262140 EIL262140 DYP262140 DOT262140 DEX262140 CVB262140 CLF262140 CBJ262140 BRN262140 BHR262140 AXV262140 ANZ262140 AED262140 UH262140 KL262140 C262150 WWX196604 WNB196604 WDF196604 VTJ196604 VJN196604 UZR196604 UPV196604 UFZ196604 TWD196604 TMH196604 TCL196604 SSP196604 SIT196604 RYX196604 RPB196604 RFF196604 QVJ196604 QLN196604 QBR196604 PRV196604 PHZ196604 OYD196604 OOH196604 OEL196604 NUP196604 NKT196604 NAX196604 MRB196604 MHF196604 LXJ196604 LNN196604 LDR196604 KTV196604 KJZ196604 KAD196604 JQH196604 JGL196604 IWP196604 IMT196604 ICX196604 HTB196604 HJF196604 GZJ196604 GPN196604 GFR196604 FVV196604 FLZ196604 FCD196604 ESH196604 EIL196604 DYP196604 DOT196604 DEX196604 CVB196604 CLF196604 CBJ196604 BRN196604 BHR196604 AXV196604 ANZ196604 AED196604 UH196604 KL196604 C196614 WWX131068 WNB131068 WDF131068 VTJ131068 VJN131068 UZR131068 UPV131068 UFZ131068 TWD131068 TMH131068 TCL131068 SSP131068 SIT131068 RYX131068 RPB131068 RFF131068 QVJ131068 QLN131068 QBR131068 PRV131068 PHZ131068 OYD131068 OOH131068 OEL131068 NUP131068 NKT131068 NAX131068 MRB131068 MHF131068 LXJ131068 LNN131068 LDR131068 KTV131068 KJZ131068 KAD131068 JQH131068 JGL131068 IWP131068 IMT131068 ICX131068 HTB131068 HJF131068 GZJ131068 GPN131068 GFR131068 FVV131068 FLZ131068 FCD131068 ESH131068 EIL131068 DYP131068 DOT131068 DEX131068 CVB131068 CLF131068 CBJ131068 BRN131068 BHR131068 AXV131068 ANZ131068 AED131068 UH131068 KL131068 C131078 WWX65532 WNB65532 WDF65532 VTJ65532 VJN65532 UZR65532 UPV65532 UFZ65532 TWD65532 TMH65532 TCL65532 SSP65532 SIT65532 RYX65532 RPB65532 RFF65532 QVJ65532 QLN65532 QBR65532 PRV65532 PHZ65532 OYD65532 OOH65532 OEL65532 NUP65532 NKT65532 NAX65532 MRB65532 MHF65532 LXJ65532 LNN65532 LDR65532 KTV65532 KJZ65532 KAD65532 JQH65532 JGL65532 IWP65532 IMT65532 ICX65532 HTB65532 HJF65532 GZJ65532 GPN65532 GFR65532 FVV65532 FLZ65532 FCD65532 ESH65532 EIL65532 DYP65532 DOT65532 DEX65532 CVB65532 CLF65532 CBJ65532 BRN65532 BHR65532 AXV65532 ANZ65532 AED65532 UH65532 KL65532 C65542 WWU27 WMY27 WDC27 VTG27 VJK27 UZO27 UPS27 UFW27 TWA27 TME27 TCI27 SSM27 SIQ27 RYU27 ROY27 RFC27 QVG27 QLK27 QBO27 PRS27 PHW27 OYA27 OOE27 OEI27 NUM27 NKQ27 NAU27 MQY27 MHC27 LXG27 LNK27 LDO27 KTS27 KJW27 KAA27 JQE27 JGI27 IWM27 IMQ27 ICU27 HSY27 HJC27 GZG27 GPK27 GFO27 FVS27 FLW27 FCA27 ESE27 EII27 DYM27 DOQ27 DEU27 CUY27 CLC27 CBG27 BRK27 BHO27 AXS27 ANW27 AEA27 UE27 KI27" xr:uid="{B3F7C3D4-6789-428E-9DE5-D3A7481DA885}"/>
    <dataValidation allowBlank="1" showErrorMessage="1" sqref="KI14 WWX983024 WNB983024 WDF983024 VTJ983024 VJN983024 UZR983024 UPV983024 UFZ983024 TWD983024 TMH983024 TCL983024 SSP983024 SIT983024 RYX983024 RPB983024 RFF983024 QVJ983024 QLN983024 QBR983024 PRV983024 PHZ983024 OYD983024 OOH983024 OEL983024 NUP983024 NKT983024 NAX983024 MRB983024 MHF983024 LXJ983024 LNN983024 LDR983024 KTV983024 KJZ983024 KAD983024 JQH983024 JGL983024 IWP983024 IMT983024 ICX983024 HTB983024 HJF983024 GZJ983024 GPN983024 GFR983024 FVV983024 FLZ983024 FCD983024 ESH983024 EIL983024 DYP983024 DOT983024 DEX983024 CVB983024 CLF983024 CBJ983024 BRN983024 BHR983024 AXV983024 ANZ983024 AED983024 UH983024 KL983024 C983034 WWX917488 WNB917488 WDF917488 VTJ917488 VJN917488 UZR917488 UPV917488 UFZ917488 TWD917488 TMH917488 TCL917488 SSP917488 SIT917488 RYX917488 RPB917488 RFF917488 QVJ917488 QLN917488 QBR917488 PRV917488 PHZ917488 OYD917488 OOH917488 OEL917488 NUP917488 NKT917488 NAX917488 MRB917488 MHF917488 LXJ917488 LNN917488 LDR917488 KTV917488 KJZ917488 KAD917488 JQH917488 JGL917488 IWP917488 IMT917488 ICX917488 HTB917488 HJF917488 GZJ917488 GPN917488 GFR917488 FVV917488 FLZ917488 FCD917488 ESH917488 EIL917488 DYP917488 DOT917488 DEX917488 CVB917488 CLF917488 CBJ917488 BRN917488 BHR917488 AXV917488 ANZ917488 AED917488 UH917488 KL917488 C917498 WWX851952 WNB851952 WDF851952 VTJ851952 VJN851952 UZR851952 UPV851952 UFZ851952 TWD851952 TMH851952 TCL851952 SSP851952 SIT851952 RYX851952 RPB851952 RFF851952 QVJ851952 QLN851952 QBR851952 PRV851952 PHZ851952 OYD851952 OOH851952 OEL851952 NUP851952 NKT851952 NAX851952 MRB851952 MHF851952 LXJ851952 LNN851952 LDR851952 KTV851952 KJZ851952 KAD851952 JQH851952 JGL851952 IWP851952 IMT851952 ICX851952 HTB851952 HJF851952 GZJ851952 GPN851952 GFR851952 FVV851952 FLZ851952 FCD851952 ESH851952 EIL851952 DYP851952 DOT851952 DEX851952 CVB851952 CLF851952 CBJ851952 BRN851952 BHR851952 AXV851952 ANZ851952 AED851952 UH851952 KL851952 C851962 WWX786416 WNB786416 WDF786416 VTJ786416 VJN786416 UZR786416 UPV786416 UFZ786416 TWD786416 TMH786416 TCL786416 SSP786416 SIT786416 RYX786416 RPB786416 RFF786416 QVJ786416 QLN786416 QBR786416 PRV786416 PHZ786416 OYD786416 OOH786416 OEL786416 NUP786416 NKT786416 NAX786416 MRB786416 MHF786416 LXJ786416 LNN786416 LDR786416 KTV786416 KJZ786416 KAD786416 JQH786416 JGL786416 IWP786416 IMT786416 ICX786416 HTB786416 HJF786416 GZJ786416 GPN786416 GFR786416 FVV786416 FLZ786416 FCD786416 ESH786416 EIL786416 DYP786416 DOT786416 DEX786416 CVB786416 CLF786416 CBJ786416 BRN786416 BHR786416 AXV786416 ANZ786416 AED786416 UH786416 KL786416 C786426 WWX720880 WNB720880 WDF720880 VTJ720880 VJN720880 UZR720880 UPV720880 UFZ720880 TWD720880 TMH720880 TCL720880 SSP720880 SIT720880 RYX720880 RPB720880 RFF720880 QVJ720880 QLN720880 QBR720880 PRV720880 PHZ720880 OYD720880 OOH720880 OEL720880 NUP720880 NKT720880 NAX720880 MRB720880 MHF720880 LXJ720880 LNN720880 LDR720880 KTV720880 KJZ720880 KAD720880 JQH720880 JGL720880 IWP720880 IMT720880 ICX720880 HTB720880 HJF720880 GZJ720880 GPN720880 GFR720880 FVV720880 FLZ720880 FCD720880 ESH720880 EIL720880 DYP720880 DOT720880 DEX720880 CVB720880 CLF720880 CBJ720880 BRN720880 BHR720880 AXV720880 ANZ720880 AED720880 UH720880 KL720880 C720890 WWX655344 WNB655344 WDF655344 VTJ655344 VJN655344 UZR655344 UPV655344 UFZ655344 TWD655344 TMH655344 TCL655344 SSP655344 SIT655344 RYX655344 RPB655344 RFF655344 QVJ655344 QLN655344 QBR655344 PRV655344 PHZ655344 OYD655344 OOH655344 OEL655344 NUP655344 NKT655344 NAX655344 MRB655344 MHF655344 LXJ655344 LNN655344 LDR655344 KTV655344 KJZ655344 KAD655344 JQH655344 JGL655344 IWP655344 IMT655344 ICX655344 HTB655344 HJF655344 GZJ655344 GPN655344 GFR655344 FVV655344 FLZ655344 FCD655344 ESH655344 EIL655344 DYP655344 DOT655344 DEX655344 CVB655344 CLF655344 CBJ655344 BRN655344 BHR655344 AXV655344 ANZ655344 AED655344 UH655344 KL655344 C655354 WWX589808 WNB589808 WDF589808 VTJ589808 VJN589808 UZR589808 UPV589808 UFZ589808 TWD589808 TMH589808 TCL589808 SSP589808 SIT589808 RYX589808 RPB589808 RFF589808 QVJ589808 QLN589808 QBR589808 PRV589808 PHZ589808 OYD589808 OOH589808 OEL589808 NUP589808 NKT589808 NAX589808 MRB589808 MHF589808 LXJ589808 LNN589808 LDR589808 KTV589808 KJZ589808 KAD589808 JQH589808 JGL589808 IWP589808 IMT589808 ICX589808 HTB589808 HJF589808 GZJ589808 GPN589808 GFR589808 FVV589808 FLZ589808 FCD589808 ESH589808 EIL589808 DYP589808 DOT589808 DEX589808 CVB589808 CLF589808 CBJ589808 BRN589808 BHR589808 AXV589808 ANZ589808 AED589808 UH589808 KL589808 C589818 WWX524272 WNB524272 WDF524272 VTJ524272 VJN524272 UZR524272 UPV524272 UFZ524272 TWD524272 TMH524272 TCL524272 SSP524272 SIT524272 RYX524272 RPB524272 RFF524272 QVJ524272 QLN524272 QBR524272 PRV524272 PHZ524272 OYD524272 OOH524272 OEL524272 NUP524272 NKT524272 NAX524272 MRB524272 MHF524272 LXJ524272 LNN524272 LDR524272 KTV524272 KJZ524272 KAD524272 JQH524272 JGL524272 IWP524272 IMT524272 ICX524272 HTB524272 HJF524272 GZJ524272 GPN524272 GFR524272 FVV524272 FLZ524272 FCD524272 ESH524272 EIL524272 DYP524272 DOT524272 DEX524272 CVB524272 CLF524272 CBJ524272 BRN524272 BHR524272 AXV524272 ANZ524272 AED524272 UH524272 KL524272 C524282 WWX458736 WNB458736 WDF458736 VTJ458736 VJN458736 UZR458736 UPV458736 UFZ458736 TWD458736 TMH458736 TCL458736 SSP458736 SIT458736 RYX458736 RPB458736 RFF458736 QVJ458736 QLN458736 QBR458736 PRV458736 PHZ458736 OYD458736 OOH458736 OEL458736 NUP458736 NKT458736 NAX458736 MRB458736 MHF458736 LXJ458736 LNN458736 LDR458736 KTV458736 KJZ458736 KAD458736 JQH458736 JGL458736 IWP458736 IMT458736 ICX458736 HTB458736 HJF458736 GZJ458736 GPN458736 GFR458736 FVV458736 FLZ458736 FCD458736 ESH458736 EIL458736 DYP458736 DOT458736 DEX458736 CVB458736 CLF458736 CBJ458736 BRN458736 BHR458736 AXV458736 ANZ458736 AED458736 UH458736 KL458736 C458746 WWX393200 WNB393200 WDF393200 VTJ393200 VJN393200 UZR393200 UPV393200 UFZ393200 TWD393200 TMH393200 TCL393200 SSP393200 SIT393200 RYX393200 RPB393200 RFF393200 QVJ393200 QLN393200 QBR393200 PRV393200 PHZ393200 OYD393200 OOH393200 OEL393200 NUP393200 NKT393200 NAX393200 MRB393200 MHF393200 LXJ393200 LNN393200 LDR393200 KTV393200 KJZ393200 KAD393200 JQH393200 JGL393200 IWP393200 IMT393200 ICX393200 HTB393200 HJF393200 GZJ393200 GPN393200 GFR393200 FVV393200 FLZ393200 FCD393200 ESH393200 EIL393200 DYP393200 DOT393200 DEX393200 CVB393200 CLF393200 CBJ393200 BRN393200 BHR393200 AXV393200 ANZ393200 AED393200 UH393200 KL393200 C393210 WWX327664 WNB327664 WDF327664 VTJ327664 VJN327664 UZR327664 UPV327664 UFZ327664 TWD327664 TMH327664 TCL327664 SSP327664 SIT327664 RYX327664 RPB327664 RFF327664 QVJ327664 QLN327664 QBR327664 PRV327664 PHZ327664 OYD327664 OOH327664 OEL327664 NUP327664 NKT327664 NAX327664 MRB327664 MHF327664 LXJ327664 LNN327664 LDR327664 KTV327664 KJZ327664 KAD327664 JQH327664 JGL327664 IWP327664 IMT327664 ICX327664 HTB327664 HJF327664 GZJ327664 GPN327664 GFR327664 FVV327664 FLZ327664 FCD327664 ESH327664 EIL327664 DYP327664 DOT327664 DEX327664 CVB327664 CLF327664 CBJ327664 BRN327664 BHR327664 AXV327664 ANZ327664 AED327664 UH327664 KL327664 C327674 WWX262128 WNB262128 WDF262128 VTJ262128 VJN262128 UZR262128 UPV262128 UFZ262128 TWD262128 TMH262128 TCL262128 SSP262128 SIT262128 RYX262128 RPB262128 RFF262128 QVJ262128 QLN262128 QBR262128 PRV262128 PHZ262128 OYD262128 OOH262128 OEL262128 NUP262128 NKT262128 NAX262128 MRB262128 MHF262128 LXJ262128 LNN262128 LDR262128 KTV262128 KJZ262128 KAD262128 JQH262128 JGL262128 IWP262128 IMT262128 ICX262128 HTB262128 HJF262128 GZJ262128 GPN262128 GFR262128 FVV262128 FLZ262128 FCD262128 ESH262128 EIL262128 DYP262128 DOT262128 DEX262128 CVB262128 CLF262128 CBJ262128 BRN262128 BHR262128 AXV262128 ANZ262128 AED262128 UH262128 KL262128 C262138 WWX196592 WNB196592 WDF196592 VTJ196592 VJN196592 UZR196592 UPV196592 UFZ196592 TWD196592 TMH196592 TCL196592 SSP196592 SIT196592 RYX196592 RPB196592 RFF196592 QVJ196592 QLN196592 QBR196592 PRV196592 PHZ196592 OYD196592 OOH196592 OEL196592 NUP196592 NKT196592 NAX196592 MRB196592 MHF196592 LXJ196592 LNN196592 LDR196592 KTV196592 KJZ196592 KAD196592 JQH196592 JGL196592 IWP196592 IMT196592 ICX196592 HTB196592 HJF196592 GZJ196592 GPN196592 GFR196592 FVV196592 FLZ196592 FCD196592 ESH196592 EIL196592 DYP196592 DOT196592 DEX196592 CVB196592 CLF196592 CBJ196592 BRN196592 BHR196592 AXV196592 ANZ196592 AED196592 UH196592 KL196592 C196602 WWX131056 WNB131056 WDF131056 VTJ131056 VJN131056 UZR131056 UPV131056 UFZ131056 TWD131056 TMH131056 TCL131056 SSP131056 SIT131056 RYX131056 RPB131056 RFF131056 QVJ131056 QLN131056 QBR131056 PRV131056 PHZ131056 OYD131056 OOH131056 OEL131056 NUP131056 NKT131056 NAX131056 MRB131056 MHF131056 LXJ131056 LNN131056 LDR131056 KTV131056 KJZ131056 KAD131056 JQH131056 JGL131056 IWP131056 IMT131056 ICX131056 HTB131056 HJF131056 GZJ131056 GPN131056 GFR131056 FVV131056 FLZ131056 FCD131056 ESH131056 EIL131056 DYP131056 DOT131056 DEX131056 CVB131056 CLF131056 CBJ131056 BRN131056 BHR131056 AXV131056 ANZ131056 AED131056 UH131056 KL131056 C131066 WWX65520 WNB65520 WDF65520 VTJ65520 VJN65520 UZR65520 UPV65520 UFZ65520 TWD65520 TMH65520 TCL65520 SSP65520 SIT65520 RYX65520 RPB65520 RFF65520 QVJ65520 QLN65520 QBR65520 PRV65520 PHZ65520 OYD65520 OOH65520 OEL65520 NUP65520 NKT65520 NAX65520 MRB65520 MHF65520 LXJ65520 LNN65520 LDR65520 KTV65520 KJZ65520 KAD65520 JQH65520 JGL65520 IWP65520 IMT65520 ICX65520 HTB65520 HJF65520 GZJ65520 GPN65520 GFR65520 FVV65520 FLZ65520 FCD65520 ESH65520 EIL65520 DYP65520 DOT65520 DEX65520 CVB65520 CLF65520 CBJ65520 BRN65520 BHR65520 AXV65520 ANZ65520 AED65520 UH65520 KL65520 C65530 WWU14 WMY14 WDC14 VTG14 VJK14 UZO14 UPS14 UFW14 TWA14 TME14 TCI14 SSM14 SIQ14 RYU14 ROY14 RFC14 QVG14 QLK14 QBO14 PRS14 PHW14 OYA14 OOE14 OEI14 NUM14 NKQ14 NAU14 MQY14 MHC14 LXG14 LNK14 LDO14 KTS14 KJW14 KAA14 JQE14 JGI14 IWM14 IMQ14 ICU14 HSY14 HJC14 GZG14 GPK14 GFO14 FVS14 FLW14 FCA14 ESE14 EII14 DYM14 DOQ14 DEU14 CUY14 CLC14 CBG14 BRK14 BHO14 AXS14 ANW14 AEA14 UE14" xr:uid="{F5D12155-6398-4C11-9763-40FD71B710FE}"/>
    <dataValidation allowBlank="1" showInputMessage="1" showErrorMessage="1" sqref="WWT983015:WWT983016 WMX983015:WMX983016 WDB983015:WDB983016 VTF983015:VTF983016 VJJ983015:VJJ983016 UZN983015:UZN983016 UPR983015:UPR983016 UFV983015:UFV983016 TVZ983015:TVZ983016 TMD983015:TMD983016 TCH983015:TCH983016 SSL983015:SSL983016 SIP983015:SIP983016 RYT983015:RYT983016 ROX983015:ROX983016 RFB983015:RFB983016 QVF983015:QVF983016 QLJ983015:QLJ983016 QBN983015:QBN983016 PRR983015:PRR983016 PHV983015:PHV983016 OXZ983015:OXZ983016 OOD983015:OOD983016 OEH983015:OEH983016 NUL983015:NUL983016 NKP983015:NKP983016 NAT983015:NAT983016 MQX983015:MQX983016 MHB983015:MHB983016 LXF983015:LXF983016 LNJ983015:LNJ983016 LDN983015:LDN983016 KTR983015:KTR983016 KJV983015:KJV983016 JZZ983015:JZZ983016 JQD983015:JQD983016 JGH983015:JGH983016 IWL983015:IWL983016 IMP983015:IMP983016 ICT983015:ICT983016 HSX983015:HSX983016 HJB983015:HJB983016 GZF983015:GZF983016 GPJ983015:GPJ983016 GFN983015:GFN983016 FVR983015:FVR983016 FLV983015:FLV983016 FBZ983015:FBZ983016 ESD983015:ESD983016 EIH983015:EIH983016 DYL983015:DYL983016 DOP983015:DOP983016 DET983015:DET983016 CUX983015:CUX983016 CLB983015:CLB983016 CBF983015:CBF983016 BRJ983015:BRJ983016 BHN983015:BHN983016 AXR983015:AXR983016 ANV983015:ANV983016 ADZ983015:ADZ983016 UD983015:UD983016 KH983015:KH983016 B983015:B983016 WWT917479:WWT917480 WMX917479:WMX917480 WDB917479:WDB917480 VTF917479:VTF917480 VJJ917479:VJJ917480 UZN917479:UZN917480 UPR917479:UPR917480 UFV917479:UFV917480 TVZ917479:TVZ917480 TMD917479:TMD917480 TCH917479:TCH917480 SSL917479:SSL917480 SIP917479:SIP917480 RYT917479:RYT917480 ROX917479:ROX917480 RFB917479:RFB917480 QVF917479:QVF917480 QLJ917479:QLJ917480 QBN917479:QBN917480 PRR917479:PRR917480 PHV917479:PHV917480 OXZ917479:OXZ917480 OOD917479:OOD917480 OEH917479:OEH917480 NUL917479:NUL917480 NKP917479:NKP917480 NAT917479:NAT917480 MQX917479:MQX917480 MHB917479:MHB917480 LXF917479:LXF917480 LNJ917479:LNJ917480 LDN917479:LDN917480 KTR917479:KTR917480 KJV917479:KJV917480 JZZ917479:JZZ917480 JQD917479:JQD917480 JGH917479:JGH917480 IWL917479:IWL917480 IMP917479:IMP917480 ICT917479:ICT917480 HSX917479:HSX917480 HJB917479:HJB917480 GZF917479:GZF917480 GPJ917479:GPJ917480 GFN917479:GFN917480 FVR917479:FVR917480 FLV917479:FLV917480 FBZ917479:FBZ917480 ESD917479:ESD917480 EIH917479:EIH917480 DYL917479:DYL917480 DOP917479:DOP917480 DET917479:DET917480 CUX917479:CUX917480 CLB917479:CLB917480 CBF917479:CBF917480 BRJ917479:BRJ917480 BHN917479:BHN917480 AXR917479:AXR917480 ANV917479:ANV917480 ADZ917479:ADZ917480 UD917479:UD917480 KH917479:KH917480 B917479:B917480 WWT851943:WWT851944 WMX851943:WMX851944 WDB851943:WDB851944 VTF851943:VTF851944 VJJ851943:VJJ851944 UZN851943:UZN851944 UPR851943:UPR851944 UFV851943:UFV851944 TVZ851943:TVZ851944 TMD851943:TMD851944 TCH851943:TCH851944 SSL851943:SSL851944 SIP851943:SIP851944 RYT851943:RYT851944 ROX851943:ROX851944 RFB851943:RFB851944 QVF851943:QVF851944 QLJ851943:QLJ851944 QBN851943:QBN851944 PRR851943:PRR851944 PHV851943:PHV851944 OXZ851943:OXZ851944 OOD851943:OOD851944 OEH851943:OEH851944 NUL851943:NUL851944 NKP851943:NKP851944 NAT851943:NAT851944 MQX851943:MQX851944 MHB851943:MHB851944 LXF851943:LXF851944 LNJ851943:LNJ851944 LDN851943:LDN851944 KTR851943:KTR851944 KJV851943:KJV851944 JZZ851943:JZZ851944 JQD851943:JQD851944 JGH851943:JGH851944 IWL851943:IWL851944 IMP851943:IMP851944 ICT851943:ICT851944 HSX851943:HSX851944 HJB851943:HJB851944 GZF851943:GZF851944 GPJ851943:GPJ851944 GFN851943:GFN851944 FVR851943:FVR851944 FLV851943:FLV851944 FBZ851943:FBZ851944 ESD851943:ESD851944 EIH851943:EIH851944 DYL851943:DYL851944 DOP851943:DOP851944 DET851943:DET851944 CUX851943:CUX851944 CLB851943:CLB851944 CBF851943:CBF851944 BRJ851943:BRJ851944 BHN851943:BHN851944 AXR851943:AXR851944 ANV851943:ANV851944 ADZ851943:ADZ851944 UD851943:UD851944 KH851943:KH851944 B851943:B851944 WWT786407:WWT786408 WMX786407:WMX786408 WDB786407:WDB786408 VTF786407:VTF786408 VJJ786407:VJJ786408 UZN786407:UZN786408 UPR786407:UPR786408 UFV786407:UFV786408 TVZ786407:TVZ786408 TMD786407:TMD786408 TCH786407:TCH786408 SSL786407:SSL786408 SIP786407:SIP786408 RYT786407:RYT786408 ROX786407:ROX786408 RFB786407:RFB786408 QVF786407:QVF786408 QLJ786407:QLJ786408 QBN786407:QBN786408 PRR786407:PRR786408 PHV786407:PHV786408 OXZ786407:OXZ786408 OOD786407:OOD786408 OEH786407:OEH786408 NUL786407:NUL786408 NKP786407:NKP786408 NAT786407:NAT786408 MQX786407:MQX786408 MHB786407:MHB786408 LXF786407:LXF786408 LNJ786407:LNJ786408 LDN786407:LDN786408 KTR786407:KTR786408 KJV786407:KJV786408 JZZ786407:JZZ786408 JQD786407:JQD786408 JGH786407:JGH786408 IWL786407:IWL786408 IMP786407:IMP786408 ICT786407:ICT786408 HSX786407:HSX786408 HJB786407:HJB786408 GZF786407:GZF786408 GPJ786407:GPJ786408 GFN786407:GFN786408 FVR786407:FVR786408 FLV786407:FLV786408 FBZ786407:FBZ786408 ESD786407:ESD786408 EIH786407:EIH786408 DYL786407:DYL786408 DOP786407:DOP786408 DET786407:DET786408 CUX786407:CUX786408 CLB786407:CLB786408 CBF786407:CBF786408 BRJ786407:BRJ786408 BHN786407:BHN786408 AXR786407:AXR786408 ANV786407:ANV786408 ADZ786407:ADZ786408 UD786407:UD786408 KH786407:KH786408 B786407:B786408 WWT720871:WWT720872 WMX720871:WMX720872 WDB720871:WDB720872 VTF720871:VTF720872 VJJ720871:VJJ720872 UZN720871:UZN720872 UPR720871:UPR720872 UFV720871:UFV720872 TVZ720871:TVZ720872 TMD720871:TMD720872 TCH720871:TCH720872 SSL720871:SSL720872 SIP720871:SIP720872 RYT720871:RYT720872 ROX720871:ROX720872 RFB720871:RFB720872 QVF720871:QVF720872 QLJ720871:QLJ720872 QBN720871:QBN720872 PRR720871:PRR720872 PHV720871:PHV720872 OXZ720871:OXZ720872 OOD720871:OOD720872 OEH720871:OEH720872 NUL720871:NUL720872 NKP720871:NKP720872 NAT720871:NAT720872 MQX720871:MQX720872 MHB720871:MHB720872 LXF720871:LXF720872 LNJ720871:LNJ720872 LDN720871:LDN720872 KTR720871:KTR720872 KJV720871:KJV720872 JZZ720871:JZZ720872 JQD720871:JQD720872 JGH720871:JGH720872 IWL720871:IWL720872 IMP720871:IMP720872 ICT720871:ICT720872 HSX720871:HSX720872 HJB720871:HJB720872 GZF720871:GZF720872 GPJ720871:GPJ720872 GFN720871:GFN720872 FVR720871:FVR720872 FLV720871:FLV720872 FBZ720871:FBZ720872 ESD720871:ESD720872 EIH720871:EIH720872 DYL720871:DYL720872 DOP720871:DOP720872 DET720871:DET720872 CUX720871:CUX720872 CLB720871:CLB720872 CBF720871:CBF720872 BRJ720871:BRJ720872 BHN720871:BHN720872 AXR720871:AXR720872 ANV720871:ANV720872 ADZ720871:ADZ720872 UD720871:UD720872 KH720871:KH720872 B720871:B720872 WWT655335:WWT655336 WMX655335:WMX655336 WDB655335:WDB655336 VTF655335:VTF655336 VJJ655335:VJJ655336 UZN655335:UZN655336 UPR655335:UPR655336 UFV655335:UFV655336 TVZ655335:TVZ655336 TMD655335:TMD655336 TCH655335:TCH655336 SSL655335:SSL655336 SIP655335:SIP655336 RYT655335:RYT655336 ROX655335:ROX655336 RFB655335:RFB655336 QVF655335:QVF655336 QLJ655335:QLJ655336 QBN655335:QBN655336 PRR655335:PRR655336 PHV655335:PHV655336 OXZ655335:OXZ655336 OOD655335:OOD655336 OEH655335:OEH655336 NUL655335:NUL655336 NKP655335:NKP655336 NAT655335:NAT655336 MQX655335:MQX655336 MHB655335:MHB655336 LXF655335:LXF655336 LNJ655335:LNJ655336 LDN655335:LDN655336 KTR655335:KTR655336 KJV655335:KJV655336 JZZ655335:JZZ655336 JQD655335:JQD655336 JGH655335:JGH655336 IWL655335:IWL655336 IMP655335:IMP655336 ICT655335:ICT655336 HSX655335:HSX655336 HJB655335:HJB655336 GZF655335:GZF655336 GPJ655335:GPJ655336 GFN655335:GFN655336 FVR655335:FVR655336 FLV655335:FLV655336 FBZ655335:FBZ655336 ESD655335:ESD655336 EIH655335:EIH655336 DYL655335:DYL655336 DOP655335:DOP655336 DET655335:DET655336 CUX655335:CUX655336 CLB655335:CLB655336 CBF655335:CBF655336 BRJ655335:BRJ655336 BHN655335:BHN655336 AXR655335:AXR655336 ANV655335:ANV655336 ADZ655335:ADZ655336 UD655335:UD655336 KH655335:KH655336 B655335:B655336 WWT589799:WWT589800 WMX589799:WMX589800 WDB589799:WDB589800 VTF589799:VTF589800 VJJ589799:VJJ589800 UZN589799:UZN589800 UPR589799:UPR589800 UFV589799:UFV589800 TVZ589799:TVZ589800 TMD589799:TMD589800 TCH589799:TCH589800 SSL589799:SSL589800 SIP589799:SIP589800 RYT589799:RYT589800 ROX589799:ROX589800 RFB589799:RFB589800 QVF589799:QVF589800 QLJ589799:QLJ589800 QBN589799:QBN589800 PRR589799:PRR589800 PHV589799:PHV589800 OXZ589799:OXZ589800 OOD589799:OOD589800 OEH589799:OEH589800 NUL589799:NUL589800 NKP589799:NKP589800 NAT589799:NAT589800 MQX589799:MQX589800 MHB589799:MHB589800 LXF589799:LXF589800 LNJ589799:LNJ589800 LDN589799:LDN589800 KTR589799:KTR589800 KJV589799:KJV589800 JZZ589799:JZZ589800 JQD589799:JQD589800 JGH589799:JGH589800 IWL589799:IWL589800 IMP589799:IMP589800 ICT589799:ICT589800 HSX589799:HSX589800 HJB589799:HJB589800 GZF589799:GZF589800 GPJ589799:GPJ589800 GFN589799:GFN589800 FVR589799:FVR589800 FLV589799:FLV589800 FBZ589799:FBZ589800 ESD589799:ESD589800 EIH589799:EIH589800 DYL589799:DYL589800 DOP589799:DOP589800 DET589799:DET589800 CUX589799:CUX589800 CLB589799:CLB589800 CBF589799:CBF589800 BRJ589799:BRJ589800 BHN589799:BHN589800 AXR589799:AXR589800 ANV589799:ANV589800 ADZ589799:ADZ589800 UD589799:UD589800 KH589799:KH589800 B589799:B589800 WWT524263:WWT524264 WMX524263:WMX524264 WDB524263:WDB524264 VTF524263:VTF524264 VJJ524263:VJJ524264 UZN524263:UZN524264 UPR524263:UPR524264 UFV524263:UFV524264 TVZ524263:TVZ524264 TMD524263:TMD524264 TCH524263:TCH524264 SSL524263:SSL524264 SIP524263:SIP524264 RYT524263:RYT524264 ROX524263:ROX524264 RFB524263:RFB524264 QVF524263:QVF524264 QLJ524263:QLJ524264 QBN524263:QBN524264 PRR524263:PRR524264 PHV524263:PHV524264 OXZ524263:OXZ524264 OOD524263:OOD524264 OEH524263:OEH524264 NUL524263:NUL524264 NKP524263:NKP524264 NAT524263:NAT524264 MQX524263:MQX524264 MHB524263:MHB524264 LXF524263:LXF524264 LNJ524263:LNJ524264 LDN524263:LDN524264 KTR524263:KTR524264 KJV524263:KJV524264 JZZ524263:JZZ524264 JQD524263:JQD524264 JGH524263:JGH524264 IWL524263:IWL524264 IMP524263:IMP524264 ICT524263:ICT524264 HSX524263:HSX524264 HJB524263:HJB524264 GZF524263:GZF524264 GPJ524263:GPJ524264 GFN524263:GFN524264 FVR524263:FVR524264 FLV524263:FLV524264 FBZ524263:FBZ524264 ESD524263:ESD524264 EIH524263:EIH524264 DYL524263:DYL524264 DOP524263:DOP524264 DET524263:DET524264 CUX524263:CUX524264 CLB524263:CLB524264 CBF524263:CBF524264 BRJ524263:BRJ524264 BHN524263:BHN524264 AXR524263:AXR524264 ANV524263:ANV524264 ADZ524263:ADZ524264 UD524263:UD524264 KH524263:KH524264 B524263:B524264 WWT458727:WWT458728 WMX458727:WMX458728 WDB458727:WDB458728 VTF458727:VTF458728 VJJ458727:VJJ458728 UZN458727:UZN458728 UPR458727:UPR458728 UFV458727:UFV458728 TVZ458727:TVZ458728 TMD458727:TMD458728 TCH458727:TCH458728 SSL458727:SSL458728 SIP458727:SIP458728 RYT458727:RYT458728 ROX458727:ROX458728 RFB458727:RFB458728 QVF458727:QVF458728 QLJ458727:QLJ458728 QBN458727:QBN458728 PRR458727:PRR458728 PHV458727:PHV458728 OXZ458727:OXZ458728 OOD458727:OOD458728 OEH458727:OEH458728 NUL458727:NUL458728 NKP458727:NKP458728 NAT458727:NAT458728 MQX458727:MQX458728 MHB458727:MHB458728 LXF458727:LXF458728 LNJ458727:LNJ458728 LDN458727:LDN458728 KTR458727:KTR458728 KJV458727:KJV458728 JZZ458727:JZZ458728 JQD458727:JQD458728 JGH458727:JGH458728 IWL458727:IWL458728 IMP458727:IMP458728 ICT458727:ICT458728 HSX458727:HSX458728 HJB458727:HJB458728 GZF458727:GZF458728 GPJ458727:GPJ458728 GFN458727:GFN458728 FVR458727:FVR458728 FLV458727:FLV458728 FBZ458727:FBZ458728 ESD458727:ESD458728 EIH458727:EIH458728 DYL458727:DYL458728 DOP458727:DOP458728 DET458727:DET458728 CUX458727:CUX458728 CLB458727:CLB458728 CBF458727:CBF458728 BRJ458727:BRJ458728 BHN458727:BHN458728 AXR458727:AXR458728 ANV458727:ANV458728 ADZ458727:ADZ458728 UD458727:UD458728 KH458727:KH458728 B458727:B458728 WWT393191:WWT393192 WMX393191:WMX393192 WDB393191:WDB393192 VTF393191:VTF393192 VJJ393191:VJJ393192 UZN393191:UZN393192 UPR393191:UPR393192 UFV393191:UFV393192 TVZ393191:TVZ393192 TMD393191:TMD393192 TCH393191:TCH393192 SSL393191:SSL393192 SIP393191:SIP393192 RYT393191:RYT393192 ROX393191:ROX393192 RFB393191:RFB393192 QVF393191:QVF393192 QLJ393191:QLJ393192 QBN393191:QBN393192 PRR393191:PRR393192 PHV393191:PHV393192 OXZ393191:OXZ393192 OOD393191:OOD393192 OEH393191:OEH393192 NUL393191:NUL393192 NKP393191:NKP393192 NAT393191:NAT393192 MQX393191:MQX393192 MHB393191:MHB393192 LXF393191:LXF393192 LNJ393191:LNJ393192 LDN393191:LDN393192 KTR393191:KTR393192 KJV393191:KJV393192 JZZ393191:JZZ393192 JQD393191:JQD393192 JGH393191:JGH393192 IWL393191:IWL393192 IMP393191:IMP393192 ICT393191:ICT393192 HSX393191:HSX393192 HJB393191:HJB393192 GZF393191:GZF393192 GPJ393191:GPJ393192 GFN393191:GFN393192 FVR393191:FVR393192 FLV393191:FLV393192 FBZ393191:FBZ393192 ESD393191:ESD393192 EIH393191:EIH393192 DYL393191:DYL393192 DOP393191:DOP393192 DET393191:DET393192 CUX393191:CUX393192 CLB393191:CLB393192 CBF393191:CBF393192 BRJ393191:BRJ393192 BHN393191:BHN393192 AXR393191:AXR393192 ANV393191:ANV393192 ADZ393191:ADZ393192 UD393191:UD393192 KH393191:KH393192 B393191:B393192 WWT327655:WWT327656 WMX327655:WMX327656 WDB327655:WDB327656 VTF327655:VTF327656 VJJ327655:VJJ327656 UZN327655:UZN327656 UPR327655:UPR327656 UFV327655:UFV327656 TVZ327655:TVZ327656 TMD327655:TMD327656 TCH327655:TCH327656 SSL327655:SSL327656 SIP327655:SIP327656 RYT327655:RYT327656 ROX327655:ROX327656 RFB327655:RFB327656 QVF327655:QVF327656 QLJ327655:QLJ327656 QBN327655:QBN327656 PRR327655:PRR327656 PHV327655:PHV327656 OXZ327655:OXZ327656 OOD327655:OOD327656 OEH327655:OEH327656 NUL327655:NUL327656 NKP327655:NKP327656 NAT327655:NAT327656 MQX327655:MQX327656 MHB327655:MHB327656 LXF327655:LXF327656 LNJ327655:LNJ327656 LDN327655:LDN327656 KTR327655:KTR327656 KJV327655:KJV327656 JZZ327655:JZZ327656 JQD327655:JQD327656 JGH327655:JGH327656 IWL327655:IWL327656 IMP327655:IMP327656 ICT327655:ICT327656 HSX327655:HSX327656 HJB327655:HJB327656 GZF327655:GZF327656 GPJ327655:GPJ327656 GFN327655:GFN327656 FVR327655:FVR327656 FLV327655:FLV327656 FBZ327655:FBZ327656 ESD327655:ESD327656 EIH327655:EIH327656 DYL327655:DYL327656 DOP327655:DOP327656 DET327655:DET327656 CUX327655:CUX327656 CLB327655:CLB327656 CBF327655:CBF327656 BRJ327655:BRJ327656 BHN327655:BHN327656 AXR327655:AXR327656 ANV327655:ANV327656 ADZ327655:ADZ327656 UD327655:UD327656 KH327655:KH327656 B327655:B327656 WWT262119:WWT262120 WMX262119:WMX262120 WDB262119:WDB262120 VTF262119:VTF262120 VJJ262119:VJJ262120 UZN262119:UZN262120 UPR262119:UPR262120 UFV262119:UFV262120 TVZ262119:TVZ262120 TMD262119:TMD262120 TCH262119:TCH262120 SSL262119:SSL262120 SIP262119:SIP262120 RYT262119:RYT262120 ROX262119:ROX262120 RFB262119:RFB262120 QVF262119:QVF262120 QLJ262119:QLJ262120 QBN262119:QBN262120 PRR262119:PRR262120 PHV262119:PHV262120 OXZ262119:OXZ262120 OOD262119:OOD262120 OEH262119:OEH262120 NUL262119:NUL262120 NKP262119:NKP262120 NAT262119:NAT262120 MQX262119:MQX262120 MHB262119:MHB262120 LXF262119:LXF262120 LNJ262119:LNJ262120 LDN262119:LDN262120 KTR262119:KTR262120 KJV262119:KJV262120 JZZ262119:JZZ262120 JQD262119:JQD262120 JGH262119:JGH262120 IWL262119:IWL262120 IMP262119:IMP262120 ICT262119:ICT262120 HSX262119:HSX262120 HJB262119:HJB262120 GZF262119:GZF262120 GPJ262119:GPJ262120 GFN262119:GFN262120 FVR262119:FVR262120 FLV262119:FLV262120 FBZ262119:FBZ262120 ESD262119:ESD262120 EIH262119:EIH262120 DYL262119:DYL262120 DOP262119:DOP262120 DET262119:DET262120 CUX262119:CUX262120 CLB262119:CLB262120 CBF262119:CBF262120 BRJ262119:BRJ262120 BHN262119:BHN262120 AXR262119:AXR262120 ANV262119:ANV262120 ADZ262119:ADZ262120 UD262119:UD262120 KH262119:KH262120 B262119:B262120 WWT196583:WWT196584 WMX196583:WMX196584 WDB196583:WDB196584 VTF196583:VTF196584 VJJ196583:VJJ196584 UZN196583:UZN196584 UPR196583:UPR196584 UFV196583:UFV196584 TVZ196583:TVZ196584 TMD196583:TMD196584 TCH196583:TCH196584 SSL196583:SSL196584 SIP196583:SIP196584 RYT196583:RYT196584 ROX196583:ROX196584 RFB196583:RFB196584 QVF196583:QVF196584 QLJ196583:QLJ196584 QBN196583:QBN196584 PRR196583:PRR196584 PHV196583:PHV196584 OXZ196583:OXZ196584 OOD196583:OOD196584 OEH196583:OEH196584 NUL196583:NUL196584 NKP196583:NKP196584 NAT196583:NAT196584 MQX196583:MQX196584 MHB196583:MHB196584 LXF196583:LXF196584 LNJ196583:LNJ196584 LDN196583:LDN196584 KTR196583:KTR196584 KJV196583:KJV196584 JZZ196583:JZZ196584 JQD196583:JQD196584 JGH196583:JGH196584 IWL196583:IWL196584 IMP196583:IMP196584 ICT196583:ICT196584 HSX196583:HSX196584 HJB196583:HJB196584 GZF196583:GZF196584 GPJ196583:GPJ196584 GFN196583:GFN196584 FVR196583:FVR196584 FLV196583:FLV196584 FBZ196583:FBZ196584 ESD196583:ESD196584 EIH196583:EIH196584 DYL196583:DYL196584 DOP196583:DOP196584 DET196583:DET196584 CUX196583:CUX196584 CLB196583:CLB196584 CBF196583:CBF196584 BRJ196583:BRJ196584 BHN196583:BHN196584 AXR196583:AXR196584 ANV196583:ANV196584 ADZ196583:ADZ196584 UD196583:UD196584 KH196583:KH196584 B196583:B196584 WWT131047:WWT131048 WMX131047:WMX131048 WDB131047:WDB131048 VTF131047:VTF131048 VJJ131047:VJJ131048 UZN131047:UZN131048 UPR131047:UPR131048 UFV131047:UFV131048 TVZ131047:TVZ131048 TMD131047:TMD131048 TCH131047:TCH131048 SSL131047:SSL131048 SIP131047:SIP131048 RYT131047:RYT131048 ROX131047:ROX131048 RFB131047:RFB131048 QVF131047:QVF131048 QLJ131047:QLJ131048 QBN131047:QBN131048 PRR131047:PRR131048 PHV131047:PHV131048 OXZ131047:OXZ131048 OOD131047:OOD131048 OEH131047:OEH131048 NUL131047:NUL131048 NKP131047:NKP131048 NAT131047:NAT131048 MQX131047:MQX131048 MHB131047:MHB131048 LXF131047:LXF131048 LNJ131047:LNJ131048 LDN131047:LDN131048 KTR131047:KTR131048 KJV131047:KJV131048 JZZ131047:JZZ131048 JQD131047:JQD131048 JGH131047:JGH131048 IWL131047:IWL131048 IMP131047:IMP131048 ICT131047:ICT131048 HSX131047:HSX131048 HJB131047:HJB131048 GZF131047:GZF131048 GPJ131047:GPJ131048 GFN131047:GFN131048 FVR131047:FVR131048 FLV131047:FLV131048 FBZ131047:FBZ131048 ESD131047:ESD131048 EIH131047:EIH131048 DYL131047:DYL131048 DOP131047:DOP131048 DET131047:DET131048 CUX131047:CUX131048 CLB131047:CLB131048 CBF131047:CBF131048 BRJ131047:BRJ131048 BHN131047:BHN131048 AXR131047:AXR131048 ANV131047:ANV131048 ADZ131047:ADZ131048 UD131047:UD131048 KH131047:KH131048 B131047:B131048 WWT65511:WWT65512 WMX65511:WMX65512 WDB65511:WDB65512 VTF65511:VTF65512 VJJ65511:VJJ65512 UZN65511:UZN65512 UPR65511:UPR65512 UFV65511:UFV65512 TVZ65511:TVZ65512 TMD65511:TMD65512 TCH65511:TCH65512 SSL65511:SSL65512 SIP65511:SIP65512 RYT65511:RYT65512 ROX65511:ROX65512 RFB65511:RFB65512 QVF65511:QVF65512 QLJ65511:QLJ65512 QBN65511:QBN65512 PRR65511:PRR65512 PHV65511:PHV65512 OXZ65511:OXZ65512 OOD65511:OOD65512 OEH65511:OEH65512 NUL65511:NUL65512 NKP65511:NKP65512 NAT65511:NAT65512 MQX65511:MQX65512 MHB65511:MHB65512 LXF65511:LXF65512 LNJ65511:LNJ65512 LDN65511:LDN65512 KTR65511:KTR65512 KJV65511:KJV65512 JZZ65511:JZZ65512 JQD65511:JQD65512 JGH65511:JGH65512 IWL65511:IWL65512 IMP65511:IMP65512 ICT65511:ICT65512 HSX65511:HSX65512 HJB65511:HJB65512 GZF65511:GZF65512 GPJ65511:GPJ65512 GFN65511:GFN65512 FVR65511:FVR65512 FLV65511:FLV65512 FBZ65511:FBZ65512 ESD65511:ESD65512 EIH65511:EIH65512 DYL65511:DYL65512 DOP65511:DOP65512 DET65511:DET65512 CUX65511:CUX65512 CLB65511:CLB65512 CBF65511:CBF65512 BRJ65511:BRJ65512 BHN65511:BHN65512 AXR65511:AXR65512 ANV65511:ANV65512 ADZ65511:ADZ65512 UD65511:UD65512 KH65511:KH65512 B65511:B65512 B9" xr:uid="{0C143FF9-5D34-4AAF-A4C9-B4494E6183FC}"/>
    <dataValidation allowBlank="1" showErrorMessage="1" promptTitle="Cost of equity" prompt="Re = Rf + b*Rp" sqref="WWV983044 WMZ983044 WDD983044 VTH983044 VJL983044 UZP983044 UPT983044 UFX983044 TWB983044 TMF983044 TCJ983044 SSN983044 SIR983044 RYV983044 ROZ983044 RFD983044 QVH983044 QLL983044 QBP983044 PRT983044 PHX983044 OYB983044 OOF983044 OEJ983044 NUN983044 NKR983044 NAV983044 MQZ983044 MHD983044 LXH983044 LNL983044 LDP983044 KTT983044 KJX983044 KAB983044 JQF983044 JGJ983044 IWN983044 IMR983044 ICV983044 HSZ983044 HJD983044 GZH983044 GPL983044 GFP983044 FVT983044 FLX983044 FCB983044 ESF983044 EIJ983044 DYN983044 DOR983044 DEV983044 CUZ983044 CLD983044 CBH983044 BRL983044 BHP983044 AXT983044 ANX983044 AEB983044 UF983044 KJ983044 WWV917508 WMZ917508 WDD917508 VTH917508 VJL917508 UZP917508 UPT917508 UFX917508 TWB917508 TMF917508 TCJ917508 SSN917508 SIR917508 RYV917508 ROZ917508 RFD917508 QVH917508 QLL917508 QBP917508 PRT917508 PHX917508 OYB917508 OOF917508 OEJ917508 NUN917508 NKR917508 NAV917508 MQZ917508 MHD917508 LXH917508 LNL917508 LDP917508 KTT917508 KJX917508 KAB917508 JQF917508 JGJ917508 IWN917508 IMR917508 ICV917508 HSZ917508 HJD917508 GZH917508 GPL917508 GFP917508 FVT917508 FLX917508 FCB917508 ESF917508 EIJ917508 DYN917508 DOR917508 DEV917508 CUZ917508 CLD917508 CBH917508 BRL917508 BHP917508 AXT917508 ANX917508 AEB917508 UF917508 KJ917508 WWV851972 WMZ851972 WDD851972 VTH851972 VJL851972 UZP851972 UPT851972 UFX851972 TWB851972 TMF851972 TCJ851972 SSN851972 SIR851972 RYV851972 ROZ851972 RFD851972 QVH851972 QLL851972 QBP851972 PRT851972 PHX851972 OYB851972 OOF851972 OEJ851972 NUN851972 NKR851972 NAV851972 MQZ851972 MHD851972 LXH851972 LNL851972 LDP851972 KTT851972 KJX851972 KAB851972 JQF851972 JGJ851972 IWN851972 IMR851972 ICV851972 HSZ851972 HJD851972 GZH851972 GPL851972 GFP851972 FVT851972 FLX851972 FCB851972 ESF851972 EIJ851972 DYN851972 DOR851972 DEV851972 CUZ851972 CLD851972 CBH851972 BRL851972 BHP851972 AXT851972 ANX851972 AEB851972 UF851972 KJ851972 WWV786436 WMZ786436 WDD786436 VTH786436 VJL786436 UZP786436 UPT786436 UFX786436 TWB786436 TMF786436 TCJ786436 SSN786436 SIR786436 RYV786436 ROZ786436 RFD786436 QVH786436 QLL786436 QBP786436 PRT786436 PHX786436 OYB786436 OOF786436 OEJ786436 NUN786436 NKR786436 NAV786436 MQZ786436 MHD786436 LXH786436 LNL786436 LDP786436 KTT786436 KJX786436 KAB786436 JQF786436 JGJ786436 IWN786436 IMR786436 ICV786436 HSZ786436 HJD786436 GZH786436 GPL786436 GFP786436 FVT786436 FLX786436 FCB786436 ESF786436 EIJ786436 DYN786436 DOR786436 DEV786436 CUZ786436 CLD786436 CBH786436 BRL786436 BHP786436 AXT786436 ANX786436 AEB786436 UF786436 KJ786436 WWV720900 WMZ720900 WDD720900 VTH720900 VJL720900 UZP720900 UPT720900 UFX720900 TWB720900 TMF720900 TCJ720900 SSN720900 SIR720900 RYV720900 ROZ720900 RFD720900 QVH720900 QLL720900 QBP720900 PRT720900 PHX720900 OYB720900 OOF720900 OEJ720900 NUN720900 NKR720900 NAV720900 MQZ720900 MHD720900 LXH720900 LNL720900 LDP720900 KTT720900 KJX720900 KAB720900 JQF720900 JGJ720900 IWN720900 IMR720900 ICV720900 HSZ720900 HJD720900 GZH720900 GPL720900 GFP720900 FVT720900 FLX720900 FCB720900 ESF720900 EIJ720900 DYN720900 DOR720900 DEV720900 CUZ720900 CLD720900 CBH720900 BRL720900 BHP720900 AXT720900 ANX720900 AEB720900 UF720900 KJ720900 WWV655364 WMZ655364 WDD655364 VTH655364 VJL655364 UZP655364 UPT655364 UFX655364 TWB655364 TMF655364 TCJ655364 SSN655364 SIR655364 RYV655364 ROZ655364 RFD655364 QVH655364 QLL655364 QBP655364 PRT655364 PHX655364 OYB655364 OOF655364 OEJ655364 NUN655364 NKR655364 NAV655364 MQZ655364 MHD655364 LXH655364 LNL655364 LDP655364 KTT655364 KJX655364 KAB655364 JQF655364 JGJ655364 IWN655364 IMR655364 ICV655364 HSZ655364 HJD655364 GZH655364 GPL655364 GFP655364 FVT655364 FLX655364 FCB655364 ESF655364 EIJ655364 DYN655364 DOR655364 DEV655364 CUZ655364 CLD655364 CBH655364 BRL655364 BHP655364 AXT655364 ANX655364 AEB655364 UF655364 KJ655364 WWV589828 WMZ589828 WDD589828 VTH589828 VJL589828 UZP589828 UPT589828 UFX589828 TWB589828 TMF589828 TCJ589828 SSN589828 SIR589828 RYV589828 ROZ589828 RFD589828 QVH589828 QLL589828 QBP589828 PRT589828 PHX589828 OYB589828 OOF589828 OEJ589828 NUN589828 NKR589828 NAV589828 MQZ589828 MHD589828 LXH589828 LNL589828 LDP589828 KTT589828 KJX589828 KAB589828 JQF589828 JGJ589828 IWN589828 IMR589828 ICV589828 HSZ589828 HJD589828 GZH589828 GPL589828 GFP589828 FVT589828 FLX589828 FCB589828 ESF589828 EIJ589828 DYN589828 DOR589828 DEV589828 CUZ589828 CLD589828 CBH589828 BRL589828 BHP589828 AXT589828 ANX589828 AEB589828 UF589828 KJ589828 WWV524292 WMZ524292 WDD524292 VTH524292 VJL524292 UZP524292 UPT524292 UFX524292 TWB524292 TMF524292 TCJ524292 SSN524292 SIR524292 RYV524292 ROZ524292 RFD524292 QVH524292 QLL524292 QBP524292 PRT524292 PHX524292 OYB524292 OOF524292 OEJ524292 NUN524292 NKR524292 NAV524292 MQZ524292 MHD524292 LXH524292 LNL524292 LDP524292 KTT524292 KJX524292 KAB524292 JQF524292 JGJ524292 IWN524292 IMR524292 ICV524292 HSZ524292 HJD524292 GZH524292 GPL524292 GFP524292 FVT524292 FLX524292 FCB524292 ESF524292 EIJ524292 DYN524292 DOR524292 DEV524292 CUZ524292 CLD524292 CBH524292 BRL524292 BHP524292 AXT524292 ANX524292 AEB524292 UF524292 KJ524292 WWV458756 WMZ458756 WDD458756 VTH458756 VJL458756 UZP458756 UPT458756 UFX458756 TWB458756 TMF458756 TCJ458756 SSN458756 SIR458756 RYV458756 ROZ458756 RFD458756 QVH458756 QLL458756 QBP458756 PRT458756 PHX458756 OYB458756 OOF458756 OEJ458756 NUN458756 NKR458756 NAV458756 MQZ458756 MHD458756 LXH458756 LNL458756 LDP458756 KTT458756 KJX458756 KAB458756 JQF458756 JGJ458756 IWN458756 IMR458756 ICV458756 HSZ458756 HJD458756 GZH458756 GPL458756 GFP458756 FVT458756 FLX458756 FCB458756 ESF458756 EIJ458756 DYN458756 DOR458756 DEV458756 CUZ458756 CLD458756 CBH458756 BRL458756 BHP458756 AXT458756 ANX458756 AEB458756 UF458756 KJ458756 WWV393220 WMZ393220 WDD393220 VTH393220 VJL393220 UZP393220 UPT393220 UFX393220 TWB393220 TMF393220 TCJ393220 SSN393220 SIR393220 RYV393220 ROZ393220 RFD393220 QVH393220 QLL393220 QBP393220 PRT393220 PHX393220 OYB393220 OOF393220 OEJ393220 NUN393220 NKR393220 NAV393220 MQZ393220 MHD393220 LXH393220 LNL393220 LDP393220 KTT393220 KJX393220 KAB393220 JQF393220 JGJ393220 IWN393220 IMR393220 ICV393220 HSZ393220 HJD393220 GZH393220 GPL393220 GFP393220 FVT393220 FLX393220 FCB393220 ESF393220 EIJ393220 DYN393220 DOR393220 DEV393220 CUZ393220 CLD393220 CBH393220 BRL393220 BHP393220 AXT393220 ANX393220 AEB393220 UF393220 KJ393220 WWV327684 WMZ327684 WDD327684 VTH327684 VJL327684 UZP327684 UPT327684 UFX327684 TWB327684 TMF327684 TCJ327684 SSN327684 SIR327684 RYV327684 ROZ327684 RFD327684 QVH327684 QLL327684 QBP327684 PRT327684 PHX327684 OYB327684 OOF327684 OEJ327684 NUN327684 NKR327684 NAV327684 MQZ327684 MHD327684 LXH327684 LNL327684 LDP327684 KTT327684 KJX327684 KAB327684 JQF327684 JGJ327684 IWN327684 IMR327684 ICV327684 HSZ327684 HJD327684 GZH327684 GPL327684 GFP327684 FVT327684 FLX327684 FCB327684 ESF327684 EIJ327684 DYN327684 DOR327684 DEV327684 CUZ327684 CLD327684 CBH327684 BRL327684 BHP327684 AXT327684 ANX327684 AEB327684 UF327684 KJ327684 WWV262148 WMZ262148 WDD262148 VTH262148 VJL262148 UZP262148 UPT262148 UFX262148 TWB262148 TMF262148 TCJ262148 SSN262148 SIR262148 RYV262148 ROZ262148 RFD262148 QVH262148 QLL262148 QBP262148 PRT262148 PHX262148 OYB262148 OOF262148 OEJ262148 NUN262148 NKR262148 NAV262148 MQZ262148 MHD262148 LXH262148 LNL262148 LDP262148 KTT262148 KJX262148 KAB262148 JQF262148 JGJ262148 IWN262148 IMR262148 ICV262148 HSZ262148 HJD262148 GZH262148 GPL262148 GFP262148 FVT262148 FLX262148 FCB262148 ESF262148 EIJ262148 DYN262148 DOR262148 DEV262148 CUZ262148 CLD262148 CBH262148 BRL262148 BHP262148 AXT262148 ANX262148 AEB262148 UF262148 KJ262148 WWV196612 WMZ196612 WDD196612 VTH196612 VJL196612 UZP196612 UPT196612 UFX196612 TWB196612 TMF196612 TCJ196612 SSN196612 SIR196612 RYV196612 ROZ196612 RFD196612 QVH196612 QLL196612 QBP196612 PRT196612 PHX196612 OYB196612 OOF196612 OEJ196612 NUN196612 NKR196612 NAV196612 MQZ196612 MHD196612 LXH196612 LNL196612 LDP196612 KTT196612 KJX196612 KAB196612 JQF196612 JGJ196612 IWN196612 IMR196612 ICV196612 HSZ196612 HJD196612 GZH196612 GPL196612 GFP196612 FVT196612 FLX196612 FCB196612 ESF196612 EIJ196612 DYN196612 DOR196612 DEV196612 CUZ196612 CLD196612 CBH196612 BRL196612 BHP196612 AXT196612 ANX196612 AEB196612 UF196612 KJ196612 WWV131076 WMZ131076 WDD131076 VTH131076 VJL131076 UZP131076 UPT131076 UFX131076 TWB131076 TMF131076 TCJ131076 SSN131076 SIR131076 RYV131076 ROZ131076 RFD131076 QVH131076 QLL131076 QBP131076 PRT131076 PHX131076 OYB131076 OOF131076 OEJ131076 NUN131076 NKR131076 NAV131076 MQZ131076 MHD131076 LXH131076 LNL131076 LDP131076 KTT131076 KJX131076 KAB131076 JQF131076 JGJ131076 IWN131076 IMR131076 ICV131076 HSZ131076 HJD131076 GZH131076 GPL131076 GFP131076 FVT131076 FLX131076 FCB131076 ESF131076 EIJ131076 DYN131076 DOR131076 DEV131076 CUZ131076 CLD131076 CBH131076 BRL131076 BHP131076 AXT131076 ANX131076 AEB131076 UF131076 KJ131076 WWV65540 WMZ65540 WDD65540 VTH65540 VJL65540 UZP65540 UPT65540 UFX65540 TWB65540 TMF65540 TCJ65540 SSN65540 SIR65540 RYV65540 ROZ65540 RFD65540 QVH65540 QLL65540 QBP65540 PRT65540 PHX65540 OYB65540 OOF65540 OEJ65540 NUN65540 NKR65540 NAV65540 MQZ65540 MHD65540 LXH65540 LNL65540 LDP65540 KTT65540 KJX65540 KAB65540 JQF65540 JGJ65540 IWN65540 IMR65540 ICV65540 HSZ65540 HJD65540 GZH65540 GPL65540 GFP65540 FVT65540 FLX65540 FCB65540 ESF65540 EIJ65540 DYN65540 DOR65540 DEV65540 CUZ65540 CLD65540 CBH65540 BRL65540 BHP65540 AXT65540 ANX65540 AEB65540 UF65540 KJ65540" xr:uid="{362016CE-D0E0-4A30-8402-2A847B58A57B}"/>
  </dataValidation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07380-7BBF-4FD4-97B9-B49626E74451}">
  <dimension ref="A1:BV100"/>
  <sheetViews>
    <sheetView showGridLines="0" zoomScale="73" zoomScaleNormal="73" workbookViewId="0">
      <selection activeCell="K76" sqref="K76"/>
    </sheetView>
  </sheetViews>
  <sheetFormatPr defaultColWidth="10.6640625" defaultRowHeight="13.2"/>
  <cols>
    <col min="1" max="1" width="7.44140625" style="1710" customWidth="1"/>
    <col min="2" max="2" width="37.33203125" style="1710" bestFit="1" customWidth="1"/>
    <col min="3" max="3" width="8.44140625" style="1710" customWidth="1"/>
    <col min="4" max="4" width="13" style="1710" customWidth="1"/>
    <col min="5" max="5" width="15.33203125" style="1749" customWidth="1"/>
    <col min="6" max="26" width="10.6640625" style="1749"/>
    <col min="27" max="27" width="13.77734375" style="1749" customWidth="1"/>
    <col min="28" max="28" width="13.5546875" style="1749" customWidth="1"/>
    <col min="29" max="29" width="16.33203125" style="1749" customWidth="1"/>
    <col min="30" max="30" width="14.77734375" style="1749" customWidth="1"/>
    <col min="31" max="31" width="13.109375" style="1749" customWidth="1"/>
    <col min="32" max="32" width="16.109375" style="1749" customWidth="1"/>
    <col min="33" max="33" width="16.5546875" style="1749" customWidth="1"/>
    <col min="34" max="34" width="18.44140625" style="1749" customWidth="1"/>
    <col min="35" max="35" width="22.6640625" style="1749" customWidth="1"/>
    <col min="36" max="36" width="15.77734375" style="1749" customWidth="1"/>
    <col min="37" max="37" width="15.21875" style="1749" customWidth="1"/>
    <col min="38" max="38" width="18.5546875" style="1749" customWidth="1"/>
    <col min="39" max="39" width="18.109375" style="1749" customWidth="1"/>
    <col min="40" max="40" width="20.21875" style="1749" customWidth="1"/>
    <col min="41" max="41" width="16.44140625" style="1749" customWidth="1"/>
    <col min="42" max="42" width="15.21875" style="1749" customWidth="1"/>
    <col min="43" max="43" width="9.5546875" style="1749" customWidth="1"/>
    <col min="44" max="44" width="16.109375" style="1749" customWidth="1"/>
    <col min="45" max="45" width="15.33203125" style="1749" customWidth="1"/>
    <col min="46" max="46" width="15.109375" style="1749" customWidth="1"/>
    <col min="47" max="47" width="13.88671875" style="1749" customWidth="1"/>
    <col min="48" max="48" width="17.77734375" style="1749" customWidth="1"/>
    <col min="49" max="49" width="15.5546875" style="1749" customWidth="1"/>
    <col min="50" max="50" width="14.44140625" style="1749" customWidth="1"/>
    <col min="51" max="51" width="18.44140625" style="1749" customWidth="1"/>
    <col min="52" max="52" width="22.109375" style="1749" customWidth="1"/>
    <col min="53" max="53" width="26" style="1749" customWidth="1"/>
    <col min="54" max="16384" width="10.6640625" style="1749"/>
  </cols>
  <sheetData>
    <row r="1" spans="1:53" s="1710" customFormat="1">
      <c r="D1" s="1711"/>
      <c r="E1" s="1711"/>
      <c r="F1" s="1711"/>
      <c r="G1" s="1711"/>
      <c r="H1" s="1711"/>
      <c r="I1" s="1711"/>
      <c r="J1" s="1711"/>
      <c r="K1" s="1711"/>
      <c r="L1" s="1711"/>
      <c r="M1" s="1711"/>
      <c r="N1" s="536"/>
      <c r="O1" s="536"/>
      <c r="P1" s="537"/>
      <c r="Q1" s="538">
        <v>1</v>
      </c>
      <c r="R1" s="538">
        <v>2</v>
      </c>
      <c r="S1" s="538">
        <v>3</v>
      </c>
      <c r="T1" s="538">
        <v>4</v>
      </c>
      <c r="U1" s="538">
        <v>5</v>
      </c>
      <c r="V1" s="538">
        <v>6</v>
      </c>
      <c r="W1" s="538">
        <v>7</v>
      </c>
      <c r="X1" s="538">
        <v>8</v>
      </c>
      <c r="Y1" s="538">
        <v>9</v>
      </c>
      <c r="Z1" s="538">
        <v>10</v>
      </c>
      <c r="AA1" s="538">
        <v>11</v>
      </c>
      <c r="AB1" s="538">
        <v>12</v>
      </c>
      <c r="AC1" s="538">
        <v>16</v>
      </c>
      <c r="AD1" s="538">
        <v>17</v>
      </c>
      <c r="AE1" s="538">
        <v>18</v>
      </c>
      <c r="AF1" s="538">
        <v>19</v>
      </c>
      <c r="AG1" s="538">
        <v>20</v>
      </c>
      <c r="AH1" s="538">
        <v>21</v>
      </c>
      <c r="AI1" s="538">
        <v>22</v>
      </c>
      <c r="AJ1" s="538">
        <v>23</v>
      </c>
      <c r="AK1" s="538">
        <v>24</v>
      </c>
      <c r="AL1" s="538">
        <v>25</v>
      </c>
      <c r="AM1" s="538">
        <v>26</v>
      </c>
      <c r="AN1" s="538">
        <v>27</v>
      </c>
      <c r="AO1" s="538">
        <v>28</v>
      </c>
      <c r="AP1" s="538">
        <v>29</v>
      </c>
      <c r="AQ1" s="538">
        <v>30</v>
      </c>
      <c r="AR1" s="538">
        <v>31</v>
      </c>
      <c r="AS1" s="538">
        <v>32</v>
      </c>
      <c r="AT1" s="538">
        <v>33</v>
      </c>
      <c r="AU1" s="538">
        <v>34</v>
      </c>
      <c r="AV1" s="538">
        <v>35</v>
      </c>
      <c r="AW1" s="538">
        <v>36</v>
      </c>
      <c r="AX1" s="538">
        <v>37</v>
      </c>
      <c r="AY1" s="538">
        <v>38</v>
      </c>
      <c r="AZ1" s="538">
        <v>39</v>
      </c>
      <c r="BA1" s="538">
        <v>40</v>
      </c>
    </row>
    <row r="2" spans="1:53" s="1712" customFormat="1" ht="15" customHeight="1">
      <c r="B2" s="2766" t="s">
        <v>1053</v>
      </c>
      <c r="E2" s="1713" t="str">
        <f t="shared" ref="E2:H2" ca="1" si="0">IF(TODAY()&lt;E3,"Proj","")</f>
        <v/>
      </c>
      <c r="F2" s="1713" t="str">
        <f t="shared" ca="1" si="0"/>
        <v/>
      </c>
      <c r="G2" s="1713" t="str">
        <f t="shared" ca="1" si="0"/>
        <v/>
      </c>
      <c r="H2" s="1713" t="str">
        <f t="shared" ca="1" si="0"/>
        <v/>
      </c>
      <c r="I2" s="1714">
        <v>0</v>
      </c>
      <c r="J2" s="1714">
        <v>0</v>
      </c>
      <c r="K2" s="1713" t="s">
        <v>742</v>
      </c>
      <c r="L2" s="1713" t="s">
        <v>742</v>
      </c>
      <c r="M2" s="1713" t="s">
        <v>742</v>
      </c>
      <c r="N2" s="1715"/>
      <c r="O2" s="1715"/>
      <c r="P2" s="1716"/>
      <c r="Q2" s="1717" t="s">
        <v>743</v>
      </c>
      <c r="R2" s="1717" t="s">
        <v>743</v>
      </c>
      <c r="S2" s="1717" t="s">
        <v>743</v>
      </c>
      <c r="T2" s="1717" t="s">
        <v>743</v>
      </c>
      <c r="U2" s="1717" t="s">
        <v>743</v>
      </c>
      <c r="V2" s="1717" t="s">
        <v>743</v>
      </c>
      <c r="W2" s="1717" t="s">
        <v>743</v>
      </c>
      <c r="X2" s="1717" t="s">
        <v>743</v>
      </c>
      <c r="Y2" s="1717" t="s">
        <v>743</v>
      </c>
      <c r="Z2" s="1717" t="s">
        <v>743</v>
      </c>
      <c r="AA2" s="1717" t="s">
        <v>743</v>
      </c>
      <c r="AB2" s="1717" t="s">
        <v>743</v>
      </c>
      <c r="AC2" s="1717" t="s">
        <v>743</v>
      </c>
      <c r="AD2" s="1717" t="s">
        <v>743</v>
      </c>
      <c r="AE2" s="1717" t="s">
        <v>743</v>
      </c>
      <c r="AF2" s="1717" t="s">
        <v>743</v>
      </c>
      <c r="AG2" s="1717" t="s">
        <v>743</v>
      </c>
      <c r="AH2" s="1717" t="s">
        <v>743</v>
      </c>
      <c r="AI2" s="1717" t="s">
        <v>743</v>
      </c>
      <c r="AJ2" s="1717" t="s">
        <v>743</v>
      </c>
      <c r="AK2" s="1717" t="s">
        <v>743</v>
      </c>
      <c r="AL2" s="1717" t="s">
        <v>743</v>
      </c>
      <c r="AM2" s="1717" t="s">
        <v>743</v>
      </c>
      <c r="AN2" s="1717" t="s">
        <v>743</v>
      </c>
      <c r="AO2" s="1717" t="s">
        <v>743</v>
      </c>
      <c r="AP2" s="1717" t="s">
        <v>743</v>
      </c>
      <c r="AQ2" s="1717" t="s">
        <v>743</v>
      </c>
      <c r="AR2" s="1717" t="s">
        <v>743</v>
      </c>
      <c r="AS2" s="1717" t="s">
        <v>743</v>
      </c>
      <c r="AT2" s="1717" t="s">
        <v>743</v>
      </c>
      <c r="AU2" s="1717" t="s">
        <v>743</v>
      </c>
      <c r="AV2" s="1717" t="s">
        <v>743</v>
      </c>
      <c r="AW2" s="1717" t="s">
        <v>743</v>
      </c>
      <c r="AX2" s="1717" t="s">
        <v>743</v>
      </c>
      <c r="AY2" s="1717" t="s">
        <v>743</v>
      </c>
      <c r="AZ2" s="1717" t="s">
        <v>743</v>
      </c>
      <c r="BA2" s="1717" t="s">
        <v>743</v>
      </c>
    </row>
    <row r="3" spans="1:53" s="1718" customFormat="1" ht="13.8" thickBot="1">
      <c r="B3" s="2767"/>
      <c r="C3" s="1719"/>
      <c r="D3" s="82">
        <v>41274</v>
      </c>
      <c r="E3" s="545">
        <f t="shared" ref="E3:BA3" si="1">DATE(YEAR(D3),MONTH(D3)+13,0)</f>
        <v>41639</v>
      </c>
      <c r="F3" s="545">
        <f t="shared" si="1"/>
        <v>42004</v>
      </c>
      <c r="G3" s="545">
        <f t="shared" si="1"/>
        <v>42369</v>
      </c>
      <c r="H3" s="545">
        <f t="shared" si="1"/>
        <v>42735</v>
      </c>
      <c r="I3" s="545">
        <f t="shared" si="1"/>
        <v>43100</v>
      </c>
      <c r="J3" s="545">
        <f t="shared" si="1"/>
        <v>43465</v>
      </c>
      <c r="K3" s="545">
        <f t="shared" si="1"/>
        <v>43830</v>
      </c>
      <c r="L3" s="545">
        <f t="shared" si="1"/>
        <v>44196</v>
      </c>
      <c r="M3" s="545">
        <f t="shared" si="1"/>
        <v>44561</v>
      </c>
      <c r="N3" s="545">
        <f t="shared" si="1"/>
        <v>44926</v>
      </c>
      <c r="O3" s="545">
        <f t="shared" si="1"/>
        <v>45291</v>
      </c>
      <c r="P3" s="546">
        <f t="shared" si="1"/>
        <v>45657</v>
      </c>
      <c r="Q3" s="547">
        <f t="shared" si="1"/>
        <v>46022</v>
      </c>
      <c r="R3" s="547">
        <f t="shared" si="1"/>
        <v>46387</v>
      </c>
      <c r="S3" s="547">
        <f t="shared" si="1"/>
        <v>46752</v>
      </c>
      <c r="T3" s="547">
        <f t="shared" si="1"/>
        <v>47118</v>
      </c>
      <c r="U3" s="547">
        <f t="shared" si="1"/>
        <v>47483</v>
      </c>
      <c r="V3" s="547">
        <f t="shared" si="1"/>
        <v>47848</v>
      </c>
      <c r="W3" s="547">
        <f t="shared" si="1"/>
        <v>48213</v>
      </c>
      <c r="X3" s="547">
        <f t="shared" si="1"/>
        <v>48579</v>
      </c>
      <c r="Y3" s="547">
        <f t="shared" si="1"/>
        <v>48944</v>
      </c>
      <c r="Z3" s="547">
        <f t="shared" si="1"/>
        <v>49309</v>
      </c>
      <c r="AA3" s="547">
        <f t="shared" si="1"/>
        <v>49674</v>
      </c>
      <c r="AB3" s="547">
        <f t="shared" si="1"/>
        <v>50040</v>
      </c>
      <c r="AC3" s="547">
        <f t="shared" si="1"/>
        <v>50405</v>
      </c>
      <c r="AD3" s="547">
        <f t="shared" si="1"/>
        <v>50770</v>
      </c>
      <c r="AE3" s="547">
        <f t="shared" si="1"/>
        <v>51135</v>
      </c>
      <c r="AF3" s="547">
        <f t="shared" si="1"/>
        <v>51501</v>
      </c>
      <c r="AG3" s="547">
        <f t="shared" si="1"/>
        <v>51866</v>
      </c>
      <c r="AH3" s="547">
        <f t="shared" si="1"/>
        <v>52231</v>
      </c>
      <c r="AI3" s="547">
        <f t="shared" si="1"/>
        <v>52596</v>
      </c>
      <c r="AJ3" s="547">
        <f t="shared" si="1"/>
        <v>52962</v>
      </c>
      <c r="AK3" s="547">
        <f t="shared" si="1"/>
        <v>53327</v>
      </c>
      <c r="AL3" s="547">
        <f t="shared" si="1"/>
        <v>53692</v>
      </c>
      <c r="AM3" s="547">
        <f t="shared" si="1"/>
        <v>54057</v>
      </c>
      <c r="AN3" s="547">
        <f t="shared" si="1"/>
        <v>54423</v>
      </c>
      <c r="AO3" s="547">
        <f t="shared" si="1"/>
        <v>54788</v>
      </c>
      <c r="AP3" s="547">
        <f t="shared" si="1"/>
        <v>55153</v>
      </c>
      <c r="AQ3" s="547">
        <f t="shared" si="1"/>
        <v>55518</v>
      </c>
      <c r="AR3" s="547">
        <f t="shared" si="1"/>
        <v>55884</v>
      </c>
      <c r="AS3" s="547">
        <f t="shared" si="1"/>
        <v>56249</v>
      </c>
      <c r="AT3" s="547">
        <f t="shared" si="1"/>
        <v>56614</v>
      </c>
      <c r="AU3" s="547">
        <f t="shared" si="1"/>
        <v>56979</v>
      </c>
      <c r="AV3" s="547">
        <f t="shared" si="1"/>
        <v>57345</v>
      </c>
      <c r="AW3" s="547">
        <f t="shared" si="1"/>
        <v>57710</v>
      </c>
      <c r="AX3" s="547">
        <f t="shared" si="1"/>
        <v>58075</v>
      </c>
      <c r="AY3" s="547">
        <f t="shared" si="1"/>
        <v>58440</v>
      </c>
      <c r="AZ3" s="547">
        <f t="shared" si="1"/>
        <v>58806</v>
      </c>
      <c r="BA3" s="547">
        <f t="shared" si="1"/>
        <v>59171</v>
      </c>
    </row>
    <row r="4" spans="1:53" s="1710" customFormat="1" ht="13.8" thickTop="1">
      <c r="P4" s="1720"/>
    </row>
    <row r="5" spans="1:53" s="1725" customFormat="1" ht="13.8" thickBot="1">
      <c r="A5" s="1710"/>
      <c r="B5" s="1721" t="s">
        <v>1054</v>
      </c>
      <c r="C5" s="1722"/>
      <c r="D5" s="1722"/>
      <c r="E5" s="1723"/>
      <c r="F5" s="1723"/>
      <c r="G5" s="1723"/>
      <c r="H5" s="1723"/>
      <c r="I5" s="1723"/>
      <c r="J5" s="1723"/>
      <c r="K5" s="1723"/>
      <c r="L5" s="1723"/>
      <c r="M5" s="1723"/>
      <c r="N5" s="1723"/>
      <c r="O5" s="1723"/>
      <c r="P5" s="1724"/>
      <c r="Q5" s="1723"/>
      <c r="R5" s="1723"/>
      <c r="S5" s="1723"/>
      <c r="T5" s="1723"/>
      <c r="U5" s="1723"/>
      <c r="V5" s="1723"/>
      <c r="W5" s="1723"/>
      <c r="X5" s="1723"/>
      <c r="Y5" s="1723"/>
      <c r="Z5" s="1723"/>
      <c r="AA5" s="1723"/>
      <c r="AB5" s="1723"/>
      <c r="AC5" s="1723"/>
      <c r="AD5" s="1723"/>
      <c r="AE5" s="1723"/>
      <c r="AF5" s="1723"/>
      <c r="AG5" s="1723"/>
      <c r="AH5" s="1723"/>
      <c r="AI5" s="1723"/>
      <c r="AJ5" s="1723"/>
      <c r="AK5" s="1723"/>
      <c r="AL5" s="1723"/>
      <c r="AM5" s="1723"/>
      <c r="AN5" s="1723"/>
      <c r="AO5" s="1723"/>
      <c r="AP5" s="1723"/>
      <c r="AQ5" s="1723"/>
      <c r="AR5" s="1723"/>
      <c r="AS5" s="1723"/>
      <c r="AT5" s="1723"/>
      <c r="AU5" s="1723"/>
      <c r="AV5" s="1723"/>
      <c r="AW5" s="1723"/>
      <c r="AX5" s="1723"/>
      <c r="AY5" s="1723"/>
      <c r="AZ5" s="1723"/>
      <c r="BA5" s="1723"/>
    </row>
    <row r="6" spans="1:53" s="1725" customFormat="1">
      <c r="A6" s="1710" t="s">
        <v>1055</v>
      </c>
      <c r="B6" s="5" t="s">
        <v>1056</v>
      </c>
      <c r="C6" s="1710"/>
      <c r="D6" s="1710"/>
      <c r="J6" s="1726"/>
      <c r="K6" s="1726">
        <f>IF(Input!K138,Input!K138,"không data")</f>
        <v>529.4</v>
      </c>
      <c r="L6" s="1726">
        <f>IF(Input!L138,Input!L138,"không data")</f>
        <v>529.4</v>
      </c>
      <c r="M6" s="1726">
        <f>IF(Input!M138,Input!M138,"không data")</f>
        <v>529.4</v>
      </c>
      <c r="N6" s="1726">
        <f>IF(Input!N138,Input!N138,"không data")</f>
        <v>529.4</v>
      </c>
      <c r="O6" s="1726">
        <f>IF(Input!O138,Input!O138,"không data")</f>
        <v>529.4</v>
      </c>
      <c r="P6" s="1726">
        <f>IF(Input!P138,Input!P138,"không data")</f>
        <v>529.4</v>
      </c>
      <c r="Q6" s="2677">
        <f>IF(Input!Q138,Input!Q138,"không data")</f>
        <v>529.4</v>
      </c>
      <c r="R6" s="2677">
        <f>IF(Input!R138,Input!R138,"không data")</f>
        <v>529.4</v>
      </c>
      <c r="S6" s="2677">
        <f>IF(Input!S138,Input!S138,"không data")</f>
        <v>529.4</v>
      </c>
      <c r="T6" s="2677">
        <f>IF(Input!T138,Input!T138,"không data")</f>
        <v>529.4</v>
      </c>
      <c r="U6" s="2677">
        <f>IF(Input!U138,Input!U138,"không data")</f>
        <v>529.4</v>
      </c>
      <c r="V6" s="2677">
        <f>IF(Input!V138,Input!V138,"không data")</f>
        <v>529.4</v>
      </c>
      <c r="W6" s="2677">
        <f>IF(Input!W138,Input!W138,"không data")</f>
        <v>529.4</v>
      </c>
      <c r="X6" s="2677">
        <f>IF(Input!X138,Input!X138,"không data")</f>
        <v>529.4</v>
      </c>
      <c r="Y6" s="2677">
        <f>IF(Input!Y138,Input!Y138,"không data")</f>
        <v>529.4</v>
      </c>
      <c r="Z6" s="2677">
        <f>IF(Input!Z138,Input!Z138,"không data")</f>
        <v>529.4</v>
      </c>
      <c r="AA6" s="1726"/>
    </row>
    <row r="7" spans="1:53" s="1725" customFormat="1">
      <c r="A7" s="1710" t="s">
        <v>1055</v>
      </c>
      <c r="B7" s="5" t="s">
        <v>1057</v>
      </c>
      <c r="C7" s="1710"/>
      <c r="D7" s="1710"/>
      <c r="E7" s="1727"/>
      <c r="F7" s="1727"/>
      <c r="G7" s="1727"/>
      <c r="H7" s="1727"/>
      <c r="I7" s="1727"/>
      <c r="J7" s="1728"/>
      <c r="K7" s="1728">
        <f>'Output-FR (show)'!K78</f>
        <v>10172.594752745999</v>
      </c>
      <c r="L7" s="1728">
        <f>'Output-FR (show)'!L78</f>
        <v>8717.4806916109992</v>
      </c>
      <c r="M7" s="1728">
        <f>'Output-FR (show)'!M78</f>
        <v>11072.121334924999</v>
      </c>
      <c r="N7" s="1728">
        <f>'Output-FR (show)'!N78</f>
        <v>14166.860720015997</v>
      </c>
      <c r="O7" s="1728">
        <f>'Output-FR (show)'!O78</f>
        <v>15237.966427298999</v>
      </c>
      <c r="P7" s="1728">
        <f>'Output-FR (show)'!P78</f>
        <v>15728.847338145002</v>
      </c>
      <c r="Q7" s="2678">
        <f ca="1">'Output-FR (show)'!Q78</f>
        <v>18017.483292912515</v>
      </c>
      <c r="R7" s="2678">
        <f ca="1">'Output-FR (show)'!R78</f>
        <v>19735.874623772048</v>
      </c>
      <c r="S7" s="2678">
        <f ca="1">'Output-FR (show)'!S78</f>
        <v>21629.797172213082</v>
      </c>
      <c r="T7" s="2678">
        <f ca="1">'Output-FR (show)'!T78</f>
        <v>26634.183331990283</v>
      </c>
      <c r="U7" s="2678">
        <f ca="1">'Output-FR (show)'!U78</f>
        <v>28759.501945854572</v>
      </c>
      <c r="V7" s="2678">
        <f ca="1">'Output-FR (show)'!V78</f>
        <v>29553.249091368329</v>
      </c>
      <c r="W7" s="2678">
        <f ca="1">'Output-FR (show)'!W78</f>
        <v>31218.556717100873</v>
      </c>
      <c r="X7" s="2678">
        <f ca="1">'Output-FR (show)'!X78</f>
        <v>32930.475842630447</v>
      </c>
      <c r="Y7" s="2678">
        <f ca="1">'Output-FR (show)'!Y78</f>
        <v>34863.847465573337</v>
      </c>
      <c r="Z7" s="2678">
        <f ca="1">'Output-FR (show)'!Z78</f>
        <v>36074.784985703947</v>
      </c>
      <c r="AA7" s="1728"/>
      <c r="AB7" s="1727"/>
      <c r="AC7" s="1727"/>
      <c r="AD7" s="1727"/>
      <c r="AE7" s="1727"/>
      <c r="AF7" s="1727"/>
      <c r="AG7" s="1727"/>
      <c r="AH7" s="1727"/>
      <c r="AI7" s="1727"/>
      <c r="AJ7" s="1727"/>
      <c r="AK7" s="1727"/>
      <c r="AL7" s="1727"/>
      <c r="AM7" s="1727"/>
      <c r="AN7" s="1727"/>
      <c r="AO7" s="1727"/>
      <c r="AP7" s="1727"/>
      <c r="AQ7" s="1727"/>
      <c r="AR7" s="1727"/>
      <c r="AS7" s="1727"/>
      <c r="AT7" s="1727"/>
      <c r="AU7" s="1727"/>
      <c r="AV7" s="1727"/>
      <c r="AW7" s="1727"/>
      <c r="AX7" s="1727"/>
      <c r="AY7" s="1727"/>
      <c r="AZ7" s="1727"/>
      <c r="BA7" s="1727"/>
    </row>
    <row r="8" spans="1:53" s="1725" customFormat="1">
      <c r="A8" s="1710" t="s">
        <v>1055</v>
      </c>
      <c r="B8" s="5" t="s">
        <v>1058</v>
      </c>
      <c r="C8" s="1710"/>
      <c r="D8" s="1710"/>
      <c r="E8" s="1727"/>
      <c r="F8" s="1727"/>
      <c r="G8" s="1727"/>
      <c r="H8" s="1727"/>
      <c r="I8" s="1727"/>
      <c r="J8" s="1728"/>
      <c r="K8" s="1728">
        <f>'Output-FR (show)'!K111</f>
        <v>6079.0493567310004</v>
      </c>
      <c r="L8" s="1728">
        <f>'Output-FR (show)'!L111</f>
        <v>6300.100243844</v>
      </c>
      <c r="M8" s="1728">
        <f>'Output-FR (show)'!M111</f>
        <v>7451.5090908759994</v>
      </c>
      <c r="N8" s="1728">
        <f>'Output-FR (show)'!N111</f>
        <v>10576.305481063</v>
      </c>
      <c r="O8" s="1728">
        <f>'Output-FR (show)'!O111</f>
        <v>9935.7921683060013</v>
      </c>
      <c r="P8" s="1728">
        <f>'Output-FR (show)'!P111</f>
        <v>10144.390403802001</v>
      </c>
      <c r="Q8" s="2678">
        <f ca="1">'Output-FR (show)'!Q111</f>
        <v>11305.225555136934</v>
      </c>
      <c r="R8" s="2678">
        <f ca="1">'Output-FR (show)'!R111</f>
        <v>12758.227246688952</v>
      </c>
      <c r="S8" s="2678">
        <f ca="1">'Output-FR (show)'!S111</f>
        <v>14394.403198658056</v>
      </c>
      <c r="T8" s="2678">
        <f ca="1">'Output-FR (show)'!T111</f>
        <v>17750.226487980653</v>
      </c>
      <c r="U8" s="2678">
        <f ca="1">'Output-FR (show)'!U111</f>
        <v>19929.34987461548</v>
      </c>
      <c r="V8" s="2678">
        <f ca="1">'Output-FR (show)'!V111</f>
        <v>21691.292917003557</v>
      </c>
      <c r="W8" s="2678">
        <f ca="1">'Output-FR (show)'!W111</f>
        <v>23465.887373746962</v>
      </c>
      <c r="X8" s="2678">
        <f ca="1">'Output-FR (show)'!X111</f>
        <v>25053.867647736373</v>
      </c>
      <c r="Y8" s="2678">
        <f ca="1">'Output-FR (show)'!Y111</f>
        <v>26641.203657947557</v>
      </c>
      <c r="Z8" s="2678">
        <f ca="1">'Output-FR (show)'!Z111</f>
        <v>27720.581349686756</v>
      </c>
      <c r="AA8" s="1728"/>
      <c r="AB8" s="1727"/>
      <c r="AC8" s="1727"/>
      <c r="AD8" s="1727"/>
      <c r="AE8" s="1727"/>
      <c r="AF8" s="1727"/>
      <c r="AG8" s="1727"/>
      <c r="AH8" s="1727"/>
      <c r="AI8" s="1727"/>
      <c r="AJ8" s="1727"/>
      <c r="AK8" s="1727"/>
      <c r="AL8" s="1727"/>
      <c r="AM8" s="1727"/>
      <c r="AN8" s="1727"/>
      <c r="AO8" s="1727"/>
      <c r="AP8" s="1727"/>
      <c r="AQ8" s="1727"/>
      <c r="AR8" s="1727"/>
      <c r="AS8" s="1727"/>
      <c r="AT8" s="1727"/>
      <c r="AU8" s="1727"/>
      <c r="AV8" s="1727"/>
      <c r="AW8" s="1727"/>
      <c r="AX8" s="1727"/>
      <c r="AY8" s="1727"/>
      <c r="AZ8" s="1727"/>
      <c r="BA8" s="1727"/>
    </row>
    <row r="9" spans="1:53" s="1725" customFormat="1">
      <c r="A9" s="1710" t="s">
        <v>1055</v>
      </c>
      <c r="B9" s="5" t="s">
        <v>1059</v>
      </c>
      <c r="C9" s="1710"/>
      <c r="D9" s="1710"/>
      <c r="E9" s="1727"/>
      <c r="F9" s="1727"/>
      <c r="G9" s="1727"/>
      <c r="H9" s="1727"/>
      <c r="I9" s="1727"/>
      <c r="J9" s="1728"/>
      <c r="K9" s="1728">
        <f>'Output-FR (show)'!K5</f>
        <v>7042.9669301169997</v>
      </c>
      <c r="L9" s="1728">
        <f>'Output-FR (show)'!L5</f>
        <v>7561.275100418</v>
      </c>
      <c r="M9" s="1728">
        <f>'Output-FR (show)'!M5</f>
        <v>9869.7629046370002</v>
      </c>
      <c r="N9" s="1728">
        <f>'Output-FR (show)'!N5</f>
        <v>15924.526874399</v>
      </c>
      <c r="O9" s="1728">
        <f>'Output-FR (show)'!O5</f>
        <v>12570.542089828001</v>
      </c>
      <c r="P9" s="1728">
        <f>'Output-FR (show)'!P5</f>
        <v>13455.585149639999</v>
      </c>
      <c r="Q9" s="2678">
        <f>'Output-FR (show)'!Q5</f>
        <v>17736.964394084247</v>
      </c>
      <c r="R9" s="2678">
        <f>'Output-FR (show)'!R5</f>
        <v>18589.767949026176</v>
      </c>
      <c r="S9" s="2678">
        <f>'Output-FR (show)'!S5</f>
        <v>19115.742512480145</v>
      </c>
      <c r="T9" s="2678">
        <f>'Output-FR (show)'!T5</f>
        <v>22528.626786304212</v>
      </c>
      <c r="U9" s="2678">
        <f>'Output-FR (show)'!U5</f>
        <v>21832.704154820331</v>
      </c>
      <c r="V9" s="2678">
        <f>'Output-FR (show)'!V5</f>
        <v>20430.772302231144</v>
      </c>
      <c r="W9" s="2678">
        <f>'Output-FR (show)'!W5</f>
        <v>20957.485887710031</v>
      </c>
      <c r="X9" s="2678">
        <f>'Output-FR (show)'!X5</f>
        <v>21416.211179616723</v>
      </c>
      <c r="Y9" s="2678">
        <f>'Output-FR (show)'!Y5</f>
        <v>22526.684294601619</v>
      </c>
      <c r="Z9" s="2678">
        <f>'Output-FR (show)'!Z5</f>
        <v>22829.839724003705</v>
      </c>
      <c r="AA9" s="1728"/>
      <c r="AB9" s="1727"/>
      <c r="AC9" s="1727"/>
      <c r="AD9" s="1727"/>
      <c r="AE9" s="1727"/>
      <c r="AF9" s="1727"/>
      <c r="AG9" s="1727"/>
      <c r="AH9" s="1727"/>
      <c r="AI9" s="1727"/>
      <c r="AJ9" s="1727"/>
      <c r="AK9" s="1727"/>
      <c r="AL9" s="1727"/>
      <c r="AM9" s="1727"/>
      <c r="AN9" s="1727"/>
      <c r="AO9" s="1727"/>
      <c r="AP9" s="1727"/>
      <c r="AQ9" s="1727"/>
      <c r="AR9" s="1727"/>
      <c r="AS9" s="1727"/>
      <c r="AT9" s="1727"/>
      <c r="AU9" s="1727"/>
      <c r="AV9" s="1727"/>
      <c r="AW9" s="1727"/>
      <c r="AX9" s="1727"/>
      <c r="AY9" s="1727"/>
      <c r="AZ9" s="1727"/>
      <c r="BA9" s="1727"/>
    </row>
    <row r="10" spans="1:53" s="1732" customFormat="1">
      <c r="A10" s="1729" t="s">
        <v>1055</v>
      </c>
      <c r="B10" s="682" t="s">
        <v>1060</v>
      </c>
      <c r="C10" s="1730"/>
      <c r="D10" s="1730"/>
      <c r="E10" s="1731"/>
      <c r="F10" s="1731"/>
      <c r="G10" s="1731"/>
      <c r="H10" s="1731"/>
      <c r="I10" s="1731"/>
      <c r="J10" s="1731"/>
      <c r="K10" s="1736" t="str">
        <f>IFERROR(K9/J9-1,"")</f>
        <v/>
      </c>
      <c r="L10" s="1736">
        <f t="shared" ref="L10:Z10" si="2">IFERROR(L9/K9-1,"")</f>
        <v>7.3592304982240009E-2</v>
      </c>
      <c r="M10" s="1736">
        <f t="shared" si="2"/>
        <v>0.30530403583535581</v>
      </c>
      <c r="N10" s="1736">
        <f t="shared" si="2"/>
        <v>0.61346599997020768</v>
      </c>
      <c r="O10" s="1736">
        <f t="shared" si="2"/>
        <v>-0.21061754682099965</v>
      </c>
      <c r="P10" s="1736">
        <f t="shared" si="2"/>
        <v>7.0406117213367425E-2</v>
      </c>
      <c r="Q10" s="2679">
        <f t="shared" si="2"/>
        <v>0.31818603180990568</v>
      </c>
      <c r="R10" s="2679">
        <f t="shared" si="2"/>
        <v>4.8080581095734765E-2</v>
      </c>
      <c r="S10" s="2679">
        <f t="shared" si="2"/>
        <v>2.8293767027980588E-2</v>
      </c>
      <c r="T10" s="2679">
        <f t="shared" si="2"/>
        <v>0.17853788685403615</v>
      </c>
      <c r="U10" s="2679">
        <f t="shared" si="2"/>
        <v>-3.0890592581832466E-2</v>
      </c>
      <c r="V10" s="2679">
        <f t="shared" si="2"/>
        <v>-6.4212469634901459E-2</v>
      </c>
      <c r="W10" s="2679">
        <f t="shared" si="2"/>
        <v>2.5780405052106881E-2</v>
      </c>
      <c r="X10" s="2679">
        <f t="shared" si="2"/>
        <v>2.1888374128678167E-2</v>
      </c>
      <c r="Y10" s="2679">
        <f t="shared" si="2"/>
        <v>5.185198752811182E-2</v>
      </c>
      <c r="Z10" s="2679">
        <f t="shared" si="2"/>
        <v>1.3457614331405798E-2</v>
      </c>
      <c r="AA10" s="1731"/>
      <c r="AB10" s="1731"/>
      <c r="AC10" s="1731"/>
      <c r="AD10" s="1731"/>
      <c r="AE10" s="1731"/>
      <c r="AF10" s="1731"/>
      <c r="AG10" s="1731"/>
      <c r="AH10" s="1731"/>
      <c r="AI10" s="1731"/>
      <c r="AJ10" s="1731"/>
      <c r="AK10" s="1731"/>
      <c r="AL10" s="1731"/>
      <c r="AM10" s="1731"/>
      <c r="AN10" s="1731"/>
      <c r="AO10" s="1731"/>
      <c r="AP10" s="1731"/>
      <c r="AQ10" s="1731"/>
      <c r="AR10" s="1731"/>
      <c r="AS10" s="1731"/>
      <c r="AT10" s="1731"/>
      <c r="AU10" s="1731"/>
      <c r="AV10" s="1731"/>
      <c r="AW10" s="1731"/>
      <c r="AX10" s="1731"/>
      <c r="AY10" s="1731"/>
      <c r="AZ10" s="1731"/>
      <c r="BA10" s="1731"/>
    </row>
    <row r="11" spans="1:53" s="1725" customFormat="1">
      <c r="A11" s="1710" t="s">
        <v>1055</v>
      </c>
      <c r="B11" s="5" t="s">
        <v>1061</v>
      </c>
      <c r="C11" s="1710"/>
      <c r="D11" s="1710"/>
      <c r="E11" s="1733"/>
      <c r="F11" s="1733"/>
      <c r="G11" s="1733"/>
      <c r="H11" s="1733"/>
      <c r="I11" s="1733"/>
      <c r="J11" s="1734"/>
      <c r="K11" s="1734">
        <f>'Output-FR (show)'!K18</f>
        <v>393.81429783900012</v>
      </c>
      <c r="L11" s="1734">
        <f>'Output-FR (show)'!L18</f>
        <v>643.44082172600019</v>
      </c>
      <c r="M11" s="1734">
        <f>'Output-FR (show)'!M18</f>
        <v>1832.0439338530002</v>
      </c>
      <c r="N11" s="1734">
        <f>'Output-FR (show)'!N18</f>
        <v>4352.5403095630008</v>
      </c>
      <c r="O11" s="1734">
        <f>'Output-FR (show)'!O18</f>
        <v>682.61133452400054</v>
      </c>
      <c r="P11" s="1734">
        <f>'Output-FR (show)'!P18</f>
        <v>1018.0674529520006</v>
      </c>
      <c r="Q11" s="2680">
        <f>'Output-FR (show)'!Q18</f>
        <v>2093.9695210332998</v>
      </c>
      <c r="R11" s="2680">
        <f>'Output-FR (show)'!R18</f>
        <v>2398.2859468043362</v>
      </c>
      <c r="S11" s="2680">
        <f>'Output-FR (show)'!S18</f>
        <v>2825.0906100432785</v>
      </c>
      <c r="T11" s="2680">
        <f>'Output-FR (show)'!T18</f>
        <v>4669.8764703165343</v>
      </c>
      <c r="U11" s="2680">
        <f>'Output-FR (show)'!U18</f>
        <v>3767.2197639857982</v>
      </c>
      <c r="V11" s="2680">
        <f>'Output-FR (show)'!V18</f>
        <v>3063.734785225507</v>
      </c>
      <c r="W11" s="2680">
        <f>'Output-FR (show)'!W18</f>
        <v>2974.1873156308666</v>
      </c>
      <c r="X11" s="2680">
        <f>'Output-FR (show)'!X18</f>
        <v>3327.2512452640372</v>
      </c>
      <c r="Y11" s="2680">
        <f>'Output-FR (show)'!Y18</f>
        <v>3911.0138790970936</v>
      </c>
      <c r="Z11" s="2680">
        <f>'Output-FR (show)'!Z18</f>
        <v>3790.9118006766171</v>
      </c>
      <c r="AA11" s="1734"/>
      <c r="AB11" s="1727"/>
      <c r="AC11" s="1727"/>
      <c r="AD11" s="1727"/>
      <c r="AE11" s="1727"/>
      <c r="AF11" s="1727"/>
      <c r="AG11" s="1727"/>
      <c r="AH11" s="1727"/>
      <c r="AI11" s="1727"/>
      <c r="AJ11" s="1727"/>
      <c r="AK11" s="1727"/>
      <c r="AL11" s="1727"/>
      <c r="AM11" s="1727"/>
      <c r="AN11" s="1727"/>
      <c r="AO11" s="1727"/>
      <c r="AP11" s="1727"/>
      <c r="AQ11" s="1727"/>
      <c r="AR11" s="1727"/>
      <c r="AS11" s="1727"/>
      <c r="AT11" s="1727"/>
      <c r="AU11" s="1727"/>
      <c r="AV11" s="1727"/>
      <c r="AW11" s="1727"/>
      <c r="AX11" s="1727"/>
      <c r="AY11" s="1727"/>
      <c r="AZ11" s="1727"/>
      <c r="BA11" s="1727"/>
    </row>
    <row r="12" spans="1:53" s="1725" customFormat="1">
      <c r="A12" s="1710" t="s">
        <v>1055</v>
      </c>
      <c r="B12" s="5" t="s">
        <v>1062</v>
      </c>
      <c r="C12" s="1710"/>
      <c r="D12" s="1710"/>
      <c r="E12" s="1733"/>
      <c r="F12" s="1733"/>
      <c r="G12" s="1733"/>
      <c r="H12" s="1733"/>
      <c r="I12" s="1733"/>
      <c r="J12" s="1734"/>
      <c r="K12" s="1734">
        <f>'Output-FR (show)'!K32</f>
        <v>427.7237290920001</v>
      </c>
      <c r="L12" s="1734">
        <f>'Output-FR (show)'!L32</f>
        <v>662.44633427100007</v>
      </c>
      <c r="M12" s="1734">
        <f>'Output-FR (show)'!M32</f>
        <v>1826.1242869360003</v>
      </c>
      <c r="N12" s="1734">
        <f>'Output-FR (show)'!N32</f>
        <v>4321.0807345350004</v>
      </c>
      <c r="O12" s="1734">
        <f>'Output-FR (show)'!O32</f>
        <v>1110.1427168920006</v>
      </c>
      <c r="P12" s="1734">
        <f>'Output-FR (show)'!P32</f>
        <v>1428.0065814420007</v>
      </c>
      <c r="Q12" s="2680">
        <f ca="1">'Output-FR (show)'!Q32</f>
        <v>2210.9020273718311</v>
      </c>
      <c r="R12" s="2680">
        <f ca="1">'Output-FR (show)'!R32</f>
        <v>2502.7951607172677</v>
      </c>
      <c r="S12" s="2680">
        <f ca="1">'Output-FR (show)'!S32</f>
        <v>2929.8525050377962</v>
      </c>
      <c r="T12" s="2680">
        <f ca="1">'Output-FR (show)'!T32</f>
        <v>4577.6437785326798</v>
      </c>
      <c r="U12" s="2680">
        <f ca="1">'Output-FR (show)'!U32</f>
        <v>3913.8244386097244</v>
      </c>
      <c r="V12" s="2680">
        <f ca="1">'Output-FR (show)'!V32</f>
        <v>3417.0536954042805</v>
      </c>
      <c r="W12" s="2680">
        <f ca="1">'Output-FR (show)'!W32</f>
        <v>3420.2135273071681</v>
      </c>
      <c r="X12" s="2680">
        <f ca="1">'Output-FR (show)'!X32</f>
        <v>3799.2048491106098</v>
      </c>
      <c r="Y12" s="2680">
        <f ca="1">'Output-FR (show)'!Y32</f>
        <v>4378.444015844525</v>
      </c>
      <c r="Z12" s="2680">
        <f ca="1">'Output-FR (show)'!Z32</f>
        <v>4342.133221721695</v>
      </c>
      <c r="AA12" s="1734"/>
      <c r="AB12" s="1727"/>
      <c r="AC12" s="1727"/>
      <c r="AD12" s="1727"/>
      <c r="AE12" s="1727"/>
      <c r="AF12" s="1727"/>
      <c r="AG12" s="1727"/>
      <c r="AH12" s="1727"/>
      <c r="AI12" s="1727"/>
      <c r="AJ12" s="1727"/>
      <c r="AK12" s="1727"/>
      <c r="AL12" s="1727"/>
      <c r="AM12" s="1727"/>
      <c r="AN12" s="1727"/>
      <c r="AO12" s="1727"/>
      <c r="AP12" s="1727"/>
      <c r="AQ12" s="1727"/>
      <c r="AR12" s="1727"/>
      <c r="AS12" s="1727"/>
      <c r="AT12" s="1727"/>
      <c r="AU12" s="1727"/>
      <c r="AV12" s="1727"/>
      <c r="AW12" s="1727"/>
      <c r="AX12" s="1727"/>
      <c r="AY12" s="1727"/>
      <c r="AZ12" s="1727"/>
      <c r="BA12" s="1727"/>
    </row>
    <row r="13" spans="1:53" s="1732" customFormat="1">
      <c r="A13" s="1729" t="s">
        <v>1055</v>
      </c>
      <c r="B13" s="682" t="s">
        <v>1063</v>
      </c>
      <c r="C13" s="1730"/>
      <c r="D13" s="1730"/>
      <c r="E13" s="1735"/>
      <c r="F13" s="1731"/>
      <c r="G13" s="1731"/>
      <c r="H13" s="1731"/>
      <c r="I13" s="1731"/>
      <c r="J13" s="1731"/>
      <c r="K13" s="1736" t="str">
        <f>IFERROR(K12/J12-1,"")</f>
        <v/>
      </c>
      <c r="L13" s="1736">
        <f t="shared" ref="L13:Z13" si="3">IFERROR(L12/K12-1,"")</f>
        <v>0.54877152987813993</v>
      </c>
      <c r="M13" s="1736">
        <f t="shared" si="3"/>
        <v>1.7566373190751952</v>
      </c>
      <c r="N13" s="1736">
        <f t="shared" si="3"/>
        <v>1.3662577434886503</v>
      </c>
      <c r="O13" s="1736">
        <f t="shared" si="3"/>
        <v>-0.74308679122343102</v>
      </c>
      <c r="P13" s="1736">
        <f t="shared" si="3"/>
        <v>0.28632702778963792</v>
      </c>
      <c r="Q13" s="2679">
        <f t="shared" ca="1" si="3"/>
        <v>0.54824358382106531</v>
      </c>
      <c r="R13" s="2679">
        <f t="shared" ca="1" si="3"/>
        <v>0.13202445415114994</v>
      </c>
      <c r="S13" s="2679">
        <f t="shared" ca="1" si="3"/>
        <v>0.17063216000391312</v>
      </c>
      <c r="T13" s="2679">
        <f t="shared" ca="1" si="3"/>
        <v>0.5624144118728005</v>
      </c>
      <c r="U13" s="2679">
        <f t="shared" ca="1" si="3"/>
        <v>-0.14501332389296062</v>
      </c>
      <c r="V13" s="2679">
        <f t="shared" ca="1" si="3"/>
        <v>-0.1269271912926957</v>
      </c>
      <c r="W13" s="2679">
        <f t="shared" ca="1" si="3"/>
        <v>9.2472409992772064E-4</v>
      </c>
      <c r="X13" s="2679">
        <f t="shared" ca="1" si="3"/>
        <v>0.11080925760264804</v>
      </c>
      <c r="Y13" s="2679">
        <f t="shared" ca="1" si="3"/>
        <v>0.15246326264021137</v>
      </c>
      <c r="Z13" s="2679">
        <f t="shared" ca="1" si="3"/>
        <v>-8.2930817412373292E-3</v>
      </c>
      <c r="AA13" s="1736"/>
      <c r="AB13" s="1731"/>
      <c r="AC13" s="1731"/>
      <c r="AD13" s="1731"/>
      <c r="AE13" s="1731"/>
      <c r="AF13" s="1731"/>
      <c r="AG13" s="1731"/>
      <c r="AH13" s="1731"/>
      <c r="AI13" s="1731"/>
      <c r="AJ13" s="1731"/>
      <c r="AK13" s="1731"/>
      <c r="AL13" s="1731"/>
      <c r="AM13" s="1731"/>
      <c r="AN13" s="1731"/>
      <c r="AO13" s="1731"/>
      <c r="AP13" s="1731"/>
      <c r="AQ13" s="1731"/>
      <c r="AR13" s="1731"/>
      <c r="AS13" s="1731"/>
      <c r="AT13" s="1731"/>
      <c r="AU13" s="1731"/>
      <c r="AV13" s="1731"/>
      <c r="AW13" s="1731"/>
      <c r="AX13" s="1731"/>
      <c r="AY13" s="1731"/>
      <c r="AZ13" s="1731"/>
      <c r="BA13" s="1731"/>
    </row>
    <row r="14" spans="1:53" s="1733" customFormat="1">
      <c r="A14" s="1710" t="s">
        <v>1055</v>
      </c>
      <c r="B14" s="7" t="s">
        <v>1064</v>
      </c>
      <c r="C14" s="797"/>
      <c r="D14" s="797"/>
      <c r="E14" s="1737"/>
      <c r="F14" s="1737"/>
      <c r="G14" s="1737"/>
      <c r="H14" s="1737"/>
      <c r="I14" s="1737"/>
      <c r="J14" s="1738"/>
      <c r="K14" s="1738">
        <f>DCF!H13+DCF!H14</f>
        <v>1318.8406424909999</v>
      </c>
      <c r="L14" s="1738">
        <f>DCF!I13+DCF!I14</f>
        <v>1318.1524527060001</v>
      </c>
      <c r="M14" s="1738">
        <f>DCF!J13+DCF!J14</f>
        <v>1385.810943875</v>
      </c>
      <c r="N14" s="1738">
        <f>DCF!K13+DCF!K14</f>
        <v>1398.029397737</v>
      </c>
      <c r="O14" s="1738">
        <f>DCF!L13+DCF!L14</f>
        <v>1083.3806986520001</v>
      </c>
      <c r="P14" s="1738">
        <f>DCF!M13+DCF!M14</f>
        <v>268.08145841499999</v>
      </c>
      <c r="Q14" s="2681">
        <f>DCF!N13+DCF!N14</f>
        <v>866.19597450905121</v>
      </c>
      <c r="R14" s="2681">
        <f>DCF!O13+DCF!O14</f>
        <v>958.07836251496497</v>
      </c>
      <c r="S14" s="2681">
        <f>DCF!P13+DCF!P14</f>
        <v>400.06569213431158</v>
      </c>
      <c r="T14" s="2681">
        <f>DCF!Q13+DCF!Q14</f>
        <v>404.65673999404856</v>
      </c>
      <c r="U14" s="2681">
        <f>DCF!R13+DCF!R14</f>
        <v>391.81912495422546</v>
      </c>
      <c r="V14" s="2681">
        <f>DCF!S13+DCF!S14</f>
        <v>391.68502453039241</v>
      </c>
      <c r="W14" s="2681">
        <f>DCF!T13+DCF!T14</f>
        <v>351.67260372664737</v>
      </c>
      <c r="X14" s="2681">
        <f>DCF!U13+DCF!U14</f>
        <v>394.01552606931426</v>
      </c>
      <c r="Y14" s="2681">
        <f>DCF!V13+DCF!V14</f>
        <v>419.30626490537486</v>
      </c>
      <c r="Z14" s="2681">
        <f>DCF!W13+DCF!W14</f>
        <v>447.65035783578924</v>
      </c>
      <c r="AA14" s="1738"/>
      <c r="AB14" s="1737"/>
      <c r="AC14" s="1737"/>
      <c r="AD14" s="1737"/>
      <c r="AE14" s="1737"/>
      <c r="AF14" s="1737"/>
      <c r="AG14" s="1737"/>
      <c r="AH14" s="1737"/>
      <c r="AI14" s="1737"/>
      <c r="AJ14" s="1737"/>
      <c r="AK14" s="1737"/>
      <c r="AL14" s="1737"/>
      <c r="AM14" s="1737"/>
      <c r="AN14" s="1737"/>
      <c r="AO14" s="1737"/>
      <c r="AP14" s="1737"/>
      <c r="AQ14" s="1737"/>
      <c r="AR14" s="1737"/>
      <c r="AS14" s="1737"/>
      <c r="AT14" s="1737"/>
      <c r="AU14" s="1737"/>
      <c r="AV14" s="1737"/>
      <c r="AW14" s="1737"/>
      <c r="AX14" s="1737"/>
      <c r="AY14" s="1737"/>
      <c r="AZ14" s="1737"/>
      <c r="BA14" s="1737"/>
    </row>
    <row r="15" spans="1:53" s="1733" customFormat="1">
      <c r="A15" s="1710" t="s">
        <v>1055</v>
      </c>
      <c r="B15" s="797" t="s">
        <v>1065</v>
      </c>
      <c r="C15" s="797"/>
      <c r="D15" s="797"/>
      <c r="E15" s="1737"/>
      <c r="F15" s="1737"/>
      <c r="G15" s="1737"/>
      <c r="H15" s="1737"/>
      <c r="I15" s="1737"/>
      <c r="J15" s="1738"/>
      <c r="K15" s="1738">
        <f>DCF!H15</f>
        <v>-414.76276050299998</v>
      </c>
      <c r="L15" s="1738">
        <f>DCF!I15</f>
        <v>-272.86203394299997</v>
      </c>
      <c r="M15" s="1738">
        <f>DCF!J15</f>
        <v>-156.94816908799999</v>
      </c>
      <c r="N15" s="1738">
        <f>DCF!K15</f>
        <v>-143.78998269599998</v>
      </c>
      <c r="O15" s="1738">
        <f>DCF!L15</f>
        <v>-544.06761910399996</v>
      </c>
      <c r="P15" s="1738">
        <f>DCF!M15</f>
        <v>-787.05758273100002</v>
      </c>
      <c r="Q15" s="2681">
        <f>DCF!N15</f>
        <v>-793.61444847162204</v>
      </c>
      <c r="R15" s="2681">
        <f>DCF!O15</f>
        <v>-719.4857840413008</v>
      </c>
      <c r="S15" s="2681">
        <f>DCF!P15</f>
        <v>-706.27265251081963</v>
      </c>
      <c r="T15" s="2681">
        <f>DCF!Q15</f>
        <v>-1167.4691175791336</v>
      </c>
      <c r="U15" s="2681">
        <f>DCF!R15</f>
        <v>-452.06637167829581</v>
      </c>
      <c r="V15" s="2681">
        <f>DCF!S15</f>
        <v>-367.64817422706108</v>
      </c>
      <c r="W15" s="2681">
        <f>DCF!T15</f>
        <v>-297.41873156308685</v>
      </c>
      <c r="X15" s="2681">
        <f>DCF!U15</f>
        <v>-332.72512452640376</v>
      </c>
      <c r="Y15" s="2681">
        <f>DCF!V15</f>
        <v>-391.10138790970905</v>
      </c>
      <c r="Z15" s="2681">
        <f>DCF!W15</f>
        <v>-379.0911800676617</v>
      </c>
      <c r="AA15" s="1738"/>
      <c r="AB15" s="1737"/>
      <c r="AC15" s="1737"/>
      <c r="AD15" s="1737"/>
      <c r="AE15" s="1737"/>
      <c r="AF15" s="1737"/>
      <c r="AG15" s="1737"/>
      <c r="AH15" s="1737"/>
      <c r="AI15" s="1737"/>
      <c r="AJ15" s="1737"/>
      <c r="AK15" s="1737"/>
      <c r="AL15" s="1737"/>
      <c r="AM15" s="1737"/>
      <c r="AN15" s="1737"/>
      <c r="AO15" s="1737"/>
      <c r="AP15" s="1737"/>
      <c r="AQ15" s="1737"/>
      <c r="AR15" s="1737"/>
      <c r="AS15" s="1737"/>
      <c r="AT15" s="1737"/>
      <c r="AU15" s="1737"/>
      <c r="AV15" s="1737"/>
      <c r="AW15" s="1737"/>
      <c r="AX15" s="1737"/>
      <c r="AY15" s="1737"/>
      <c r="AZ15" s="1737"/>
      <c r="BA15" s="1737"/>
    </row>
    <row r="16" spans="1:53" s="1733" customFormat="1">
      <c r="A16" s="1710" t="s">
        <v>1055</v>
      </c>
      <c r="B16" s="7" t="s">
        <v>1066</v>
      </c>
      <c r="C16" s="797"/>
      <c r="D16" s="797"/>
      <c r="E16" s="1737"/>
      <c r="F16" s="1737"/>
      <c r="G16" s="1737"/>
      <c r="H16" s="1737"/>
      <c r="I16" s="1737"/>
      <c r="J16" s="1738"/>
      <c r="K16" s="1738">
        <f>DCF!H16</f>
        <v>-104.41080388699993</v>
      </c>
      <c r="L16" s="1738">
        <f>DCF!I16</f>
        <v>-207.03610204400024</v>
      </c>
      <c r="M16" s="1738">
        <f>DCF!J16</f>
        <v>-105.3971521409992</v>
      </c>
      <c r="N16" s="1738">
        <f>DCF!K16</f>
        <v>-1523.4659522490006</v>
      </c>
      <c r="O16" s="1738">
        <f>DCF!L16</f>
        <v>349.26656553599969</v>
      </c>
      <c r="P16" s="1738">
        <f>DCF!M16</f>
        <v>-839.26600873999951</v>
      </c>
      <c r="Q16" s="2681">
        <f>DCF!N16</f>
        <v>-1668.5057623855787</v>
      </c>
      <c r="R16" s="2681">
        <f>DCF!O16</f>
        <v>-824.98831932403755</v>
      </c>
      <c r="S16" s="2681">
        <f>DCF!P16</f>
        <v>171.66599166363358</v>
      </c>
      <c r="T16" s="2681">
        <f>DCF!Q16</f>
        <v>-1677.682647516127</v>
      </c>
      <c r="U16" s="2681">
        <f>DCF!R16</f>
        <v>-150.80708964454152</v>
      </c>
      <c r="V16" s="2681">
        <f>DCF!S16</f>
        <v>32.768389412871329</v>
      </c>
      <c r="W16" s="2681">
        <f>DCF!T16</f>
        <v>-697.44761890183327</v>
      </c>
      <c r="X16" s="2681">
        <f>DCF!U16</f>
        <v>-488.41463668746655</v>
      </c>
      <c r="Y16" s="2681">
        <f>DCF!V16</f>
        <v>-540.41546101717176</v>
      </c>
      <c r="Z16" s="2681">
        <f>DCF!W16</f>
        <v>-588.78967108142206</v>
      </c>
      <c r="AA16" s="1737"/>
      <c r="AB16" s="1737"/>
      <c r="AC16" s="1737"/>
      <c r="AD16" s="1737"/>
      <c r="AE16" s="1737"/>
      <c r="AF16" s="1737"/>
      <c r="AG16" s="1737"/>
      <c r="AH16" s="1737"/>
      <c r="AI16" s="1737"/>
      <c r="AJ16" s="1737"/>
      <c r="AK16" s="1737"/>
      <c r="AL16" s="1737"/>
      <c r="AM16" s="1737"/>
      <c r="AN16" s="1737"/>
      <c r="AO16" s="1737"/>
      <c r="AP16" s="1737"/>
      <c r="AQ16" s="1737"/>
      <c r="AR16" s="1737"/>
      <c r="AS16" s="1737"/>
      <c r="AT16" s="1737"/>
      <c r="AU16" s="1737"/>
      <c r="AV16" s="1737"/>
      <c r="AW16" s="1737"/>
      <c r="AX16" s="1737"/>
      <c r="AY16" s="1737"/>
      <c r="AZ16" s="1737"/>
      <c r="BA16" s="1737"/>
    </row>
    <row r="17" spans="1:53" s="1733" customFormat="1">
      <c r="A17" s="1710" t="s">
        <v>1055</v>
      </c>
      <c r="B17" s="1739" t="s">
        <v>1067</v>
      </c>
      <c r="C17" s="797"/>
      <c r="D17" s="797"/>
      <c r="E17" s="1737"/>
      <c r="F17" s="1737"/>
      <c r="G17" s="1737"/>
      <c r="H17" s="1737"/>
      <c r="I17" s="1737"/>
      <c r="J17" s="1738"/>
      <c r="K17" s="1738">
        <f>DCF!H17</f>
        <v>-916.70386144000008</v>
      </c>
      <c r="L17" s="1738">
        <f>DCF!I17</f>
        <v>-960.55125682999983</v>
      </c>
      <c r="M17" s="1738">
        <f>DCF!J17</f>
        <v>-123.6687409719998</v>
      </c>
      <c r="N17" s="1738">
        <f>DCF!K17</f>
        <v>-682.80508751799994</v>
      </c>
      <c r="O17" s="1738">
        <f>DCF!L17</f>
        <v>835.86052247400005</v>
      </c>
      <c r="P17" s="1738">
        <f>DCF!M17</f>
        <v>437.05549722299997</v>
      </c>
      <c r="Q17" s="2681">
        <f ca="1">DCF!N17</f>
        <v>630.06922863919317</v>
      </c>
      <c r="R17" s="2681">
        <f ca="1">DCF!O17</f>
        <v>203.63133696922068</v>
      </c>
      <c r="S17" s="2681">
        <f ca="1">DCF!P17</f>
        <v>-48.192580162103695</v>
      </c>
      <c r="T17" s="2681">
        <f ca="1">DCF!Q17</f>
        <v>816.91299275350264</v>
      </c>
      <c r="U17" s="2681">
        <f ca="1">DCF!R17</f>
        <v>-85.484825933154752</v>
      </c>
      <c r="V17" s="2681">
        <f ca="1">DCF!S17</f>
        <v>-244.86624235862837</v>
      </c>
      <c r="W17" s="2681">
        <f ca="1">DCF!T17</f>
        <v>-69.347705318378758</v>
      </c>
      <c r="X17" s="2681">
        <f ca="1">DCF!U17</f>
        <v>55.802603568722134</v>
      </c>
      <c r="Y17" s="2681">
        <f ca="1">DCF!V17</f>
        <v>98.294286073507919</v>
      </c>
      <c r="Z17" s="2681">
        <f ca="1">DCF!W17</f>
        <v>132.17931563921354</v>
      </c>
      <c r="AA17" s="1738"/>
      <c r="AB17" s="1737"/>
      <c r="AC17" s="1737"/>
      <c r="AD17" s="1737"/>
      <c r="AE17" s="1737"/>
      <c r="AF17" s="1737"/>
      <c r="AG17" s="1737"/>
      <c r="AH17" s="1737"/>
      <c r="AI17" s="1737"/>
      <c r="AJ17" s="1737"/>
      <c r="AK17" s="1737"/>
      <c r="AL17" s="1737"/>
      <c r="AM17" s="1737"/>
      <c r="AN17" s="1737"/>
      <c r="AO17" s="1737"/>
      <c r="AP17" s="1737"/>
      <c r="AQ17" s="1737"/>
      <c r="AR17" s="1737"/>
      <c r="AS17" s="1737"/>
      <c r="AT17" s="1737"/>
      <c r="AU17" s="1737"/>
      <c r="AV17" s="1737"/>
      <c r="AW17" s="1737"/>
      <c r="AX17" s="1737"/>
      <c r="AY17" s="1737"/>
      <c r="AZ17" s="1737"/>
      <c r="BA17" s="1737"/>
    </row>
    <row r="18" spans="1:53" s="1725" customFormat="1">
      <c r="A18" s="1710" t="s">
        <v>1055</v>
      </c>
      <c r="B18" s="5" t="s">
        <v>1068</v>
      </c>
      <c r="C18" s="1710"/>
      <c r="D18" s="1710"/>
      <c r="E18" s="1727"/>
      <c r="F18" s="1727"/>
      <c r="G18" s="1727"/>
      <c r="H18" s="1727"/>
      <c r="I18" s="1727"/>
      <c r="J18" s="1728"/>
      <c r="K18" s="1728">
        <f>DCF!H65</f>
        <v>1197.2077730335536</v>
      </c>
      <c r="L18" s="1728">
        <f>DCF!I65</f>
        <v>1453.8928747131995</v>
      </c>
      <c r="M18" s="1728">
        <f>DCF!J65</f>
        <v>2865.2787875238846</v>
      </c>
      <c r="N18" s="1728">
        <f>DCF!K65</f>
        <v>3933.8562717963114</v>
      </c>
      <c r="O18" s="1728">
        <f>DCF!L65</f>
        <v>1884.0973330460779</v>
      </c>
      <c r="P18" s="1728">
        <f>DCF!M65</f>
        <v>-18.695930594036703</v>
      </c>
      <c r="Q18" s="2678">
        <f ca="1">DCF!N65</f>
        <v>483.39269198600573</v>
      </c>
      <c r="R18" s="2678">
        <f ca="1">DCF!O65</f>
        <v>1798.2744665025962</v>
      </c>
      <c r="S18" s="2678">
        <f ca="1">DCF!P65</f>
        <v>2633.2747690076071</v>
      </c>
      <c r="T18" s="2678">
        <f ca="1">DCF!Q65</f>
        <v>1810.5140924320272</v>
      </c>
      <c r="U18" s="2678">
        <f ca="1">DCF!R65</f>
        <v>3485.801727876687</v>
      </c>
      <c r="V18" s="2678">
        <f ca="1">DCF!S65</f>
        <v>3288.9388473195786</v>
      </c>
      <c r="W18" s="2678">
        <f ca="1">DCF!T65</f>
        <v>2580.2621458799563</v>
      </c>
      <c r="X18" s="2678">
        <f ca="1">DCF!U65</f>
        <v>3126.5700967946073</v>
      </c>
      <c r="Y18" s="2678">
        <f ca="1">DCF!V65</f>
        <v>3562.2695182060993</v>
      </c>
      <c r="Z18" s="2678">
        <f ca="1">DCF!W65</f>
        <v>3569.774341556054</v>
      </c>
      <c r="AA18" s="1728"/>
      <c r="AB18" s="1727"/>
      <c r="AC18" s="1727"/>
      <c r="AD18" s="1727"/>
      <c r="AE18" s="1727"/>
      <c r="AF18" s="1727"/>
      <c r="AG18" s="1727"/>
      <c r="AH18" s="1727"/>
      <c r="AI18" s="1727"/>
      <c r="AJ18" s="1727"/>
      <c r="AK18" s="1727"/>
      <c r="AL18" s="1727"/>
      <c r="AM18" s="1727"/>
      <c r="AN18" s="1727"/>
      <c r="AO18" s="1727"/>
      <c r="AP18" s="1727"/>
      <c r="AQ18" s="1727"/>
      <c r="AR18" s="1727"/>
      <c r="AS18" s="1727"/>
      <c r="AT18" s="1727"/>
      <c r="AU18" s="1727"/>
      <c r="AV18" s="1727"/>
      <c r="AW18" s="1727"/>
      <c r="AX18" s="1727"/>
      <c r="AY18" s="1727"/>
      <c r="AZ18" s="1727"/>
      <c r="BA18" s="1727"/>
    </row>
    <row r="19" spans="1:53" s="1725" customFormat="1">
      <c r="A19" s="1710" t="s">
        <v>1055</v>
      </c>
      <c r="B19" s="5" t="s">
        <v>1069</v>
      </c>
      <c r="C19" s="1710"/>
      <c r="D19" s="1710"/>
      <c r="E19" s="1727"/>
      <c r="F19" s="1727"/>
      <c r="G19" s="1727"/>
      <c r="H19" s="1727"/>
      <c r="I19" s="1727"/>
      <c r="J19" s="1728"/>
      <c r="K19" s="1728">
        <f>DCF!H18</f>
        <v>199.98844605099998</v>
      </c>
      <c r="L19" s="1728">
        <f>DCF!I18</f>
        <v>453.30913408100014</v>
      </c>
      <c r="M19" s="1728">
        <f>DCF!J18</f>
        <v>2724.2659393890008</v>
      </c>
      <c r="N19" s="1728">
        <f>DCF!K18</f>
        <v>3241.3916648629993</v>
      </c>
      <c r="O19" s="1728">
        <f>DCF!L18</f>
        <v>2710.97299264</v>
      </c>
      <c r="P19" s="1728">
        <f>DCF!M18</f>
        <v>376.72130220900056</v>
      </c>
      <c r="Q19" s="2678">
        <f ca="1">DCF!N18</f>
        <v>1050.4551763097111</v>
      </c>
      <c r="R19" s="2678">
        <f ca="1">DCF!O18</f>
        <v>1921.7127124848939</v>
      </c>
      <c r="S19" s="2678">
        <f ca="1">DCF!P18</f>
        <v>2499.37932473723</v>
      </c>
      <c r="T19" s="2678">
        <f ca="1">DCF!Q18</f>
        <v>2525.1704345813205</v>
      </c>
      <c r="U19" s="2678">
        <f ca="1">DCF!R18</f>
        <v>3287.1039664481486</v>
      </c>
      <c r="V19" s="2678">
        <f ca="1">DCF!S18</f>
        <v>2937.9794411538282</v>
      </c>
      <c r="W19" s="2678">
        <f ca="1">DCF!T18</f>
        <v>2413.296936948138</v>
      </c>
      <c r="X19" s="2678">
        <f ca="1">DCF!U18</f>
        <v>3087.8249434153436</v>
      </c>
      <c r="Y19" s="2678">
        <f ca="1">DCF!V18</f>
        <v>3564.2287392159146</v>
      </c>
      <c r="Z19" s="2678">
        <f ca="1">DCF!W18</f>
        <v>3601.3530165855718</v>
      </c>
      <c r="AA19" s="1727"/>
      <c r="AB19" s="1727"/>
      <c r="AC19" s="1727"/>
      <c r="AD19" s="1727"/>
      <c r="AE19" s="1727"/>
      <c r="AF19" s="1727"/>
      <c r="AG19" s="1727"/>
      <c r="AH19" s="1727"/>
      <c r="AI19" s="1727"/>
      <c r="AJ19" s="1727"/>
      <c r="AK19" s="1727"/>
      <c r="AL19" s="1727"/>
      <c r="AM19" s="1727"/>
      <c r="AN19" s="1727"/>
      <c r="AO19" s="1727"/>
      <c r="AP19" s="1727"/>
      <c r="AQ19" s="1727"/>
      <c r="AR19" s="1727"/>
      <c r="AS19" s="1727"/>
      <c r="AT19" s="1727"/>
      <c r="AU19" s="1727"/>
      <c r="AV19" s="1727"/>
      <c r="AW19" s="1727"/>
      <c r="AX19" s="1727"/>
      <c r="AY19" s="1727"/>
      <c r="AZ19" s="1727"/>
      <c r="BA19" s="1727"/>
    </row>
    <row r="20" spans="1:53" s="1743" customFormat="1">
      <c r="A20" s="1740"/>
      <c r="B20" s="1741" t="s">
        <v>1070</v>
      </c>
      <c r="C20" s="1740"/>
      <c r="D20" s="1740"/>
      <c r="E20" s="1742"/>
      <c r="F20" s="1742"/>
      <c r="G20" s="1742"/>
      <c r="H20" s="1742"/>
      <c r="I20" s="1742"/>
      <c r="J20" s="1742"/>
      <c r="K20" s="1742">
        <f>IFERROR(K18/K6*1000,0)</f>
        <v>2261.4427144570336</v>
      </c>
      <c r="L20" s="1742">
        <f t="shared" ref="L20:Z20" si="4">IFERROR(L18/L6*1000,0)</f>
        <v>2746.3031256388354</v>
      </c>
      <c r="M20" s="1742">
        <f t="shared" si="4"/>
        <v>5412.3135389570925</v>
      </c>
      <c r="N20" s="1742">
        <f t="shared" si="4"/>
        <v>7430.782530782606</v>
      </c>
      <c r="O20" s="1742">
        <f t="shared" si="4"/>
        <v>3558.9296053004869</v>
      </c>
      <c r="P20" s="1742">
        <f t="shared" si="4"/>
        <v>-35.315320351410477</v>
      </c>
      <c r="Q20" s="2682">
        <f t="shared" ca="1" si="4"/>
        <v>913.09537587080797</v>
      </c>
      <c r="R20" s="2682">
        <f t="shared" ca="1" si="4"/>
        <v>3396.8161437525432</v>
      </c>
      <c r="S20" s="2682">
        <f t="shared" ca="1" si="4"/>
        <v>4974.0739875474255</v>
      </c>
      <c r="T20" s="2682">
        <f t="shared" ca="1" si="4"/>
        <v>3419.9359509482952</v>
      </c>
      <c r="U20" s="2682">
        <f t="shared" ca="1" si="4"/>
        <v>6584.4384735109315</v>
      </c>
      <c r="V20" s="2682">
        <f t="shared" ca="1" si="4"/>
        <v>6212.5781022281426</v>
      </c>
      <c r="W20" s="2682">
        <f t="shared" ca="1" si="4"/>
        <v>4873.9368074800841</v>
      </c>
      <c r="X20" s="2682">
        <f t="shared" ca="1" si="4"/>
        <v>5905.8747578288767</v>
      </c>
      <c r="Y20" s="2682">
        <f t="shared" ca="1" si="4"/>
        <v>6728.8808428524735</v>
      </c>
      <c r="Z20" s="2682">
        <f t="shared" ca="1" si="4"/>
        <v>6743.0569353155543</v>
      </c>
      <c r="AA20" s="1742"/>
      <c r="AB20" s="1742"/>
      <c r="AC20" s="1742"/>
      <c r="AD20" s="1742"/>
      <c r="AE20" s="1742"/>
      <c r="AF20" s="1742"/>
      <c r="AG20" s="1742"/>
      <c r="AH20" s="1742"/>
      <c r="AI20" s="1742"/>
      <c r="AJ20" s="1742"/>
      <c r="AK20" s="1742"/>
      <c r="AL20" s="1742"/>
      <c r="AM20" s="1742"/>
      <c r="AN20" s="1742"/>
      <c r="AO20" s="1742"/>
      <c r="AP20" s="1742"/>
      <c r="AQ20" s="1742"/>
      <c r="AR20" s="1742"/>
      <c r="AS20" s="1742"/>
      <c r="AT20" s="1742"/>
      <c r="AU20" s="1742"/>
      <c r="AV20" s="1742"/>
      <c r="AW20" s="1742"/>
      <c r="AX20" s="1742"/>
      <c r="AY20" s="1742"/>
      <c r="AZ20" s="1742"/>
      <c r="BA20" s="1742"/>
    </row>
    <row r="21" spans="1:53" s="1743" customFormat="1">
      <c r="A21" s="1740"/>
      <c r="B21" s="1741" t="s">
        <v>1071</v>
      </c>
      <c r="C21" s="1740"/>
      <c r="D21" s="1740"/>
      <c r="E21" s="1742"/>
      <c r="F21" s="1742"/>
      <c r="G21" s="1742"/>
      <c r="H21" s="1742"/>
      <c r="I21" s="1742"/>
      <c r="J21" s="1742"/>
      <c r="K21" s="1742">
        <f>IFERROR(K19/K6*1000,0)</f>
        <v>377.76434841518699</v>
      </c>
      <c r="L21" s="1742">
        <f t="shared" ref="L21:Z21" si="5">IFERROR(L19/L6*1000,0)</f>
        <v>856.2696148111072</v>
      </c>
      <c r="M21" s="1742">
        <f t="shared" si="5"/>
        <v>5145.9500177351738</v>
      </c>
      <c r="N21" s="1742">
        <f t="shared" si="5"/>
        <v>6122.7647617359262</v>
      </c>
      <c r="O21" s="1742">
        <f t="shared" si="5"/>
        <v>5120.8405603324518</v>
      </c>
      <c r="P21" s="1742">
        <f t="shared" si="5"/>
        <v>711.60049529467426</v>
      </c>
      <c r="Q21" s="2682">
        <f t="shared" ca="1" si="5"/>
        <v>1984.2372049673424</v>
      </c>
      <c r="R21" s="2682">
        <f t="shared" ca="1" si="5"/>
        <v>3629.982456526056</v>
      </c>
      <c r="S21" s="2682">
        <f t="shared" ca="1" si="5"/>
        <v>4721.154750164771</v>
      </c>
      <c r="T21" s="2682">
        <f t="shared" ca="1" si="5"/>
        <v>4769.8723735952417</v>
      </c>
      <c r="U21" s="2682">
        <f t="shared" ca="1" si="5"/>
        <v>6209.1121391162615</v>
      </c>
      <c r="V21" s="2682">
        <f t="shared" ca="1" si="5"/>
        <v>5549.6400475138425</v>
      </c>
      <c r="W21" s="2682">
        <f t="shared" ca="1" si="5"/>
        <v>4558.5510709258369</v>
      </c>
      <c r="X21" s="2682">
        <f t="shared" ca="1" si="5"/>
        <v>5832.687841736576</v>
      </c>
      <c r="Y21" s="2682">
        <f t="shared" ca="1" si="5"/>
        <v>6732.5816758895253</v>
      </c>
      <c r="Z21" s="2682">
        <f t="shared" ca="1" si="5"/>
        <v>6802.7068692587309</v>
      </c>
      <c r="AA21" s="1744"/>
      <c r="AB21" s="1742"/>
      <c r="AC21" s="1742"/>
      <c r="AD21" s="1742"/>
      <c r="AE21" s="1742"/>
      <c r="AF21" s="1742"/>
      <c r="AG21" s="1742"/>
      <c r="AH21" s="1742"/>
      <c r="AI21" s="1742"/>
      <c r="AJ21" s="1742"/>
      <c r="AK21" s="1742"/>
      <c r="AL21" s="1742"/>
      <c r="AM21" s="1742"/>
      <c r="AN21" s="1742"/>
      <c r="AO21" s="1742"/>
      <c r="AP21" s="1742"/>
      <c r="AQ21" s="1742"/>
      <c r="AR21" s="1742"/>
      <c r="AS21" s="1742"/>
      <c r="AT21" s="1742"/>
      <c r="AU21" s="1742"/>
      <c r="AV21" s="1742"/>
      <c r="AW21" s="1742"/>
      <c r="AX21" s="1742"/>
      <c r="AY21" s="1742"/>
      <c r="AZ21" s="1742"/>
      <c r="BA21" s="1742"/>
    </row>
    <row r="22" spans="1:53">
      <c r="B22" s="5" t="s">
        <v>1072</v>
      </c>
      <c r="E22" s="1745"/>
      <c r="F22" s="1745"/>
      <c r="G22" s="1745"/>
      <c r="H22" s="1745"/>
      <c r="I22" s="1745"/>
      <c r="J22" s="1746"/>
      <c r="K22" s="1746">
        <f>Input!K142</f>
        <v>598.83874081979616</v>
      </c>
      <c r="L22" s="1746">
        <f>Input!L142</f>
        <v>1087.2800796977713</v>
      </c>
      <c r="M22" s="1746">
        <f>Input!M142</f>
        <v>3257.4028290800907</v>
      </c>
      <c r="N22" s="1746">
        <f>Input!N142</f>
        <v>7921.0866822610506</v>
      </c>
      <c r="O22" s="1746">
        <f>Input!O142</f>
        <v>1863.4923027616169</v>
      </c>
      <c r="P22" s="1746">
        <f>Input!P142</f>
        <v>2451.6583642652063</v>
      </c>
      <c r="Q22" s="2683">
        <f ca="1">Input!Q142</f>
        <v>3808.71846518957</v>
      </c>
      <c r="R22" s="2683">
        <f ca="1">Input!R142</f>
        <v>4353.1634069157471</v>
      </c>
      <c r="S22" s="2683">
        <f ca="1">Input!S142</f>
        <v>5066.4997043535914</v>
      </c>
      <c r="T22" s="2683">
        <f ca="1">Input!T142</f>
        <v>7836.8325619437346</v>
      </c>
      <c r="U22" s="2683">
        <f ca="1">Input!U142</f>
        <v>6769.5114730414653</v>
      </c>
      <c r="V22" s="2683">
        <f ca="1">Input!V142</f>
        <v>5905.2834688870353</v>
      </c>
      <c r="W22" s="2683">
        <f ca="1">Input!W142</f>
        <v>5904.989981158591</v>
      </c>
      <c r="X22" s="2683">
        <f ca="1">Input!X142</f>
        <v>6534.604841032562</v>
      </c>
      <c r="Y22" s="2683">
        <f ca="1">Input!Y142</f>
        <v>7514.7886668276169</v>
      </c>
      <c r="Z22" s="2683">
        <f ca="1">Input!Z142</f>
        <v>7535.9473482184567</v>
      </c>
      <c r="AA22" s="1746"/>
      <c r="AB22" s="1748"/>
      <c r="AC22" s="1748"/>
      <c r="AD22" s="1748"/>
      <c r="AE22" s="1748"/>
      <c r="AF22" s="1748"/>
      <c r="AG22" s="1748"/>
      <c r="AH22" s="1748"/>
      <c r="AI22" s="1748"/>
      <c r="AJ22" s="1748"/>
      <c r="AK22" s="1748"/>
      <c r="AL22" s="1748"/>
      <c r="AM22" s="1748"/>
      <c r="AN22" s="1748"/>
      <c r="AO22" s="1748"/>
      <c r="AP22" s="1748"/>
      <c r="AQ22" s="1748"/>
      <c r="AR22" s="1748"/>
      <c r="AS22" s="1748"/>
      <c r="AT22" s="1748"/>
      <c r="AU22" s="1748"/>
      <c r="AV22" s="1748"/>
      <c r="AW22" s="1748"/>
      <c r="AX22" s="1748"/>
      <c r="AY22" s="1748"/>
      <c r="AZ22" s="1748"/>
      <c r="BA22" s="1748"/>
    </row>
    <row r="23" spans="1:53">
      <c r="B23" s="5" t="s">
        <v>1073</v>
      </c>
      <c r="E23" s="1745"/>
      <c r="F23" s="1745"/>
      <c r="G23" s="1745"/>
      <c r="H23" s="1745"/>
      <c r="I23" s="1745"/>
      <c r="J23" s="1746"/>
      <c r="K23" s="1746">
        <f>IFERROR(K8/K6*1000,0)</f>
        <v>11482.903960579904</v>
      </c>
      <c r="L23" s="1746">
        <f t="shared" ref="L23:Z23" si="6">IFERROR(L8/L6*1000,0)</f>
        <v>11900.45380401209</v>
      </c>
      <c r="M23" s="1746">
        <f t="shared" si="6"/>
        <v>14075.385513554967</v>
      </c>
      <c r="N23" s="1746">
        <f t="shared" si="6"/>
        <v>19977.90986222705</v>
      </c>
      <c r="O23" s="1746">
        <f t="shared" si="6"/>
        <v>18768.024496233476</v>
      </c>
      <c r="P23" s="1746">
        <f t="shared" si="6"/>
        <v>19162.052141673594</v>
      </c>
      <c r="Q23" s="2683">
        <f t="shared" ca="1" si="6"/>
        <v>21354.789488358394</v>
      </c>
      <c r="R23" s="2683">
        <f t="shared" ca="1" si="6"/>
        <v>24099.409230617588</v>
      </c>
      <c r="S23" s="2683">
        <f t="shared" ca="1" si="6"/>
        <v>27190.032487076041</v>
      </c>
      <c r="T23" s="2683">
        <f t="shared" ca="1" si="6"/>
        <v>33528.950676200708</v>
      </c>
      <c r="U23" s="2683">
        <f t="shared" ca="1" si="6"/>
        <v>37645.164100142581</v>
      </c>
      <c r="V23" s="2683">
        <f t="shared" ca="1" si="6"/>
        <v>40973.352695511065</v>
      </c>
      <c r="W23" s="2683">
        <f t="shared" ca="1" si="6"/>
        <v>44325.438937942883</v>
      </c>
      <c r="X23" s="2683">
        <f t="shared" ca="1" si="6"/>
        <v>47325.023890699609</v>
      </c>
      <c r="Y23" s="2683">
        <f t="shared" ca="1" si="6"/>
        <v>50323.391873720364</v>
      </c>
      <c r="Z23" s="2683">
        <f t="shared" ca="1" si="6"/>
        <v>52362.261710779669</v>
      </c>
      <c r="AA23" s="1746"/>
      <c r="AB23" s="1748"/>
      <c r="AC23" s="1748"/>
      <c r="AD23" s="1748"/>
      <c r="AE23" s="1748"/>
      <c r="AF23" s="1748"/>
      <c r="AG23" s="1748"/>
      <c r="AH23" s="1748"/>
      <c r="AI23" s="1748"/>
      <c r="AJ23" s="1748"/>
      <c r="AK23" s="1748"/>
      <c r="AL23" s="1748"/>
      <c r="AM23" s="1748"/>
      <c r="AN23" s="1748"/>
      <c r="AO23" s="1748"/>
      <c r="AP23" s="1748"/>
      <c r="AQ23" s="1748"/>
      <c r="AR23" s="1748"/>
      <c r="AS23" s="1748"/>
      <c r="AT23" s="1748"/>
      <c r="AU23" s="1748"/>
      <c r="AV23" s="1748"/>
      <c r="AW23" s="1748"/>
      <c r="AX23" s="1748"/>
      <c r="AY23" s="1748"/>
      <c r="AZ23" s="1748"/>
      <c r="BA23" s="1748"/>
    </row>
    <row r="24" spans="1:53" s="1725" customFormat="1">
      <c r="A24" s="1710"/>
      <c r="B24" s="18"/>
      <c r="C24" s="1710"/>
      <c r="D24" s="1710"/>
      <c r="P24" s="1750"/>
      <c r="X24" s="1726"/>
      <c r="Y24" s="1726"/>
    </row>
    <row r="25" spans="1:53" s="1725" customFormat="1" ht="13.8" thickBot="1">
      <c r="A25" s="1710"/>
      <c r="B25" s="1721" t="s">
        <v>1074</v>
      </c>
      <c r="C25" s="1722"/>
      <c r="D25" s="1722"/>
      <c r="E25" s="1723"/>
      <c r="F25" s="1723"/>
      <c r="G25" s="1723"/>
      <c r="H25" s="1723"/>
      <c r="I25" s="1723"/>
      <c r="J25" s="1723"/>
      <c r="K25" s="1723"/>
      <c r="L25" s="1723"/>
      <c r="M25" s="1723"/>
      <c r="N25" s="1723"/>
      <c r="O25" s="1723"/>
      <c r="P25" s="1724"/>
      <c r="Q25" s="1723"/>
      <c r="R25" s="1723"/>
      <c r="S25" s="1723"/>
      <c r="T25" s="1723"/>
      <c r="U25" s="1723"/>
      <c r="V25" s="1723"/>
      <c r="W25" s="1751"/>
      <c r="X25" s="1723"/>
      <c r="Y25" s="1723"/>
      <c r="Z25" s="1723"/>
      <c r="AA25" s="1723"/>
      <c r="AB25" s="1723"/>
      <c r="AC25" s="1723"/>
      <c r="AD25" s="1723"/>
      <c r="AE25" s="1723"/>
      <c r="AF25" s="1723"/>
      <c r="AG25" s="1723"/>
      <c r="AH25" s="1723"/>
      <c r="AI25" s="1723"/>
      <c r="AJ25" s="1723"/>
      <c r="AK25" s="1723"/>
      <c r="AL25" s="1723"/>
      <c r="AM25" s="1723"/>
      <c r="AN25" s="1723"/>
      <c r="AO25" s="1723"/>
      <c r="AP25" s="1723"/>
      <c r="AQ25" s="1723"/>
      <c r="AR25" s="1723"/>
      <c r="AS25" s="1723"/>
      <c r="AT25" s="1723"/>
      <c r="AU25" s="1723"/>
      <c r="AV25" s="1723"/>
      <c r="AW25" s="1723"/>
      <c r="AX25" s="1723"/>
      <c r="AY25" s="1723"/>
      <c r="AZ25" s="1723"/>
      <c r="BA25" s="1723"/>
    </row>
    <row r="26" spans="1:53" s="1725" customFormat="1">
      <c r="A26" s="1710" t="s">
        <v>1055</v>
      </c>
      <c r="B26" s="5" t="s">
        <v>322</v>
      </c>
      <c r="C26" s="1710"/>
      <c r="D26" s="1710"/>
      <c r="E26" s="1749"/>
      <c r="F26" s="1749"/>
      <c r="G26" s="1749"/>
      <c r="H26" s="1749"/>
      <c r="I26" s="1749"/>
      <c r="J26" s="1752"/>
      <c r="K26" s="1752">
        <f>'Output-FR (show)'!K8</f>
        <v>0.1361914951990362</v>
      </c>
      <c r="L26" s="1752">
        <f>'Output-FR (show)'!L8</f>
        <v>0.17415684291346611</v>
      </c>
      <c r="M26" s="1752">
        <f>'Output-FR (show)'!M8</f>
        <v>0.28176329575307868</v>
      </c>
      <c r="N26" s="1752">
        <f>'Output-FR (show)'!N8</f>
        <v>0.35815377669631715</v>
      </c>
      <c r="O26" s="1752">
        <f>'Output-FR (show)'!O8</f>
        <v>0.16163182680117821</v>
      </c>
      <c r="P26" s="1752">
        <f>'Output-FR (show)'!P8</f>
        <v>0.18679858420547754</v>
      </c>
      <c r="Q26" s="2684">
        <f>'Output-FR (show)'!Q8</f>
        <v>0.21529731308775535</v>
      </c>
      <c r="R26" s="2684">
        <f>'Output-FR (show)'!R8</f>
        <v>0.22626193448965562</v>
      </c>
      <c r="S26" s="2684">
        <f>'Output-FR (show)'!S8</f>
        <v>0.24367542708478293</v>
      </c>
      <c r="T26" s="2684">
        <f>'Output-FR (show)'!T8</f>
        <v>0.30327640861323479</v>
      </c>
      <c r="U26" s="2684">
        <f>'Output-FR (show)'!U8</f>
        <v>0.27231129023402695</v>
      </c>
      <c r="V26" s="2684">
        <f>'Output-FR (show)'!V8</f>
        <v>0.24942229369934399</v>
      </c>
      <c r="W26" s="2684">
        <f>'Output-FR (show)'!W8</f>
        <v>0.23919217819070246</v>
      </c>
      <c r="X26" s="2684">
        <f>'Output-FR (show)'!X8</f>
        <v>0.25259826653926798</v>
      </c>
      <c r="Y26" s="2684">
        <f>'Output-FR (show)'!Y8</f>
        <v>0.27110091087123156</v>
      </c>
      <c r="Z26" s="2684">
        <f>'Output-FR (show)'!Z8</f>
        <v>0.2640791685617726</v>
      </c>
      <c r="AA26" s="1752"/>
      <c r="AB26" s="1749"/>
      <c r="AC26" s="1749"/>
      <c r="AD26" s="1749"/>
      <c r="AE26" s="1749"/>
      <c r="AF26" s="1749"/>
      <c r="AG26" s="1749"/>
      <c r="AH26" s="1749"/>
      <c r="AI26" s="1749"/>
      <c r="AJ26" s="1749"/>
      <c r="AK26" s="1749"/>
      <c r="AL26" s="1749"/>
      <c r="AM26" s="1749"/>
      <c r="AN26" s="1749"/>
      <c r="AO26" s="1749"/>
      <c r="AP26" s="1749"/>
      <c r="AQ26" s="1749"/>
      <c r="AR26" s="1749"/>
      <c r="AS26" s="1749"/>
      <c r="AT26" s="1749"/>
      <c r="AU26" s="1749"/>
      <c r="AV26" s="1749"/>
      <c r="AW26" s="1749"/>
      <c r="AX26" s="1749"/>
      <c r="AY26" s="1749"/>
      <c r="AZ26" s="1749"/>
      <c r="BA26" s="1749"/>
    </row>
    <row r="27" spans="1:53" s="1725" customFormat="1">
      <c r="A27" s="1710" t="s">
        <v>1055</v>
      </c>
      <c r="B27" s="5" t="s">
        <v>333</v>
      </c>
      <c r="C27" s="1710"/>
      <c r="D27" s="1710"/>
      <c r="E27" s="1749"/>
      <c r="F27" s="1749"/>
      <c r="G27" s="1749"/>
      <c r="H27" s="1749"/>
      <c r="I27" s="1749"/>
      <c r="J27" s="1752"/>
      <c r="K27" s="1752">
        <f>'Output-FR (show)'!K13</f>
        <v>0.24317236717474533</v>
      </c>
      <c r="L27" s="1752">
        <f>'Output-FR (show)'!L13</f>
        <v>0.25942625395597102</v>
      </c>
      <c r="M27" s="1752">
        <f>'Output-FR (show)'!M13</f>
        <v>0.32603162900865545</v>
      </c>
      <c r="N27" s="1752">
        <f>'Output-FR (show)'!N13</f>
        <v>0.36111400688110118</v>
      </c>
      <c r="O27" s="1752">
        <f>'Output-FR (show)'!O13</f>
        <v>0.14048654549313586</v>
      </c>
      <c r="P27" s="1752">
        <f>'Output-FR (show)'!P13</f>
        <v>9.5584762540142018E-2</v>
      </c>
      <c r="Q27" s="2684">
        <f>'Output-FR (show)'!Q13</f>
        <v>0.16689245294587418</v>
      </c>
      <c r="R27" s="2684">
        <f>'Output-FR (show)'!R13</f>
        <v>0.18054901591685141</v>
      </c>
      <c r="S27" s="2684">
        <f>'Output-FR (show)'!S13</f>
        <v>0.16871729152409193</v>
      </c>
      <c r="T27" s="2684">
        <f>'Output-FR (show)'!T13</f>
        <v>0.2252482256661793</v>
      </c>
      <c r="U27" s="2684">
        <f>'Output-FR (show)'!U13</f>
        <v>0.1904958203732986</v>
      </c>
      <c r="V27" s="2684">
        <f>'Output-FR (show)'!V13</f>
        <v>0.16912820321425392</v>
      </c>
      <c r="W27" s="2684">
        <f>'Output-FR (show)'!W13</f>
        <v>0.15869555810164601</v>
      </c>
      <c r="X27" s="2684">
        <f>'Output-FR (show)'!X13</f>
        <v>0.1737593424029707</v>
      </c>
      <c r="Y27" s="2684">
        <f>'Output-FR (show)'!Y13</f>
        <v>0.19223069349092814</v>
      </c>
      <c r="Z27" s="2684">
        <f>'Output-FR (show)'!Z13</f>
        <v>0.18565886619238531</v>
      </c>
      <c r="AA27" s="1752"/>
      <c r="AB27" s="1749"/>
      <c r="AC27" s="1749"/>
      <c r="AD27" s="1749"/>
      <c r="AE27" s="1749"/>
      <c r="AF27" s="1749"/>
      <c r="AG27" s="1749"/>
      <c r="AH27" s="1749"/>
      <c r="AI27" s="1749"/>
      <c r="AJ27" s="1749"/>
      <c r="AK27" s="1749"/>
      <c r="AL27" s="1749"/>
      <c r="AM27" s="1749"/>
      <c r="AN27" s="1749"/>
      <c r="AO27" s="1749"/>
      <c r="AP27" s="1749"/>
      <c r="AQ27" s="1749"/>
      <c r="AR27" s="1749"/>
      <c r="AS27" s="1749"/>
      <c r="AT27" s="1749"/>
      <c r="AU27" s="1749"/>
      <c r="AV27" s="1749"/>
      <c r="AW27" s="1749"/>
      <c r="AX27" s="1749"/>
      <c r="AY27" s="1749"/>
      <c r="AZ27" s="1749"/>
      <c r="BA27" s="1749"/>
    </row>
    <row r="28" spans="1:53" s="1725" customFormat="1">
      <c r="A28" s="1710" t="s">
        <v>1055</v>
      </c>
      <c r="B28" s="5" t="s">
        <v>341</v>
      </c>
      <c r="C28" s="1710"/>
      <c r="D28" s="1710"/>
      <c r="E28" s="1749"/>
      <c r="F28" s="1749"/>
      <c r="G28" s="1749"/>
      <c r="H28" s="1749"/>
      <c r="I28" s="1749"/>
      <c r="J28" s="1752"/>
      <c r="K28" s="1752">
        <f>'Output-FR (show)'!K19</f>
        <v>5.5915965777856916E-2</v>
      </c>
      <c r="L28" s="1752">
        <f>'Output-FR (show)'!L19</f>
        <v>8.5096867020541242E-2</v>
      </c>
      <c r="M28" s="1752">
        <f>'Output-FR (show)'!M19</f>
        <v>0.18562187881861594</v>
      </c>
      <c r="N28" s="1752">
        <f>'Output-FR (show)'!N19</f>
        <v>0.27332305341895868</v>
      </c>
      <c r="O28" s="1752">
        <f>'Output-FR (show)'!O19</f>
        <v>5.4302458052017111E-2</v>
      </c>
      <c r="P28" s="1752">
        <f>'Output-FR (show)'!P19</f>
        <v>7.5661328855641682E-2</v>
      </c>
      <c r="Q28" s="2684">
        <f>'Output-FR (show)'!Q19</f>
        <v>0.11805681482518478</v>
      </c>
      <c r="R28" s="2684">
        <f>'Output-FR (show)'!R19</f>
        <v>0.129011074983858</v>
      </c>
      <c r="S28" s="2684">
        <f>'Output-FR (show)'!S19</f>
        <v>0.14778869343939185</v>
      </c>
      <c r="T28" s="2684">
        <f>'Output-FR (show)'!T19</f>
        <v>0.2072863346094172</v>
      </c>
      <c r="U28" s="2684">
        <f>'Output-FR (show)'!U19</f>
        <v>0.1725493890849088</v>
      </c>
      <c r="V28" s="2684">
        <f>'Output-FR (show)'!V19</f>
        <v>0.14995687582945319</v>
      </c>
      <c r="W28" s="2684">
        <f>'Output-FR (show)'!W19</f>
        <v>0.14191527225958916</v>
      </c>
      <c r="X28" s="2684">
        <f>'Output-FR (show)'!X19</f>
        <v>0.15536133900429644</v>
      </c>
      <c r="Y28" s="2684">
        <f>'Output-FR (show)'!Y19</f>
        <v>0.17361693482934565</v>
      </c>
      <c r="Z28" s="2684">
        <f>'Output-FR (show)'!Z19</f>
        <v>0.16605074089463642</v>
      </c>
      <c r="AA28" s="1752"/>
      <c r="AB28" s="1749"/>
      <c r="AC28" s="1749"/>
      <c r="AD28" s="1749"/>
      <c r="AE28" s="1749"/>
      <c r="AF28" s="1749"/>
      <c r="AG28" s="1749"/>
      <c r="AH28" s="1749"/>
      <c r="AI28" s="1749"/>
      <c r="AJ28" s="1749"/>
      <c r="AK28" s="1749"/>
      <c r="AL28" s="1749"/>
      <c r="AM28" s="1749"/>
      <c r="AN28" s="1749"/>
      <c r="AO28" s="1749"/>
      <c r="AP28" s="1749"/>
      <c r="AQ28" s="1749"/>
      <c r="AR28" s="1749"/>
      <c r="AS28" s="1749"/>
      <c r="AT28" s="1749"/>
      <c r="AU28" s="1749"/>
      <c r="AV28" s="1749"/>
      <c r="AW28" s="1749"/>
      <c r="AX28" s="1749"/>
      <c r="AY28" s="1749"/>
      <c r="AZ28" s="1749"/>
      <c r="BA28" s="1749"/>
    </row>
    <row r="29" spans="1:53" s="1725" customFormat="1">
      <c r="A29" s="1710" t="s">
        <v>1055</v>
      </c>
      <c r="B29" s="5" t="s">
        <v>380</v>
      </c>
      <c r="C29" s="1710"/>
      <c r="D29" s="1710"/>
      <c r="E29" s="1749"/>
      <c r="F29" s="1749"/>
      <c r="G29" s="1749"/>
      <c r="H29" s="1749"/>
      <c r="I29" s="1749"/>
      <c r="J29" s="1752"/>
      <c r="K29" s="1752">
        <f>'Output-FR (show)'!K32/'Output-FR (show)'!K5</f>
        <v>6.0730617271959081E-2</v>
      </c>
      <c r="L29" s="1752">
        <f>'Output-FR (show)'!L32/'Output-FR (show)'!L5</f>
        <v>8.7610399763709018E-2</v>
      </c>
      <c r="M29" s="1752">
        <f>'Output-FR (show)'!M32/'Output-FR (show)'!M5</f>
        <v>0.18502210281850365</v>
      </c>
      <c r="N29" s="1752">
        <f>'Output-FR (show)'!N32/'Output-FR (show)'!N5</f>
        <v>0.27134751120812062</v>
      </c>
      <c r="O29" s="1752">
        <f>'Output-FR (show)'!O32/'Output-FR (show)'!O5</f>
        <v>8.8313034470511878E-2</v>
      </c>
      <c r="P29" s="1752">
        <f>'Output-FR (show)'!P32/'Output-FR (show)'!P5</f>
        <v>0.10612742333841993</v>
      </c>
      <c r="Q29" s="2684">
        <f ca="1">'Output-FR (show)'!Q32/'Output-FR (show)'!Q5</f>
        <v>0.12464940326030231</v>
      </c>
      <c r="R29" s="2684">
        <f ca="1">'Output-FR (show)'!R32/'Output-FR (show)'!R5</f>
        <v>0.13463294257249597</v>
      </c>
      <c r="S29" s="2684">
        <f ca="1">'Output-FR (show)'!S32/'Output-FR (show)'!S5</f>
        <v>0.15326909237896336</v>
      </c>
      <c r="T29" s="2684">
        <f ca="1">'Output-FR (show)'!T32/'Output-FR (show)'!T5</f>
        <v>0.20319231269415669</v>
      </c>
      <c r="U29" s="2684">
        <f ca="1">'Output-FR (show)'!U32/'Output-FR (show)'!U5</f>
        <v>0.17926430051247735</v>
      </c>
      <c r="V29" s="2684">
        <f ca="1">'Output-FR (show)'!V32/'Output-FR (show)'!V5</f>
        <v>0.1672503439838699</v>
      </c>
      <c r="W29" s="2684">
        <f ca="1">'Output-FR (show)'!W32/'Output-FR (show)'!W5</f>
        <v>0.16319770155793653</v>
      </c>
      <c r="X29" s="2684">
        <f ca="1">'Output-FR (show)'!X32/'Output-FR (show)'!X5</f>
        <v>0.17739855183752454</v>
      </c>
      <c r="Y29" s="2684">
        <f ca="1">'Output-FR (show)'!Y32/'Output-FR (show)'!Y5</f>
        <v>0.19436699864852247</v>
      </c>
      <c r="Z29" s="2684">
        <f ca="1">'Output-FR (show)'!Z32/'Output-FR (show)'!Z5</f>
        <v>0.19019551929470174</v>
      </c>
      <c r="AA29" s="1752"/>
      <c r="AB29" s="1749"/>
      <c r="AC29" s="1749"/>
      <c r="AD29" s="1749"/>
      <c r="AE29" s="1749"/>
      <c r="AF29" s="1749"/>
      <c r="AG29" s="1749"/>
      <c r="AH29" s="1749"/>
      <c r="AI29" s="1749"/>
      <c r="AJ29" s="1749"/>
      <c r="AK29" s="1749"/>
      <c r="AL29" s="1749"/>
      <c r="AM29" s="1749"/>
      <c r="AN29" s="1749"/>
      <c r="AO29" s="1749"/>
      <c r="AP29" s="1749"/>
      <c r="AQ29" s="1749"/>
      <c r="AR29" s="1749"/>
      <c r="AS29" s="1749"/>
      <c r="AT29" s="1749"/>
      <c r="AU29" s="1749"/>
      <c r="AV29" s="1749"/>
      <c r="AW29" s="1749"/>
      <c r="AX29" s="1749"/>
      <c r="AY29" s="1749"/>
      <c r="AZ29" s="1749"/>
      <c r="BA29" s="1749"/>
    </row>
    <row r="30" spans="1:53" s="1725" customFormat="1">
      <c r="A30" s="1710"/>
      <c r="B30" s="5" t="s">
        <v>1075</v>
      </c>
      <c r="C30" s="1710"/>
      <c r="D30" s="1710"/>
      <c r="E30" s="1753"/>
      <c r="F30" s="1753"/>
      <c r="G30" s="1753"/>
      <c r="H30" s="1753"/>
      <c r="I30" s="1753"/>
      <c r="J30" s="1752"/>
      <c r="K30" s="1752">
        <f>K9/('Output-FR (show)'!K63+'Output-FR (show)'!K64+'Output-FR (show)'!K70)</f>
        <v>1.0300469389001365</v>
      </c>
      <c r="L30" s="1752">
        <f>L9/('Output-FR (show)'!L63+'Output-FR (show)'!L64+'Output-FR (show)'!L70)</f>
        <v>1.5271717585707192</v>
      </c>
      <c r="M30" s="1752">
        <f>M9/('Output-FR (show)'!M63+'Output-FR (show)'!M64+'Output-FR (show)'!M70)</f>
        <v>1.7140290347370128</v>
      </c>
      <c r="N30" s="1752">
        <f>N9/('Output-FR (show)'!N63+'Output-FR (show)'!N64+'Output-FR (show)'!N70)</f>
        <v>3.4391832014485897</v>
      </c>
      <c r="O30" s="1752">
        <f>O9/('Output-FR (show)'!O63+'Output-FR (show)'!O64+'Output-FR (show)'!O70)</f>
        <v>3.32889186002547</v>
      </c>
      <c r="P30" s="1752">
        <f>P9/('Output-FR (show)'!P63+'Output-FR (show)'!P64+'Output-FR (show)'!P70)</f>
        <v>2.6644088463715381</v>
      </c>
      <c r="Q30" s="2684">
        <f>Q9/('Output-FR (show)'!Q63+'Output-FR (show)'!Q64+'Output-FR (show)'!Q70)</f>
        <v>2.9546851450491185</v>
      </c>
      <c r="R30" s="2684">
        <f>R9/('Output-FR (show)'!R63+'Output-FR (show)'!R64+'Output-FR (show)'!R70)</f>
        <v>3.1372699077454094</v>
      </c>
      <c r="S30" s="2684">
        <f>S9/('Output-FR (show)'!S63+'Output-FR (show)'!S64+'Output-FR (show)'!S70)</f>
        <v>3.1158371430495824</v>
      </c>
      <c r="T30" s="2684">
        <f>T9/('Output-FR (show)'!T63+'Output-FR (show)'!T64+'Output-FR (show)'!T70)</f>
        <v>2.8136050332199867</v>
      </c>
      <c r="U30" s="2684">
        <f>U9/('Output-FR (show)'!U63+'Output-FR (show)'!U64+'Output-FR (show)'!U70)</f>
        <v>2.820947434682735</v>
      </c>
      <c r="V30" s="2684">
        <f>V9/('Output-FR (show)'!V63+'Output-FR (show)'!V64+'Output-FR (show)'!V70)</f>
        <v>2.6914634841250327</v>
      </c>
      <c r="W30" s="2684">
        <f>W9/('Output-FR (show)'!W63+'Output-FR (show)'!W64+'Output-FR (show)'!W70)</f>
        <v>2.6932226784124973</v>
      </c>
      <c r="X30" s="2684">
        <f>X9/('Output-FR (show)'!X63+'Output-FR (show)'!X64+'Output-FR (show)'!X70)</f>
        <v>2.7393133846820645</v>
      </c>
      <c r="Y30" s="2684">
        <f>Y9/('Output-FR (show)'!Y63+'Output-FR (show)'!Y64+'Output-FR (show)'!Y70)</f>
        <v>2.8133115469345085</v>
      </c>
      <c r="Z30" s="2684">
        <f>Z9/('Output-FR (show)'!Z63+'Output-FR (show)'!Z64+'Output-FR (show)'!Z70)</f>
        <v>2.7992369330173847</v>
      </c>
      <c r="AA30" s="1752"/>
      <c r="AB30" s="1753"/>
      <c r="AC30" s="1753"/>
      <c r="AD30" s="1753"/>
      <c r="AE30" s="1753"/>
      <c r="AF30" s="1753"/>
      <c r="AG30" s="1753"/>
      <c r="AH30" s="1753"/>
      <c r="AI30" s="1753"/>
      <c r="AJ30" s="1753"/>
      <c r="AK30" s="1753"/>
      <c r="AL30" s="1753"/>
      <c r="AM30" s="1753"/>
      <c r="AN30" s="1753"/>
      <c r="AO30" s="1753"/>
      <c r="AP30" s="1753"/>
      <c r="AQ30" s="1753"/>
      <c r="AR30" s="1753"/>
      <c r="AS30" s="1753"/>
      <c r="AT30" s="1753"/>
      <c r="AU30" s="1753"/>
      <c r="AV30" s="1753"/>
      <c r="AW30" s="1753"/>
      <c r="AX30" s="1753"/>
      <c r="AY30" s="1753"/>
      <c r="AZ30" s="1753"/>
      <c r="BA30" s="1753"/>
    </row>
    <row r="31" spans="1:53">
      <c r="B31" s="5" t="s">
        <v>1076</v>
      </c>
      <c r="J31" s="1752"/>
      <c r="K31" s="1752">
        <f>K11/('Output-FR (show)'!K82+'Output-FR (show)'!K92+'Output-FR (show)'!K111)</f>
        <v>5.0078793070503669E-2</v>
      </c>
      <c r="L31" s="1752">
        <f>L11/('Output-FR (show)'!L82+'Output-FR (show)'!L92+'Output-FR (show)'!L111)</f>
        <v>9.0338306170764771E-2</v>
      </c>
      <c r="M31" s="1752">
        <f>M11/('Output-FR (show)'!M82+'Output-FR (show)'!M92+'Output-FR (show)'!M111)</f>
        <v>0.22497427926087918</v>
      </c>
      <c r="N31" s="1752">
        <f>N11/('Output-FR (show)'!N82+'Output-FR (show)'!N92+'Output-FR (show)'!N111)</f>
        <v>0.41139659259296102</v>
      </c>
      <c r="O31" s="1752">
        <f>O11/('Output-FR (show)'!O82+'Output-FR (show)'!O92+'Output-FR (show)'!O111)</f>
        <v>6.329522752889484E-2</v>
      </c>
      <c r="P31" s="1752">
        <f>P11/('Output-FR (show)'!P82+'Output-FR (show)'!P92+'Output-FR (show)'!P111)</f>
        <v>8.8580399177379573E-2</v>
      </c>
      <c r="Q31" s="2684">
        <f ca="1">Q11/('Output-FR (show)'!Q82+'Output-FR (show)'!Q92+'Output-FR (show)'!Q111)</f>
        <v>0.15763035177833534</v>
      </c>
      <c r="R31" s="2684">
        <f ca="1">R11/('Output-FR (show)'!R82+'Output-FR (show)'!R92+'Output-FR (show)'!R111)</f>
        <v>0.16052049928917933</v>
      </c>
      <c r="S31" s="2684">
        <f ca="1">S11/('Output-FR (show)'!S82+'Output-FR (show)'!S92+'Output-FR (show)'!S111)</f>
        <v>0.17092065936880185</v>
      </c>
      <c r="T31" s="2684">
        <f ca="1">T11/('Output-FR (show)'!T82+'Output-FR (show)'!T92+'Output-FR (show)'!T111)</f>
        <v>0.22558260787571263</v>
      </c>
      <c r="U31" s="2684">
        <f ca="1">U11/('Output-FR (show)'!U82+'Output-FR (show)'!U92+'Output-FR (show)'!U111)</f>
        <v>0.16526487822789362</v>
      </c>
      <c r="V31" s="2684">
        <f ca="1">V11/('Output-FR (show)'!V82+'Output-FR (show)'!V92+'Output-FR (show)'!V111)</f>
        <v>0.12601677659764901</v>
      </c>
      <c r="W31" s="2684">
        <f ca="1">W11/('Output-FR (show)'!W82+'Output-FR (show)'!W92+'Output-FR (show)'!W111)</f>
        <v>0.11431546989477952</v>
      </c>
      <c r="X31" s="2684">
        <f ca="1">X11/('Output-FR (show)'!X82+'Output-FR (show)'!X92+'Output-FR (show)'!X111)</f>
        <v>0.12028608679675226</v>
      </c>
      <c r="Y31" s="2684">
        <f ca="1">Y11/('Output-FR (show)'!Y82+'Output-FR (show)'!Y92+'Output-FR (show)'!Y111)</f>
        <v>0.13326893480439073</v>
      </c>
      <c r="Z31" s="2684">
        <f ca="1">Z11/('Output-FR (show)'!Z82+'Output-FR (show)'!Z92+'Output-FR (show)'!Z111)</f>
        <v>0.12405491880011198</v>
      </c>
      <c r="AA31" s="1752"/>
    </row>
    <row r="32" spans="1:53">
      <c r="A32" s="1710" t="s">
        <v>1055</v>
      </c>
      <c r="B32" s="5" t="s">
        <v>1077</v>
      </c>
      <c r="J32" s="1752"/>
      <c r="K32" s="1752">
        <f>'Output-FR (show)'!K32/'Output-FR (show)'!K78</f>
        <v>4.2046669457322085E-2</v>
      </c>
      <c r="L32" s="1752">
        <f>'Output-FR (show)'!L32/'Output-FR (show)'!L78</f>
        <v>7.5990570866246374E-2</v>
      </c>
      <c r="M32" s="1752">
        <f>'Output-FR (show)'!M32/'Output-FR (show)'!M78</f>
        <v>0.16492993814797011</v>
      </c>
      <c r="N32" s="1752">
        <f>'Output-FR (show)'!N32/'Output-FR (show)'!N78</f>
        <v>0.30501328557778895</v>
      </c>
      <c r="O32" s="1752">
        <f>'Output-FR (show)'!O32/'Output-FR (show)'!O78</f>
        <v>7.2853731643821362E-2</v>
      </c>
      <c r="P32" s="1752">
        <f>'Output-FR (show)'!P32/'Output-FR (show)'!P78</f>
        <v>9.0789016559328764E-2</v>
      </c>
      <c r="Q32" s="2684">
        <f ca="1">'Output-FR (show)'!Q32/'Output-FR (show)'!Q78</f>
        <v>0.12270870417521226</v>
      </c>
      <c r="R32" s="2684">
        <f ca="1">'Output-FR (show)'!R32/'Output-FR (show)'!R78</f>
        <v>0.12681450447109283</v>
      </c>
      <c r="S32" s="2684">
        <f ca="1">'Output-FR (show)'!S32/'Output-FR (show)'!S78</f>
        <v>0.13545446042377401</v>
      </c>
      <c r="T32" s="2684">
        <f ca="1">'Output-FR (show)'!T32/'Output-FR (show)'!T78</f>
        <v>0.17187100206802577</v>
      </c>
      <c r="U32" s="2684">
        <f ca="1">'Output-FR (show)'!U32/'Output-FR (show)'!U78</f>
        <v>0.13608804651687884</v>
      </c>
      <c r="V32" s="2684">
        <f ca="1">'Output-FR (show)'!V32/'Output-FR (show)'!V78</f>
        <v>0.11562362178317326</v>
      </c>
      <c r="W32" s="2684">
        <f ca="1">'Output-FR (show)'!W32/'Output-FR (show)'!W78</f>
        <v>0.10955706755763141</v>
      </c>
      <c r="X32" s="2684">
        <f ca="1">'Output-FR (show)'!X32/'Output-FR (show)'!X78</f>
        <v>0.11537048135187633</v>
      </c>
      <c r="Y32" s="2684">
        <f ca="1">'Output-FR (show)'!Y32/'Output-FR (show)'!Y78</f>
        <v>0.12558694275403953</v>
      </c>
      <c r="Z32" s="2684">
        <f ca="1">'Output-FR (show)'!Z32/'Output-FR (show)'!Z78</f>
        <v>0.12036477066855523</v>
      </c>
      <c r="AA32" s="1752"/>
    </row>
    <row r="33" spans="1:53">
      <c r="A33" s="1710" t="s">
        <v>1055</v>
      </c>
      <c r="B33" s="5" t="s">
        <v>1078</v>
      </c>
      <c r="J33" s="1752"/>
      <c r="K33" s="1752">
        <f>'Output-FR (show)'!K32/AVERAGE('Output-FR (show)'!J78:K78)</f>
        <v>4.2046669457322085E-2</v>
      </c>
      <c r="L33" s="1752">
        <f>'Output-FR (show)'!L32/AVERAGE('Output-FR (show)'!K78:L78)</f>
        <v>7.0136970730722156E-2</v>
      </c>
      <c r="M33" s="1752">
        <f>'Output-FR (show)'!M32/AVERAGE('Output-FR (show)'!L78:M78)</f>
        <v>0.18455391720231049</v>
      </c>
      <c r="N33" s="1752">
        <f>'Output-FR (show)'!N32/AVERAGE('Output-FR (show)'!M78:N78)</f>
        <v>0.34241323403049601</v>
      </c>
      <c r="O33" s="1752">
        <f>'Output-FR (show)'!O32/AVERAGE('Output-FR (show)'!N78:O78)</f>
        <v>7.5507515234169278E-2</v>
      </c>
      <c r="P33" s="1752">
        <f>'Output-FR (show)'!P32/AVERAGE('Output-FR (show)'!O78:P78)</f>
        <v>9.222818932928252E-2</v>
      </c>
      <c r="Q33" s="2684">
        <f ca="1">'Output-FR (show)'!Q32/AVERAGE('Output-FR (show)'!P78:Q78)</f>
        <v>0.13103066235812244</v>
      </c>
      <c r="R33" s="2684">
        <f ca="1">'Output-FR (show)'!R32/AVERAGE('Output-FR (show)'!Q78:R78)</f>
        <v>0.13258662534021606</v>
      </c>
      <c r="S33" s="2684">
        <f ca="1">'Output-FR (show)'!S32/AVERAGE('Output-FR (show)'!R78:S78)</f>
        <v>0.14165622739008252</v>
      </c>
      <c r="T33" s="2684">
        <f ca="1">'Output-FR (show)'!T32/AVERAGE('Output-FR (show)'!S78:T78)</f>
        <v>0.18969192887577963</v>
      </c>
      <c r="U33" s="2684">
        <f ca="1">'Output-FR (show)'!U32/AVERAGE('Output-FR (show)'!T78:U78)</f>
        <v>0.14130940806623277</v>
      </c>
      <c r="V33" s="2684">
        <f ca="1">'Output-FR (show)'!V32/AVERAGE('Output-FR (show)'!U78:V78)</f>
        <v>0.11719747858313409</v>
      </c>
      <c r="W33" s="2684">
        <f ca="1">'Output-FR (show)'!W32/AVERAGE('Output-FR (show)'!V78:W78)</f>
        <v>0.112559219914789</v>
      </c>
      <c r="X33" s="2684">
        <f ca="1">'Output-FR (show)'!X32/AVERAGE('Output-FR (show)'!W78:X78)</f>
        <v>0.11844932643600019</v>
      </c>
      <c r="Y33" s="2684">
        <f ca="1">'Output-FR (show)'!Y32/AVERAGE('Output-FR (show)'!X78:Y78)</f>
        <v>0.12916845547493475</v>
      </c>
      <c r="Z33" s="2684">
        <f ca="1">'Output-FR (show)'!Z32/AVERAGE('Output-FR (show)'!Y78:Z78)</f>
        <v>0.12241942286395212</v>
      </c>
      <c r="AA33" s="1752"/>
    </row>
    <row r="34" spans="1:53">
      <c r="A34" s="1710" t="s">
        <v>1055</v>
      </c>
      <c r="B34" s="5" t="s">
        <v>1079</v>
      </c>
      <c r="K34" s="1752">
        <f>'Output-FR (show)'!K35/'Output-FR (show)'!J111</f>
        <v>6.7982758673840182E-2</v>
      </c>
      <c r="L34" s="1752">
        <f>'Output-FR (show)'!L35/'Output-FR (show)'!K111</f>
        <v>0.10874168564860551</v>
      </c>
      <c r="M34" s="1752">
        <f>'Output-FR (show)'!M35/'Output-FR (show)'!L111</f>
        <v>0.28943334028641077</v>
      </c>
      <c r="N34" s="1752">
        <f>'Output-FR (show)'!N35/'Output-FR (show)'!M111</f>
        <v>0.57920526392079008</v>
      </c>
      <c r="O34" s="1752">
        <f>'Output-FR (show)'!O35/'Output-FR (show)'!N111</f>
        <v>0.10484689829236549</v>
      </c>
      <c r="P34" s="1752">
        <f>'Output-FR (show)'!P35/'Output-FR (show)'!O111</f>
        <v>0.14288321595237677</v>
      </c>
      <c r="Q34" s="2684">
        <f ca="1">'Output-FR (show)'!Q35/'Output-FR (show)'!P111</f>
        <v>0.21738564962061935</v>
      </c>
      <c r="R34" s="2684">
        <f ca="1">'Output-FR (show)'!R35/'Output-FR (show)'!Q111</f>
        <v>0.22085662607574083</v>
      </c>
      <c r="S34" s="2684">
        <f ca="1">'Output-FR (show)'!S35/'Output-FR (show)'!R111</f>
        <v>0.2290869416276822</v>
      </c>
      <c r="T34" s="2684">
        <f ca="1">'Output-FR (show)'!T35/'Output-FR (show)'!S111</f>
        <v>0.31719261836004564</v>
      </c>
      <c r="U34" s="2684">
        <f ca="1">'Output-FR (show)'!U35/'Output-FR (show)'!T111</f>
        <v>0.21987228907483458</v>
      </c>
      <c r="V34" s="2684">
        <f ca="1">'Output-FR (show)'!V35/'Output-FR (show)'!U111</f>
        <v>0.17092620696954128</v>
      </c>
      <c r="W34" s="2684">
        <f ca="1">'Output-FR (show)'!W35/'Output-FR (show)'!V111</f>
        <v>0.15725948810065954</v>
      </c>
      <c r="X34" s="2684">
        <f ca="1">'Output-FR (show)'!X35/'Output-FR (show)'!W111</f>
        <v>0.16147244811218295</v>
      </c>
      <c r="Y34" s="2684">
        <f ca="1">'Output-FR (show)'!Y35/'Output-FR (show)'!X111</f>
        <v>0.1742879827894101</v>
      </c>
      <c r="Z34" s="2684">
        <f ca="1">'Output-FR (show)'!Z35/'Output-FR (show)'!Y111</f>
        <v>0.16253665004003875</v>
      </c>
      <c r="AA34" s="1752"/>
    </row>
    <row r="35" spans="1:53">
      <c r="A35" s="1710" t="s">
        <v>1055</v>
      </c>
      <c r="B35" s="5" t="s">
        <v>1080</v>
      </c>
      <c r="K35" s="1752">
        <f>'Output-FR (show)'!K35/AVERAGE('Output-FR (show)'!J111:K111)</f>
        <v>6.9027848237497524E-2</v>
      </c>
      <c r="L35" s="1752">
        <f>'Output-FR (show)'!L35/AVERAGE('Output-FR (show)'!K111:L111)</f>
        <v>0.10679991687979842</v>
      </c>
      <c r="M35" s="1752">
        <f>'Output-FR (show)'!M35/AVERAGE('Output-FR (show)'!L111:M111)</f>
        <v>0.26519936879113326</v>
      </c>
      <c r="N35" s="1752">
        <f>'Output-FR (show)'!N35/AVERAGE('Output-FR (show)'!M111:N111)</f>
        <v>0.47881048169942347</v>
      </c>
      <c r="O35" s="1752">
        <f>'Output-FR (show)'!O35/AVERAGE('Output-FR (show)'!N111:O111)</f>
        <v>0.10812086058064489</v>
      </c>
      <c r="P35" s="1752">
        <f>'Output-FR (show)'!P35/AVERAGE('Output-FR (show)'!O111:P111)</f>
        <v>0.14139890739977126</v>
      </c>
      <c r="Q35" s="2684">
        <f ca="1">'Output-FR (show)'!Q35/AVERAGE('Output-FR (show)'!P111:Q111)</f>
        <v>0.20562092134024049</v>
      </c>
      <c r="R35" s="2684">
        <f ca="1">'Output-FR (show)'!R35/AVERAGE('Output-FR (show)'!Q111:R111)</f>
        <v>0.20752084031293569</v>
      </c>
      <c r="S35" s="2684">
        <f ca="1">'Output-FR (show)'!S35/AVERAGE('Output-FR (show)'!R111:S111)</f>
        <v>0.21528251315597971</v>
      </c>
      <c r="T35" s="2684">
        <f ca="1">'Output-FR (show)'!T35/AVERAGE('Output-FR (show)'!S111:T111)</f>
        <v>0.28407845943923826</v>
      </c>
      <c r="U35" s="2684">
        <f ca="1">'Output-FR (show)'!U35/AVERAGE('Output-FR (show)'!T111:U111)</f>
        <v>0.20715641237321836</v>
      </c>
      <c r="V35" s="2684">
        <f ca="1">'Output-FR (show)'!V35/AVERAGE('Output-FR (show)'!U111:V111)</f>
        <v>0.16369032061767524</v>
      </c>
      <c r="W35" s="2684">
        <f ca="1">'Output-FR (show)'!W35/AVERAGE('Output-FR (show)'!V111:W111)</f>
        <v>0.15107947832022384</v>
      </c>
      <c r="X35" s="2684">
        <f ca="1">'Output-FR (show)'!X35/AVERAGE('Output-FR (show)'!W111:X111)</f>
        <v>0.15618769219613615</v>
      </c>
      <c r="Y35" s="2684">
        <f ca="1">'Output-FR (show)'!Y35/AVERAGE('Output-FR (show)'!X111:Y111)</f>
        <v>0.16893633931081259</v>
      </c>
      <c r="Z35" s="2684">
        <f ca="1">'Output-FR (show)'!Z35/AVERAGE('Output-FR (show)'!Y111:Z111)</f>
        <v>0.15930941174904809</v>
      </c>
      <c r="AA35" s="1752"/>
    </row>
    <row r="36" spans="1:53">
      <c r="A36" s="1710" t="s">
        <v>1055</v>
      </c>
      <c r="B36" s="5" t="s">
        <v>1081</v>
      </c>
      <c r="K36" s="1749">
        <f>'Output-FR (show)'!K35/('Output-FR (show)'!K82+'Output-FR (show)'!K92+'Output-FR (show)'!K111)</f>
        <v>5.4193921453612279E-2</v>
      </c>
      <c r="L36" s="1749">
        <f>'Output-FR (show)'!L35/('Output-FR (show)'!L82+'Output-FR (show)'!L92+'Output-FR (show)'!L111)</f>
        <v>9.2810062133062671E-2</v>
      </c>
      <c r="M36" s="1749">
        <f>'Output-FR (show)'!M35/('Output-FR (show)'!M82+'Output-FR (show)'!M92+'Output-FR (show)'!M111)</f>
        <v>0.22392005982541585</v>
      </c>
      <c r="N36" s="1749">
        <f>'Output-FR (show)'!N35/('Output-FR (show)'!N82+'Output-FR (show)'!N92+'Output-FR (show)'!N111)</f>
        <v>0.40793843384429551</v>
      </c>
      <c r="O36" s="1749">
        <f>'Output-FR (show)'!O35/('Output-FR (show)'!O82+'Output-FR (show)'!O92+'Output-FR (show)'!O111)</f>
        <v>0.10282223590334537</v>
      </c>
      <c r="P36" s="1749">
        <f>'Output-FR (show)'!P35/('Output-FR (show)'!P82+'Output-FR (show)'!P92+'Output-FR (show)'!P111)</f>
        <v>0.12352213645810849</v>
      </c>
      <c r="Q36" s="2685">
        <f ca="1">'Output-FR (show)'!Q35/('Output-FR (show)'!Q82+'Output-FR (show)'!Q92+'Output-FR (show)'!Q111)</f>
        <v>0.16600696692444916</v>
      </c>
      <c r="R36" s="2685">
        <f ca="1">'Output-FR (show)'!R35/('Output-FR (show)'!R82+'Output-FR (show)'!R92+'Output-FR (show)'!R111)</f>
        <v>0.16711645104017242</v>
      </c>
      <c r="S36" s="2685">
        <f ca="1">'Output-FR (show)'!S35/('Output-FR (show)'!S82+'Output-FR (show)'!S92+'Output-FR (show)'!S111)</f>
        <v>0.17682873727320916</v>
      </c>
      <c r="T36" s="2685">
        <f ca="1">'Output-FR (show)'!T35/('Output-FR (show)'!T82+'Output-FR (show)'!T92+'Output-FR (show)'!T111)</f>
        <v>0.22055502447386072</v>
      </c>
      <c r="U36" s="2685">
        <f ca="1">'Output-FR (show)'!U35/('Output-FR (show)'!U82+'Output-FR (show)'!U92+'Output-FR (show)'!U111)</f>
        <v>0.17121192444393046</v>
      </c>
      <c r="V36" s="2685">
        <f ca="1">'Output-FR (show)'!V35/('Output-FR (show)'!V82+'Output-FR (show)'!V92+'Output-FR (show)'!V111)</f>
        <v>0.14011317870649451</v>
      </c>
      <c r="W36" s="2685">
        <f ca="1">'Output-FR (show)'!W35/('Output-FR (show)'!W82+'Output-FR (show)'!W92+'Output-FR (show)'!W111)</f>
        <v>0.13111095641831041</v>
      </c>
      <c r="X36" s="2685">
        <f ca="1">'Output-FR (show)'!X35/('Output-FR (show)'!X82+'Output-FR (show)'!X92+'Output-FR (show)'!X111)</f>
        <v>0.13698253904268098</v>
      </c>
      <c r="Y36" s="2685">
        <f ca="1">'Output-FR (show)'!Y35/('Output-FR (show)'!Y82+'Output-FR (show)'!Y92+'Output-FR (show)'!Y111)</f>
        <v>0.14879275722235999</v>
      </c>
      <c r="Z36" s="2685">
        <f ca="1">'Output-FR (show)'!Z35/('Output-FR (show)'!Z82+'Output-FR (show)'!Z92+'Output-FR (show)'!Z111)</f>
        <v>0.14170182888677452</v>
      </c>
      <c r="AA36" s="1752"/>
    </row>
    <row r="37" spans="1:53">
      <c r="A37" s="1791"/>
      <c r="B37" s="5" t="s">
        <v>1082</v>
      </c>
      <c r="E37" s="1754"/>
      <c r="F37" s="1754"/>
      <c r="G37" s="1754"/>
      <c r="H37" s="1754"/>
      <c r="I37" s="1754"/>
      <c r="J37" s="1755"/>
      <c r="K37" s="1755">
        <f>K9/K18</f>
        <v>5.882827599983858</v>
      </c>
      <c r="L37" s="1755">
        <f t="shared" ref="L37:Z37" si="7">L9/L18</f>
        <v>5.2007099229436458</v>
      </c>
      <c r="M37" s="1755">
        <f t="shared" si="7"/>
        <v>3.4446082341489177</v>
      </c>
      <c r="N37" s="1755">
        <f t="shared" si="7"/>
        <v>4.0480703345898821</v>
      </c>
      <c r="O37" s="1755">
        <f t="shared" si="7"/>
        <v>6.6719175646328317</v>
      </c>
      <c r="P37" s="1755">
        <f t="shared" si="7"/>
        <v>-719.70662717007644</v>
      </c>
      <c r="Q37" s="2686">
        <f t="shared" ca="1" si="7"/>
        <v>36.692661449250323</v>
      </c>
      <c r="R37" s="2686">
        <f t="shared" ca="1" si="7"/>
        <v>10.337558751629718</v>
      </c>
      <c r="S37" s="2686">
        <f t="shared" ca="1" si="7"/>
        <v>7.2593041704053647</v>
      </c>
      <c r="T37" s="2686">
        <f t="shared" ca="1" si="7"/>
        <v>12.44322089536567</v>
      </c>
      <c r="U37" s="2686">
        <f t="shared" ca="1" si="7"/>
        <v>6.2633235792557045</v>
      </c>
      <c r="V37" s="2686">
        <f t="shared" ca="1" si="7"/>
        <v>6.2119647858098146</v>
      </c>
      <c r="W37" s="2686">
        <f t="shared" ca="1" si="7"/>
        <v>8.1222312706381317</v>
      </c>
      <c r="X37" s="2686">
        <f t="shared" ca="1" si="7"/>
        <v>6.8497460528944636</v>
      </c>
      <c r="Y37" s="2686">
        <f t="shared" ca="1" si="7"/>
        <v>6.3236889234438634</v>
      </c>
      <c r="Z37" s="2686">
        <f t="shared" ca="1" si="7"/>
        <v>6.3953173337147824</v>
      </c>
      <c r="AA37" s="1755"/>
      <c r="AB37" s="1754"/>
      <c r="AC37" s="1754"/>
      <c r="AD37" s="1754"/>
      <c r="AE37" s="1754"/>
      <c r="AF37" s="1754"/>
      <c r="AG37" s="1754"/>
      <c r="AH37" s="1754"/>
      <c r="AI37" s="1754"/>
      <c r="AJ37" s="1754"/>
      <c r="AK37" s="1754"/>
      <c r="AL37" s="1754"/>
      <c r="AM37" s="1754"/>
      <c r="AN37" s="1754"/>
      <c r="AO37" s="1754"/>
      <c r="AP37" s="1754"/>
      <c r="AQ37" s="1754"/>
      <c r="AR37" s="1754"/>
      <c r="AS37" s="1754"/>
      <c r="AT37" s="1754"/>
      <c r="AU37" s="1754"/>
      <c r="AV37" s="1754"/>
      <c r="AW37" s="1754"/>
      <c r="AX37" s="1754"/>
      <c r="AY37" s="1754"/>
      <c r="AZ37" s="1754"/>
      <c r="BA37" s="1754"/>
    </row>
    <row r="38" spans="1:53">
      <c r="P38" s="1756"/>
    </row>
    <row r="39" spans="1:53" ht="13.8" thickBot="1">
      <c r="B39" s="1721" t="s">
        <v>1083</v>
      </c>
      <c r="C39" s="1722"/>
      <c r="D39" s="1722"/>
      <c r="E39" s="1757"/>
      <c r="F39" s="1757"/>
      <c r="G39" s="1757"/>
      <c r="H39" s="1757"/>
      <c r="I39" s="1757"/>
      <c r="J39" s="1757"/>
      <c r="K39" s="1757"/>
      <c r="L39" s="1757"/>
      <c r="M39" s="1757"/>
      <c r="N39" s="1757"/>
      <c r="O39" s="1757"/>
      <c r="P39" s="1758"/>
      <c r="Q39" s="1757"/>
      <c r="R39" s="1757"/>
      <c r="S39" s="1757"/>
      <c r="T39" s="1757"/>
      <c r="U39" s="1757"/>
      <c r="V39" s="1757"/>
      <c r="W39" s="1757"/>
      <c r="X39" s="1757"/>
      <c r="Y39" s="1757"/>
      <c r="Z39" s="1757"/>
      <c r="AA39" s="1757"/>
      <c r="AB39" s="1757"/>
      <c r="AC39" s="1757"/>
      <c r="AD39" s="1757"/>
      <c r="AE39" s="1757"/>
      <c r="AF39" s="1757"/>
      <c r="AG39" s="1757"/>
      <c r="AH39" s="1757"/>
      <c r="AI39" s="1757"/>
      <c r="AJ39" s="1757"/>
      <c r="AK39" s="1757"/>
      <c r="AL39" s="1757"/>
      <c r="AM39" s="1757"/>
      <c r="AN39" s="1757"/>
      <c r="AO39" s="1757"/>
      <c r="AP39" s="1757"/>
      <c r="AQ39" s="1757"/>
      <c r="AR39" s="1757"/>
      <c r="AS39" s="1757"/>
      <c r="AT39" s="1757"/>
      <c r="AU39" s="1757"/>
      <c r="AV39" s="1757"/>
      <c r="AW39" s="1757"/>
      <c r="AX39" s="1757"/>
      <c r="AY39" s="1757"/>
      <c r="AZ39" s="1757"/>
      <c r="BA39" s="1757"/>
    </row>
    <row r="40" spans="1:53">
      <c r="A40" s="1710" t="s">
        <v>1055</v>
      </c>
      <c r="B40" s="5" t="s">
        <v>1084</v>
      </c>
      <c r="E40" s="1754"/>
      <c r="F40" s="1754"/>
      <c r="G40" s="1754"/>
      <c r="H40" s="1754"/>
      <c r="I40" s="1754"/>
      <c r="J40" s="1754"/>
      <c r="K40" s="1754">
        <f>365/ ('Output-FR (show)'!K5/AVERAGE('Output-FR (show)'!J64:K64))</f>
        <v>67.430377825808648</v>
      </c>
      <c r="L40" s="1754">
        <f>365/ ('Output-FR (show)'!L5/AVERAGE('Output-FR (show)'!K64:L64))</f>
        <v>51.536886581024554</v>
      </c>
      <c r="M40" s="1754">
        <f>365/ ('Output-FR (show)'!M5/AVERAGE('Output-FR (show)'!L64:M64))</f>
        <v>56.179039326556435</v>
      </c>
      <c r="N40" s="1754">
        <f>365/ ('Output-FR (show)'!N5/AVERAGE('Output-FR (show)'!M64:N64))</f>
        <v>51.417884739008905</v>
      </c>
      <c r="O40" s="1754">
        <f>365/ ('Output-FR (show)'!O5/AVERAGE('Output-FR (show)'!N64:O64))</f>
        <v>64.505463601646284</v>
      </c>
      <c r="P40" s="1754">
        <f>365/ ('Output-FR (show)'!P5/AVERAGE('Output-FR (show)'!O64:P64))</f>
        <v>69.319705935472086</v>
      </c>
      <c r="Q40" s="2687">
        <f>365/ ('Output-FR (show)'!Q5/AVERAGE('Output-FR (show)'!P64:Q64))</f>
        <v>70.822506995515255</v>
      </c>
      <c r="R40" s="2687">
        <f>365/ ('Output-FR (show)'!R5/AVERAGE('Output-FR (show)'!Q64:R64))</f>
        <v>78.854641515251473</v>
      </c>
      <c r="S40" s="2687">
        <f>365/ ('Output-FR (show)'!S5/AVERAGE('Output-FR (show)'!R64:S64))</f>
        <v>77.216983486703256</v>
      </c>
      <c r="T40" s="2687">
        <f>365/ ('Output-FR (show)'!T5/AVERAGE('Output-FR (show)'!S64:T64))</f>
        <v>72.162793695285657</v>
      </c>
      <c r="U40" s="2687">
        <f>365/ ('Output-FR (show)'!U5/AVERAGE('Output-FR (show)'!T64:U64))</f>
        <v>79.761923297969005</v>
      </c>
      <c r="V40" s="2687">
        <f>365/ ('Output-FR (show)'!V5/AVERAGE('Output-FR (show)'!U64:V64))</f>
        <v>81.284833099430017</v>
      </c>
      <c r="W40" s="2687">
        <f>365/ ('Output-FR (show)'!W5/AVERAGE('Output-FR (show)'!V64:W64))</f>
        <v>80.054948974502864</v>
      </c>
      <c r="X40" s="2687">
        <f>365/ ('Output-FR (show)'!X5/AVERAGE('Output-FR (show)'!W64:X64))</f>
        <v>80.835258926785471</v>
      </c>
      <c r="Y40" s="2687">
        <f>365/ ('Output-FR (show)'!Y5/AVERAGE('Output-FR (show)'!X64:Y64))</f>
        <v>78.581205240531474</v>
      </c>
      <c r="Z40" s="2687">
        <f>365/ ('Output-FR (show)'!Z5/AVERAGE('Output-FR (show)'!Y64:Z64))</f>
        <v>80.282897540911577</v>
      </c>
      <c r="AA40" s="1754"/>
      <c r="AB40" s="1759"/>
      <c r="AC40" s="1759"/>
      <c r="AD40" s="1759"/>
      <c r="AE40" s="1759"/>
      <c r="AF40" s="1759"/>
      <c r="AG40" s="1759"/>
      <c r="AH40" s="1759"/>
      <c r="AI40" s="1759"/>
      <c r="AJ40" s="1759"/>
      <c r="AK40" s="1759"/>
      <c r="AL40" s="1759"/>
      <c r="AM40" s="1759"/>
      <c r="AN40" s="1759"/>
      <c r="AO40" s="1759"/>
      <c r="AP40" s="1759"/>
      <c r="AQ40" s="1759"/>
      <c r="AR40" s="1759"/>
      <c r="AS40" s="1759"/>
      <c r="AT40" s="1759"/>
      <c r="AU40" s="1759"/>
      <c r="AV40" s="1759"/>
      <c r="AW40" s="1759"/>
      <c r="AX40" s="1759"/>
      <c r="AY40" s="1759"/>
      <c r="AZ40" s="1759"/>
      <c r="BA40" s="1759"/>
    </row>
    <row r="41" spans="1:53">
      <c r="A41" s="1710" t="s">
        <v>1055</v>
      </c>
      <c r="B41" s="5" t="s">
        <v>1085</v>
      </c>
      <c r="E41" s="1754"/>
      <c r="F41" s="1754"/>
      <c r="G41" s="1754"/>
      <c r="H41" s="1754"/>
      <c r="I41" s="1754"/>
      <c r="J41" s="1754"/>
      <c r="K41" s="1754">
        <f>365/ ('Output-FR (show)'!K6/AVERAGE('Output-FR (show)'!J64:K64))</f>
        <v>78.061720220439099</v>
      </c>
      <c r="L41" s="1754">
        <f>365/ ('Output-FR (show)'!L6/AVERAGE('Output-FR (show)'!K64:L64))</f>
        <v>62.405174806848215</v>
      </c>
      <c r="M41" s="1754">
        <f>365/ ('Output-FR (show)'!M6/AVERAGE('Output-FR (show)'!L64:M64))</f>
        <v>78.218001105165939</v>
      </c>
      <c r="N41" s="1754">
        <f>365/ ('Output-FR (show)'!N6/AVERAGE('Output-FR (show)'!M64:N64))</f>
        <v>80.10935154273092</v>
      </c>
      <c r="O41" s="1754">
        <f>365/ ('Output-FR (show)'!O6/AVERAGE('Output-FR (show)'!N64:O64))</f>
        <v>76.941689419725378</v>
      </c>
      <c r="P41" s="1754">
        <f>365/ ('Output-FR (show)'!P6/AVERAGE('Output-FR (show)'!O64:P64))</f>
        <v>85.242972514680915</v>
      </c>
      <c r="Q41" s="2687">
        <f>365/ ('Output-FR (show)'!Q6/AVERAGE('Output-FR (show)'!P64:Q64))</f>
        <v>90.253937162108286</v>
      </c>
      <c r="R41" s="2687">
        <f>365/ ('Output-FR (show)'!R6/AVERAGE('Output-FR (show)'!Q64:R64))</f>
        <v>101.9138711538514</v>
      </c>
      <c r="S41" s="2687">
        <f>365/ ('Output-FR (show)'!S6/AVERAGE('Output-FR (show)'!R64:S64))</f>
        <v>102.09503466094466</v>
      </c>
      <c r="T41" s="2687">
        <f>365/ ('Output-FR (show)'!T6/AVERAGE('Output-FR (show)'!S64:T64))</f>
        <v>103.57449437251313</v>
      </c>
      <c r="U41" s="2687">
        <f>365/ ('Output-FR (show)'!U6/AVERAGE('Output-FR (show)'!T64:U64))</f>
        <v>109.60995028165365</v>
      </c>
      <c r="V41" s="2687">
        <f>365/ ('Output-FR (show)'!V6/AVERAGE('Output-FR (show)'!U64:V64))</f>
        <v>108.29635948029352</v>
      </c>
      <c r="W41" s="2687">
        <f>365/ ('Output-FR (show)'!W6/AVERAGE('Output-FR (show)'!V64:W64))</f>
        <v>105.22361453135699</v>
      </c>
      <c r="X41" s="2687">
        <f>365/ ('Output-FR (show)'!X6/AVERAGE('Output-FR (show)'!W64:X64))</f>
        <v>108.15503270575769</v>
      </c>
      <c r="Y41" s="2687">
        <f>365/ ('Output-FR (show)'!Y6/AVERAGE('Output-FR (show)'!X64:Y64))</f>
        <v>107.80807166936819</v>
      </c>
      <c r="Z41" s="2687">
        <f>365/ ('Output-FR (show)'!Z6/AVERAGE('Output-FR (show)'!Y64:Z64))</f>
        <v>109.09175839473495</v>
      </c>
      <c r="AA41" s="1754"/>
      <c r="AB41" s="1759"/>
      <c r="AC41" s="1759"/>
      <c r="AD41" s="1759"/>
      <c r="AE41" s="1759"/>
      <c r="AF41" s="1759"/>
      <c r="AG41" s="1759"/>
      <c r="AH41" s="1759"/>
      <c r="AI41" s="1759"/>
      <c r="AJ41" s="1759"/>
      <c r="AK41" s="1759"/>
      <c r="AL41" s="1759"/>
      <c r="AM41" s="1759"/>
      <c r="AN41" s="1759"/>
      <c r="AO41" s="1759"/>
      <c r="AP41" s="1759"/>
      <c r="AQ41" s="1759"/>
      <c r="AR41" s="1759"/>
      <c r="AS41" s="1759"/>
      <c r="AT41" s="1759"/>
      <c r="AU41" s="1759"/>
      <c r="AV41" s="1759"/>
      <c r="AW41" s="1759"/>
      <c r="AX41" s="1759"/>
      <c r="AY41" s="1759"/>
      <c r="AZ41" s="1759"/>
      <c r="BA41" s="1759"/>
    </row>
    <row r="42" spans="1:53">
      <c r="A42" s="1710" t="s">
        <v>1055</v>
      </c>
      <c r="B42" s="5" t="s">
        <v>1086</v>
      </c>
      <c r="E42" s="1754"/>
      <c r="F42" s="1754"/>
      <c r="G42" s="1754"/>
      <c r="H42" s="1754"/>
      <c r="I42" s="1754"/>
      <c r="J42" s="1754"/>
      <c r="K42" s="1754">
        <f>365/ (('Output-FR (show)'!K64-'Output-FR (show)'!J64+'Output-FR (show)'!K6)/AVERAGE('Output-FR (show)'!J86:K86))</f>
        <v>43.459653117274826</v>
      </c>
      <c r="L42" s="1754">
        <f>365/ (('Output-FR (show)'!L64-'Output-FR (show)'!K64+'Output-FR (show)'!L6)/AVERAGE('Output-FR (show)'!K86:L86))</f>
        <v>50.175896917704762</v>
      </c>
      <c r="M42" s="1754">
        <f>365/ (('Output-FR (show)'!M64-'Output-FR (show)'!L64+'Output-FR (show)'!M6)/AVERAGE('Output-FR (show)'!L86:M86))</f>
        <v>32.447529039323783</v>
      </c>
      <c r="N42" s="1754">
        <f>365/ (('Output-FR (show)'!N64-'Output-FR (show)'!M64+'Output-FR (show)'!N6)/AVERAGE('Output-FR (show)'!M86:N86))</f>
        <v>32.306985283018186</v>
      </c>
      <c r="O42" s="1754">
        <f>365/ (('Output-FR (show)'!O64-'Output-FR (show)'!N64+'Output-FR (show)'!O6)/AVERAGE('Output-FR (show)'!N86:O86))</f>
        <v>52.870448988487254</v>
      </c>
      <c r="P42" s="1754">
        <f>365/ (('Output-FR (show)'!P64-'Output-FR (show)'!O64+'Output-FR (show)'!P6)/AVERAGE('Output-FR (show)'!O86:P86))</f>
        <v>56.013929558093942</v>
      </c>
      <c r="Q42" s="2687">
        <f>365/ (('Output-FR (show)'!Q64-'Output-FR (show)'!P64+'Output-FR (show)'!Q6)/AVERAGE('Output-FR (show)'!P86:Q86))</f>
        <v>38.325726179083674</v>
      </c>
      <c r="R42" s="2687">
        <f>365/ (('Output-FR (show)'!R64-'Output-FR (show)'!Q64+'Output-FR (show)'!R6)/AVERAGE('Output-FR (show)'!Q86:R86))</f>
        <v>37.766955851982893</v>
      </c>
      <c r="S42" s="2687">
        <f>365/ (('Output-FR (show)'!S64-'Output-FR (show)'!R64+'Output-FR (show)'!S6)/AVERAGE('Output-FR (show)'!R86:S86))</f>
        <v>38.093150059495969</v>
      </c>
      <c r="T42" s="2687">
        <f>365/ (('Output-FR (show)'!T64-'Output-FR (show)'!S64+'Output-FR (show)'!T6)/AVERAGE('Output-FR (show)'!S86:T86))</f>
        <v>35.832695916897087</v>
      </c>
      <c r="U42" s="2687">
        <f>365/ (('Output-FR (show)'!U64-'Output-FR (show)'!T64+'Output-FR (show)'!U6)/AVERAGE('Output-FR (show)'!T86:U86))</f>
        <v>42.391316693541846</v>
      </c>
      <c r="V42" s="2687">
        <f>365/ (('Output-FR (show)'!V64-'Output-FR (show)'!U64+'Output-FR (show)'!V6)/AVERAGE('Output-FR (show)'!U86:V86))</f>
        <v>39.590725845838122</v>
      </c>
      <c r="W42" s="2687">
        <f>365/ (('Output-FR (show)'!W64-'Output-FR (show)'!V64+'Output-FR (show)'!W6)/AVERAGE('Output-FR (show)'!V86:W86))</f>
        <v>31.274663902376915</v>
      </c>
      <c r="X42" s="2687">
        <f>365/ (('Output-FR (show)'!X64-'Output-FR (show)'!W64+'Output-FR (show)'!X6)/AVERAGE('Output-FR (show)'!W86:X86))</f>
        <v>29.989388611524465</v>
      </c>
      <c r="Y42" s="2687">
        <f>365/ (('Output-FR (show)'!Y64-'Output-FR (show)'!X64+'Output-FR (show)'!Y6)/AVERAGE('Output-FR (show)'!X86:Y86))</f>
        <v>28.787481484740994</v>
      </c>
      <c r="Z42" s="2687">
        <f>365/ (('Output-FR (show)'!Z64-'Output-FR (show)'!Y64+'Output-FR (show)'!Z6)/AVERAGE('Output-FR (show)'!Y86:Z86))</f>
        <v>27.722886958389346</v>
      </c>
      <c r="AA42" s="1754"/>
      <c r="AB42" s="1759"/>
      <c r="AC42" s="1759"/>
      <c r="AD42" s="1759"/>
      <c r="AE42" s="1759"/>
      <c r="AF42" s="1759"/>
      <c r="AG42" s="1759"/>
      <c r="AH42" s="1759"/>
      <c r="AI42" s="1759"/>
      <c r="AJ42" s="1759"/>
      <c r="AK42" s="1759"/>
      <c r="AL42" s="1759"/>
      <c r="AM42" s="1759"/>
      <c r="AN42" s="1759"/>
      <c r="AO42" s="1759"/>
      <c r="AP42" s="1759"/>
      <c r="AQ42" s="1759"/>
      <c r="AR42" s="1759"/>
      <c r="AS42" s="1759"/>
      <c r="AT42" s="1759"/>
      <c r="AU42" s="1759"/>
      <c r="AV42" s="1759"/>
      <c r="AW42" s="1759"/>
      <c r="AX42" s="1759"/>
      <c r="AY42" s="1759"/>
      <c r="AZ42" s="1759"/>
      <c r="BA42" s="1759"/>
    </row>
    <row r="43" spans="1:53">
      <c r="A43" s="1710" t="s">
        <v>1055</v>
      </c>
      <c r="B43" s="5" t="s">
        <v>1087</v>
      </c>
      <c r="E43" s="1754"/>
      <c r="F43" s="1754"/>
      <c r="G43" s="1754"/>
      <c r="H43" s="1754"/>
      <c r="I43" s="1754"/>
      <c r="J43" s="1754"/>
      <c r="K43" s="1754">
        <f>K40+K41-K42</f>
        <v>102.03244492897292</v>
      </c>
      <c r="L43" s="1754">
        <f t="shared" ref="L43:Z43" si="8">L40+L41-L42</f>
        <v>63.766164470168007</v>
      </c>
      <c r="M43" s="1754">
        <f t="shared" si="8"/>
        <v>101.94951139239858</v>
      </c>
      <c r="N43" s="1754">
        <f t="shared" si="8"/>
        <v>99.220250998721639</v>
      </c>
      <c r="O43" s="1754">
        <f t="shared" si="8"/>
        <v>88.576704032884408</v>
      </c>
      <c r="P43" s="1754">
        <f t="shared" si="8"/>
        <v>98.548748892059052</v>
      </c>
      <c r="Q43" s="2687">
        <f t="shared" si="8"/>
        <v>122.75071797853987</v>
      </c>
      <c r="R43" s="2687">
        <f t="shared" si="8"/>
        <v>143.00155681711999</v>
      </c>
      <c r="S43" s="2687">
        <f t="shared" si="8"/>
        <v>141.21886808815194</v>
      </c>
      <c r="T43" s="2687">
        <f t="shared" si="8"/>
        <v>139.90459215090169</v>
      </c>
      <c r="U43" s="2687">
        <f t="shared" si="8"/>
        <v>146.98055688608082</v>
      </c>
      <c r="V43" s="2687">
        <f t="shared" si="8"/>
        <v>149.9904667338854</v>
      </c>
      <c r="W43" s="2687">
        <f t="shared" si="8"/>
        <v>154.00389960348292</v>
      </c>
      <c r="X43" s="2687">
        <f t="shared" si="8"/>
        <v>159.0009030210187</v>
      </c>
      <c r="Y43" s="2687">
        <f t="shared" si="8"/>
        <v>157.60179542515866</v>
      </c>
      <c r="Z43" s="2687">
        <f t="shared" si="8"/>
        <v>161.65176897725718</v>
      </c>
      <c r="AA43" s="1754"/>
      <c r="AB43" s="1759"/>
      <c r="AC43" s="1759"/>
      <c r="AD43" s="1759"/>
      <c r="AE43" s="1759"/>
      <c r="AF43" s="1759"/>
      <c r="AG43" s="1759"/>
      <c r="AH43" s="1759"/>
      <c r="AI43" s="1759"/>
      <c r="AJ43" s="1759"/>
      <c r="AK43" s="1759"/>
      <c r="AL43" s="1759"/>
      <c r="AM43" s="1759"/>
      <c r="AN43" s="1759"/>
      <c r="AO43" s="1759"/>
      <c r="AP43" s="1759"/>
      <c r="AQ43" s="1759"/>
      <c r="AR43" s="1759"/>
      <c r="AS43" s="1759"/>
      <c r="AT43" s="1759"/>
      <c r="AU43" s="1759"/>
      <c r="AV43" s="1759"/>
      <c r="AW43" s="1759"/>
      <c r="AX43" s="1759"/>
      <c r="AY43" s="1759"/>
      <c r="AZ43" s="1759"/>
      <c r="BA43" s="1759"/>
    </row>
    <row r="44" spans="1:53">
      <c r="B44" s="5" t="s">
        <v>1088</v>
      </c>
      <c r="J44" s="1752"/>
      <c r="K44" s="1752">
        <f>K50/K9</f>
        <v>0.13489188787689191</v>
      </c>
      <c r="L44" s="1752">
        <f t="shared" ref="L44:Z44" si="9">L50/L9</f>
        <v>0.25498878384644602</v>
      </c>
      <c r="M44" s="1752">
        <f t="shared" si="9"/>
        <v>0.41436467585402592</v>
      </c>
      <c r="N44" s="1752">
        <f t="shared" si="9"/>
        <v>0.54945121282413101</v>
      </c>
      <c r="O44" s="1752">
        <f t="shared" si="9"/>
        <v>0.7149443175646667</v>
      </c>
      <c r="P44" s="1752">
        <f t="shared" si="9"/>
        <v>0.61239497053790071</v>
      </c>
      <c r="Q44" s="2684">
        <f t="shared" ca="1" si="9"/>
        <v>0.54753555188624281</v>
      </c>
      <c r="R44" s="2684">
        <f t="shared" ca="1" si="9"/>
        <v>0.62439734730507024</v>
      </c>
      <c r="S44" s="2684">
        <f t="shared" ca="1" si="9"/>
        <v>0.68365558828762152</v>
      </c>
      <c r="T44" s="2684">
        <f t="shared" ca="1" si="9"/>
        <v>0.71555532428848156</v>
      </c>
      <c r="U44" s="2684">
        <f t="shared" ca="1" si="9"/>
        <v>0.83033145104628248</v>
      </c>
      <c r="V44" s="2684">
        <f t="shared" ca="1" si="9"/>
        <v>0.96155869470393796</v>
      </c>
      <c r="W44" s="2684">
        <f t="shared" ca="1" si="9"/>
        <v>1.0183919269885868</v>
      </c>
      <c r="X44" s="2684">
        <f t="shared" ca="1" si="9"/>
        <v>1.071396687178745</v>
      </c>
      <c r="Y44" s="2684">
        <f t="shared" ca="1" si="9"/>
        <v>1.0921435744409083</v>
      </c>
      <c r="Z44" s="2684">
        <f t="shared" ca="1" si="9"/>
        <v>1.128963990908302</v>
      </c>
      <c r="AA44" s="1752"/>
    </row>
    <row r="45" spans="1:53">
      <c r="B45" s="5" t="s">
        <v>1089</v>
      </c>
      <c r="E45" s="1760"/>
      <c r="F45" s="1760"/>
      <c r="G45" s="1760"/>
      <c r="H45" s="1760"/>
      <c r="I45" s="1760"/>
      <c r="J45" s="1761"/>
      <c r="K45" s="1761">
        <f>'Output-FR (show)'!K5/'Output-FR (show)'!K77</f>
        <v>1.1891765644501542</v>
      </c>
      <c r="L45" s="1761">
        <f>'Output-FR (show)'!L5/'Output-FR (show)'!L77</f>
        <v>1.595445180692707</v>
      </c>
      <c r="M45" s="1761">
        <f>'Output-FR (show)'!M5/'Output-FR (show)'!M77</f>
        <v>2.6001595757443265</v>
      </c>
      <c r="N45" s="1761">
        <f>'Output-FR (show)'!N5/'Output-FR (show)'!N77</f>
        <v>6.2629051400530642</v>
      </c>
      <c r="O45" s="1761">
        <f>'Output-FR (show)'!O5/'Output-FR (show)'!O77</f>
        <v>7.2516598626571067</v>
      </c>
      <c r="P45" s="1761">
        <f>'Output-FR (show)'!P5/'Output-FR (show)'!P77</f>
        <v>4.791901413272349</v>
      </c>
      <c r="Q45" s="2688">
        <f>'Output-FR (show)'!Q5/'Output-FR (show)'!Q77</f>
        <v>6.520617399156742</v>
      </c>
      <c r="R45" s="2688">
        <f>'Output-FR (show)'!R5/'Output-FR (show)'!R77</f>
        <v>7.3763667669958819</v>
      </c>
      <c r="S45" s="2688">
        <f>'Output-FR (show)'!S5/'Output-FR (show)'!S77</f>
        <v>6.652558577934804</v>
      </c>
      <c r="T45" s="2688">
        <f>'Output-FR (show)'!T5/'Output-FR (show)'!T77</f>
        <v>6.1941324280619146</v>
      </c>
      <c r="U45" s="2688">
        <f>'Output-FR (show)'!U5/'Output-FR (show)'!U77</f>
        <v>5.9464748280289959</v>
      </c>
      <c r="V45" s="2688">
        <f>'Output-FR (show)'!V5/'Output-FR (show)'!V77</f>
        <v>5.5770490196902616</v>
      </c>
      <c r="W45" s="2688">
        <f>'Output-FR (show)'!W5/'Output-FR (show)'!W77</f>
        <v>5.8137739878868206</v>
      </c>
      <c r="X45" s="2688">
        <f>'Output-FR (show)'!X5/'Output-FR (show)'!X77</f>
        <v>6.0239391312127406</v>
      </c>
      <c r="Y45" s="2688">
        <f>'Output-FR (show)'!Y5/'Output-FR (show)'!Y77</f>
        <v>6.3555174765151099</v>
      </c>
      <c r="Z45" s="2688">
        <f>'Output-FR (show)'!Z5/'Output-FR (show)'!Z77</f>
        <v>6.5731172058002256</v>
      </c>
      <c r="AA45" s="1761"/>
      <c r="AB45" s="1762"/>
      <c r="AC45" s="1762"/>
      <c r="AD45" s="1762"/>
      <c r="AE45" s="1762"/>
      <c r="AF45" s="1762"/>
      <c r="AG45" s="1762"/>
      <c r="AH45" s="1762"/>
      <c r="AI45" s="1762"/>
      <c r="AJ45" s="1762"/>
      <c r="AK45" s="1762"/>
      <c r="AL45" s="1762"/>
      <c r="AM45" s="1762"/>
      <c r="AN45" s="1762"/>
      <c r="AO45" s="1762"/>
      <c r="AP45" s="1762"/>
      <c r="AQ45" s="1762"/>
      <c r="AR45" s="1762"/>
      <c r="AS45" s="1762"/>
      <c r="AT45" s="1762"/>
      <c r="AU45" s="1762"/>
      <c r="AV45" s="1762"/>
      <c r="AW45" s="1762"/>
      <c r="AX45" s="1762"/>
      <c r="AY45" s="1762"/>
      <c r="AZ45" s="1762"/>
      <c r="BA45" s="1762"/>
    </row>
    <row r="46" spans="1:53">
      <c r="B46" s="5" t="s">
        <v>1090</v>
      </c>
      <c r="E46" s="1763"/>
      <c r="F46" s="1763"/>
      <c r="G46" s="1763"/>
      <c r="H46" s="1763"/>
      <c r="I46" s="1763"/>
      <c r="J46" s="1746"/>
      <c r="K46" s="1746">
        <f>'Output-FR (show)'!K5/'Output-FR (show)'!K78</f>
        <v>0.69234714458823943</v>
      </c>
      <c r="L46" s="1746">
        <f>'Output-FR (show)'!L5/'Output-FR (show)'!L78</f>
        <v>0.86736929715191247</v>
      </c>
      <c r="M46" s="1746">
        <f>'Output-FR (show)'!M5/'Output-FR (show)'!M78</f>
        <v>0.89140667863750944</v>
      </c>
      <c r="N46" s="1746">
        <f>'Output-FR (show)'!N5/'Output-FR (show)'!N78</f>
        <v>1.1240688525934077</v>
      </c>
      <c r="O46" s="1746">
        <f>'Output-FR (show)'!O5/'Output-FR (show)'!O78</f>
        <v>0.82494879810915744</v>
      </c>
      <c r="P46" s="1746">
        <f>'Output-FR (show)'!P5/'Output-FR (show)'!P78</f>
        <v>0.85547178762476928</v>
      </c>
      <c r="Q46" s="2683">
        <f ca="1">'Output-FR (show)'!Q5/'Output-FR (show)'!Q78</f>
        <v>0.9844307390622854</v>
      </c>
      <c r="R46" s="2683">
        <f ca="1">'Output-FR (show)'!R5/'Output-FR (show)'!R78</f>
        <v>0.94192774849889982</v>
      </c>
      <c r="S46" s="2683">
        <f ca="1">'Output-FR (show)'!S5/'Output-FR (show)'!S78</f>
        <v>0.88376892119161243</v>
      </c>
      <c r="T46" s="2683">
        <f ca="1">'Output-FR (show)'!T5/'Output-FR (show)'!T78</f>
        <v>0.84585386026254117</v>
      </c>
      <c r="U46" s="2683">
        <f ca="1">'Output-FR (show)'!U5/'Output-FR (show)'!U78</f>
        <v>0.75914750526364116</v>
      </c>
      <c r="V46" s="2683">
        <f ca="1">'Output-FR (show)'!V5/'Output-FR (show)'!V78</f>
        <v>0.6913206814948275</v>
      </c>
      <c r="W46" s="2683">
        <f ca="1">'Output-FR (show)'!W5/'Output-FR (show)'!W78</f>
        <v>0.67131501554105988</v>
      </c>
      <c r="X46" s="2683">
        <f ca="1">'Output-FR (show)'!X5/'Output-FR (show)'!X78</f>
        <v>0.6503462410309957</v>
      </c>
      <c r="Y46" s="2683">
        <f ca="1">'Output-FR (show)'!Y5/'Output-FR (show)'!Y78</f>
        <v>0.64613305564871526</v>
      </c>
      <c r="Z46" s="2683">
        <f ca="1">'Output-FR (show)'!Z5/'Output-FR (show)'!Z78</f>
        <v>0.63284756189263291</v>
      </c>
      <c r="AA46" s="1746"/>
      <c r="AB46" s="1764"/>
      <c r="AC46" s="1764"/>
      <c r="AD46" s="1764"/>
      <c r="AE46" s="1764"/>
      <c r="AF46" s="1764"/>
      <c r="AG46" s="1764"/>
      <c r="AH46" s="1764"/>
      <c r="AI46" s="1764"/>
      <c r="AJ46" s="1764"/>
      <c r="AK46" s="1764"/>
      <c r="AL46" s="1764"/>
      <c r="AM46" s="1764"/>
      <c r="AN46" s="1764"/>
      <c r="AO46" s="1764"/>
      <c r="AP46" s="1764"/>
      <c r="AQ46" s="1764"/>
      <c r="AR46" s="1764"/>
      <c r="AS46" s="1764"/>
      <c r="AT46" s="1764"/>
      <c r="AU46" s="1764"/>
      <c r="AV46" s="1764"/>
      <c r="AW46" s="1764"/>
      <c r="AX46" s="1764"/>
      <c r="AY46" s="1764"/>
      <c r="AZ46" s="1764"/>
      <c r="BA46" s="1764"/>
    </row>
    <row r="47" spans="1:53">
      <c r="B47" s="5"/>
      <c r="P47" s="1756"/>
    </row>
    <row r="48" spans="1:53" ht="13.8" thickBot="1">
      <c r="B48" s="1721" t="s">
        <v>1091</v>
      </c>
      <c r="C48" s="1722"/>
      <c r="D48" s="1722"/>
      <c r="E48" s="1757"/>
      <c r="F48" s="1757"/>
      <c r="G48" s="1757"/>
      <c r="H48" s="1757"/>
      <c r="I48" s="1757"/>
      <c r="J48" s="1757"/>
      <c r="K48" s="1757"/>
      <c r="L48" s="1757"/>
      <c r="M48" s="1757"/>
      <c r="N48" s="1757"/>
      <c r="O48" s="1757"/>
      <c r="P48" s="1758"/>
      <c r="Q48" s="1757"/>
      <c r="R48" s="1757"/>
      <c r="S48" s="1757"/>
      <c r="T48" s="1757"/>
      <c r="U48" s="1757"/>
      <c r="V48" s="1757"/>
      <c r="W48" s="1757"/>
      <c r="X48" s="1757"/>
      <c r="Y48" s="1757"/>
      <c r="Z48" s="1757"/>
      <c r="AA48" s="1757"/>
      <c r="AB48" s="1757"/>
      <c r="AC48" s="1757"/>
      <c r="AD48" s="1757"/>
      <c r="AE48" s="1757"/>
      <c r="AF48" s="1757"/>
      <c r="AG48" s="1757"/>
      <c r="AH48" s="1757"/>
      <c r="AI48" s="1757"/>
      <c r="AJ48" s="1757"/>
      <c r="AK48" s="1757"/>
      <c r="AL48" s="1757"/>
      <c r="AM48" s="1757"/>
      <c r="AN48" s="1757"/>
      <c r="AO48" s="1757"/>
      <c r="AP48" s="1757"/>
      <c r="AQ48" s="1757"/>
      <c r="AR48" s="1757"/>
      <c r="AS48" s="1757"/>
      <c r="AT48" s="1757"/>
      <c r="AU48" s="1757"/>
      <c r="AV48" s="1757"/>
      <c r="AW48" s="1757"/>
      <c r="AX48" s="1757"/>
      <c r="AY48" s="1757"/>
      <c r="AZ48" s="1757"/>
      <c r="BA48" s="1757"/>
    </row>
    <row r="49" spans="1:74">
      <c r="A49" s="1791" t="s">
        <v>1055</v>
      </c>
      <c r="B49" s="1790" t="s">
        <v>1092</v>
      </c>
      <c r="E49" s="1754"/>
      <c r="F49" s="1754"/>
      <c r="G49" s="1754"/>
      <c r="H49" s="1754"/>
      <c r="I49" s="1754"/>
      <c r="J49" s="1755"/>
      <c r="K49" s="1755">
        <f>'Output-FR (show)'!K66-'Output-FR (show)'!K88</f>
        <v>950.03910545799999</v>
      </c>
      <c r="L49" s="1755">
        <f>'Output-FR (show)'!L66-'Output-FR (show)'!L88</f>
        <v>1928.0403421839997</v>
      </c>
      <c r="M49" s="1755">
        <f>'Output-FR (show)'!M66-'Output-FR (show)'!M88</f>
        <v>4089.6811067359999</v>
      </c>
      <c r="N49" s="1755">
        <f>'Output-FR (show)'!N66-'Output-FR (show)'!N88</f>
        <v>8749.7506047889983</v>
      </c>
      <c r="O49" s="1755">
        <f>'Output-FR (show)'!O66-'Output-FR (show)'!O88</f>
        <v>8987.2376358299989</v>
      </c>
      <c r="P49" s="1755">
        <f>'Output-FR (show)'!P66-'Output-FR (show)'!P88</f>
        <v>8240.1326712840018</v>
      </c>
      <c r="Q49" s="2686">
        <f ca="1">'Output-FR (show)'!Q66-'Output-FR (show)'!Q88</f>
        <v>9712.9050420690073</v>
      </c>
      <c r="R49" s="2686">
        <f ca="1">'Output-FR (show)'!R66-'Output-FR (show)'!R88</f>
        <v>11610.79615334857</v>
      </c>
      <c r="S49" s="2686">
        <f ca="1">'Output-FR (show)'!S66-'Output-FR (show)'!S88</f>
        <v>13070.200633274771</v>
      </c>
      <c r="T49" s="2686">
        <f ca="1">'Output-FR (show)'!T66-'Output-FR (show)'!T88</f>
        <v>16122.548790763642</v>
      </c>
      <c r="U49" s="2686">
        <f ca="1">'Output-FR (show)'!U66-'Output-FR (show)'!U88</f>
        <v>18134.13581193714</v>
      </c>
      <c r="V49" s="2686">
        <f ca="1">'Output-FR (show)'!V66-'Output-FR (show)'!V88</f>
        <v>19651.667603113921</v>
      </c>
      <c r="W49" s="2686">
        <f ca="1">'Output-FR (show)'!W66-'Output-FR (show)'!W88</f>
        <v>21351.052304349687</v>
      </c>
      <c r="X49" s="2686">
        <f ca="1">'Output-FR (show)'!X66-'Output-FR (show)'!X88</f>
        <v>22951.876944809759</v>
      </c>
      <c r="Y49" s="2686">
        <f ca="1">'Output-FR (show)'!Y66-'Output-FR (show)'!Y88</f>
        <v>24605.516534218306</v>
      </c>
      <c r="Z49" s="2686">
        <f ca="1">'Output-FR (show)'!Z66-'Output-FR (show)'!Z88</f>
        <v>25777.55189961175</v>
      </c>
      <c r="AA49" s="1765"/>
      <c r="AB49" s="1765"/>
      <c r="AC49" s="1765"/>
      <c r="AD49" s="1765"/>
      <c r="AE49" s="1765"/>
      <c r="AF49" s="1765"/>
      <c r="AG49" s="1765"/>
      <c r="AH49" s="1765"/>
      <c r="AI49" s="1765"/>
      <c r="AJ49" s="1765"/>
      <c r="AK49" s="1765"/>
      <c r="AL49" s="1765"/>
      <c r="AM49" s="1765"/>
      <c r="AN49" s="1765"/>
      <c r="AO49" s="1765"/>
      <c r="AP49" s="1765"/>
      <c r="AQ49" s="1765"/>
      <c r="AR49" s="1765"/>
      <c r="AS49" s="1765"/>
      <c r="AT49" s="1765"/>
      <c r="AU49" s="1765"/>
      <c r="AV49" s="1765"/>
      <c r="AW49" s="1765"/>
      <c r="AX49" s="1765"/>
      <c r="AY49" s="1765"/>
      <c r="AZ49" s="1765"/>
      <c r="BA49" s="1765"/>
    </row>
    <row r="50" spans="1:74">
      <c r="A50" s="1791"/>
      <c r="B50" s="1790" t="s">
        <v>1093</v>
      </c>
      <c r="E50" s="1754"/>
      <c r="F50" s="1754"/>
      <c r="G50" s="1754"/>
      <c r="H50" s="1754"/>
      <c r="I50" s="1754"/>
      <c r="J50" s="1755"/>
      <c r="K50" s="1755">
        <f>K49-'Output-FR (show)'!K60</f>
        <v>950.03910545799999</v>
      </c>
      <c r="L50" s="1755">
        <f>L49-'Output-FR (show)'!L60</f>
        <v>1928.0403421839997</v>
      </c>
      <c r="M50" s="1755">
        <f>M49-'Output-FR (show)'!M60</f>
        <v>4089.6811067359999</v>
      </c>
      <c r="N50" s="1755">
        <f>N49-'Output-FR (show)'!N60</f>
        <v>8749.7506047889983</v>
      </c>
      <c r="O50" s="1755">
        <f>O49-'Output-FR (show)'!O60</f>
        <v>8987.2376358299989</v>
      </c>
      <c r="P50" s="1755">
        <f>P49-'Output-FR (show)'!P60</f>
        <v>8240.1326712840018</v>
      </c>
      <c r="Q50" s="2686">
        <f ca="1">Q49-'Output-FR (show)'!Q60</f>
        <v>9711.6185883015569</v>
      </c>
      <c r="R50" s="2686">
        <f ca="1">R49-'Output-FR (show)'!R60</f>
        <v>11607.401794388761</v>
      </c>
      <c r="S50" s="2686">
        <f ca="1">S49-'Output-FR (show)'!S60</f>
        <v>13068.584192924309</v>
      </c>
      <c r="T50" s="2686">
        <f ca="1">T49-'Output-FR (show)'!T60</f>
        <v>16120.478845848083</v>
      </c>
      <c r="U50" s="2686">
        <f ca="1">U49-'Output-FR (show)'!U60</f>
        <v>18128.380921136166</v>
      </c>
      <c r="V50" s="2686">
        <f ca="1">V49-'Output-FR (show)'!V60</f>
        <v>19645.386746726748</v>
      </c>
      <c r="W50" s="2686">
        <f ca="1">W49-'Output-FR (show)'!W60</f>
        <v>21342.934438021133</v>
      </c>
      <c r="X50" s="2686">
        <f ca="1">X49-'Output-FR (show)'!X60</f>
        <v>22945.257709761761</v>
      </c>
      <c r="Y50" s="2686">
        <f ca="1">Y49-'Output-FR (show)'!Y60</f>
        <v>24602.373505808082</v>
      </c>
      <c r="Z50" s="2686">
        <f ca="1">Z49-'Output-FR (show)'!Z60</f>
        <v>25774.066966608112</v>
      </c>
      <c r="AA50" s="1755"/>
      <c r="AB50" s="1765"/>
      <c r="AC50" s="1765"/>
      <c r="AD50" s="1765"/>
      <c r="AE50" s="1765"/>
      <c r="AF50" s="1765"/>
      <c r="AG50" s="1765"/>
      <c r="AH50" s="1765"/>
      <c r="AI50" s="1765"/>
      <c r="AJ50" s="1765"/>
      <c r="AK50" s="1765"/>
      <c r="AL50" s="1765"/>
      <c r="AM50" s="1765"/>
      <c r="AN50" s="1765"/>
      <c r="AO50" s="1765"/>
      <c r="AP50" s="1765"/>
      <c r="AQ50" s="1765"/>
      <c r="AR50" s="1765"/>
      <c r="AS50" s="1765"/>
      <c r="AT50" s="1765"/>
      <c r="AU50" s="1765"/>
      <c r="AV50" s="1765"/>
      <c r="AW50" s="1765"/>
      <c r="AX50" s="1765"/>
      <c r="AY50" s="1765"/>
      <c r="AZ50" s="1765"/>
      <c r="BA50" s="1765"/>
    </row>
    <row r="51" spans="1:74">
      <c r="A51" s="1791" t="s">
        <v>1055</v>
      </c>
      <c r="B51" s="1790" t="s">
        <v>1066</v>
      </c>
      <c r="E51" s="1754"/>
      <c r="F51" s="1754"/>
      <c r="G51" s="1754"/>
      <c r="H51" s="1754"/>
      <c r="I51" s="1754"/>
      <c r="J51" s="1755"/>
      <c r="K51" s="1755">
        <f>DCF!H16</f>
        <v>-104.41080388699993</v>
      </c>
      <c r="L51" s="1755">
        <f>DCF!I16</f>
        <v>-207.03610204400024</v>
      </c>
      <c r="M51" s="1755">
        <f>DCF!J16</f>
        <v>-105.3971521409992</v>
      </c>
      <c r="N51" s="1755">
        <f>DCF!K16</f>
        <v>-1523.4659522490006</v>
      </c>
      <c r="O51" s="1755">
        <f>DCF!L16</f>
        <v>349.26656553599969</v>
      </c>
      <c r="P51" s="1755">
        <f>DCF!M16</f>
        <v>-839.26600873999951</v>
      </c>
      <c r="Q51" s="2686">
        <f>DCF!N16</f>
        <v>-1668.5057623855787</v>
      </c>
      <c r="R51" s="2686">
        <f>DCF!O16</f>
        <v>-824.98831932403755</v>
      </c>
      <c r="S51" s="2686">
        <f>DCF!P16</f>
        <v>171.66599166363358</v>
      </c>
      <c r="T51" s="2686">
        <f>DCF!Q16</f>
        <v>-1677.682647516127</v>
      </c>
      <c r="U51" s="2686">
        <f>DCF!R16</f>
        <v>-150.80708964454152</v>
      </c>
      <c r="V51" s="2686">
        <f>DCF!S16</f>
        <v>32.768389412871329</v>
      </c>
      <c r="W51" s="2686">
        <f>DCF!T16</f>
        <v>-697.44761890183327</v>
      </c>
      <c r="X51" s="2686">
        <f>DCF!U16</f>
        <v>-488.41463668746655</v>
      </c>
      <c r="Y51" s="2686">
        <f>DCF!V16</f>
        <v>-540.41546101717176</v>
      </c>
      <c r="Z51" s="2686">
        <f>DCF!W16</f>
        <v>-588.78967108142206</v>
      </c>
      <c r="AA51" s="1755"/>
      <c r="AB51" s="1755"/>
      <c r="AC51" s="1765"/>
      <c r="AD51" s="1765"/>
      <c r="AE51" s="1765"/>
      <c r="AF51" s="1765"/>
      <c r="AG51" s="1765"/>
      <c r="AH51" s="1765"/>
      <c r="AI51" s="1765"/>
      <c r="AJ51" s="1765"/>
      <c r="AK51" s="1765"/>
      <c r="AL51" s="1765"/>
      <c r="AM51" s="1765"/>
      <c r="AN51" s="1765"/>
      <c r="AO51" s="1765"/>
      <c r="AP51" s="1765"/>
      <c r="AQ51" s="1765"/>
      <c r="AR51" s="1765"/>
      <c r="AS51" s="1765"/>
      <c r="AT51" s="1765"/>
      <c r="AU51" s="1765"/>
      <c r="AV51" s="1765"/>
      <c r="AW51" s="1765"/>
      <c r="AX51" s="1765"/>
      <c r="AY51" s="1765"/>
      <c r="AZ51" s="1765"/>
      <c r="BA51" s="1765"/>
    </row>
    <row r="52" spans="1:74">
      <c r="A52" s="1791" t="s">
        <v>1055</v>
      </c>
      <c r="B52" s="1790" t="s">
        <v>1094</v>
      </c>
      <c r="E52" s="1766"/>
      <c r="F52" s="1766"/>
      <c r="G52" s="1766"/>
      <c r="H52" s="1766"/>
      <c r="I52" s="1766"/>
      <c r="J52" s="1755"/>
      <c r="K52" s="1755">
        <f>'Output-FR (show)'!K66/'Output-FR (show)'!K88</f>
        <v>1.2878908252879404</v>
      </c>
      <c r="L52" s="1755">
        <f>'Output-FR (show)'!L66/'Output-FR (show)'!L88</f>
        <v>1.9404378527097237</v>
      </c>
      <c r="M52" s="1755">
        <f>'Output-FR (show)'!M66/'Output-FR (show)'!M88</f>
        <v>2.2833953355592103</v>
      </c>
      <c r="N52" s="1755">
        <f>'Output-FR (show)'!N66/'Output-FR (show)'!N88</f>
        <v>4.0439886808691332</v>
      </c>
      <c r="O52" s="1755">
        <f>'Output-FR (show)'!O66/'Output-FR (show)'!O88</f>
        <v>2.9895339285717877</v>
      </c>
      <c r="P52" s="1755">
        <f>'Output-FR (show)'!P66/'Output-FR (show)'!P88</f>
        <v>2.7604374683977126</v>
      </c>
      <c r="Q52" s="2686">
        <f ca="1">'Output-FR (show)'!Q66/'Output-FR (show)'!Q88</f>
        <v>2.7392792588479389</v>
      </c>
      <c r="R52" s="2686">
        <f ca="1">'Output-FR (show)'!R66/'Output-FR (show)'!R88</f>
        <v>3.0715442174884666</v>
      </c>
      <c r="S52" s="2686">
        <f ca="1">'Output-FR (show)'!S66/'Output-FR (show)'!S88</f>
        <v>3.2986011000088036</v>
      </c>
      <c r="T52" s="2686">
        <f ca="1">'Output-FR (show)'!T66/'Output-FR (show)'!T88</f>
        <v>3.3452539083448691</v>
      </c>
      <c r="U52" s="2686">
        <f ca="1">'Output-FR (show)'!U66/'Output-FR (show)'!U88</f>
        <v>3.6077915136976748</v>
      </c>
      <c r="V52" s="2686">
        <f ca="1">'Output-FR (show)'!V66/'Output-FR (show)'!V88</f>
        <v>4.1502066491486973</v>
      </c>
      <c r="W52" s="2686">
        <f ca="1">'Output-FR (show)'!W66/'Output-FR (show)'!W88</f>
        <v>4.4092377727547154</v>
      </c>
      <c r="X52" s="2686">
        <f ca="1">'Output-FR (show)'!X66/'Output-FR (show)'!X88</f>
        <v>4.5731580185382121</v>
      </c>
      <c r="Y52" s="2686">
        <f ca="1">'Output-FR (show)'!Y66/'Output-FR (show)'!Y88</f>
        <v>4.6648612089632691</v>
      </c>
      <c r="Z52" s="2686">
        <f ca="1">'Output-FR (show)'!Z66/'Output-FR (show)'!Z88</f>
        <v>4.7774733426907936</v>
      </c>
      <c r="AA52" s="1755"/>
      <c r="AB52" s="1759"/>
      <c r="AC52" s="1759"/>
      <c r="AD52" s="1759"/>
      <c r="AE52" s="1759"/>
      <c r="AF52" s="1759"/>
      <c r="AG52" s="1759"/>
      <c r="AH52" s="1759"/>
      <c r="AI52" s="1759"/>
      <c r="AJ52" s="1759"/>
      <c r="AK52" s="1759"/>
      <c r="AL52" s="1759"/>
      <c r="AM52" s="1759"/>
      <c r="AN52" s="1759"/>
      <c r="AO52" s="1759"/>
      <c r="AP52" s="1759"/>
      <c r="AQ52" s="1759"/>
      <c r="AR52" s="1759"/>
      <c r="AS52" s="1759"/>
      <c r="AT52" s="1759"/>
      <c r="AU52" s="1759"/>
      <c r="AV52" s="1759"/>
      <c r="AW52" s="1759"/>
      <c r="AX52" s="1759"/>
      <c r="AY52" s="1759"/>
      <c r="AZ52" s="1759"/>
      <c r="BA52" s="1759"/>
    </row>
    <row r="53" spans="1:74">
      <c r="A53" s="1791" t="s">
        <v>1055</v>
      </c>
      <c r="B53" s="1790" t="s">
        <v>1095</v>
      </c>
      <c r="E53" s="1766"/>
      <c r="F53" s="1766"/>
      <c r="G53" s="1766"/>
      <c r="H53" s="1766"/>
      <c r="I53" s="1766"/>
      <c r="J53" s="1755"/>
      <c r="K53" s="1755">
        <f>('Output-FR (show)'!K66-'Output-FR (show)'!K64)/'Output-FR (show)'!K88</f>
        <v>0.89361085016361308</v>
      </c>
      <c r="L53" s="1755">
        <f>('Output-FR (show)'!L66-'Output-FR (show)'!L64)/'Output-FR (show)'!L88</f>
        <v>1.5335729111767815</v>
      </c>
      <c r="M53" s="1755">
        <f>('Output-FR (show)'!M66-'Output-FR (show)'!M64)/'Output-FR (show)'!M88</f>
        <v>1.5917269693736966</v>
      </c>
      <c r="N53" s="1755">
        <f>('Output-FR (show)'!N66-'Output-FR (show)'!N64)/'Output-FR (show)'!N88</f>
        <v>3.2499102203813126</v>
      </c>
      <c r="O53" s="1755">
        <f>('Output-FR (show)'!O66-'Output-FR (show)'!O64)/'Output-FR (show)'!O88</f>
        <v>2.5112375233954403</v>
      </c>
      <c r="P53" s="1755">
        <f>('Output-FR (show)'!P66-'Output-FR (show)'!P64)/'Output-FR (show)'!P88</f>
        <v>2.1301296819420736</v>
      </c>
      <c r="Q53" s="2686">
        <f ca="1">('Output-FR (show)'!Q66-'Output-FR (show)'!Q64)/'Output-FR (show)'!Q88</f>
        <v>2.0350268511026091</v>
      </c>
      <c r="R53" s="2686">
        <f ca="1">('Output-FR (show)'!R66-'Output-FR (show)'!R64)/'Output-FR (show)'!R88</f>
        <v>2.3401458352011777</v>
      </c>
      <c r="S53" s="2686">
        <f ca="1">('Output-FR (show)'!S66-'Output-FR (show)'!S64)/'Output-FR (show)'!S88</f>
        <v>2.5971453288355555</v>
      </c>
      <c r="T53" s="2686">
        <f ca="1">('Output-FR (show)'!T66-'Output-FR (show)'!T64)/'Output-FR (show)'!T88</f>
        <v>2.6296403164724746</v>
      </c>
      <c r="U53" s="2686">
        <f ca="1">('Output-FR (show)'!U66-'Output-FR (show)'!U64)/'Output-FR (show)'!U88</f>
        <v>2.9430494334362884</v>
      </c>
      <c r="V53" s="2686">
        <f ca="1">('Output-FR (show)'!V66-'Output-FR (show)'!V64)/'Output-FR (show)'!V88</f>
        <v>3.4324871731191653</v>
      </c>
      <c r="W53" s="2686">
        <f ca="1">('Output-FR (show)'!W66-'Output-FR (show)'!W64)/'Output-FR (show)'!W88</f>
        <v>3.6562302254187662</v>
      </c>
      <c r="X53" s="2686">
        <f ca="1">('Output-FR (show)'!X66-'Output-FR (show)'!X64)/'Output-FR (show)'!X88</f>
        <v>3.8305498414118406</v>
      </c>
      <c r="Y53" s="2686">
        <f ca="1">('Output-FR (show)'!Y66-'Output-FR (show)'!Y64)/'Output-FR (show)'!Y88</f>
        <v>3.9306378713172712</v>
      </c>
      <c r="Z53" s="2686">
        <f ca="1">('Output-FR (show)'!Z66-'Output-FR (show)'!Z64)/'Output-FR (show)'!Z88</f>
        <v>4.0281368298262237</v>
      </c>
      <c r="AA53" s="1755"/>
      <c r="AB53" s="1759"/>
      <c r="AC53" s="1759"/>
      <c r="AD53" s="1759"/>
      <c r="AE53" s="1759"/>
      <c r="AF53" s="1759"/>
      <c r="AG53" s="1759"/>
      <c r="AH53" s="1759"/>
      <c r="AI53" s="1759"/>
      <c r="AJ53" s="1759"/>
      <c r="AK53" s="1759"/>
      <c r="AL53" s="1759"/>
      <c r="AM53" s="1759"/>
      <c r="AN53" s="1759"/>
      <c r="AO53" s="1759"/>
      <c r="AP53" s="1759"/>
      <c r="AQ53" s="1759"/>
      <c r="AR53" s="1759"/>
      <c r="AS53" s="1759"/>
      <c r="AT53" s="1759"/>
      <c r="AU53" s="1759"/>
      <c r="AV53" s="1759"/>
      <c r="AW53" s="1759"/>
      <c r="AX53" s="1759"/>
      <c r="AY53" s="1759"/>
      <c r="AZ53" s="1759"/>
      <c r="BA53" s="1759"/>
    </row>
    <row r="54" spans="1:74">
      <c r="A54" s="1791" t="s">
        <v>1055</v>
      </c>
      <c r="B54" s="1790" t="s">
        <v>1096</v>
      </c>
      <c r="E54" s="1766"/>
      <c r="F54" s="1766"/>
      <c r="G54" s="1766"/>
      <c r="H54" s="1766"/>
      <c r="I54" s="1766"/>
      <c r="J54" s="1755"/>
      <c r="K54" s="1755">
        <f>('Output-FR (show)'!K59+'Output-FR (show)'!K62)/'Output-FR (show)'!K88</f>
        <v>0.74944694918751831</v>
      </c>
      <c r="L54" s="1755">
        <f>('Output-FR (show)'!L59+'Output-FR (show)'!L62)/'Output-FR (show)'!L88</f>
        <v>1.3716034938403563</v>
      </c>
      <c r="M54" s="1755">
        <f>('Output-FR (show)'!M59+'Output-FR (show)'!M62)/'Output-FR (show)'!M88</f>
        <v>1.5030555716596203</v>
      </c>
      <c r="N54" s="1755">
        <f>('Output-FR (show)'!N59+'Output-FR (show)'!N62)/'Output-FR (show)'!N88</f>
        <v>3.1093492203615098</v>
      </c>
      <c r="O54" s="1755">
        <f>('Output-FR (show)'!O59+'Output-FR (show)'!O62)/'Output-FR (show)'!O88</f>
        <v>2.3302632437334765</v>
      </c>
      <c r="P54" s="1755">
        <f>('Output-FR (show)'!P59+'Output-FR (show)'!P62)/'Output-FR (show)'!P88</f>
        <v>1.9104497251512116</v>
      </c>
      <c r="Q54" s="2686">
        <f ca="1">('Output-FR (show)'!Q59+'Output-FR (show)'!Q62)/'Output-FR (show)'!Q88</f>
        <v>1.7802494761196113</v>
      </c>
      <c r="R54" s="2686">
        <f ca="1">('Output-FR (show)'!R59+'Output-FR (show)'!R62)/'Output-FR (show)'!R88</f>
        <v>2.0525156188413978</v>
      </c>
      <c r="S54" s="2686">
        <f ca="1">('Output-FR (show)'!S59+'Output-FR (show)'!S62)/'Output-FR (show)'!S88</f>
        <v>2.2870312281625189</v>
      </c>
      <c r="T54" s="2686">
        <f ca="1">('Output-FR (show)'!T59+'Output-FR (show)'!T62)/'Output-FR (show)'!T88</f>
        <v>2.2830514067489309</v>
      </c>
      <c r="U54" s="2686">
        <f ca="1">('Output-FR (show)'!U59+'Output-FR (show)'!U62)/'Output-FR (show)'!U88</f>
        <v>2.5929808521592679</v>
      </c>
      <c r="V54" s="2686">
        <f ca="1">('Output-FR (show)'!V59+'Output-FR (show)'!V62)/'Output-FR (show)'!V88</f>
        <v>3.0437457227957796</v>
      </c>
      <c r="W54" s="2686">
        <f ca="1">('Output-FR (show)'!W59+'Output-FR (show)'!W62)/'Output-FR (show)'!W88</f>
        <v>3.243957437418358</v>
      </c>
      <c r="X54" s="2686">
        <f ca="1">('Output-FR (show)'!X59+'Output-FR (show)'!X62)/'Output-FR (show)'!X88</f>
        <v>3.3990962560201874</v>
      </c>
      <c r="Y54" s="2686">
        <f ca="1">('Output-FR (show)'!Y59+'Output-FR (show)'!Y62)/'Output-FR (show)'!Y88</f>
        <v>3.4758851991516937</v>
      </c>
      <c r="Z54" s="2686">
        <f ca="1">('Output-FR (show)'!Z59+'Output-FR (show)'!Z62)/'Output-FR (show)'!Z88</f>
        <v>3.5528316559025837</v>
      </c>
      <c r="AA54" s="1755"/>
      <c r="AB54" s="1755"/>
      <c r="AC54" s="1759"/>
      <c r="AD54" s="1759"/>
      <c r="AE54" s="1759"/>
      <c r="AF54" s="1759"/>
      <c r="AG54" s="1759"/>
      <c r="AH54" s="1759"/>
      <c r="AI54" s="1759"/>
      <c r="AJ54" s="1759"/>
      <c r="AK54" s="1759"/>
      <c r="AL54" s="1759"/>
      <c r="AM54" s="1759"/>
      <c r="AN54" s="1759"/>
      <c r="AO54" s="1759"/>
      <c r="AP54" s="1759"/>
      <c r="AQ54" s="1759"/>
      <c r="AR54" s="1759"/>
      <c r="AS54" s="1759"/>
      <c r="AT54" s="1759"/>
      <c r="AU54" s="1759"/>
      <c r="AV54" s="1759"/>
      <c r="AW54" s="1759"/>
      <c r="AX54" s="1759"/>
      <c r="AY54" s="1759"/>
      <c r="AZ54" s="1759"/>
      <c r="BA54" s="1759"/>
      <c r="BJ54" s="166"/>
      <c r="BK54" s="166"/>
      <c r="BL54" s="166"/>
      <c r="BM54" s="166"/>
      <c r="BN54" s="166"/>
      <c r="BO54" s="166"/>
      <c r="BP54" s="166"/>
      <c r="BQ54" s="166"/>
      <c r="BR54" s="166"/>
      <c r="BS54" s="166"/>
      <c r="BT54" s="166"/>
      <c r="BU54" s="166"/>
      <c r="BV54" s="166"/>
    </row>
    <row r="55" spans="1:74">
      <c r="A55" s="1791"/>
      <c r="B55" s="1790"/>
      <c r="P55" s="1756"/>
      <c r="BJ55" s="166"/>
      <c r="BK55" s="166"/>
      <c r="BL55" s="166"/>
      <c r="BM55" s="166"/>
      <c r="BN55" s="166"/>
      <c r="BO55" s="166"/>
      <c r="BP55" s="166"/>
      <c r="BQ55" s="166"/>
      <c r="BR55" s="166"/>
      <c r="BS55" s="166"/>
      <c r="BT55" s="166"/>
      <c r="BU55" s="166"/>
      <c r="BV55" s="166"/>
    </row>
    <row r="56" spans="1:74" ht="13.8" thickBot="1">
      <c r="B56" s="1721" t="s">
        <v>1097</v>
      </c>
      <c r="C56" s="1722"/>
      <c r="D56" s="1722"/>
      <c r="E56" s="1757"/>
      <c r="F56" s="1757"/>
      <c r="G56" s="1757"/>
      <c r="H56" s="1757"/>
      <c r="I56" s="1757"/>
      <c r="J56" s="1757"/>
      <c r="K56" s="1757"/>
      <c r="L56" s="1757"/>
      <c r="M56" s="1757"/>
      <c r="N56" s="1757"/>
      <c r="O56" s="1757"/>
      <c r="P56" s="1758"/>
      <c r="Q56" s="1757"/>
      <c r="R56" s="1757"/>
      <c r="S56" s="1757"/>
      <c r="T56" s="1757"/>
      <c r="U56" s="1757"/>
      <c r="V56" s="1757"/>
      <c r="W56" s="1757"/>
      <c r="X56" s="1757"/>
      <c r="Y56" s="1757"/>
      <c r="Z56" s="1757"/>
      <c r="AA56" s="1757"/>
      <c r="AB56" s="1757"/>
      <c r="AC56" s="1757"/>
      <c r="AD56" s="1757"/>
      <c r="AE56" s="1757"/>
      <c r="AF56" s="1757"/>
      <c r="AG56" s="1757"/>
      <c r="AH56" s="1757"/>
      <c r="AI56" s="1757"/>
      <c r="AJ56" s="1757"/>
      <c r="AK56" s="1757"/>
      <c r="AL56" s="1757"/>
      <c r="AM56" s="1757"/>
      <c r="AN56" s="1757"/>
      <c r="AO56" s="1757"/>
      <c r="AP56" s="1757"/>
      <c r="AQ56" s="1757"/>
      <c r="AR56" s="1757"/>
      <c r="AS56" s="1757"/>
      <c r="AT56" s="1757"/>
      <c r="AU56" s="1757"/>
      <c r="AV56" s="1757"/>
      <c r="AW56" s="1757"/>
      <c r="AX56" s="1757"/>
      <c r="AY56" s="1757"/>
      <c r="AZ56" s="1757"/>
      <c r="BA56" s="1757"/>
      <c r="BJ56" s="166"/>
      <c r="BK56" s="166"/>
      <c r="BL56" s="166"/>
      <c r="BM56" s="166"/>
      <c r="BN56" s="166"/>
      <c r="BO56" s="166"/>
      <c r="BP56" s="166"/>
      <c r="BQ56" s="166"/>
      <c r="BR56" s="166"/>
      <c r="BS56" s="166"/>
      <c r="BT56" s="166"/>
      <c r="BU56" s="166"/>
      <c r="BV56" s="166"/>
    </row>
    <row r="57" spans="1:74">
      <c r="B57" s="1790" t="s">
        <v>1098</v>
      </c>
      <c r="E57" s="1753"/>
      <c r="F57" s="1753"/>
      <c r="G57" s="1753"/>
      <c r="H57" s="1753"/>
      <c r="I57" s="1753"/>
      <c r="J57" s="1752"/>
      <c r="K57" s="1752">
        <f>'Output-FR (show)'!K99/'Output-FR (show)'!K111</f>
        <v>0.66889858332284191</v>
      </c>
      <c r="L57" s="1752">
        <f>'Output-FR (show)'!L99/'Output-FR (show)'!L111</f>
        <v>0.37952301219323353</v>
      </c>
      <c r="M57" s="1752">
        <f>'Output-FR (show)'!M99/'Output-FR (show)'!M111</f>
        <v>0.48232163655811727</v>
      </c>
      <c r="N57" s="1752">
        <f>'Output-FR (show)'!N99/'Output-FR (show)'!N111</f>
        <v>0.33673496949126042</v>
      </c>
      <c r="O57" s="1752">
        <f>'Output-FR (show)'!O99/'Output-FR (show)'!O111</f>
        <v>0.53086690057450026</v>
      </c>
      <c r="P57" s="1752">
        <f>'Output-FR (show)'!P99/'Output-FR (show)'!P111</f>
        <v>0.5472650909691229</v>
      </c>
      <c r="Q57" s="2684">
        <f ca="1">'Output-FR (show)'!Q99/'Output-FR (show)'!Q111</f>
        <v>0.58947152738906416</v>
      </c>
      <c r="R57" s="2684">
        <f ca="1">'Output-FR (show)'!R99/'Output-FR (show)'!R111</f>
        <v>0.54334733996794859</v>
      </c>
      <c r="S57" s="2684">
        <f ca="1">'Output-FR (show)'!S99/'Output-FR (show)'!S111</f>
        <v>0.4988057567047926</v>
      </c>
      <c r="T57" s="2684">
        <f ca="1">'Output-FR (show)'!T99/'Output-FR (show)'!T111</f>
        <v>0.49499619300753395</v>
      </c>
      <c r="U57" s="2684">
        <f ca="1">'Output-FR (show)'!U99/'Output-FR (show)'!U111</f>
        <v>0.4390211774017404</v>
      </c>
      <c r="V57" s="2684">
        <f ca="1">'Output-FR (show)'!V99/'Output-FR (show)'!V111</f>
        <v>0.35927092747544431</v>
      </c>
      <c r="W57" s="2684">
        <f ca="1">'Output-FR (show)'!W99/'Output-FR (show)'!W111</f>
        <v>0.32748830605668772</v>
      </c>
      <c r="X57" s="2684">
        <f ca="1">'Output-FR (show)'!X99/'Output-FR (show)'!X111</f>
        <v>0.31132751991294821</v>
      </c>
      <c r="Y57" s="2684">
        <f ca="1">'Output-FR (show)'!Y99/'Output-FR (show)'!Y111</f>
        <v>0.3052862707436888</v>
      </c>
      <c r="Z57" s="2684">
        <f ca="1">'Output-FR (show)'!Z99/'Output-FR (show)'!Z111</f>
        <v>0.29820014068329215</v>
      </c>
      <c r="AA57" s="1752"/>
      <c r="AB57" s="1753"/>
      <c r="AC57" s="1753"/>
      <c r="AD57" s="1753"/>
      <c r="AE57" s="1753"/>
      <c r="AF57" s="1753"/>
      <c r="AG57" s="1753"/>
      <c r="AH57" s="1753"/>
      <c r="AI57" s="1753"/>
      <c r="AJ57" s="1753"/>
      <c r="AK57" s="1753"/>
      <c r="AL57" s="1753"/>
      <c r="AM57" s="1753"/>
      <c r="AN57" s="1753"/>
      <c r="AO57" s="1753"/>
      <c r="AP57" s="1753"/>
      <c r="AQ57" s="1753"/>
      <c r="AR57" s="1753"/>
      <c r="AS57" s="1753"/>
      <c r="AT57" s="1753"/>
      <c r="AU57" s="1753"/>
      <c r="AV57" s="1753"/>
      <c r="AW57" s="1753"/>
      <c r="AX57" s="1753"/>
      <c r="AY57" s="1753"/>
      <c r="AZ57" s="1753"/>
      <c r="BA57" s="1753"/>
      <c r="BJ57" s="166"/>
      <c r="BK57" s="166"/>
      <c r="BL57" s="166"/>
      <c r="BM57" s="166"/>
      <c r="BN57" s="166"/>
      <c r="BO57" s="166"/>
      <c r="BP57" s="166"/>
      <c r="BQ57" s="166"/>
      <c r="BR57" s="166"/>
      <c r="BS57" s="166"/>
      <c r="BT57" s="166"/>
      <c r="BU57" s="166"/>
      <c r="BV57" s="166"/>
    </row>
    <row r="58" spans="1:74">
      <c r="B58" s="1790" t="s">
        <v>1099</v>
      </c>
      <c r="E58" s="1753"/>
      <c r="F58" s="1753"/>
      <c r="G58" s="1753"/>
      <c r="H58" s="1753"/>
      <c r="I58" s="1753"/>
      <c r="J58" s="1752"/>
      <c r="K58" s="1752">
        <f>('Output-FR (show)'!K82+'Output-FR (show)'!K92)/'Output-FR (show)'!K78</f>
        <v>0.17545613848307459</v>
      </c>
      <c r="L58" s="1752">
        <f>('Output-FR (show)'!L82+'Output-FR (show)'!L92)/'Output-FR (show)'!L78</f>
        <v>9.4347072845423985E-2</v>
      </c>
      <c r="M58" s="1752">
        <f>('Output-FR (show)'!M82+'Output-FR (show)'!M92)/'Output-FR (show)'!M78</f>
        <v>6.248480069358691E-2</v>
      </c>
      <c r="N58" s="1752">
        <f>('Output-FR (show)'!N82+'Output-FR (show)'!N92)/'Output-FR (show)'!N78</f>
        <v>2.5467089027723044E-4</v>
      </c>
      <c r="O58" s="1752">
        <f>('Output-FR (show)'!O82+'Output-FR (show)'!O92)/'Output-FR (show)'!O78</f>
        <v>5.5701021056813585E-2</v>
      </c>
      <c r="P58" s="1752">
        <f>('Output-FR (show)'!P82+'Output-FR (show)'!P92)/'Output-FR (show)'!P78</f>
        <v>8.5750435627793872E-2</v>
      </c>
      <c r="Q58" s="2684">
        <f ca="1">('Output-FR (show)'!Q82+'Output-FR (show)'!Q92)/'Output-FR (show)'!Q78</f>
        <v>0.10982803245260107</v>
      </c>
      <c r="R58" s="2684">
        <f ca="1">('Output-FR (show)'!R82+'Output-FR (show)'!R92)/'Output-FR (show)'!R78</f>
        <v>0.11058319524124989</v>
      </c>
      <c r="S58" s="2684">
        <f ca="1">('Output-FR (show)'!S82+'Output-FR (show)'!S92)/'Output-FR (show)'!S78</f>
        <v>9.86723767968158E-2</v>
      </c>
      <c r="T58" s="2684">
        <f ca="1">('Output-FR (show)'!T82+'Output-FR (show)'!T92)/'Output-FR (show)'!T78</f>
        <v>0.11080409159098031</v>
      </c>
      <c r="U58" s="2684">
        <f ca="1">('Output-FR (show)'!U82+'Output-FR (show)'!U92)/'Output-FR (show)'!U78</f>
        <v>9.9643299415646591E-2</v>
      </c>
      <c r="V58" s="2684">
        <f ca="1">('Output-FR (show)'!V82+'Output-FR (show)'!V92)/'Output-FR (show)'!V78</f>
        <v>8.8681464869542856E-2</v>
      </c>
      <c r="W58" s="2684">
        <f ca="1">('Output-FR (show)'!W82+'Output-FR (show)'!W92)/'Output-FR (show)'!W78</f>
        <v>8.1729521927610599E-2</v>
      </c>
      <c r="X58" s="2684">
        <f ca="1">('Output-FR (show)'!X82+'Output-FR (show)'!X92)/'Output-FR (show)'!X78</f>
        <v>7.9175300465962134E-2</v>
      </c>
      <c r="Y58" s="2684">
        <f ca="1">('Output-FR (show)'!Y82+'Output-FR (show)'!Y92)/'Output-FR (show)'!Y78</f>
        <v>7.7604016827819366E-2</v>
      </c>
      <c r="Z58" s="2684">
        <f ca="1">('Output-FR (show)'!Z82+'Output-FR (show)'!Z92)/'Output-FR (show)'!Z78</f>
        <v>7.86630862017519E-2</v>
      </c>
      <c r="AA58" s="1752"/>
      <c r="AB58" s="1753"/>
      <c r="AC58" s="1753"/>
      <c r="AD58" s="1753"/>
      <c r="AE58" s="1753"/>
      <c r="AF58" s="1753"/>
      <c r="AG58" s="1753"/>
      <c r="AH58" s="1753"/>
      <c r="AI58" s="1753"/>
      <c r="AJ58" s="1753"/>
      <c r="AK58" s="1753"/>
      <c r="AL58" s="1753"/>
      <c r="AM58" s="1753"/>
      <c r="AN58" s="1753"/>
      <c r="AO58" s="1753"/>
      <c r="AP58" s="1753"/>
      <c r="AQ58" s="1753"/>
      <c r="AR58" s="1753"/>
      <c r="AS58" s="1753"/>
      <c r="AT58" s="1753"/>
      <c r="AU58" s="1753"/>
      <c r="AV58" s="1753"/>
      <c r="AW58" s="1753"/>
      <c r="AX58" s="1753"/>
      <c r="AY58" s="1753"/>
      <c r="AZ58" s="1753"/>
      <c r="BA58" s="1753"/>
      <c r="BJ58" s="166"/>
      <c r="BK58" s="166"/>
      <c r="BL58" s="166"/>
      <c r="BM58" s="166"/>
      <c r="BN58" s="166"/>
      <c r="BO58" s="166"/>
      <c r="BP58" s="166"/>
      <c r="BQ58" s="166"/>
      <c r="BR58" s="166"/>
      <c r="BS58" s="166"/>
      <c r="BT58" s="166"/>
      <c r="BU58" s="166"/>
      <c r="BV58" s="166"/>
    </row>
    <row r="59" spans="1:74">
      <c r="B59" s="1790" t="s">
        <v>1100</v>
      </c>
      <c r="E59" s="1753"/>
      <c r="F59" s="1753"/>
      <c r="G59" s="1753"/>
      <c r="H59" s="1753"/>
      <c r="I59" s="1753"/>
      <c r="J59" s="1752"/>
      <c r="K59" s="1752">
        <f>('Output-FR (show)'!K92+'Output-FR (show)'!K82)/'Output-FR (show)'!K111</f>
        <v>0.29360580724578905</v>
      </c>
      <c r="L59" s="1752">
        <f>('Output-FR (show)'!L92+'Output-FR (show)'!L82)/'Output-FR (show)'!L111</f>
        <v>0.13054852367526321</v>
      </c>
      <c r="M59" s="1752">
        <f>('Output-FR (show)'!M92+'Output-FR (show)'!M82)/'Output-FR (show)'!M111</f>
        <v>9.2845527856246279E-2</v>
      </c>
      <c r="N59" s="1752">
        <f>('Output-FR (show)'!N92+'Output-FR (show)'!N82)/'Output-FR (show)'!N111</f>
        <v>3.4112923822595369E-4</v>
      </c>
      <c r="O59" s="1752">
        <f>('Output-FR (show)'!O92+'Output-FR (show)'!O82)/'Output-FR (show)'!O111</f>
        <v>8.5425527673321969E-2</v>
      </c>
      <c r="P59" s="1752">
        <f>('Output-FR (show)'!P92+'Output-FR (show)'!P82)/'Output-FR (show)'!P111</f>
        <v>0.13295579699530313</v>
      </c>
      <c r="Q59" s="2684">
        <f ca="1">('Output-FR (show)'!Q92+'Output-FR (show)'!Q82)/'Output-FR (show)'!Q111</f>
        <v>0.17503629009056287</v>
      </c>
      <c r="R59" s="2684">
        <f ca="1">('Output-FR (show)'!R92+'Output-FR (show)'!R82)/'Output-FR (show)'!R111</f>
        <v>0.17106264331071627</v>
      </c>
      <c r="S59" s="2684">
        <f ca="1">('Output-FR (show)'!S92+'Output-FR (show)'!S82)/'Output-FR (show)'!S111</f>
        <v>0.14827037058502576</v>
      </c>
      <c r="T59" s="2684">
        <f ca="1">('Output-FR (show)'!T92+'Output-FR (show)'!T82)/'Output-FR (show)'!T111</f>
        <v>0.16626134271397414</v>
      </c>
      <c r="U59" s="2684">
        <f ca="1">('Output-FR (show)'!U92+'Output-FR (show)'!U82)/'Output-FR (show)'!U111</f>
        <v>0.1437925311896783</v>
      </c>
      <c r="V59" s="2684">
        <f ca="1">('Output-FR (show)'!V92+'Output-FR (show)'!V82)/'Output-FR (show)'!V111</f>
        <v>0.12082384536066978</v>
      </c>
      <c r="W59" s="2684">
        <f ca="1">('Output-FR (show)'!W92+'Output-FR (show)'!W82)/'Output-FR (show)'!W111</f>
        <v>0.10873135437499709</v>
      </c>
      <c r="X59" s="2684">
        <f ca="1">('Output-FR (show)'!X92+'Output-FR (show)'!X82)/'Output-FR (show)'!X111</f>
        <v>0.1040669790383818</v>
      </c>
      <c r="Y59" s="2684">
        <f ca="1">('Output-FR (show)'!Y92+'Output-FR (show)'!Y82)/'Output-FR (show)'!Y111</f>
        <v>0.10155601977066674</v>
      </c>
      <c r="Z59" s="2684">
        <f ca="1">('Output-FR (show)'!Z92+'Output-FR (show)'!Z82)/'Output-FR (show)'!Z111</f>
        <v>0.10236992814987127</v>
      </c>
      <c r="AA59" s="1752"/>
      <c r="AB59" s="1753"/>
      <c r="AC59" s="1753"/>
      <c r="AD59" s="1753"/>
      <c r="AE59" s="1753"/>
      <c r="AF59" s="1753"/>
      <c r="AG59" s="1753"/>
      <c r="AH59" s="1753"/>
      <c r="AI59" s="1753"/>
      <c r="AJ59" s="1753"/>
      <c r="AK59" s="1753"/>
      <c r="AL59" s="1753"/>
      <c r="AM59" s="1753"/>
      <c r="AN59" s="1753"/>
      <c r="AO59" s="1753"/>
      <c r="AP59" s="1753"/>
      <c r="AQ59" s="1753"/>
      <c r="AR59" s="1753"/>
      <c r="AS59" s="1753"/>
      <c r="AT59" s="1753"/>
      <c r="AU59" s="1753"/>
      <c r="AV59" s="1753"/>
      <c r="AW59" s="1753"/>
      <c r="AX59" s="1753"/>
      <c r="AY59" s="1753"/>
      <c r="AZ59" s="1753"/>
      <c r="BA59" s="1753"/>
      <c r="BJ59" s="166"/>
      <c r="BK59" s="166"/>
      <c r="BL59" s="166"/>
      <c r="BM59" s="166"/>
      <c r="BN59" s="166"/>
      <c r="BO59" s="166"/>
      <c r="BP59" s="166"/>
      <c r="BQ59" s="166"/>
      <c r="BR59" s="166"/>
      <c r="BS59" s="166"/>
      <c r="BT59" s="166"/>
      <c r="BU59" s="166"/>
      <c r="BV59" s="166"/>
    </row>
    <row r="60" spans="1:74">
      <c r="B60" s="1790" t="s">
        <v>1101</v>
      </c>
      <c r="E60" s="1753"/>
      <c r="F60" s="1753"/>
      <c r="G60" s="1753"/>
      <c r="H60" s="1753"/>
      <c r="I60" s="1753"/>
      <c r="J60" s="1752"/>
      <c r="K60" s="1752">
        <f>('Output-FR (show)'!K82+'Output-FR (show)'!K92)/('Output-FR (show)'!K82+'Output-FR (show)'!K92+'Output-FR (show)'!K111)</f>
        <v>0.2269669829875795</v>
      </c>
      <c r="L60" s="1752">
        <f>('Output-FR (show)'!L82+'Output-FR (show)'!L92)/('Output-FR (show)'!L82+'Output-FR (show)'!L92+'Output-FR (show)'!L111)</f>
        <v>0.11547361386211649</v>
      </c>
      <c r="M60" s="1752">
        <f>('Output-FR (show)'!M82+'Output-FR (show)'!M92)/('Output-FR (show)'!M82+'Output-FR (show)'!M92+'Output-FR (show)'!M111)</f>
        <v>8.4957595094317162E-2</v>
      </c>
      <c r="N60" s="1752">
        <f>('Output-FR (show)'!N82+'Output-FR (show)'!N92)/('Output-FR (show)'!N82+'Output-FR (show)'!N92+'Output-FR (show)'!N111)</f>
        <v>3.4101290875216582E-4</v>
      </c>
      <c r="O60" s="1752">
        <f>('Output-FR (show)'!O82+'Output-FR (show)'!O92)/('Output-FR (show)'!O82+'Output-FR (show)'!O92+'Output-FR (show)'!O111)</f>
        <v>7.870233884809856E-2</v>
      </c>
      <c r="P60" s="1752">
        <f>('Output-FR (show)'!P82+'Output-FR (show)'!P92)/('Output-FR (show)'!P82+'Output-FR (show)'!P92+'Output-FR (show)'!P111)</f>
        <v>0.11735303120202344</v>
      </c>
      <c r="Q60" s="2684">
        <f ca="1">('Output-FR (show)'!Q82+'Output-FR (show)'!Q92)/('Output-FR (show)'!Q82+'Output-FR (show)'!Q92+'Output-FR (show)'!Q111)</f>
        <v>0.14896245466348312</v>
      </c>
      <c r="R60" s="2684">
        <f ca="1">('Output-FR (show)'!R82+'Output-FR (show)'!R92)/('Output-FR (show)'!R82+'Output-FR (show)'!R92+'Output-FR (show)'!R111)</f>
        <v>0.14607471623132331</v>
      </c>
      <c r="S60" s="2684">
        <f ca="1">('Output-FR (show)'!S82+'Output-FR (show)'!S92)/('Output-FR (show)'!S82+'Output-FR (show)'!S92+'Output-FR (show)'!S111)</f>
        <v>0.12912496427952272</v>
      </c>
      <c r="T60" s="2684">
        <f ca="1">('Output-FR (show)'!T82+'Output-FR (show)'!T92)/('Output-FR (show)'!T82+'Output-FR (show)'!T92+'Output-FR (show)'!T111)</f>
        <v>0.14255925033669728</v>
      </c>
      <c r="U60" s="2684">
        <f ca="1">('Output-FR (show)'!U82+'Output-FR (show)'!U92)/('Output-FR (show)'!U82+'Output-FR (show)'!U92+'Output-FR (show)'!U111)</f>
        <v>0.12571557102241018</v>
      </c>
      <c r="V60" s="2684">
        <f ca="1">('Output-FR (show)'!V82+'Output-FR (show)'!V92)/('Output-FR (show)'!V82+'Output-FR (show)'!V92+'Output-FR (show)'!V111)</f>
        <v>0.10779913887519935</v>
      </c>
      <c r="W60" s="2684">
        <f ca="1">('Output-FR (show)'!W82+'Output-FR (show)'!W92)/('Output-FR (show)'!W82+'Output-FR (show)'!W92+'Output-FR (show)'!W111)</f>
        <v>9.8068259678910266E-2</v>
      </c>
      <c r="X60" s="2684">
        <f ca="1">('Output-FR (show)'!X82+'Output-FR (show)'!X92)/('Output-FR (show)'!X82+'Output-FR (show)'!X92+'Output-FR (show)'!X111)</f>
        <v>9.4257849400605984E-2</v>
      </c>
      <c r="Y60" s="2684">
        <f ca="1">('Output-FR (show)'!Y82+'Output-FR (show)'!Y92)/('Output-FR (show)'!Y82+'Output-FR (show)'!Y92+'Output-FR (show)'!Y111)</f>
        <v>9.2193241149741714E-2</v>
      </c>
      <c r="Z60" s="2684">
        <f ca="1">('Output-FR (show)'!Z82+'Output-FR (show)'!Z92)/('Output-FR (show)'!Z82+'Output-FR (show)'!Z92+'Output-FR (show)'!Z111)</f>
        <v>9.286349848247466E-2</v>
      </c>
      <c r="AA60" s="1752"/>
      <c r="AB60" s="1753"/>
      <c r="AC60" s="1753"/>
      <c r="AD60" s="1753"/>
      <c r="AE60" s="1753"/>
      <c r="AF60" s="1753"/>
      <c r="AG60" s="1753"/>
      <c r="AH60" s="1753"/>
      <c r="AI60" s="1753"/>
      <c r="AJ60" s="1753"/>
      <c r="AK60" s="1753"/>
      <c r="AL60" s="1753"/>
      <c r="AM60" s="1753"/>
      <c r="AN60" s="1753"/>
      <c r="AO60" s="1753"/>
      <c r="AP60" s="1753"/>
      <c r="AQ60" s="1753"/>
      <c r="AR60" s="1753"/>
      <c r="AS60" s="1753"/>
      <c r="AT60" s="1753"/>
      <c r="AU60" s="1753"/>
      <c r="AV60" s="1753"/>
      <c r="AW60" s="1753"/>
      <c r="AX60" s="1753"/>
      <c r="AY60" s="1753"/>
      <c r="AZ60" s="1753"/>
      <c r="BA60" s="1753"/>
      <c r="BJ60" s="166"/>
      <c r="BK60" s="166"/>
      <c r="BL60" s="166"/>
      <c r="BM60" s="166"/>
      <c r="BN60" s="166"/>
      <c r="BO60" s="166"/>
      <c r="BP60" s="166"/>
      <c r="BQ60" s="166"/>
      <c r="BR60" s="166"/>
      <c r="BS60" s="166"/>
      <c r="BT60" s="166"/>
      <c r="BU60" s="166"/>
      <c r="BV60" s="166"/>
    </row>
    <row r="61" spans="1:74" s="1795" customFormat="1">
      <c r="A61" s="1791"/>
      <c r="B61" s="1791" t="s">
        <v>1102</v>
      </c>
      <c r="C61" s="1791"/>
      <c r="D61" s="1791"/>
      <c r="E61" s="1794"/>
      <c r="F61" s="1794"/>
      <c r="G61" s="1794"/>
      <c r="H61" s="1794"/>
      <c r="I61" s="1794"/>
      <c r="J61" s="1796"/>
      <c r="K61" s="1796">
        <f>('Output-FR (show)'!K82+'Output-FR (show)'!K92-'Output-FR (show)'!K59)/'Output-FR (show)'!K111</f>
        <v>0.21609807603789957</v>
      </c>
      <c r="L61" s="1796">
        <f>('Output-FR (show)'!L82+'Output-FR (show)'!L92-'Output-FR (show)'!L59)/'Output-FR (show)'!L111</f>
        <v>4.9598168739033374E-2</v>
      </c>
      <c r="M61" s="1796">
        <f>('Output-FR (show)'!M82+'Output-FR (show)'!M92-'Output-FR (show)'!M59)/'Output-FR (show)'!M111</f>
        <v>3.5454102080809811E-2</v>
      </c>
      <c r="N61" s="1796">
        <f>('Output-FR (show)'!N82+'Output-FR (show)'!N92-'Output-FR (show)'!N59)/'Output-FR (show)'!N111</f>
        <v>-0.20063881554173121</v>
      </c>
      <c r="O61" s="1796">
        <f>('Output-FR (show)'!O82+'Output-FR (show)'!O92-'Output-FR (show)'!O59)/'Output-FR (show)'!O111</f>
        <v>-0.14449069340655976</v>
      </c>
      <c r="P61" s="1796">
        <f>('Output-FR (show)'!P82+'Output-FR (show)'!P92-'Output-FR (show)'!P59)/'Output-FR (show)'!P111</f>
        <v>-5.4660042915164464E-2</v>
      </c>
      <c r="Q61" s="2689">
        <f ca="1">('Output-FR (show)'!Q82+'Output-FR (show)'!Q92-'Output-FR (show)'!Q59)/'Output-FR (show)'!Q111</f>
        <v>-6.389515614230501E-2</v>
      </c>
      <c r="R61" s="2689">
        <f ca="1">('Output-FR (show)'!R82+'Output-FR (show)'!R92-'Output-FR (show)'!R59)/'Output-FR (show)'!R111</f>
        <v>-7.4668715993251186E-2</v>
      </c>
      <c r="S61" s="2689">
        <f ca="1">('Output-FR (show)'!S82+'Output-FR (show)'!S92-'Output-FR (show)'!S59)/'Output-FR (show)'!S111</f>
        <v>-6.9690567277743906E-2</v>
      </c>
      <c r="T61" s="2689">
        <f ca="1">('Output-FR (show)'!T82+'Output-FR (show)'!T92-'Output-FR (show)'!T59)/'Output-FR (show)'!T111</f>
        <v>-5.1618535521512778E-2</v>
      </c>
      <c r="U61" s="2689">
        <f ca="1">('Output-FR (show)'!U82+'Output-FR (show)'!U92-'Output-FR (show)'!U59)/'Output-FR (show)'!U111</f>
        <v>-7.3436015999212692E-2</v>
      </c>
      <c r="V61" s="2689">
        <f ca="1">('Output-FR (show)'!V82+'Output-FR (show)'!V92-'Output-FR (show)'!V59)/'Output-FR (show)'!V111</f>
        <v>-5.6429219129864081E-2</v>
      </c>
      <c r="W61" s="2689">
        <f ca="1">('Output-FR (show)'!W82+'Output-FR (show)'!W92-'Output-FR (show)'!W59)/'Output-FR (show)'!W111</f>
        <v>-6.6509351166112327E-2</v>
      </c>
      <c r="X61" s="2689">
        <f ca="1">('Output-FR (show)'!X82+'Output-FR (show)'!X92-'Output-FR (show)'!X59)/'Output-FR (show)'!X111</f>
        <v>-7.0502756164801034E-2</v>
      </c>
      <c r="Y61" s="2689">
        <f ca="1">('Output-FR (show)'!Y82+'Output-FR (show)'!Y92-'Output-FR (show)'!Y59)/'Output-FR (show)'!Y111</f>
        <v>-7.2640324292498767E-2</v>
      </c>
      <c r="Z61" s="2689">
        <f ca="1">('Output-FR (show)'!Z82+'Output-FR (show)'!Z92-'Output-FR (show)'!Z59)/'Output-FR (show)'!Z111</f>
        <v>-7.2246695591768578E-2</v>
      </c>
      <c r="AA61" s="1794"/>
      <c r="AB61" s="1794"/>
      <c r="AC61" s="1794"/>
      <c r="AD61" s="1794"/>
      <c r="AE61" s="1794"/>
      <c r="AF61" s="1794"/>
      <c r="AG61" s="1794"/>
      <c r="AH61" s="1794"/>
      <c r="AI61" s="1794"/>
      <c r="AJ61" s="1794"/>
      <c r="AK61" s="1794"/>
      <c r="AL61" s="1794"/>
      <c r="AM61" s="1794"/>
      <c r="AN61" s="1794"/>
      <c r="AO61" s="1794"/>
      <c r="AP61" s="1794"/>
      <c r="AQ61" s="1794"/>
      <c r="AR61" s="1794"/>
      <c r="AS61" s="1794"/>
      <c r="AT61" s="1794"/>
      <c r="AU61" s="1794"/>
      <c r="AV61" s="1794"/>
      <c r="AW61" s="1794"/>
      <c r="AX61" s="1794"/>
      <c r="AY61" s="1794"/>
      <c r="AZ61" s="1794"/>
      <c r="BA61" s="1794"/>
    </row>
    <row r="62" spans="1:74" s="1795" customFormat="1">
      <c r="A62" s="1791"/>
      <c r="B62" s="1791" t="s">
        <v>1103</v>
      </c>
      <c r="C62" s="1791"/>
      <c r="D62" s="1791"/>
      <c r="E62" s="1794"/>
      <c r="F62" s="1794"/>
      <c r="G62" s="1794"/>
      <c r="H62" s="1794"/>
      <c r="I62" s="1794"/>
      <c r="J62" s="1796"/>
      <c r="K62" s="1796">
        <f>('Output-FR (show)'!K82+'Output-FR (show)'!K92-'Output-FR (show)'!K60)/'Output-FR (show)'!K111</f>
        <v>0.29360580724578905</v>
      </c>
      <c r="L62" s="1796">
        <f>('Output-FR (show)'!L82+'Output-FR (show)'!L92-'Output-FR (show)'!L60)/'Output-FR (show)'!L111</f>
        <v>0.13054852367526321</v>
      </c>
      <c r="M62" s="1796">
        <f>('Output-FR (show)'!M82+'Output-FR (show)'!M92-'Output-FR (show)'!M60)/'Output-FR (show)'!M111</f>
        <v>9.2845527856246279E-2</v>
      </c>
      <c r="N62" s="1796">
        <f>('Output-FR (show)'!N82+'Output-FR (show)'!N92-'Output-FR (show)'!N60)/'Output-FR (show)'!N111</f>
        <v>3.4112923822595369E-4</v>
      </c>
      <c r="O62" s="1796">
        <f>('Output-FR (show)'!O82+'Output-FR (show)'!O92-'Output-FR (show)'!O60)/'Output-FR (show)'!O111</f>
        <v>8.5425527673321969E-2</v>
      </c>
      <c r="P62" s="1796">
        <f>('Output-FR (show)'!P82+'Output-FR (show)'!P92-'Output-FR (show)'!P60)/'Output-FR (show)'!P111</f>
        <v>0.13295579699530313</v>
      </c>
      <c r="Q62" s="2689">
        <f ca="1">('Output-FR (show)'!Q82+'Output-FR (show)'!Q92-'Output-FR (show)'!Q60)/'Output-FR (show)'!Q111</f>
        <v>0.17492249724660977</v>
      </c>
      <c r="R62" s="2689">
        <f ca="1">('Output-FR (show)'!R82+'Output-FR (show)'!R92-'Output-FR (show)'!R60)/'Output-FR (show)'!R111</f>
        <v>0.17079659075543746</v>
      </c>
      <c r="S62" s="2689">
        <f ca="1">('Output-FR (show)'!S82+'Output-FR (show)'!S92-'Output-FR (show)'!S60)/'Output-FR (show)'!S111</f>
        <v>0.14815807413701371</v>
      </c>
      <c r="T62" s="2689">
        <f ca="1">('Output-FR (show)'!T82+'Output-FR (show)'!T92-'Output-FR (show)'!T60)/'Output-FR (show)'!T111</f>
        <v>0.16614472758700885</v>
      </c>
      <c r="U62" s="2689">
        <f ca="1">('Output-FR (show)'!U82+'Output-FR (show)'!U92-'Output-FR (show)'!U60)/'Output-FR (show)'!U111</f>
        <v>0.14350376658685984</v>
      </c>
      <c r="V62" s="2689">
        <f ca="1">('Output-FR (show)'!V82+'Output-FR (show)'!V92-'Output-FR (show)'!V60)/'Output-FR (show)'!V111</f>
        <v>0.12053428879015067</v>
      </c>
      <c r="W62" s="2689">
        <f ca="1">('Output-FR (show)'!W82+'Output-FR (show)'!W92-'Output-FR (show)'!W60)/'Output-FR (show)'!W111</f>
        <v>0.10838541108296393</v>
      </c>
      <c r="X62" s="2689">
        <f ca="1">('Output-FR (show)'!X82+'Output-FR (show)'!X92-'Output-FR (show)'!X60)/'Output-FR (show)'!X111</f>
        <v>0.10380277891003971</v>
      </c>
      <c r="Y62" s="2689">
        <f ca="1">('Output-FR (show)'!Y82+'Output-FR (show)'!Y92-'Output-FR (show)'!Y60)/'Output-FR (show)'!Y111</f>
        <v>0.10143804355417972</v>
      </c>
      <c r="Z62" s="2689">
        <f ca="1">('Output-FR (show)'!Z82+'Output-FR (show)'!Z92-'Output-FR (show)'!Z60)/'Output-FR (show)'!Z111</f>
        <v>0.1022442117025978</v>
      </c>
      <c r="AA62" s="1796"/>
      <c r="AB62" s="1794"/>
      <c r="AC62" s="1794"/>
      <c r="AD62" s="1794"/>
      <c r="AE62" s="1794"/>
      <c r="AF62" s="1794"/>
      <c r="AG62" s="1794"/>
      <c r="AH62" s="1794"/>
      <c r="AI62" s="1794"/>
      <c r="AJ62" s="1794"/>
      <c r="AK62" s="1794"/>
      <c r="AL62" s="1794"/>
      <c r="AM62" s="1794"/>
      <c r="AN62" s="1794"/>
      <c r="AO62" s="1794"/>
      <c r="AP62" s="1794"/>
      <c r="AQ62" s="1794"/>
      <c r="AR62" s="1794"/>
      <c r="AS62" s="1794"/>
      <c r="AT62" s="1794"/>
      <c r="AU62" s="1794"/>
      <c r="AV62" s="1794"/>
      <c r="AW62" s="1794"/>
      <c r="AX62" s="1794"/>
      <c r="AY62" s="1794"/>
      <c r="AZ62" s="1794"/>
      <c r="BA62" s="1794"/>
    </row>
    <row r="63" spans="1:74" s="1795" customFormat="1">
      <c r="A63" s="1791"/>
      <c r="B63" s="1791" t="s">
        <v>1104</v>
      </c>
      <c r="C63" s="1791"/>
      <c r="D63" s="1791"/>
      <c r="E63" s="1794"/>
      <c r="F63" s="1794"/>
      <c r="G63" s="1794"/>
      <c r="H63" s="1794"/>
      <c r="I63" s="1794"/>
      <c r="J63" s="1796"/>
      <c r="K63" s="1796">
        <f>('Output-FR (show)'!K82+'Output-FR (show)'!K92)/'Output-FR (show)'!K12</f>
        <v>1.0421504949071003</v>
      </c>
      <c r="L63" s="1796">
        <f>('Output-FR (show)'!L82+'Output-FR (show)'!L92)/'Output-FR (show)'!L12</f>
        <v>0.4192860959304392</v>
      </c>
      <c r="M63" s="1796">
        <f>('Output-FR (show)'!M82+'Output-FR (show)'!M92)/'Output-FR (show)'!M12</f>
        <v>0.21500015418858179</v>
      </c>
      <c r="N63" s="1796">
        <f>('Output-FR (show)'!N82+'Output-FR (show)'!N92)/'Output-FR (show)'!N12</f>
        <v>6.2739645211499747E-4</v>
      </c>
      <c r="O63" s="1796">
        <f>('Output-FR (show)'!O82+'Output-FR (show)'!O92)/'Output-FR (show)'!O12</f>
        <v>0.48061954577651861</v>
      </c>
      <c r="P63" s="1796">
        <f>('Output-FR (show)'!P82+'Output-FR (show)'!P92)/'Output-FR (show)'!P12</f>
        <v>1.0486775669976327</v>
      </c>
      <c r="Q63" s="2689">
        <f ca="1">('Output-FR (show)'!Q82+'Output-FR (show)'!Q92)/'Output-FR (show)'!Q12</f>
        <v>0.66848449614998295</v>
      </c>
      <c r="R63" s="2689">
        <f ca="1">('Output-FR (show)'!R82+'Output-FR (show)'!R92)/'Output-FR (show)'!R12</f>
        <v>0.65024409618395507</v>
      </c>
      <c r="S63" s="2689">
        <f ca="1">('Output-FR (show)'!S82+'Output-FR (show)'!S92)/'Output-FR (show)'!S12</f>
        <v>0.66175505825075165</v>
      </c>
      <c r="T63" s="2689">
        <f ca="1">('Output-FR (show)'!T82+'Output-FR (show)'!T92)/'Output-FR (show)'!T12</f>
        <v>0.58156610018287536</v>
      </c>
      <c r="U63" s="2689">
        <f ca="1">('Output-FR (show)'!U82+'Output-FR (show)'!U92)/'Output-FR (show)'!U12</f>
        <v>0.689027378670655</v>
      </c>
      <c r="V63" s="2689">
        <f ca="1">('Output-FR (show)'!V82+'Output-FR (show)'!V92)/'Output-FR (show)'!V12</f>
        <v>0.75846801991396007</v>
      </c>
      <c r="W63" s="2689">
        <f ca="1">('Output-FR (show)'!W82+'Output-FR (show)'!W92)/'Output-FR (show)'!W12</f>
        <v>0.76716331343610611</v>
      </c>
      <c r="X63" s="2689">
        <f ca="1">('Output-FR (show)'!X82+'Output-FR (show)'!X92)/'Output-FR (show)'!X12</f>
        <v>0.70064321628657911</v>
      </c>
      <c r="Y63" s="2689">
        <f ca="1">('Output-FR (show)'!Y82+'Output-FR (show)'!Y92)/'Output-FR (show)'!Y12</f>
        <v>0.62479782450914756</v>
      </c>
      <c r="Z63" s="2689">
        <f ca="1">('Output-FR (show)'!Z82+'Output-FR (show)'!Z92)/'Output-FR (show)'!Z12</f>
        <v>0.66950862460303084</v>
      </c>
      <c r="AA63" s="1796"/>
      <c r="AB63" s="1794"/>
      <c r="AC63" s="1794"/>
      <c r="AD63" s="1794"/>
      <c r="AE63" s="1794"/>
      <c r="AF63" s="1794"/>
      <c r="AG63" s="1794"/>
      <c r="AH63" s="1794"/>
      <c r="AI63" s="1794"/>
      <c r="AJ63" s="1794"/>
      <c r="AK63" s="1794"/>
      <c r="AL63" s="1794"/>
      <c r="AM63" s="1794"/>
      <c r="AN63" s="1794"/>
      <c r="AO63" s="1794"/>
      <c r="AP63" s="1794"/>
      <c r="AQ63" s="1794"/>
      <c r="AR63" s="1794"/>
      <c r="AS63" s="1794"/>
      <c r="AT63" s="1794"/>
      <c r="AU63" s="1794"/>
      <c r="AV63" s="1794"/>
      <c r="AW63" s="1794"/>
      <c r="AX63" s="1794"/>
      <c r="AY63" s="1794"/>
      <c r="AZ63" s="1794"/>
      <c r="BA63" s="1794"/>
    </row>
    <row r="64" spans="1:74" s="1795" customFormat="1">
      <c r="A64" s="1791"/>
      <c r="B64" s="1791" t="s">
        <v>1105</v>
      </c>
      <c r="C64" s="1791"/>
      <c r="D64" s="1791"/>
      <c r="E64" s="1794"/>
      <c r="F64" s="1794"/>
      <c r="G64" s="1794"/>
      <c r="H64" s="1794"/>
      <c r="I64" s="1794"/>
      <c r="J64" s="1796"/>
      <c r="K64" s="1796">
        <f>('Output-FR (show)'!K82+'Output-FR (show)'!K92-'Output-FR (show)'!K59)/'Output-FR (show)'!K12</f>
        <v>0.76703767886593532</v>
      </c>
      <c r="L64" s="1796">
        <f>('Output-FR (show)'!L82+'Output-FR (show)'!L92-'Output-FR (show)'!L59)/'Output-FR (show)'!L12</f>
        <v>0.15929573119966978</v>
      </c>
      <c r="M64" s="1796">
        <f>('Output-FR (show)'!M82+'Output-FR (show)'!M92-'Output-FR (show)'!M59)/'Output-FR (show)'!M12</f>
        <v>8.2100210855541034E-2</v>
      </c>
      <c r="N64" s="1796">
        <f>('Output-FR (show)'!N82+'Output-FR (show)'!N92-'Output-FR (show)'!N59)/'Output-FR (show)'!N12</f>
        <v>-0.36900994380334651</v>
      </c>
      <c r="O64" s="1796">
        <f>('Output-FR (show)'!O82+'Output-FR (show)'!O92-'Output-FR (show)'!O59)/'Output-FR (show)'!O12</f>
        <v>-0.81293090397476542</v>
      </c>
      <c r="P64" s="1796">
        <f>('Output-FR (show)'!P82+'Output-FR (show)'!P92-'Output-FR (show)'!P59)/'Output-FR (show)'!P12</f>
        <v>-0.43112645038174452</v>
      </c>
      <c r="Q64" s="2689">
        <f ca="1">('Output-FR (show)'!Q82+'Output-FR (show)'!Q92-'Output-FR (show)'!Q59)/'Output-FR (show)'!Q12</f>
        <v>-0.24402323220009869</v>
      </c>
      <c r="R64" s="2689">
        <f ca="1">('Output-FR (show)'!R82+'Output-FR (show)'!R92-'Output-FR (show)'!R59)/'Output-FR (show)'!R12</f>
        <v>-0.28383106214521148</v>
      </c>
      <c r="S64" s="2689">
        <f ca="1">('Output-FR (show)'!S82+'Output-FR (show)'!S92-'Output-FR (show)'!S59)/'Output-FR (show)'!S12</f>
        <v>-0.31104046767027466</v>
      </c>
      <c r="T64" s="2689">
        <f ca="1">('Output-FR (show)'!T82+'Output-FR (show)'!T92-'Output-FR (show)'!T59)/'Output-FR (show)'!T12</f>
        <v>-0.18055664600304164</v>
      </c>
      <c r="U64" s="2689">
        <f ca="1">('Output-FR (show)'!U82+'Output-FR (show)'!U92-'Output-FR (show)'!U59)/'Output-FR (show)'!U12</f>
        <v>-0.35189189024851047</v>
      </c>
      <c r="V64" s="2689">
        <f ca="1">('Output-FR (show)'!V82+'Output-FR (show)'!V92-'Output-FR (show)'!V59)/'Output-FR (show)'!V12</f>
        <v>-0.35423270937088563</v>
      </c>
      <c r="W64" s="2689">
        <f ca="1">('Output-FR (show)'!W82+'Output-FR (show)'!W92-'Output-FR (show)'!W59)/'Output-FR (show)'!W12</f>
        <v>-0.46926238073985771</v>
      </c>
      <c r="X64" s="2689">
        <f ca="1">('Output-FR (show)'!X82+'Output-FR (show)'!X92-'Output-FR (show)'!X59)/'Output-FR (show)'!X12</f>
        <v>-0.4746681252095924</v>
      </c>
      <c r="Y64" s="2689">
        <f ca="1">('Output-FR (show)'!Y82+'Output-FR (show)'!Y92-'Output-FR (show)'!Y59)/'Output-FR (show)'!Y12</f>
        <v>-0.44690129341501905</v>
      </c>
      <c r="Z64" s="2689">
        <f ca="1">('Output-FR (show)'!Z82+'Output-FR (show)'!Z92-'Output-FR (show)'!Z59)/'Output-FR (show)'!Z12</f>
        <v>-0.47249994868556189</v>
      </c>
      <c r="AA64" s="1796"/>
      <c r="AB64" s="1794"/>
      <c r="AC64" s="1794"/>
      <c r="AD64" s="1794"/>
      <c r="AE64" s="1794"/>
      <c r="AF64" s="1794"/>
      <c r="AG64" s="1794"/>
      <c r="AH64" s="1794"/>
      <c r="AI64" s="1794"/>
      <c r="AJ64" s="1794"/>
      <c r="AK64" s="1794"/>
      <c r="AL64" s="1794"/>
      <c r="AM64" s="1794"/>
      <c r="AN64" s="1794"/>
      <c r="AO64" s="1794"/>
      <c r="AP64" s="1794"/>
      <c r="AQ64" s="1794"/>
      <c r="AR64" s="1794"/>
      <c r="AS64" s="1794"/>
      <c r="AT64" s="1794"/>
      <c r="AU64" s="1794"/>
      <c r="AV64" s="1794"/>
      <c r="AW64" s="1794"/>
      <c r="AX64" s="1794"/>
      <c r="AY64" s="1794"/>
      <c r="AZ64" s="1794"/>
      <c r="BA64" s="1794"/>
    </row>
    <row r="65" spans="1:74" s="1795" customFormat="1">
      <c r="A65" s="1791"/>
      <c r="B65" s="1791" t="s">
        <v>1106</v>
      </c>
      <c r="C65" s="1791"/>
      <c r="D65" s="1791"/>
      <c r="J65" s="1796"/>
      <c r="K65" s="1796">
        <f>('Output-FR (show)'!K82+'Output-FR (show)'!K92-'Output-FR (show)'!K60)/'Output-FR (show)'!K12</f>
        <v>1.0421504949071003</v>
      </c>
      <c r="L65" s="1796">
        <f>('Output-FR (show)'!L82+'Output-FR (show)'!L92-'Output-FR (show)'!L60)/'Output-FR (show)'!L12</f>
        <v>0.4192860959304392</v>
      </c>
      <c r="M65" s="1796">
        <f>('Output-FR (show)'!M82+'Output-FR (show)'!M92-'Output-FR (show)'!M60)/'Output-FR (show)'!M12</f>
        <v>0.21500015418858179</v>
      </c>
      <c r="N65" s="1796">
        <f>('Output-FR (show)'!N82+'Output-FR (show)'!N92-'Output-FR (show)'!N60)/'Output-FR (show)'!N12</f>
        <v>6.2739645211499747E-4</v>
      </c>
      <c r="O65" s="1796">
        <f>('Output-FR (show)'!O82+'Output-FR (show)'!O92-'Output-FR (show)'!O60)/'Output-FR (show)'!O12</f>
        <v>0.48061954577651861</v>
      </c>
      <c r="P65" s="1796">
        <f>('Output-FR (show)'!P82+'Output-FR (show)'!P92-'Output-FR (show)'!P60)/'Output-FR (show)'!P12</f>
        <v>1.0486775669976327</v>
      </c>
      <c r="Q65" s="2689">
        <f ca="1">('Output-FR (show)'!Q82+'Output-FR (show)'!Q92-'Output-FR (show)'!Q60)/'Output-FR (show)'!Q12</f>
        <v>0.66804990768883521</v>
      </c>
      <c r="R65" s="2689">
        <f ca="1">('Output-FR (show)'!R82+'Output-FR (show)'!R92-'Output-FR (show)'!R60)/'Output-FR (show)'!R12</f>
        <v>0.64923277600325102</v>
      </c>
      <c r="S65" s="2689">
        <f ca="1">('Output-FR (show)'!S82+'Output-FR (show)'!S92-'Output-FR (show)'!S60)/'Output-FR (show)'!S12</f>
        <v>0.6612538607275894</v>
      </c>
      <c r="T65" s="2689">
        <f ca="1">('Output-FR (show)'!T82+'Output-FR (show)'!T92-'Output-FR (show)'!T60)/'Output-FR (show)'!T12</f>
        <v>0.58115819174484362</v>
      </c>
      <c r="U65" s="2689">
        <f ca="1">('Output-FR (show)'!U82+'Output-FR (show)'!U92-'Output-FR (show)'!U60)/'Output-FR (show)'!U12</f>
        <v>0.68764367177234309</v>
      </c>
      <c r="V65" s="2689">
        <f ca="1">('Output-FR (show)'!V82+'Output-FR (show)'!V92-'Output-FR (show)'!V60)/'Output-FR (show)'!V12</f>
        <v>0.7566503373361616</v>
      </c>
      <c r="W65" s="2689">
        <f ca="1">('Output-FR (show)'!W82+'Output-FR (show)'!W92-'Output-FR (show)'!W60)/'Output-FR (show)'!W12</f>
        <v>0.76472248113246477</v>
      </c>
      <c r="X65" s="2689">
        <f ca="1">('Output-FR (show)'!X82+'Output-FR (show)'!X92-'Output-FR (show)'!X60)/'Output-FR (show)'!X12</f>
        <v>0.69886445774688266</v>
      </c>
      <c r="Y65" s="2689">
        <f ca="1">('Output-FR (show)'!Y82+'Output-FR (show)'!Y92-'Output-FR (show)'!Y60)/'Output-FR (show)'!Y12</f>
        <v>0.62407200556142439</v>
      </c>
      <c r="Z65" s="2689">
        <f ca="1">('Output-FR (show)'!Z82+'Output-FR (show)'!Z92-'Output-FR (show)'!Z60)/'Output-FR (show)'!Z12</f>
        <v>0.66868642762365216</v>
      </c>
      <c r="AA65" s="1796"/>
    </row>
    <row r="66" spans="1:74" s="1795" customFormat="1" ht="13.8" thickBot="1">
      <c r="A66" s="1791"/>
      <c r="B66" s="1792" t="s">
        <v>1107</v>
      </c>
      <c r="C66" s="1797"/>
      <c r="D66" s="1797"/>
      <c r="E66" s="1798"/>
      <c r="F66" s="1798"/>
      <c r="G66" s="1798"/>
      <c r="H66" s="1798"/>
      <c r="I66" s="1798"/>
      <c r="J66" s="1798"/>
      <c r="K66" s="1798"/>
      <c r="L66" s="1798"/>
      <c r="M66" s="1798"/>
      <c r="N66" s="1798"/>
      <c r="O66" s="1798"/>
      <c r="P66" s="1799"/>
      <c r="Q66" s="1798"/>
      <c r="R66" s="1798"/>
      <c r="S66" s="1798"/>
      <c r="T66" s="1798"/>
      <c r="U66" s="1798"/>
      <c r="V66" s="1798"/>
      <c r="W66" s="1798"/>
      <c r="X66" s="1798"/>
      <c r="Y66" s="1798"/>
      <c r="Z66" s="1798"/>
      <c r="AA66" s="1798"/>
      <c r="AB66" s="1798"/>
      <c r="AC66" s="1798"/>
      <c r="AD66" s="1798"/>
      <c r="AE66" s="1798"/>
      <c r="AF66" s="1798"/>
      <c r="AG66" s="1798"/>
      <c r="AH66" s="1798"/>
      <c r="AI66" s="1798"/>
      <c r="AJ66" s="1798"/>
      <c r="AK66" s="1798"/>
      <c r="AL66" s="1798"/>
      <c r="AM66" s="1798"/>
      <c r="AN66" s="1798"/>
      <c r="AO66" s="1798"/>
      <c r="AP66" s="1798"/>
      <c r="AQ66" s="1798"/>
      <c r="AR66" s="1798"/>
      <c r="AS66" s="1798"/>
      <c r="AT66" s="1798"/>
      <c r="AU66" s="1798"/>
      <c r="AV66" s="1798"/>
      <c r="AW66" s="1798"/>
      <c r="AX66" s="1798"/>
      <c r="AY66" s="1798"/>
      <c r="AZ66" s="1798"/>
      <c r="BA66" s="1798"/>
    </row>
    <row r="67" spans="1:74">
      <c r="B67" s="1791" t="s">
        <v>1108</v>
      </c>
      <c r="E67" s="1766"/>
      <c r="F67" s="1766"/>
      <c r="G67" s="1766"/>
      <c r="H67" s="1766"/>
      <c r="I67" s="1766"/>
      <c r="J67" s="1755"/>
      <c r="K67" s="1755">
        <f>'Output-FR (show)'!K18/'Output-FR (show)'!K23</f>
        <v>4.5176421606883705</v>
      </c>
      <c r="L67" s="1755">
        <f>'Output-FR (show)'!L18/'Output-FR (show)'!L23</f>
        <v>14.859701682106428</v>
      </c>
      <c r="M67" s="1755">
        <f>'Output-FR (show)'!M18/'Output-FR (show)'!M23</f>
        <v>98.601943680328048</v>
      </c>
      <c r="N67" s="1755">
        <f>'Output-FR (show)'!N18/'Output-FR (show)'!N23</f>
        <v>423.61379005358953</v>
      </c>
      <c r="O67" s="1755">
        <f>'Output-FR (show)'!O18/'Output-FR (show)'!O23</f>
        <v>67.214508738554727</v>
      </c>
      <c r="P67" s="1755">
        <f>'Output-FR (show)'!P18/'Output-FR (show)'!P23</f>
        <v>22.939364151688977</v>
      </c>
      <c r="Q67" s="1755">
        <f ca="1">'Output-FR (show)'!Q18/'Output-FR (show)'!Q23</f>
        <v>28.031967399705568</v>
      </c>
      <c r="R67" s="1755">
        <f ca="1">'Output-FR (show)'!R18/'Output-FR (show)'!R23</f>
        <v>25.225179889571947</v>
      </c>
      <c r="S67" s="1755">
        <f ca="1">'Output-FR (show)'!S18/'Output-FR (show)'!S23</f>
        <v>27.804001837799596</v>
      </c>
      <c r="T67" s="1755">
        <f ca="1">'Output-FR (show)'!T18/'Output-FR (show)'!T23</f>
        <v>38.519806066533818</v>
      </c>
      <c r="U67" s="1755">
        <f ca="1">'Output-FR (show)'!U18/'Output-FR (show)'!U23</f>
        <v>28.066946531962412</v>
      </c>
      <c r="V67" s="1755">
        <f ca="1">'Output-FR (show)'!V18/'Output-FR (show)'!V23</f>
        <v>24.357573940656149</v>
      </c>
      <c r="W67" s="1755">
        <f ca="1">'Output-FR (show)'!W18/'Output-FR (show)'!W23</f>
        <v>25.69868391186165</v>
      </c>
      <c r="X67" s="1755">
        <f ca="1">'Output-FR (show)'!X18/'Output-FR (show)'!X23</f>
        <v>29.682783808405528</v>
      </c>
      <c r="Y67" s="1755">
        <f ca="1">'Output-FR (show)'!Y18/'Output-FR (show)'!Y23</f>
        <v>34.243269583639993</v>
      </c>
      <c r="Z67" s="1755">
        <f ca="1">'Output-FR (show)'!Z18/'Output-FR (show)'!Z23</f>
        <v>31.78433992783475</v>
      </c>
      <c r="AA67" s="1755"/>
      <c r="AB67" s="1759"/>
      <c r="AC67" s="1759"/>
      <c r="AD67" s="1759"/>
      <c r="AE67" s="1759"/>
      <c r="AF67" s="1759"/>
      <c r="AG67" s="1759"/>
      <c r="AH67" s="1759"/>
      <c r="AI67" s="1759"/>
      <c r="AJ67" s="1759"/>
      <c r="AK67" s="1759"/>
      <c r="AL67" s="1759"/>
      <c r="AM67" s="1759"/>
      <c r="AN67" s="1759"/>
      <c r="AO67" s="1759"/>
      <c r="AP67" s="1759"/>
      <c r="AQ67" s="1759"/>
      <c r="AR67" s="1759"/>
      <c r="AS67" s="1759"/>
      <c r="AT67" s="1759"/>
      <c r="AU67" s="1759"/>
      <c r="AV67" s="1759"/>
      <c r="AW67" s="1759"/>
      <c r="AX67" s="1759"/>
      <c r="AY67" s="1759"/>
      <c r="AZ67" s="1759"/>
      <c r="BA67" s="1759"/>
    </row>
    <row r="68" spans="1:74">
      <c r="B68" s="1791" t="s">
        <v>1109</v>
      </c>
      <c r="E68" s="1766"/>
      <c r="F68" s="1766"/>
      <c r="G68" s="1766"/>
      <c r="H68" s="1766"/>
      <c r="I68" s="1766"/>
      <c r="J68" s="1755"/>
      <c r="K68" s="1755">
        <f>'Output-FR (show)'!K12/'Output-FR (show)'!K139</f>
        <v>19.646727423566411</v>
      </c>
      <c r="L68" s="1755">
        <f>'Output-FR (show)'!L12/'Output-FR (show)'!L139</f>
        <v>45.301276971355094</v>
      </c>
      <c r="M68" s="1755">
        <f>'Output-FR (show)'!M12/'Output-FR (show)'!M139</f>
        <v>173.18730165925359</v>
      </c>
      <c r="N68" s="1755">
        <f>'Output-FR (show)'!N12/'Output-FR (show)'!N139</f>
        <v>559.677901965552</v>
      </c>
      <c r="O68" s="1755">
        <f>'Output-FR (show)'!O12/'Output-FR (show)'!O139</f>
        <v>173.89146787153567</v>
      </c>
      <c r="P68" s="1755">
        <f>'Output-FR (show)'!P12/'Output-FR (show)'!P139</f>
        <v>28.9798462229565</v>
      </c>
      <c r="Q68" s="1755">
        <f ca="1">'Output-FR (show)'!Q12/'Output-FR (show)'!Q139</f>
        <v>39.627731843885257</v>
      </c>
      <c r="R68" s="1755">
        <f ca="1">'Output-FR (show)'!R12/'Output-FR (show)'!R139</f>
        <v>35.302251422659758</v>
      </c>
      <c r="S68" s="1755">
        <f ca="1">'Output-FR (show)'!S12/'Output-FR (show)'!S139</f>
        <v>31.741371917116297</v>
      </c>
      <c r="T68" s="1755">
        <f ca="1">'Output-FR (show)'!T12/'Output-FR (show)'!T139</f>
        <v>41.85764578181648</v>
      </c>
      <c r="U68" s="1755">
        <f ca="1">'Output-FR (show)'!U12/'Output-FR (show)'!U139</f>
        <v>30.986119587758687</v>
      </c>
      <c r="V68" s="1755">
        <f ca="1">'Output-FR (show)'!V12/'Output-FR (show)'!V139</f>
        <v>27.471582696392659</v>
      </c>
      <c r="W68" s="1755">
        <f ca="1">'Output-FR (show)'!W12/'Output-FR (show)'!W139</f>
        <v>28.737336869641315</v>
      </c>
      <c r="X68" s="1755">
        <f ca="1">'Output-FR (show)'!X12/'Output-FR (show)'!X139</f>
        <v>33.197840777463036</v>
      </c>
      <c r="Y68" s="1755">
        <f ca="1">'Output-FR (show)'!Y12/'Output-FR (show)'!Y139</f>
        <v>37.914547137525524</v>
      </c>
      <c r="Z68" s="1755">
        <f ca="1">'Output-FR (show)'!Z12/'Output-FR (show)'!Z139</f>
        <v>35.537598217761222</v>
      </c>
      <c r="AA68" s="1755"/>
      <c r="AB68" s="1759"/>
      <c r="AC68" s="1759"/>
      <c r="AD68" s="1759"/>
      <c r="AE68" s="1759"/>
      <c r="AF68" s="1759"/>
      <c r="AG68" s="1759"/>
      <c r="AH68" s="1759"/>
      <c r="AI68" s="1759"/>
      <c r="AJ68" s="1759"/>
      <c r="AK68" s="1759"/>
      <c r="AL68" s="1759"/>
      <c r="AM68" s="1759"/>
      <c r="AN68" s="1759"/>
      <c r="AO68" s="1759"/>
      <c r="AP68" s="1759"/>
      <c r="AQ68" s="1759"/>
      <c r="AR68" s="1759"/>
      <c r="AS68" s="1759"/>
      <c r="AT68" s="1759"/>
      <c r="AU68" s="1759"/>
      <c r="AV68" s="1759"/>
      <c r="AW68" s="1759"/>
      <c r="AX68" s="1759"/>
      <c r="AY68" s="1759"/>
      <c r="AZ68" s="1759"/>
      <c r="BA68" s="1759"/>
    </row>
    <row r="69" spans="1:74">
      <c r="B69" s="1791" t="s">
        <v>1110</v>
      </c>
      <c r="E69" s="1766"/>
      <c r="F69" s="1766"/>
      <c r="G69" s="1766"/>
      <c r="H69" s="1766"/>
      <c r="I69" s="1766"/>
      <c r="J69" s="1755"/>
      <c r="K69" s="1755">
        <f>('Output-FR (show)'!K12-'LT. Asset'!K9)/'Output-FR (show)'!K139</f>
        <v>13.617542820192268</v>
      </c>
      <c r="L69" s="1755">
        <f>('Output-FR (show)'!L12-'LT. Asset'!L9)/'Output-FR (show)'!L139</f>
        <v>41.84921354854233</v>
      </c>
      <c r="M69" s="1755">
        <f>('Output-FR (show)'!M12-'LT. Asset'!M9)/'Output-FR (show)'!M139</f>
        <v>165.48328694569653</v>
      </c>
      <c r="N69" s="1755">
        <f>('Output-FR (show)'!N12-'LT. Asset'!N9)/'Output-FR (show)'!N139</f>
        <v>544.17293218447207</v>
      </c>
      <c r="O69" s="1755">
        <f>('Output-FR (show)'!O12-'LT. Asset'!O9)/'Output-FR (show)'!O139</f>
        <v>121.10297584513363</v>
      </c>
      <c r="P69" s="1755">
        <f>('Output-FR (show)'!P12-'LT. Asset'!P9)/'Output-FR (show)'!P139</f>
        <v>-7.4946223686532631</v>
      </c>
      <c r="Q69" s="1755">
        <f ca="1">('Output-FR (show)'!Q12-'LT. Asset'!Q9)/'Output-FR (show)'!Q139</f>
        <v>29.003616199396831</v>
      </c>
      <c r="R69" s="1755">
        <f ca="1">('Output-FR (show)'!R12-'LT. Asset'!R9)/'Output-FR (show)'!R139</f>
        <v>27.734697455788176</v>
      </c>
      <c r="S69" s="1755">
        <f ca="1">('Output-FR (show)'!S12-'LT. Asset'!S9)/'Output-FR (show)'!S139</f>
        <v>24.790371457666396</v>
      </c>
      <c r="T69" s="1755">
        <f ca="1">('Output-FR (show)'!T12-'LT. Asset'!T9)/'Output-FR (show)'!T139</f>
        <v>32.227694265183025</v>
      </c>
      <c r="U69" s="1755">
        <f ca="1">('Output-FR (show)'!U12-'LT. Asset'!U9)/'Output-FR (show)'!U139</f>
        <v>27.618086003923199</v>
      </c>
      <c r="V69" s="1755">
        <f ca="1">('Output-FR (show)'!V12-'LT. Asset'!V9)/'Output-FR (show)'!V139</f>
        <v>24.548673823513919</v>
      </c>
      <c r="W69" s="1755">
        <f ca="1">('Output-FR (show)'!W12-'LT. Asset'!W9)/'Output-FR (show)'!W139</f>
        <v>26.167468478455145</v>
      </c>
      <c r="X69" s="1755">
        <f ca="1">('Output-FR (show)'!X12-'LT. Asset'!X9)/'Output-FR (show)'!X139</f>
        <v>30.229562396622484</v>
      </c>
      <c r="Y69" s="1755">
        <f ca="1">('Output-FR (show)'!Y12-'LT. Asset'!Y9)/'Output-FR (show)'!Y139</f>
        <v>34.490220179161525</v>
      </c>
      <c r="Z69" s="1755">
        <f ca="1">('Output-FR (show)'!Z12-'LT. Asset'!Z9)/'Output-FR (show)'!Z139</f>
        <v>32.359164224977746</v>
      </c>
      <c r="AA69" s="1755"/>
      <c r="AB69" s="1759"/>
      <c r="AC69" s="1759"/>
      <c r="AD69" s="1759"/>
      <c r="AE69" s="1759"/>
      <c r="AF69" s="1759"/>
      <c r="AG69" s="1759"/>
      <c r="AH69" s="1759"/>
      <c r="AI69" s="1759"/>
      <c r="AJ69" s="1759"/>
      <c r="AK69" s="1759"/>
      <c r="AL69" s="1759"/>
      <c r="AM69" s="1759"/>
      <c r="AN69" s="1759"/>
      <c r="AO69" s="1759"/>
      <c r="AP69" s="1759"/>
      <c r="AQ69" s="1759"/>
      <c r="AR69" s="1759"/>
      <c r="AS69" s="1759"/>
      <c r="AT69" s="1759"/>
      <c r="AU69" s="1759"/>
      <c r="AV69" s="1759"/>
      <c r="AW69" s="1759"/>
      <c r="AX69" s="1759"/>
      <c r="AY69" s="1759"/>
      <c r="AZ69" s="1759"/>
      <c r="BA69" s="1759"/>
    </row>
    <row r="70" spans="1:74">
      <c r="B70" s="1791" t="s">
        <v>1111</v>
      </c>
      <c r="J70" s="1752"/>
      <c r="K70" s="1752">
        <f>'Output-FR (show)'!K155/SUM('Output-FR (show)'!K82,'Output-FR (show)'!K92)</f>
        <v>0.7680014114539796</v>
      </c>
      <c r="L70" s="1752">
        <f>'Output-FR (show)'!L155/SUM('Output-FR (show)'!L82,'Output-FR (show)'!L92)</f>
        <v>2.1649818601339565</v>
      </c>
      <c r="M70" s="1752">
        <f>'Output-FR (show)'!M155/SUM('Output-FR (show)'!M82,'Output-FR (show)'!M92)</f>
        <v>3.7130412303830211</v>
      </c>
      <c r="N70" s="1752">
        <f>'Output-FR (show)'!N155/SUM('Output-FR (show)'!N82,'Output-FR (show)'!N92)</f>
        <v>1588.6333586561145</v>
      </c>
      <c r="O70" s="1752">
        <f>'Output-FR (show)'!O155/SUM('Output-FR (show)'!O82,'Output-FR (show)'!O92)</f>
        <v>2.725060387320251</v>
      </c>
      <c r="P70" s="1752">
        <f>'Output-FR (show)'!P155/SUM('Output-FR (show)'!P82,'Output-FR (show)'!P92)</f>
        <v>5.7496943848471892E-2</v>
      </c>
      <c r="Q70" s="1752">
        <f ca="1">'Output-FR (show)'!Q155/SUM('Output-FR (show)'!Q82,'Output-FR (show)'!Q92)</f>
        <v>0.69732987188914453</v>
      </c>
      <c r="R70" s="1752">
        <f ca="1">'Output-FR (show)'!R155/SUM('Output-FR (show)'!R82,'Output-FR (show)'!R92)</f>
        <v>1.0289381136755111</v>
      </c>
      <c r="S70" s="1752">
        <f ca="1">'Output-FR (show)'!S155/SUM('Output-FR (show)'!S82,'Output-FR (show)'!S92)</f>
        <v>1.1796168049033011</v>
      </c>
      <c r="T70" s="1752">
        <f ca="1">'Output-FR (show)'!T155/SUM('Output-FR (show)'!T82,'Output-FR (show)'!T92)</f>
        <v>0.98069622900668263</v>
      </c>
      <c r="U70" s="1752">
        <f ca="1">'Output-FR (show)'!U155/SUM('Output-FR (show)'!U82,'Output-FR (show)'!U92)</f>
        <v>1.1416111731513339</v>
      </c>
      <c r="V70" s="1752">
        <f ca="1">'Output-FR (show)'!V155/SUM('Output-FR (show)'!V82,'Output-FR (show)'!V92)</f>
        <v>0.6917533856127388</v>
      </c>
      <c r="W70" s="1752">
        <f ca="1">'Output-FR (show)'!W155/SUM('Output-FR (show)'!W82,'Output-FR (show)'!W92)</f>
        <v>0.71773104307434676</v>
      </c>
      <c r="X70" s="1752">
        <f ca="1">'Output-FR (show)'!X155/SUM('Output-FR (show)'!X82,'Output-FR (show)'!X92)</f>
        <v>0.90096732378508437</v>
      </c>
      <c r="Y70" s="1752">
        <f ca="1">'Output-FR (show)'!Y155/SUM('Output-FR (show)'!Y82,'Output-FR (show)'!Y92)</f>
        <v>1.0209096071592552</v>
      </c>
      <c r="Z70" s="1752">
        <f ca="1">'Output-FR (show)'!Z155/SUM('Output-FR (show)'!Z82,'Output-FR (show)'!Z92)</f>
        <v>0.90662196271495987</v>
      </c>
      <c r="AA70" s="1752"/>
    </row>
    <row r="71" spans="1:74" s="1782" customFormat="1">
      <c r="A71" s="1781"/>
      <c r="B71" s="1791" t="s">
        <v>1112</v>
      </c>
      <c r="C71" s="1781"/>
      <c r="D71" s="1781"/>
      <c r="J71" s="1795"/>
      <c r="K71" s="1795">
        <f>'Output-FR (show)'!K155/SUM('Output-FR (show)'!K82,'Output-FR (show)'!K92,-'Output-FR (show)'!K59)</f>
        <v>1.0434598887234166</v>
      </c>
      <c r="L71" s="1795">
        <f>'Output-FR (show)'!L155/SUM('Output-FR (show)'!L82,'Output-FR (show)'!L92,-'Output-FR (show)'!L59)</f>
        <v>5.6985004247098656</v>
      </c>
      <c r="M71" s="1795">
        <f>'Output-FR (show)'!M155/SUM('Output-FR (show)'!M82,'Output-FR (show)'!M92,-'Output-FR (show)'!M59)</f>
        <v>9.7235369887851224</v>
      </c>
      <c r="N71" s="1795">
        <f>'Output-FR (show)'!N155/SUM('Output-FR (show)'!N82,'Output-FR (show)'!N92,-'Output-FR (show)'!N59)</f>
        <v>-2.7010191721650281</v>
      </c>
      <c r="O71" s="1795">
        <f>'Output-FR (show)'!O155/SUM('Output-FR (show)'!O82,'Output-FR (show)'!O92,-'Output-FR (show)'!O59)</f>
        <v>-1.6111052970968101</v>
      </c>
      <c r="P71" s="1795">
        <f>'Output-FR (show)'!P155/SUM('Output-FR (show)'!P82,'Output-FR (show)'!P92,-'Output-FR (show)'!P59)</f>
        <v>-0.13985631160283862</v>
      </c>
      <c r="Q71" s="1795">
        <f ca="1">'Output-FR (show)'!Q155/SUM('Output-FR (show)'!Q82,'Output-FR (show)'!Q92,-'Output-FR (show)'!Q59)</f>
        <v>-1.9102861799564281</v>
      </c>
      <c r="R71" s="1795">
        <f ca="1">'Output-FR (show)'!R155/SUM('Output-FR (show)'!R82,'Output-FR (show)'!R92,-'Output-FR (show)'!R59)</f>
        <v>-2.3572505725742467</v>
      </c>
      <c r="S71" s="1795">
        <f ca="1">'Output-FR (show)'!S155/SUM('Output-FR (show)'!S82,'Output-FR (show)'!S92,-'Output-FR (show)'!S59)</f>
        <v>-2.5096971892090272</v>
      </c>
      <c r="T71" s="1795">
        <f ca="1">'Output-FR (show)'!T155/SUM('Output-FR (show)'!T82,'Output-FR (show)'!T92,-'Output-FR (show)'!T59)</f>
        <v>-3.158785311939504</v>
      </c>
      <c r="U71" s="1795">
        <f ca="1">'Output-FR (show)'!U155/SUM('Output-FR (show)'!U82,'Output-FR (show)'!U92,-'Output-FR (show)'!U59)</f>
        <v>-2.2353494806091923</v>
      </c>
      <c r="V71" s="1795">
        <f ca="1">'Output-FR (show)'!V155/SUM('Output-FR (show)'!V82,'Output-FR (show)'!V92,-'Output-FR (show)'!V59)</f>
        <v>-1.4811529448714287</v>
      </c>
      <c r="W71" s="1795">
        <f ca="1">'Output-FR (show)'!W155/SUM('Output-FR (show)'!W82,'Output-FR (show)'!W92,-'Output-FR (show)'!W59)</f>
        <v>-1.1733668577752685</v>
      </c>
      <c r="X71" s="1795">
        <f ca="1">'Output-FR (show)'!X155/SUM('Output-FR (show)'!X82,'Output-FR (show)'!X92,-'Output-FR (show)'!X59)</f>
        <v>-1.3298905276758541</v>
      </c>
      <c r="Y71" s="1795">
        <f ca="1">'Output-FR (show)'!Y155/SUM('Output-FR (show)'!Y82,'Output-FR (show)'!Y92,-'Output-FR (show)'!Y59)</f>
        <v>-1.4272997437517694</v>
      </c>
      <c r="Z71" s="1795">
        <f ca="1">'Output-FR (show)'!Z155/SUM('Output-FR (show)'!Z82,'Output-FR (show)'!Z92,-'Output-FR (show)'!Z59)</f>
        <v>-1.2846376491273062</v>
      </c>
    </row>
    <row r="72" spans="1:74" s="1782" customFormat="1">
      <c r="A72" s="1781"/>
      <c r="B72" s="1791" t="s">
        <v>1113</v>
      </c>
      <c r="C72" s="1781"/>
      <c r="D72" s="1781"/>
      <c r="J72" s="1796"/>
      <c r="K72" s="1796">
        <f>'Output-FR (show)'!K155/SUM('Output-FR (show)'!K82,'Output-FR (show)'!K92,-'Output-FR (show)'!K60)</f>
        <v>0.7680014114539796</v>
      </c>
      <c r="L72" s="1796">
        <f>'Output-FR (show)'!L155/SUM('Output-FR (show)'!L82,'Output-FR (show)'!L92,-'Output-FR (show)'!L60)</f>
        <v>2.1649818601339565</v>
      </c>
      <c r="M72" s="1796">
        <f>'Output-FR (show)'!M155/SUM('Output-FR (show)'!M82,'Output-FR (show)'!M92,-'Output-FR (show)'!M60)</f>
        <v>3.7130412303830211</v>
      </c>
      <c r="N72" s="1796">
        <f>'Output-FR (show)'!N155/SUM('Output-FR (show)'!N82,'Output-FR (show)'!N92,-'Output-FR (show)'!N60)</f>
        <v>1588.6333586561145</v>
      </c>
      <c r="O72" s="1796">
        <f>'Output-FR (show)'!O155/SUM('Output-FR (show)'!O82,'Output-FR (show)'!O92,-'Output-FR (show)'!O60)</f>
        <v>2.725060387320251</v>
      </c>
      <c r="P72" s="1796">
        <f>'Output-FR (show)'!P155/SUM('Output-FR (show)'!P82,'Output-FR (show)'!P92,-'Output-FR (show)'!P60)</f>
        <v>5.7496943848471892E-2</v>
      </c>
      <c r="Q72" s="1796">
        <f ca="1">'Output-FR (show)'!Q155/SUM('Output-FR (show)'!Q82,'Output-FR (show)'!Q92,-'Output-FR (show)'!Q60)</f>
        <v>0.69778350793107602</v>
      </c>
      <c r="R72" s="1796">
        <f ca="1">'Output-FR (show)'!R155/SUM('Output-FR (show)'!R82,'Output-FR (show)'!R92,-'Output-FR (show)'!R60)</f>
        <v>1.0305409068762204</v>
      </c>
      <c r="S72" s="1796">
        <f ca="1">'Output-FR (show)'!S155/SUM('Output-FR (show)'!S82,'Output-FR (show)'!S92,-'Output-FR (show)'!S60)</f>
        <v>1.180510895744975</v>
      </c>
      <c r="T72" s="1796">
        <f ca="1">'Output-FR (show)'!T155/SUM('Output-FR (show)'!T82,'Output-FR (show)'!T92,-'Output-FR (show)'!T60)</f>
        <v>0.98138456872664204</v>
      </c>
      <c r="U72" s="1796">
        <f ca="1">'Output-FR (show)'!U155/SUM('Output-FR (show)'!U82,'Output-FR (show)'!U92,-'Output-FR (show)'!U60)</f>
        <v>1.1439083734606277</v>
      </c>
      <c r="V72" s="1796">
        <f ca="1">'Output-FR (show)'!V155/SUM('Output-FR (show)'!V82,'Output-FR (show)'!V92,-'Output-FR (show)'!V60)</f>
        <v>0.69341516783249979</v>
      </c>
      <c r="W72" s="1796">
        <f ca="1">'Output-FR (show)'!W155/SUM('Output-FR (show)'!W82,'Output-FR (show)'!W92,-'Output-FR (show)'!W60)</f>
        <v>0.7200218886536055</v>
      </c>
      <c r="X72" s="1796">
        <f ca="1">'Output-FR (show)'!X155/SUM('Output-FR (show)'!X82,'Output-FR (show)'!X92,-'Output-FR (show)'!X60)</f>
        <v>0.90326047706166812</v>
      </c>
      <c r="Y72" s="1796">
        <f ca="1">'Output-FR (show)'!Y155/SUM('Output-FR (show)'!Y82,'Output-FR (show)'!Y92,-'Output-FR (show)'!Y60)</f>
        <v>1.0220969629934944</v>
      </c>
      <c r="Z72" s="1796">
        <f ca="1">'Output-FR (show)'!Z155/SUM('Output-FR (show)'!Z82,'Output-FR (show)'!Z92,-'Output-FR (show)'!Z60)</f>
        <v>0.90773671816443358</v>
      </c>
      <c r="AA72" s="1783"/>
    </row>
    <row r="73" spans="1:74">
      <c r="B73" s="1791" t="s">
        <v>1114</v>
      </c>
      <c r="J73" s="1796"/>
      <c r="K73" s="1796">
        <f>'Output-FR (show)'!K155/AVERAGE('Output-FR (show)'!J99:K99)</f>
        <v>0.33710592307686071</v>
      </c>
      <c r="L73" s="1796">
        <f>'Output-FR (show)'!L155/AVERAGE('Output-FR (show)'!K99:L99)</f>
        <v>0.55150910048584301</v>
      </c>
      <c r="M73" s="1796">
        <f>'Output-FR (show)'!M155/AVERAGE('Output-FR (show)'!L99:M99)</f>
        <v>0.85841381019146223</v>
      </c>
      <c r="N73" s="1796">
        <f>'Output-FR (show)'!N155/AVERAGE('Output-FR (show)'!M99:N99)</f>
        <v>1.6020294844108756</v>
      </c>
      <c r="O73" s="1796">
        <f>'Output-FR (show)'!O155/AVERAGE('Output-FR (show)'!N99:O99)</f>
        <v>0.52352910265994046</v>
      </c>
      <c r="P73" s="1796">
        <f>'Output-FR (show)'!P155/AVERAGE('Output-FR (show)'!O99:P99)</f>
        <v>1.4326159425086278E-2</v>
      </c>
      <c r="Q73" s="1796">
        <f ca="1">'Output-FR (show)'!Q155/AVERAGE('Output-FR (show)'!P99:Q99)</f>
        <v>0.22591986429799388</v>
      </c>
      <c r="R73" s="1796">
        <f ca="1">'Output-FR (show)'!R155/AVERAGE('Output-FR (show)'!Q99:R99)</f>
        <v>0.33032799698659954</v>
      </c>
      <c r="S73" s="1796">
        <f ca="1">'Output-FR (show)'!S155/AVERAGE('Output-FR (show)'!R99:S99)</f>
        <v>0.35680052999165512</v>
      </c>
      <c r="T73" s="1796">
        <f ca="1">'Output-FR (show)'!T155/AVERAGE('Output-FR (show)'!S99:T99)</f>
        <v>0.36253942592189298</v>
      </c>
      <c r="U73" s="1796">
        <f ca="1">'Output-FR (show)'!U155/AVERAGE('Output-FR (show)'!T99:U99)</f>
        <v>0.37312515622540837</v>
      </c>
      <c r="V73" s="1796">
        <f ca="1">'Output-FR (show)'!V155/AVERAGE('Output-FR (show)'!U99:V99)</f>
        <v>0.21918930126586431</v>
      </c>
      <c r="W73" s="1796">
        <f ca="1">'Output-FR (show)'!W155/AVERAGE('Output-FR (show)'!V99:W99)</f>
        <v>0.2366316012161597</v>
      </c>
      <c r="X73" s="1796">
        <f ca="1">'Output-FR (show)'!X155/AVERAGE('Output-FR (show)'!W99:X99)</f>
        <v>0.30340464303879755</v>
      </c>
      <c r="Y73" s="1796">
        <f ca="1">'Output-FR (show)'!Y155/AVERAGE('Output-FR (show)'!X99:Y99)</f>
        <v>0.34671696777639321</v>
      </c>
      <c r="Z73" s="1796">
        <f ca="1">'Output-FR (show)'!Z155/AVERAGE('Output-FR (show)'!Y99:Z99)</f>
        <v>0.31376248741137663</v>
      </c>
      <c r="AA73" s="1783"/>
      <c r="AB73" s="1783"/>
    </row>
    <row r="74" spans="1:74">
      <c r="B74" s="1790"/>
      <c r="K74" s="1767"/>
      <c r="L74" s="1767"/>
      <c r="M74" s="1767"/>
      <c r="N74" s="1767"/>
      <c r="O74" s="1767"/>
      <c r="P74" s="1756"/>
      <c r="BJ74" s="166"/>
      <c r="BK74" s="166"/>
      <c r="BL74" s="166"/>
      <c r="BM74" s="166"/>
      <c r="BN74" s="166"/>
      <c r="BO74" s="166"/>
      <c r="BP74" s="166"/>
      <c r="BQ74" s="166"/>
      <c r="BR74" s="166"/>
      <c r="BS74" s="166"/>
      <c r="BT74" s="166"/>
      <c r="BU74" s="166"/>
      <c r="BV74" s="166"/>
    </row>
    <row r="75" spans="1:74" ht="13.8" thickBot="1">
      <c r="B75" s="1721" t="s">
        <v>1115</v>
      </c>
      <c r="C75" s="1722"/>
      <c r="D75" s="1722"/>
      <c r="E75" s="1757"/>
      <c r="F75" s="1757"/>
      <c r="G75" s="1757"/>
      <c r="H75" s="1757"/>
      <c r="I75" s="1757"/>
      <c r="J75" s="1757"/>
      <c r="K75" s="1757"/>
      <c r="L75" s="1757"/>
      <c r="M75" s="1757"/>
      <c r="N75" s="1757"/>
      <c r="O75" s="1757"/>
      <c r="P75" s="1758"/>
      <c r="Q75" s="1757"/>
      <c r="R75" s="1757"/>
      <c r="S75" s="1757"/>
      <c r="T75" s="1757"/>
      <c r="U75" s="1757"/>
      <c r="V75" s="1757"/>
      <c r="W75" s="1757"/>
      <c r="X75" s="1757"/>
      <c r="Y75" s="1757"/>
      <c r="Z75" s="1757"/>
      <c r="AA75" s="1757"/>
      <c r="AB75" s="1757"/>
      <c r="AC75" s="1757"/>
      <c r="AD75" s="1757"/>
      <c r="AE75" s="1757"/>
      <c r="AF75" s="1757"/>
      <c r="AG75" s="1757"/>
      <c r="AH75" s="1757"/>
      <c r="AI75" s="1757"/>
      <c r="AJ75" s="1757"/>
      <c r="AK75" s="1757"/>
      <c r="AL75" s="1757"/>
      <c r="AM75" s="1757"/>
      <c r="AN75" s="1757"/>
      <c r="AO75" s="1757"/>
      <c r="AP75" s="1757"/>
      <c r="AQ75" s="1757"/>
      <c r="AR75" s="1757"/>
      <c r="AS75" s="1757"/>
      <c r="AT75" s="1757"/>
      <c r="AU75" s="1757"/>
      <c r="AV75" s="1757"/>
      <c r="AW75" s="1757"/>
      <c r="AX75" s="1757"/>
      <c r="AY75" s="1757"/>
      <c r="AZ75" s="1757"/>
      <c r="BA75" s="1757"/>
      <c r="BJ75" s="166"/>
      <c r="BK75" s="166"/>
      <c r="BL75" s="166"/>
      <c r="BM75" s="166"/>
      <c r="BN75" s="166"/>
      <c r="BO75" s="166"/>
      <c r="BP75" s="166"/>
      <c r="BQ75" s="166"/>
      <c r="BR75" s="166"/>
      <c r="BS75" s="166"/>
      <c r="BT75" s="166"/>
      <c r="BU75" s="166"/>
      <c r="BV75" s="166"/>
    </row>
    <row r="76" spans="1:74" ht="13.8">
      <c r="B76" s="693" t="s">
        <v>1116</v>
      </c>
      <c r="E76" s="1768"/>
      <c r="F76" s="1768"/>
      <c r="G76" s="1768"/>
      <c r="H76" s="1768"/>
      <c r="I76" s="1768"/>
      <c r="J76" s="1768"/>
      <c r="K76" s="1768"/>
      <c r="L76" s="1768"/>
      <c r="P76" s="1756"/>
      <c r="BJ76" s="166"/>
      <c r="BK76" s="166"/>
      <c r="BL76" s="166"/>
      <c r="BM76" s="166"/>
      <c r="BN76" s="166"/>
      <c r="BO76" s="166"/>
      <c r="BP76" s="166"/>
      <c r="BQ76" s="166"/>
      <c r="BR76" s="166"/>
      <c r="BS76" s="166"/>
      <c r="BT76" s="166"/>
      <c r="BU76" s="166"/>
      <c r="BV76" s="166"/>
    </row>
    <row r="77" spans="1:74" ht="13.8">
      <c r="B77" s="1769" t="s">
        <v>1117</v>
      </c>
      <c r="E77" s="1770"/>
      <c r="F77" s="1770"/>
      <c r="G77" s="1770"/>
      <c r="H77" s="1770"/>
      <c r="I77" s="1770"/>
      <c r="J77" s="1770"/>
      <c r="K77" s="1770"/>
      <c r="L77" s="1800"/>
      <c r="M77" s="1801"/>
      <c r="N77" s="1801"/>
      <c r="O77" s="1801"/>
      <c r="P77" s="1802"/>
      <c r="Q77" s="1748"/>
      <c r="R77" s="1748"/>
      <c r="S77" s="1748"/>
      <c r="T77" s="1748"/>
      <c r="U77" s="1748"/>
      <c r="V77" s="1748"/>
      <c r="W77" s="1748"/>
      <c r="X77" s="1748"/>
      <c r="Y77" s="1748"/>
      <c r="Z77" s="1748"/>
      <c r="AA77" s="1748"/>
      <c r="AB77" s="1748"/>
      <c r="AC77" s="1748"/>
      <c r="AD77" s="1748"/>
      <c r="AE77" s="1748"/>
      <c r="AF77" s="1748"/>
      <c r="AG77" s="1748"/>
      <c r="AH77" s="1748"/>
      <c r="AI77" s="1748"/>
      <c r="AJ77" s="1748"/>
      <c r="AK77" s="1748"/>
      <c r="AL77" s="1748"/>
      <c r="AM77" s="1748"/>
      <c r="AN77" s="1748"/>
      <c r="AO77" s="1748"/>
      <c r="AP77" s="1748"/>
      <c r="AQ77" s="1748"/>
      <c r="AR77" s="1748"/>
      <c r="AS77" s="1748"/>
      <c r="AT77" s="1748"/>
      <c r="AU77" s="1748"/>
      <c r="AV77" s="1748"/>
      <c r="AW77" s="1748"/>
      <c r="AX77" s="1748"/>
      <c r="AY77" s="1748"/>
      <c r="AZ77" s="1748"/>
      <c r="BA77" s="1748"/>
    </row>
    <row r="78" spans="1:74" ht="13.8">
      <c r="B78" s="1771" t="s">
        <v>1118</v>
      </c>
      <c r="C78" s="1772"/>
      <c r="D78" s="1772"/>
      <c r="E78" s="1773"/>
      <c r="F78" s="1773"/>
      <c r="G78" s="1773"/>
      <c r="H78" s="1773"/>
      <c r="I78" s="1773"/>
      <c r="J78" s="1773"/>
      <c r="K78" s="1773"/>
      <c r="L78" s="1803"/>
      <c r="M78" s="1803"/>
      <c r="N78" s="1803"/>
      <c r="O78" s="1803"/>
      <c r="P78" s="1804"/>
      <c r="Q78" s="1775"/>
      <c r="R78" s="1775"/>
      <c r="S78" s="1775"/>
      <c r="T78" s="1775"/>
      <c r="U78" s="1775"/>
      <c r="V78" s="1775"/>
      <c r="W78" s="1775"/>
      <c r="X78" s="1775"/>
      <c r="Y78" s="1775"/>
      <c r="Z78" s="1775"/>
      <c r="AA78" s="1775"/>
      <c r="AB78" s="1775"/>
      <c r="AC78" s="1775"/>
      <c r="AD78" s="1775"/>
      <c r="AE78" s="1775"/>
      <c r="AF78" s="1775"/>
      <c r="AG78" s="1775"/>
      <c r="AH78" s="1775"/>
      <c r="AI78" s="1775"/>
      <c r="AJ78" s="1775"/>
      <c r="AK78" s="1775"/>
      <c r="AL78" s="1775"/>
      <c r="AM78" s="1775"/>
      <c r="AN78" s="1775"/>
      <c r="AO78" s="1775"/>
      <c r="AP78" s="1775"/>
      <c r="AQ78" s="1775"/>
      <c r="AR78" s="1775"/>
      <c r="AS78" s="1775"/>
      <c r="AT78" s="1775"/>
      <c r="AU78" s="1775"/>
      <c r="AV78" s="1775"/>
      <c r="AW78" s="1775"/>
      <c r="AX78" s="1775"/>
      <c r="AY78" s="1775"/>
      <c r="AZ78" s="1775"/>
      <c r="BA78" s="1775"/>
    </row>
    <row r="79" spans="1:74" ht="13.8">
      <c r="B79" s="693" t="s">
        <v>1119</v>
      </c>
      <c r="E79" s="1745"/>
      <c r="F79" s="1745"/>
      <c r="G79" s="1745"/>
      <c r="H79" s="1745"/>
      <c r="I79" s="1745"/>
      <c r="J79" s="1745"/>
      <c r="K79" s="1745"/>
      <c r="L79" s="1805"/>
      <c r="M79" s="1805"/>
      <c r="N79" s="1805"/>
      <c r="O79" s="1805"/>
      <c r="P79" s="1806"/>
      <c r="Q79" s="1764"/>
      <c r="R79" s="1764"/>
      <c r="S79" s="1764"/>
      <c r="T79" s="1764"/>
      <c r="U79" s="1764"/>
      <c r="V79" s="1764"/>
      <c r="W79" s="1764"/>
      <c r="X79" s="1764"/>
      <c r="Y79" s="1764"/>
      <c r="Z79" s="1764"/>
      <c r="AA79" s="1764"/>
      <c r="AB79" s="1764"/>
      <c r="AC79" s="1764"/>
      <c r="AD79" s="1764"/>
      <c r="AE79" s="1764"/>
      <c r="AF79" s="1764"/>
      <c r="AG79" s="1764"/>
      <c r="AH79" s="1764"/>
      <c r="AI79" s="1764"/>
      <c r="AJ79" s="1764"/>
      <c r="AK79" s="1764"/>
      <c r="AL79" s="1764"/>
      <c r="AM79" s="1764"/>
      <c r="AN79" s="1764"/>
      <c r="AO79" s="1764"/>
      <c r="AP79" s="1764"/>
      <c r="AQ79" s="1764"/>
      <c r="AR79" s="1764"/>
      <c r="AS79" s="1764"/>
      <c r="AT79" s="1764"/>
      <c r="AU79" s="1764"/>
      <c r="AV79" s="1764"/>
      <c r="AW79" s="1764"/>
      <c r="AX79" s="1764"/>
      <c r="AY79" s="1764"/>
      <c r="AZ79" s="1764"/>
      <c r="BA79" s="1764"/>
    </row>
    <row r="80" spans="1:74" ht="13.8">
      <c r="B80" s="1793"/>
      <c r="P80" s="1756"/>
    </row>
    <row r="81" spans="1:53" ht="13.8">
      <c r="B81" s="693" t="s">
        <v>1120</v>
      </c>
      <c r="P81" s="1756"/>
    </row>
    <row r="82" spans="1:53" ht="13.8">
      <c r="B82" s="1769" t="s">
        <v>1117</v>
      </c>
      <c r="E82" s="1745"/>
      <c r="F82" s="1745"/>
      <c r="G82" s="1745"/>
      <c r="H82" s="1745"/>
      <c r="I82" s="1745"/>
      <c r="J82" s="1745"/>
      <c r="K82" s="1745"/>
      <c r="L82" s="1745"/>
      <c r="M82" s="1745"/>
      <c r="N82" s="1745"/>
      <c r="O82" s="1745"/>
      <c r="P82" s="1776"/>
      <c r="Q82" s="1748"/>
      <c r="R82" s="1748"/>
      <c r="S82" s="1748"/>
      <c r="T82" s="1748"/>
      <c r="U82" s="1748"/>
      <c r="V82" s="1748"/>
      <c r="W82" s="1748"/>
      <c r="X82" s="1748"/>
      <c r="Y82" s="1748"/>
      <c r="Z82" s="1748"/>
      <c r="AA82" s="1748"/>
      <c r="AB82" s="1748"/>
      <c r="AC82" s="1748"/>
      <c r="AD82" s="1748"/>
      <c r="AE82" s="1748"/>
      <c r="AF82" s="1748"/>
      <c r="AG82" s="1748"/>
      <c r="AH82" s="1748"/>
      <c r="AI82" s="1748"/>
      <c r="AJ82" s="1748"/>
      <c r="AK82" s="1748"/>
      <c r="AL82" s="1748"/>
      <c r="AM82" s="1748"/>
      <c r="AN82" s="1748"/>
      <c r="AO82" s="1748"/>
      <c r="AP82" s="1748"/>
      <c r="AQ82" s="1748"/>
      <c r="AR82" s="1748"/>
      <c r="AS82" s="1748"/>
      <c r="AT82" s="1748"/>
      <c r="AU82" s="1748"/>
      <c r="AV82" s="1748"/>
      <c r="AW82" s="1748"/>
      <c r="AX82" s="1748"/>
      <c r="AY82" s="1748"/>
      <c r="AZ82" s="1748"/>
      <c r="BA82" s="1748"/>
    </row>
    <row r="83" spans="1:53" ht="13.8">
      <c r="A83" s="1710" t="s">
        <v>1055</v>
      </c>
      <c r="B83" s="1771" t="s">
        <v>1073</v>
      </c>
      <c r="C83" s="1772"/>
      <c r="D83" s="1772"/>
      <c r="E83" s="1773"/>
      <c r="F83" s="1773"/>
      <c r="G83" s="1773"/>
      <c r="H83" s="1773"/>
      <c r="I83" s="1773"/>
      <c r="J83" s="1773"/>
      <c r="K83" s="1773"/>
      <c r="L83" s="1773"/>
      <c r="M83" s="1773"/>
      <c r="N83" s="1773"/>
      <c r="O83" s="1773"/>
      <c r="P83" s="1774"/>
      <c r="Q83" s="1773"/>
      <c r="R83" s="1773"/>
      <c r="S83" s="1773"/>
      <c r="T83" s="1773"/>
      <c r="U83" s="1773"/>
      <c r="V83" s="1773"/>
      <c r="W83" s="1773"/>
      <c r="X83" s="1773"/>
      <c r="Y83" s="1773"/>
      <c r="Z83" s="1773"/>
      <c r="AA83" s="1773"/>
      <c r="AB83" s="1773"/>
      <c r="AC83" s="1773"/>
      <c r="AD83" s="1773"/>
      <c r="AE83" s="1773"/>
      <c r="AF83" s="1773"/>
      <c r="AG83" s="1773"/>
      <c r="AH83" s="1773"/>
      <c r="AI83" s="1773"/>
      <c r="AJ83" s="1773"/>
      <c r="AK83" s="1773"/>
      <c r="AL83" s="1773"/>
      <c r="AM83" s="1773"/>
      <c r="AN83" s="1773"/>
      <c r="AO83" s="1773"/>
      <c r="AP83" s="1773"/>
      <c r="AQ83" s="1773"/>
      <c r="AR83" s="1773"/>
      <c r="AS83" s="1773"/>
      <c r="AT83" s="1773"/>
      <c r="AU83" s="1773"/>
      <c r="AV83" s="1773"/>
      <c r="AW83" s="1773"/>
      <c r="AX83" s="1773"/>
      <c r="AY83" s="1773"/>
      <c r="AZ83" s="1773"/>
      <c r="BA83" s="1773"/>
    </row>
    <row r="84" spans="1:53" ht="13.8">
      <c r="B84" s="693" t="s">
        <v>1121</v>
      </c>
      <c r="E84" s="1745"/>
      <c r="F84" s="1745"/>
      <c r="G84" s="1745"/>
      <c r="H84" s="1745"/>
      <c r="I84" s="1745"/>
      <c r="J84" s="1745"/>
      <c r="K84" s="1745"/>
      <c r="L84" s="1746"/>
      <c r="M84" s="1746"/>
      <c r="N84" s="1746"/>
      <c r="O84" s="1746"/>
      <c r="P84" s="1747"/>
      <c r="Q84" s="1746"/>
      <c r="R84" s="1746"/>
      <c r="S84" s="1746"/>
      <c r="T84" s="1746"/>
      <c r="U84" s="1746"/>
      <c r="V84" s="1746"/>
      <c r="W84" s="1746"/>
      <c r="X84" s="1746"/>
      <c r="Y84" s="1746"/>
      <c r="Z84" s="1746"/>
      <c r="AA84" s="1764"/>
      <c r="AB84" s="1764"/>
      <c r="AC84" s="1764"/>
      <c r="AD84" s="1764"/>
      <c r="AE84" s="1764"/>
      <c r="AF84" s="1764"/>
      <c r="AG84" s="1764"/>
      <c r="AH84" s="1764"/>
      <c r="AI84" s="1764"/>
      <c r="AJ84" s="1764"/>
      <c r="AK84" s="1764"/>
      <c r="AL84" s="1764"/>
      <c r="AM84" s="1764"/>
      <c r="AN84" s="1764"/>
      <c r="AO84" s="1764"/>
      <c r="AP84" s="1764"/>
      <c r="AQ84" s="1764"/>
      <c r="AR84" s="1764"/>
      <c r="AS84" s="1764"/>
      <c r="AT84" s="1764"/>
      <c r="AU84" s="1764"/>
      <c r="AV84" s="1764"/>
      <c r="AW84" s="1764"/>
      <c r="AX84" s="1764"/>
      <c r="AY84" s="1764"/>
      <c r="AZ84" s="1764"/>
      <c r="BA84" s="1764"/>
    </row>
    <row r="85" spans="1:53" ht="13.8">
      <c r="B85" s="1793"/>
      <c r="P85" s="1756"/>
    </row>
    <row r="86" spans="1:53" ht="13.8">
      <c r="B86" s="693" t="s">
        <v>1122</v>
      </c>
      <c r="P86" s="1756"/>
    </row>
    <row r="87" spans="1:53" ht="13.8">
      <c r="B87" s="1769" t="s">
        <v>1123</v>
      </c>
      <c r="E87" s="1748"/>
      <c r="F87" s="1748"/>
      <c r="G87" s="1748"/>
      <c r="H87" s="1748"/>
      <c r="I87" s="1745"/>
      <c r="J87" s="1745"/>
      <c r="K87" s="1745"/>
      <c r="L87" s="1746"/>
      <c r="M87" s="1746"/>
      <c r="N87" s="1746"/>
      <c r="O87" s="1746"/>
      <c r="P87" s="1747"/>
      <c r="Q87" s="1748"/>
      <c r="R87" s="1748"/>
      <c r="S87" s="1748"/>
      <c r="T87" s="1748"/>
      <c r="U87" s="1748"/>
      <c r="V87" s="1748"/>
      <c r="W87" s="1748"/>
      <c r="X87" s="1748"/>
      <c r="Y87" s="1748"/>
      <c r="Z87" s="1748"/>
      <c r="AA87" s="1748"/>
      <c r="AB87" s="1748"/>
      <c r="AC87" s="1748"/>
      <c r="AD87" s="1748"/>
      <c r="AE87" s="1748"/>
      <c r="AF87" s="1748"/>
      <c r="AG87" s="1748"/>
      <c r="AH87" s="1748"/>
      <c r="AI87" s="1748"/>
      <c r="AJ87" s="1748"/>
      <c r="AK87" s="1748"/>
      <c r="AL87" s="1748"/>
      <c r="AM87" s="1748"/>
      <c r="AN87" s="1748"/>
      <c r="AO87" s="1748"/>
      <c r="AP87" s="1748"/>
      <c r="AQ87" s="1748"/>
      <c r="AR87" s="1748"/>
      <c r="AS87" s="1748"/>
      <c r="AT87" s="1748"/>
      <c r="AU87" s="1748"/>
      <c r="AV87" s="1748"/>
      <c r="AW87" s="1748"/>
      <c r="AX87" s="1748"/>
      <c r="AY87" s="1748"/>
      <c r="AZ87" s="1748"/>
      <c r="BA87" s="1748"/>
    </row>
    <row r="88" spans="1:53" ht="13.8">
      <c r="B88" s="1769" t="s">
        <v>1124</v>
      </c>
      <c r="E88" s="1748"/>
      <c r="F88" s="1748"/>
      <c r="G88" s="1748"/>
      <c r="H88" s="1748"/>
      <c r="I88" s="1745"/>
      <c r="J88" s="1745"/>
      <c r="K88" s="1745"/>
      <c r="L88" s="1746"/>
      <c r="M88" s="1746"/>
      <c r="N88" s="1746"/>
      <c r="O88" s="1746"/>
      <c r="P88" s="1747"/>
      <c r="Q88" s="1748"/>
      <c r="R88" s="1748"/>
      <c r="S88" s="1748"/>
      <c r="T88" s="1748"/>
      <c r="U88" s="1748"/>
      <c r="V88" s="1748"/>
      <c r="W88" s="1748"/>
      <c r="X88" s="1748"/>
      <c r="Y88" s="1748"/>
      <c r="Z88" s="1748"/>
      <c r="AA88" s="1748"/>
      <c r="AB88" s="1748"/>
      <c r="AC88" s="1748"/>
      <c r="AD88" s="1748"/>
      <c r="AE88" s="1748"/>
      <c r="AF88" s="1748"/>
      <c r="AG88" s="1748"/>
      <c r="AH88" s="1748"/>
      <c r="AI88" s="1748"/>
      <c r="AJ88" s="1748"/>
      <c r="AK88" s="1748"/>
      <c r="AL88" s="1748"/>
      <c r="AM88" s="1748"/>
      <c r="AN88" s="1748"/>
      <c r="AO88" s="1748"/>
      <c r="AP88" s="1748"/>
      <c r="AQ88" s="1748"/>
      <c r="AR88" s="1748"/>
      <c r="AS88" s="1748"/>
      <c r="AT88" s="1748"/>
      <c r="AU88" s="1748"/>
      <c r="AV88" s="1748"/>
      <c r="AW88" s="1748"/>
      <c r="AX88" s="1748"/>
      <c r="AY88" s="1748"/>
      <c r="AZ88" s="1748"/>
      <c r="BA88" s="1748"/>
    </row>
    <row r="89" spans="1:53" ht="13.8">
      <c r="B89" s="1769" t="s">
        <v>342</v>
      </c>
      <c r="E89" s="1748"/>
      <c r="F89" s="1748"/>
      <c r="G89" s="1748"/>
      <c r="H89" s="1748"/>
      <c r="I89" s="1745"/>
      <c r="J89" s="1745"/>
      <c r="K89" s="1745"/>
      <c r="L89" s="1746"/>
      <c r="M89" s="1746"/>
      <c r="N89" s="1746"/>
      <c r="O89" s="1746"/>
      <c r="P89" s="1747"/>
      <c r="Q89" s="1748"/>
      <c r="R89" s="1748"/>
      <c r="S89" s="1748"/>
      <c r="T89" s="1748"/>
      <c r="U89" s="1748"/>
      <c r="V89" s="1748"/>
      <c r="W89" s="1748"/>
      <c r="X89" s="1748"/>
      <c r="Y89" s="1748"/>
      <c r="Z89" s="1748"/>
      <c r="AA89" s="1748"/>
      <c r="AB89" s="1748"/>
      <c r="AC89" s="1748"/>
      <c r="AD89" s="1748"/>
      <c r="AE89" s="1748"/>
      <c r="AF89" s="1748"/>
      <c r="AG89" s="1748"/>
      <c r="AH89" s="1748"/>
      <c r="AI89" s="1748"/>
      <c r="AJ89" s="1748"/>
      <c r="AK89" s="1748"/>
      <c r="AL89" s="1748"/>
      <c r="AM89" s="1748"/>
      <c r="AN89" s="1748"/>
      <c r="AO89" s="1748"/>
      <c r="AP89" s="1748"/>
      <c r="AQ89" s="1748"/>
      <c r="AR89" s="1748"/>
      <c r="AS89" s="1748"/>
      <c r="AT89" s="1748"/>
      <c r="AU89" s="1748"/>
      <c r="AV89" s="1748"/>
      <c r="AW89" s="1748"/>
      <c r="AX89" s="1748"/>
      <c r="AY89" s="1748"/>
      <c r="AZ89" s="1748"/>
      <c r="BA89" s="1748"/>
    </row>
    <row r="90" spans="1:53" ht="13.8">
      <c r="B90" s="1771" t="s">
        <v>334</v>
      </c>
      <c r="C90" s="1772"/>
      <c r="D90" s="1772"/>
      <c r="E90" s="1775"/>
      <c r="F90" s="1775"/>
      <c r="G90" s="1775"/>
      <c r="H90" s="1775"/>
      <c r="I90" s="1773"/>
      <c r="J90" s="1773"/>
      <c r="K90" s="1773"/>
      <c r="L90" s="1777"/>
      <c r="M90" s="1777"/>
      <c r="N90" s="1777"/>
      <c r="O90" s="1777"/>
      <c r="P90" s="1778"/>
      <c r="Q90" s="1775"/>
      <c r="R90" s="1775"/>
      <c r="S90" s="1775"/>
      <c r="T90" s="1775"/>
      <c r="U90" s="1775"/>
      <c r="V90" s="1775"/>
      <c r="W90" s="1775"/>
      <c r="X90" s="1775"/>
      <c r="Y90" s="1775"/>
      <c r="Z90" s="1775"/>
      <c r="AA90" s="1775"/>
      <c r="AB90" s="1775"/>
      <c r="AC90" s="1775"/>
      <c r="AD90" s="1775"/>
      <c r="AE90" s="1775"/>
      <c r="AF90" s="1775"/>
      <c r="AG90" s="1775"/>
      <c r="AH90" s="1775"/>
      <c r="AI90" s="1775"/>
      <c r="AJ90" s="1775"/>
      <c r="AK90" s="1775"/>
      <c r="AL90" s="1775"/>
      <c r="AM90" s="1775"/>
      <c r="AN90" s="1775"/>
      <c r="AO90" s="1775"/>
      <c r="AP90" s="1775"/>
      <c r="AQ90" s="1775"/>
      <c r="AR90" s="1775"/>
      <c r="AS90" s="1775"/>
      <c r="AT90" s="1775"/>
      <c r="AU90" s="1775"/>
      <c r="AV90" s="1775"/>
      <c r="AW90" s="1775"/>
      <c r="AX90" s="1775"/>
      <c r="AY90" s="1775"/>
      <c r="AZ90" s="1775"/>
      <c r="BA90" s="1775"/>
    </row>
    <row r="91" spans="1:53" ht="13.8">
      <c r="B91" s="693" t="s">
        <v>1044</v>
      </c>
      <c r="E91" s="1764"/>
      <c r="F91" s="1764"/>
      <c r="G91" s="1764"/>
      <c r="H91" s="1764"/>
      <c r="I91" s="1745"/>
      <c r="J91" s="1745"/>
      <c r="K91" s="1745"/>
      <c r="L91" s="1779"/>
      <c r="M91" s="1779"/>
      <c r="N91" s="1779"/>
      <c r="O91" s="1779"/>
      <c r="P91" s="1780"/>
      <c r="Q91" s="1764"/>
      <c r="R91" s="1764"/>
      <c r="S91" s="1764"/>
      <c r="T91" s="1764"/>
      <c r="U91" s="1764"/>
      <c r="V91" s="1764"/>
      <c r="W91" s="1764"/>
      <c r="X91" s="1764"/>
      <c r="Y91" s="1764"/>
      <c r="Z91" s="1764"/>
      <c r="AA91" s="1764"/>
      <c r="AB91" s="1764"/>
      <c r="AC91" s="1764"/>
      <c r="AD91" s="1764"/>
      <c r="AE91" s="1764"/>
      <c r="AF91" s="1764"/>
      <c r="AG91" s="1764"/>
      <c r="AH91" s="1764"/>
      <c r="AI91" s="1764"/>
      <c r="AJ91" s="1764"/>
      <c r="AK91" s="1764"/>
      <c r="AL91" s="1764"/>
      <c r="AM91" s="1764"/>
      <c r="AN91" s="1764"/>
      <c r="AO91" s="1764"/>
      <c r="AP91" s="1764"/>
      <c r="AQ91" s="1764"/>
      <c r="AR91" s="1764"/>
      <c r="AS91" s="1764"/>
      <c r="AT91" s="1764"/>
      <c r="AU91" s="1764"/>
      <c r="AV91" s="1764"/>
      <c r="AW91" s="1764"/>
      <c r="AX91" s="1764"/>
      <c r="AY91" s="1764"/>
      <c r="AZ91" s="1764"/>
      <c r="BA91" s="1764"/>
    </row>
    <row r="92" spans="1:53" ht="13.8">
      <c r="B92" s="693" t="s">
        <v>1125</v>
      </c>
      <c r="E92" s="1764"/>
      <c r="F92" s="1764"/>
      <c r="G92" s="1764"/>
      <c r="H92" s="1764"/>
      <c r="I92" s="1745"/>
      <c r="J92" s="1745"/>
      <c r="K92" s="1745"/>
      <c r="L92" s="1746"/>
      <c r="M92" s="1746"/>
      <c r="N92" s="1746"/>
      <c r="O92" s="1746"/>
      <c r="P92" s="1747"/>
      <c r="Q92" s="1764"/>
      <c r="R92" s="1764"/>
      <c r="S92" s="1764"/>
      <c r="T92" s="1764"/>
      <c r="U92" s="1764"/>
      <c r="V92" s="1764"/>
      <c r="W92" s="1764"/>
      <c r="X92" s="1764"/>
      <c r="Y92" s="1764"/>
      <c r="Z92" s="1764"/>
      <c r="AA92" s="1764"/>
      <c r="AB92" s="1764"/>
      <c r="AC92" s="1764"/>
      <c r="AD92" s="1764"/>
      <c r="AE92" s="1764"/>
      <c r="AF92" s="1764"/>
      <c r="AG92" s="1764"/>
      <c r="AH92" s="1764"/>
      <c r="AI92" s="1764"/>
      <c r="AJ92" s="1764"/>
      <c r="AK92" s="1764"/>
      <c r="AL92" s="1764"/>
      <c r="AM92" s="1764"/>
      <c r="AN92" s="1764"/>
      <c r="AO92" s="1764"/>
      <c r="AP92" s="1764"/>
      <c r="AQ92" s="1764"/>
      <c r="AR92" s="1764"/>
      <c r="AS92" s="1764"/>
      <c r="AT92" s="1764"/>
      <c r="AU92" s="1764"/>
      <c r="AV92" s="1764"/>
      <c r="AW92" s="1764"/>
      <c r="AX92" s="1764"/>
      <c r="AY92" s="1764"/>
      <c r="AZ92" s="1764"/>
      <c r="BA92" s="1764"/>
    </row>
    <row r="93" spans="1:53" ht="13.8">
      <c r="B93" s="693" t="s">
        <v>1126</v>
      </c>
      <c r="E93" s="1787"/>
      <c r="F93" s="1764"/>
      <c r="G93" s="1764"/>
      <c r="H93" s="1764"/>
      <c r="I93" s="1745"/>
      <c r="J93" s="1745"/>
      <c r="K93" s="1745"/>
      <c r="L93" s="1779"/>
      <c r="M93" s="1779"/>
      <c r="N93" s="1779"/>
      <c r="O93" s="1779"/>
      <c r="P93" s="1780"/>
      <c r="Q93" s="1764"/>
      <c r="R93" s="1764"/>
      <c r="S93" s="1764"/>
      <c r="T93" s="1764"/>
      <c r="U93" s="1764"/>
      <c r="V93" s="1764"/>
      <c r="W93" s="1764"/>
      <c r="X93" s="1764"/>
      <c r="Y93" s="1764"/>
      <c r="Z93" s="1764"/>
      <c r="AA93" s="1764"/>
      <c r="AB93" s="1764"/>
      <c r="AC93" s="1764"/>
      <c r="AD93" s="1764"/>
      <c r="AE93" s="1764"/>
      <c r="AF93" s="1764"/>
      <c r="AG93" s="1764"/>
      <c r="AH93" s="1764"/>
      <c r="AI93" s="1764"/>
      <c r="AJ93" s="1764"/>
      <c r="AK93" s="1764"/>
      <c r="AL93" s="1764"/>
      <c r="AM93" s="1764"/>
      <c r="AN93" s="1764"/>
      <c r="AO93" s="1764"/>
      <c r="AP93" s="1764"/>
      <c r="AQ93" s="1764"/>
      <c r="AR93" s="1764"/>
      <c r="AS93" s="1764"/>
      <c r="AT93" s="1764"/>
      <c r="AU93" s="1764"/>
      <c r="AV93" s="1764"/>
      <c r="AW93" s="1764"/>
      <c r="AX93" s="1764"/>
      <c r="AY93" s="1764"/>
      <c r="AZ93" s="1764"/>
      <c r="BA93" s="1764"/>
    </row>
    <row r="94" spans="1:53" ht="13.8">
      <c r="B94" s="693" t="s">
        <v>1127</v>
      </c>
      <c r="E94" s="1787"/>
      <c r="F94" s="1764"/>
      <c r="G94" s="1764"/>
      <c r="H94" s="1764"/>
      <c r="I94" s="1745"/>
      <c r="J94" s="1745"/>
      <c r="K94" s="1745"/>
      <c r="L94" s="1746"/>
      <c r="M94" s="1746"/>
      <c r="N94" s="1746"/>
      <c r="O94" s="1746"/>
      <c r="P94" s="1747"/>
      <c r="Q94" s="1764"/>
      <c r="R94" s="1764"/>
      <c r="S94" s="1764"/>
      <c r="T94" s="1764"/>
      <c r="U94" s="1764"/>
      <c r="V94" s="1764"/>
      <c r="W94" s="1764"/>
      <c r="X94" s="1764"/>
      <c r="Y94" s="1764"/>
      <c r="Z94" s="1764"/>
      <c r="AA94" s="1764"/>
      <c r="AB94" s="1764"/>
      <c r="AC94" s="1764"/>
      <c r="AD94" s="1764"/>
      <c r="AE94" s="1764"/>
      <c r="AF94" s="1764"/>
      <c r="AG94" s="1764"/>
      <c r="AH94" s="1764"/>
      <c r="AI94" s="1764"/>
      <c r="AJ94" s="1764"/>
      <c r="AK94" s="1764"/>
      <c r="AL94" s="1764"/>
      <c r="AM94" s="1764"/>
      <c r="AN94" s="1764"/>
      <c r="AO94" s="1764"/>
      <c r="AP94" s="1764"/>
      <c r="AQ94" s="1764"/>
      <c r="AR94" s="1764"/>
      <c r="AS94" s="1764"/>
      <c r="AT94" s="1764"/>
      <c r="AU94" s="1764"/>
      <c r="AV94" s="1764"/>
      <c r="AW94" s="1764"/>
      <c r="AX94" s="1764"/>
      <c r="AY94" s="1764"/>
      <c r="AZ94" s="1764"/>
      <c r="BA94" s="1764"/>
    </row>
    <row r="95" spans="1:53">
      <c r="B95" s="1791"/>
      <c r="E95" s="1788"/>
      <c r="P95" s="1756"/>
    </row>
    <row r="96" spans="1:53">
      <c r="B96" s="1710" t="s">
        <v>1128</v>
      </c>
      <c r="E96" s="1789"/>
      <c r="F96" s="166"/>
      <c r="G96" s="166"/>
      <c r="H96" s="166"/>
      <c r="I96" s="166"/>
      <c r="J96" s="166"/>
      <c r="K96" s="166"/>
      <c r="L96" s="166"/>
      <c r="M96" s="166"/>
      <c r="N96" s="166"/>
      <c r="O96" s="166"/>
      <c r="P96" s="867"/>
    </row>
    <row r="97" spans="5:16">
      <c r="E97" s="1788"/>
      <c r="P97" s="1756"/>
    </row>
    <row r="98" spans="5:16">
      <c r="E98" s="1788"/>
    </row>
    <row r="99" spans="5:16">
      <c r="E99" s="1788"/>
    </row>
    <row r="100" spans="5:16">
      <c r="E100" s="1788"/>
    </row>
  </sheetData>
  <mergeCells count="1">
    <mergeCell ref="B2:B3"/>
  </mergeCell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E7AF-AC45-4F77-82C4-1AC7D86D7C75}">
  <dimension ref="A1:AA89"/>
  <sheetViews>
    <sheetView showGridLines="0" zoomScale="70" zoomScaleNormal="70" workbookViewId="0">
      <selection activeCell="Q73" sqref="Q73:Z78"/>
    </sheetView>
  </sheetViews>
  <sheetFormatPr defaultColWidth="10.6640625" defaultRowHeight="13.2"/>
  <cols>
    <col min="1" max="1" width="2.6640625" style="1835" customWidth="1"/>
    <col min="2" max="2" width="31.88671875" style="1835" bestFit="1" customWidth="1"/>
    <col min="3" max="3" width="7" style="1835" customWidth="1"/>
    <col min="4" max="4" width="7.109375" style="1835" customWidth="1"/>
    <col min="5" max="8" width="14.44140625" style="1835" customWidth="1"/>
    <col min="9" max="12" width="10.6640625" style="1835"/>
    <col min="13" max="13" width="10.6640625" style="1853"/>
    <col min="14" max="16" width="10.6640625" style="1835"/>
    <col min="17" max="17" width="12.6640625" style="1835" customWidth="1"/>
    <col min="18" max="18" width="13.33203125" style="1835" customWidth="1"/>
    <col min="19" max="19" width="13.6640625" style="1835" customWidth="1"/>
    <col min="20" max="20" width="13.33203125" style="1835" customWidth="1"/>
    <col min="21" max="22" width="13.44140625" style="1835" customWidth="1"/>
    <col min="23" max="23" width="14.33203125" style="1835" customWidth="1"/>
    <col min="24" max="16384" width="10.6640625" style="1835"/>
  </cols>
  <sheetData>
    <row r="1" spans="2:27" s="1820" customFormat="1">
      <c r="N1" s="1821"/>
      <c r="O1" s="1821"/>
      <c r="P1" s="1822"/>
      <c r="Q1" s="1823">
        <v>1</v>
      </c>
      <c r="R1" s="1823">
        <v>2</v>
      </c>
      <c r="S1" s="1823">
        <v>3</v>
      </c>
      <c r="T1" s="1823">
        <v>4</v>
      </c>
      <c r="U1" s="1823">
        <v>5</v>
      </c>
      <c r="V1" s="1823">
        <v>6</v>
      </c>
      <c r="W1" s="1823">
        <v>7</v>
      </c>
      <c r="X1" s="1823">
        <v>8</v>
      </c>
      <c r="Y1" s="1823">
        <v>9</v>
      </c>
      <c r="Z1" s="1823">
        <v>10</v>
      </c>
      <c r="AA1" s="1823">
        <v>11</v>
      </c>
    </row>
    <row r="2" spans="2:27" s="1824" customFormat="1" ht="15" customHeight="1">
      <c r="B2" s="2768" t="s">
        <v>313</v>
      </c>
      <c r="I2" s="1825"/>
      <c r="J2" s="1825"/>
      <c r="K2" s="1826"/>
      <c r="L2" s="1826"/>
      <c r="M2" s="1826"/>
      <c r="N2" s="1827"/>
      <c r="O2" s="1827"/>
      <c r="P2" s="2690"/>
      <c r="Q2" s="1828"/>
      <c r="R2" s="1828"/>
      <c r="S2" s="1828"/>
      <c r="T2" s="1828" t="str">
        <f ca="1">Input!T2</f>
        <v>Proj</v>
      </c>
      <c r="U2" s="1828" t="str">
        <f ca="1">Input!U2</f>
        <v>Proj</v>
      </c>
      <c r="V2" s="1828" t="str">
        <f ca="1">Input!V2</f>
        <v>Proj</v>
      </c>
      <c r="W2" s="1828" t="str">
        <f ca="1">Input!W2</f>
        <v>Proj</v>
      </c>
      <c r="X2" s="1828" t="str">
        <f ca="1">Input!X2</f>
        <v>Proj</v>
      </c>
      <c r="Y2" s="1828" t="str">
        <f ca="1">Input!Y2</f>
        <v>Proj</v>
      </c>
      <c r="Z2" s="1828" t="str">
        <f ca="1">Input!Z2</f>
        <v>Proj</v>
      </c>
      <c r="AA2" s="1828" t="str">
        <f ca="1">Input!AA2</f>
        <v>Proj</v>
      </c>
    </row>
    <row r="3" spans="2:27" s="1834" customFormat="1" ht="13.8" thickBot="1">
      <c r="B3" s="2769"/>
      <c r="C3" s="1829"/>
      <c r="D3" s="1830">
        <v>41274</v>
      </c>
      <c r="E3" s="1831">
        <f t="shared" ref="E3:M3" si="0">DATE(YEAR(D3),MONTH(D3)+13,0)</f>
        <v>41639</v>
      </c>
      <c r="F3" s="1831">
        <f t="shared" si="0"/>
        <v>42004</v>
      </c>
      <c r="G3" s="1831">
        <f t="shared" si="0"/>
        <v>42369</v>
      </c>
      <c r="H3" s="1831">
        <f t="shared" si="0"/>
        <v>42735</v>
      </c>
      <c r="I3" s="1831">
        <f t="shared" si="0"/>
        <v>43100</v>
      </c>
      <c r="J3" s="1831">
        <f t="shared" si="0"/>
        <v>43465</v>
      </c>
      <c r="K3" s="1831">
        <f t="shared" si="0"/>
        <v>43830</v>
      </c>
      <c r="L3" s="1831">
        <f t="shared" si="0"/>
        <v>44196</v>
      </c>
      <c r="M3" s="1831">
        <f t="shared" si="0"/>
        <v>44561</v>
      </c>
      <c r="N3" s="1832">
        <f>Input!N3</f>
        <v>44926</v>
      </c>
      <c r="O3" s="1832">
        <f>Input!O3</f>
        <v>45291</v>
      </c>
      <c r="P3" s="2691">
        <f>Input!P3</f>
        <v>45657</v>
      </c>
      <c r="Q3" s="1833">
        <f>Input!Q3</f>
        <v>46022</v>
      </c>
      <c r="R3" s="1833">
        <f>Input!R3</f>
        <v>46387</v>
      </c>
      <c r="S3" s="1833">
        <f>Input!S3</f>
        <v>46752</v>
      </c>
      <c r="T3" s="1833">
        <f>Input!T3</f>
        <v>47118</v>
      </c>
      <c r="U3" s="1833">
        <f>Input!U3</f>
        <v>47483</v>
      </c>
      <c r="V3" s="1833">
        <f>Input!V3</f>
        <v>47848</v>
      </c>
      <c r="W3" s="1833">
        <f>Input!W3</f>
        <v>48213</v>
      </c>
      <c r="X3" s="1833">
        <f>Input!X3</f>
        <v>48579</v>
      </c>
      <c r="Y3" s="1833">
        <f>Input!Y3</f>
        <v>48944</v>
      </c>
      <c r="Z3" s="1833">
        <f>Input!Z3</f>
        <v>49309</v>
      </c>
      <c r="AA3" s="1833">
        <f>Input!AA3</f>
        <v>49674</v>
      </c>
    </row>
    <row r="4" spans="2:27" ht="13.8" thickTop="1">
      <c r="M4" s="1836"/>
      <c r="P4" s="1837"/>
    </row>
    <row r="5" spans="2:27">
      <c r="B5" s="1835" t="s">
        <v>1134</v>
      </c>
      <c r="D5" s="1838"/>
      <c r="E5" s="1838"/>
      <c r="F5" s="1838"/>
      <c r="G5" s="1838"/>
      <c r="H5" s="1838"/>
      <c r="I5" s="1838"/>
      <c r="J5" s="1839"/>
      <c r="K5" s="1839">
        <f>'Output-FR (show)'!K5/'Output-FR (show)'!K$5</f>
        <v>1</v>
      </c>
      <c r="L5" s="1839">
        <f>'Output-FR (show)'!L5/'Output-FR (show)'!L$5</f>
        <v>1</v>
      </c>
      <c r="M5" s="1839">
        <f>'Output-FR (show)'!M5/'Output-FR (show)'!M$5</f>
        <v>1</v>
      </c>
      <c r="N5" s="1839">
        <f>'Output-FR (show)'!N5/'Output-FR (show)'!N$5</f>
        <v>1</v>
      </c>
      <c r="O5" s="1839">
        <f>'Output-FR (show)'!O5/'Output-FR (show)'!O$5</f>
        <v>1</v>
      </c>
      <c r="P5" s="1840">
        <f>'Output-FR (show)'!P5/'Output-FR (show)'!P$5</f>
        <v>1</v>
      </c>
      <c r="Q5" s="1873">
        <f>'Output-FR (show)'!Q5/'Output-FR (show)'!Q$5</f>
        <v>1</v>
      </c>
      <c r="R5" s="1873">
        <f>'Output-FR (show)'!R5/'Output-FR (show)'!R$5</f>
        <v>1</v>
      </c>
      <c r="S5" s="1873">
        <f>'Output-FR (show)'!S5/'Output-FR (show)'!S$5</f>
        <v>1</v>
      </c>
      <c r="T5" s="1873">
        <f>'Output-FR (show)'!T5/'Output-FR (show)'!T$5</f>
        <v>1</v>
      </c>
      <c r="U5" s="1873">
        <f>'Output-FR (show)'!U5/'Output-FR (show)'!U$5</f>
        <v>1</v>
      </c>
      <c r="V5" s="1873">
        <f>'Output-FR (show)'!V5/'Output-FR (show)'!V$5</f>
        <v>1</v>
      </c>
      <c r="W5" s="1873">
        <f>'Output-FR (show)'!W5/'Output-FR (show)'!W$5</f>
        <v>1</v>
      </c>
      <c r="X5" s="1873">
        <f>'Output-FR (show)'!X5/'Output-FR (show)'!X$5</f>
        <v>1</v>
      </c>
      <c r="Y5" s="1873">
        <f>'Output-FR (show)'!Y5/'Output-FR (show)'!Y$5</f>
        <v>1</v>
      </c>
      <c r="Z5" s="1873">
        <f>'Output-FR (show)'!Z5/'Output-FR (show)'!Z$5</f>
        <v>1</v>
      </c>
    </row>
    <row r="6" spans="2:27">
      <c r="B6" s="1835" t="s">
        <v>320</v>
      </c>
      <c r="D6" s="1838"/>
      <c r="E6" s="1838"/>
      <c r="F6" s="1838"/>
      <c r="G6" s="1838"/>
      <c r="H6" s="1838"/>
      <c r="I6" s="1838"/>
      <c r="J6" s="1839"/>
      <c r="K6" s="1839">
        <f>'Output-FR (show)'!K6/'Output-FR (show)'!K5</f>
        <v>0.86380850480096383</v>
      </c>
      <c r="L6" s="1839">
        <f>'Output-FR (show)'!L6/'Output-FR (show)'!L5</f>
        <v>0.82584315708653389</v>
      </c>
      <c r="M6" s="1839">
        <f>'Output-FR (show)'!M6/'Output-FR (show)'!M5</f>
        <v>0.71823670424692132</v>
      </c>
      <c r="N6" s="1839">
        <f>'Output-FR (show)'!N6/'Output-FR (show)'!N5</f>
        <v>0.64184622330368291</v>
      </c>
      <c r="O6" s="1839">
        <f>'Output-FR (show)'!O6/'Output-FR (show)'!O5</f>
        <v>0.83836817319882173</v>
      </c>
      <c r="P6" s="1840">
        <f>'Output-FR (show)'!P6/'Output-FR (show)'!P5</f>
        <v>0.81320141579452243</v>
      </c>
      <c r="Q6" s="1873">
        <f>'Output-FR (show)'!Q6/'Output-FR (show)'!Q5</f>
        <v>0.78470268691224465</v>
      </c>
      <c r="R6" s="1873">
        <f>'Output-FR (show)'!R6/'Output-FR (show)'!R5</f>
        <v>0.77373806551034441</v>
      </c>
      <c r="S6" s="1873">
        <f>'Output-FR (show)'!S6/'Output-FR (show)'!S5</f>
        <v>0.75632457291521704</v>
      </c>
      <c r="T6" s="1873">
        <f>'Output-FR (show)'!T6/'Output-FR (show)'!T5</f>
        <v>0.69672359138676521</v>
      </c>
      <c r="U6" s="1873">
        <f>'Output-FR (show)'!U6/'Output-FR (show)'!U5</f>
        <v>0.72768870976597311</v>
      </c>
      <c r="V6" s="1873">
        <f>'Output-FR (show)'!V6/'Output-FR (show)'!V5</f>
        <v>0.75057770630065601</v>
      </c>
      <c r="W6" s="1873">
        <f>'Output-FR (show)'!W6/'Output-FR (show)'!W5</f>
        <v>0.76080782180929751</v>
      </c>
      <c r="X6" s="1873">
        <f>'Output-FR (show)'!X6/'Output-FR (show)'!X5</f>
        <v>0.74740173346073202</v>
      </c>
      <c r="Y6" s="1873">
        <f>'Output-FR (show)'!Y6/'Output-FR (show)'!Y5</f>
        <v>0.72889908912876844</v>
      </c>
      <c r="Z6" s="1873">
        <f>'Output-FR (show)'!Z6/'Output-FR (show)'!Z5</f>
        <v>0.7359208314382274</v>
      </c>
    </row>
    <row r="7" spans="2:27" s="1845" customFormat="1">
      <c r="B7" s="1841" t="s">
        <v>323</v>
      </c>
      <c r="C7" s="1841"/>
      <c r="D7" s="1842"/>
      <c r="E7" s="1842"/>
      <c r="F7" s="1842"/>
      <c r="G7" s="1842"/>
      <c r="H7" s="1842"/>
      <c r="I7" s="1842"/>
      <c r="J7" s="1843"/>
      <c r="K7" s="1843">
        <f>K5-K6</f>
        <v>0.13619149519903617</v>
      </c>
      <c r="L7" s="1843">
        <f t="shared" ref="L7:Z7" si="1">L5-L6</f>
        <v>0.17415684291346611</v>
      </c>
      <c r="M7" s="1843">
        <f t="shared" si="1"/>
        <v>0.28176329575307868</v>
      </c>
      <c r="N7" s="1843">
        <f t="shared" si="1"/>
        <v>0.35815377669631709</v>
      </c>
      <c r="O7" s="1843">
        <f t="shared" si="1"/>
        <v>0.16163182680117827</v>
      </c>
      <c r="P7" s="1844">
        <f t="shared" si="1"/>
        <v>0.18679858420547757</v>
      </c>
      <c r="Q7" s="1874">
        <f t="shared" si="1"/>
        <v>0.21529731308775535</v>
      </c>
      <c r="R7" s="1874">
        <f t="shared" si="1"/>
        <v>0.22626193448965559</v>
      </c>
      <c r="S7" s="1874">
        <f t="shared" si="1"/>
        <v>0.24367542708478296</v>
      </c>
      <c r="T7" s="1874">
        <f t="shared" si="1"/>
        <v>0.30327640861323479</v>
      </c>
      <c r="U7" s="1874">
        <f t="shared" si="1"/>
        <v>0.27231129023402689</v>
      </c>
      <c r="V7" s="1874">
        <f t="shared" si="1"/>
        <v>0.24942229369934399</v>
      </c>
      <c r="W7" s="1874">
        <f t="shared" si="1"/>
        <v>0.23919217819070249</v>
      </c>
      <c r="X7" s="1874">
        <f t="shared" si="1"/>
        <v>0.25259826653926798</v>
      </c>
      <c r="Y7" s="1874">
        <f t="shared" si="1"/>
        <v>0.27110091087123156</v>
      </c>
      <c r="Z7" s="1874">
        <f t="shared" si="1"/>
        <v>0.2640791685617726</v>
      </c>
    </row>
    <row r="8" spans="2:27">
      <c r="D8" s="1838"/>
      <c r="E8" s="1838"/>
      <c r="F8" s="1838"/>
      <c r="G8" s="1838"/>
      <c r="H8" s="1838"/>
      <c r="I8" s="1838"/>
      <c r="J8" s="1838"/>
      <c r="K8" s="1838"/>
      <c r="L8" s="1838"/>
      <c r="M8" s="1838"/>
      <c r="N8" s="1838"/>
      <c r="O8" s="1838"/>
      <c r="P8" s="1846"/>
      <c r="Q8" s="1875"/>
      <c r="R8" s="1875"/>
      <c r="S8" s="1875"/>
      <c r="T8" s="1875"/>
      <c r="U8" s="1875"/>
      <c r="V8" s="1875"/>
      <c r="W8" s="1875"/>
      <c r="X8" s="1875"/>
      <c r="Y8" s="1875"/>
      <c r="Z8" s="1876"/>
    </row>
    <row r="9" spans="2:27">
      <c r="B9" s="1835" t="s">
        <v>1135</v>
      </c>
      <c r="D9" s="1838"/>
      <c r="E9" s="1838"/>
      <c r="F9" s="1838"/>
      <c r="G9" s="1838"/>
      <c r="H9" s="1838"/>
      <c r="I9" s="1838"/>
      <c r="J9" s="1839"/>
      <c r="K9" s="1839">
        <f>'Output-FR (show)'!K10/'Output-FR (show)'!K5</f>
        <v>8.0275529421179284E-2</v>
      </c>
      <c r="L9" s="1839">
        <f>'Output-FR (show)'!L10/'Output-FR (show)'!L5</f>
        <v>8.9059975892924859E-2</v>
      </c>
      <c r="M9" s="1839">
        <f>'Output-FR (show)'!M10/'Output-FR (show)'!M5</f>
        <v>9.6141416934462751E-2</v>
      </c>
      <c r="N9" s="1839">
        <f>'Output-FR (show)'!N10/'Output-FR (show)'!N5</f>
        <v>8.483072327735848E-2</v>
      </c>
      <c r="O9" s="1839">
        <f>'Output-FR (show)'!O10/'Output-FR (show)'!O5</f>
        <v>0.10732936874916112</v>
      </c>
      <c r="P9" s="1840">
        <f>'Output-FR (show)'!P10/'Output-FR (show)'!P5</f>
        <v>0.11113725534983587</v>
      </c>
      <c r="Q9" s="1873">
        <f>'Output-FR (show)'!Q10/'Output-FR (show)'!Q5</f>
        <v>9.7240498262570571E-2</v>
      </c>
      <c r="R9" s="1873">
        <f>'Output-FR (show)'!R10/'Output-FR (show)'!R5</f>
        <v>9.7250859505797607E-2</v>
      </c>
      <c r="S9" s="1873">
        <f>'Output-FR (show)'!S10/'Output-FR (show)'!S5</f>
        <v>9.5886733645391048E-2</v>
      </c>
      <c r="T9" s="1873">
        <f>'Output-FR (show)'!T10/'Output-FR (show)'!T5</f>
        <v>9.5990074003817566E-2</v>
      </c>
      <c r="U9" s="1873">
        <f>'Output-FR (show)'!U10/'Output-FR (show)'!U5</f>
        <v>9.9761901149118107E-2</v>
      </c>
      <c r="V9" s="1873">
        <f>'Output-FR (show)'!V10/'Output-FR (show)'!V5</f>
        <v>9.9465417869890813E-2</v>
      </c>
      <c r="W9" s="1873">
        <f>'Output-FR (show)'!W10/'Output-FR (show)'!W5</f>
        <v>9.7276905931113308E-2</v>
      </c>
      <c r="X9" s="1873">
        <f>'Output-FR (show)'!X10/'Output-FR (show)'!X5</f>
        <v>9.7236927534971512E-2</v>
      </c>
      <c r="Y9" s="1873">
        <f>'Output-FR (show)'!Y10/'Output-FR (show)'!Y5</f>
        <v>9.748397604188587E-2</v>
      </c>
      <c r="Z9" s="1873">
        <f>'Output-FR (show)'!Z10/'Output-FR (show)'!Z5</f>
        <v>9.8028427667136195E-2</v>
      </c>
    </row>
    <row r="10" spans="2:27">
      <c r="B10" s="1835" t="s">
        <v>1136</v>
      </c>
      <c r="D10" s="1838"/>
      <c r="E10" s="1838"/>
      <c r="F10" s="1838"/>
      <c r="G10" s="1838"/>
      <c r="H10" s="1838"/>
      <c r="I10" s="1838"/>
      <c r="J10" s="1839"/>
      <c r="K10" s="1839">
        <f>Input!K31/Input!K7</f>
        <v>0.94408403422214304</v>
      </c>
      <c r="L10" s="1839">
        <f>Input!L31/Input!L7</f>
        <v>0.9149031329794588</v>
      </c>
      <c r="M10" s="1839">
        <f>Input!M31/Input!M7</f>
        <v>0.81437812118138408</v>
      </c>
      <c r="N10" s="1839">
        <f>Input!N31/Input!N7</f>
        <v>0.72667694658104132</v>
      </c>
      <c r="O10" s="1839">
        <f>Input!O31/Input!O7</f>
        <v>0.94569754194798283</v>
      </c>
      <c r="P10" s="1840">
        <f>Input!P31/Input!P7</f>
        <v>0.9243386711443583</v>
      </c>
      <c r="Q10" s="1873">
        <f>Input!Q31/Input!Q7</f>
        <v>0.88194318517481529</v>
      </c>
      <c r="R10" s="1873">
        <f>Input!R31/Input!R7</f>
        <v>0.870988925016142</v>
      </c>
      <c r="S10" s="1873">
        <f>Input!S31/Input!S7</f>
        <v>0.85221130656060817</v>
      </c>
      <c r="T10" s="1873">
        <f>Input!T31/Input!T7</f>
        <v>0.79271366539058286</v>
      </c>
      <c r="U10" s="1873">
        <f>Input!U31/Input!U7</f>
        <v>0.8274506109150912</v>
      </c>
      <c r="V10" s="1873">
        <f>Input!V31/Input!V7</f>
        <v>0.85004312417054673</v>
      </c>
      <c r="W10" s="1873">
        <f>Input!W31/Input!W7</f>
        <v>0.85808472774041089</v>
      </c>
      <c r="X10" s="1873">
        <f>Input!X31/Input!X7</f>
        <v>0.84463866099570362</v>
      </c>
      <c r="Y10" s="1873">
        <f>Input!Y31/Input!Y7</f>
        <v>0.82638306517065419</v>
      </c>
      <c r="Z10" s="1873">
        <f>Input!Z31/Input!Z7</f>
        <v>0.83394925910536355</v>
      </c>
    </row>
    <row r="11" spans="2:27" s="1845" customFormat="1">
      <c r="B11" s="1841" t="s">
        <v>334</v>
      </c>
      <c r="C11" s="1841"/>
      <c r="D11" s="1842"/>
      <c r="E11" s="1842"/>
      <c r="F11" s="1842"/>
      <c r="G11" s="1842"/>
      <c r="H11" s="1842"/>
      <c r="I11" s="1842"/>
      <c r="J11" s="1843"/>
      <c r="K11" s="1843">
        <f>'Output-FR (show)'!K12/'Output-FR (show)'!K5</f>
        <v>0.24317236717474533</v>
      </c>
      <c r="L11" s="1843">
        <f>'Output-FR (show)'!L12/'Output-FR (show)'!L5</f>
        <v>0.25942625395597102</v>
      </c>
      <c r="M11" s="1843">
        <f>'Output-FR (show)'!M12/'Output-FR (show)'!M5</f>
        <v>0.32603162900865545</v>
      </c>
      <c r="N11" s="1843">
        <f>'Output-FR (show)'!N12/'Output-FR (show)'!N5</f>
        <v>0.36111400688110118</v>
      </c>
      <c r="O11" s="1843">
        <f>'Output-FR (show)'!O12/'Output-FR (show)'!O5</f>
        <v>0.14048654549313586</v>
      </c>
      <c r="P11" s="1844">
        <f>'Output-FR (show)'!P12/'Output-FR (show)'!P5</f>
        <v>9.5584762540142018E-2</v>
      </c>
      <c r="Q11" s="1874">
        <f>'Output-FR (show)'!Q12/'Output-FR (show)'!Q5</f>
        <v>0.16689245294587418</v>
      </c>
      <c r="R11" s="1874">
        <f>'Output-FR (show)'!R12/'Output-FR (show)'!R5</f>
        <v>0.18054901591685141</v>
      </c>
      <c r="S11" s="1874">
        <f>'Output-FR (show)'!S12/'Output-FR (show)'!S5</f>
        <v>0.16871729152409193</v>
      </c>
      <c r="T11" s="1874">
        <f>'Output-FR (show)'!T12/'Output-FR (show)'!T5</f>
        <v>0.2252482256661793</v>
      </c>
      <c r="U11" s="1874">
        <f>'Output-FR (show)'!U12/'Output-FR (show)'!U5</f>
        <v>0.1904958203732986</v>
      </c>
      <c r="V11" s="1874">
        <f>'Output-FR (show)'!V12/'Output-FR (show)'!V5</f>
        <v>0.16912820321425392</v>
      </c>
      <c r="W11" s="1874">
        <f>'Output-FR (show)'!W12/'Output-FR (show)'!W5</f>
        <v>0.15869555810164601</v>
      </c>
      <c r="X11" s="1874">
        <f>'Output-FR (show)'!X12/'Output-FR (show)'!X5</f>
        <v>0.1737593424029707</v>
      </c>
      <c r="Y11" s="1874">
        <f>'Output-FR (show)'!Y12/'Output-FR (show)'!Y5</f>
        <v>0.19223069349092814</v>
      </c>
      <c r="Z11" s="1874">
        <f>'Output-FR (show)'!Z12/'Output-FR (show)'!Z5</f>
        <v>0.18565886619238531</v>
      </c>
    </row>
    <row r="12" spans="2:27">
      <c r="D12" s="1838"/>
      <c r="E12" s="1838"/>
      <c r="F12" s="1838"/>
      <c r="G12" s="1838"/>
      <c r="H12" s="1838"/>
      <c r="I12" s="1838"/>
      <c r="J12" s="1838"/>
      <c r="K12" s="1838"/>
      <c r="L12" s="1838"/>
      <c r="M12" s="1838"/>
      <c r="N12" s="1838"/>
      <c r="O12" s="1838"/>
      <c r="P12" s="1846"/>
      <c r="Q12" s="1875"/>
      <c r="R12" s="1875"/>
      <c r="S12" s="1875"/>
      <c r="T12" s="1875"/>
      <c r="U12" s="1875"/>
      <c r="V12" s="1875"/>
      <c r="W12" s="1875"/>
      <c r="X12" s="1875"/>
      <c r="Y12" s="1875"/>
      <c r="Z12" s="1876"/>
    </row>
    <row r="13" spans="2:27">
      <c r="B13" s="1835" t="s">
        <v>659</v>
      </c>
      <c r="D13" s="1838"/>
      <c r="E13" s="1838"/>
      <c r="F13" s="1838"/>
      <c r="G13" s="1838"/>
      <c r="H13" s="1838"/>
      <c r="I13" s="1838"/>
      <c r="J13" s="1839"/>
      <c r="K13" s="1839">
        <f>'Output-FR (show)'!K15/'Output-FR (show)'!K5</f>
        <v>0.18725640139688843</v>
      </c>
      <c r="L13" s="1839">
        <f>'Output-FR (show)'!L15/'Output-FR (show)'!L5</f>
        <v>0.17432938693542976</v>
      </c>
      <c r="M13" s="1839">
        <f>'Output-FR (show)'!M15/'Output-FR (show)'!M5</f>
        <v>0.14040975019003951</v>
      </c>
      <c r="N13" s="1839">
        <f>'Output-FR (show)'!N15/'Output-FR (show)'!N5</f>
        <v>8.7790953462142482E-2</v>
      </c>
      <c r="O13" s="1839">
        <f>'Output-FR (show)'!O15/'Output-FR (show)'!O5</f>
        <v>8.6184087441118759E-2</v>
      </c>
      <c r="P13" s="1840">
        <f>'Output-FR (show)'!P15/'Output-FR (show)'!P5</f>
        <v>1.9923433684500332E-2</v>
      </c>
      <c r="Q13" s="1873">
        <f>'Output-FR (show)'!Q15/'Output-FR (show)'!Q5</f>
        <v>4.8835638120689397E-2</v>
      </c>
      <c r="R13" s="1873">
        <f>'Output-FR (show)'!R15/'Output-FR (show)'!R5</f>
        <v>5.1537940932993402E-2</v>
      </c>
      <c r="S13" s="1873">
        <f>'Output-FR (show)'!S15/'Output-FR (show)'!S5</f>
        <v>2.0928598084700066E-2</v>
      </c>
      <c r="T13" s="1873">
        <f>'Output-FR (show)'!T15/'Output-FR (show)'!T5</f>
        <v>1.7961891056762092E-2</v>
      </c>
      <c r="U13" s="1873">
        <f>'Output-FR (show)'!U15/'Output-FR (show)'!U5</f>
        <v>1.7946431288389793E-2</v>
      </c>
      <c r="V13" s="1873">
        <f>'Output-FR (show)'!V15/'Output-FR (show)'!V5</f>
        <v>1.9171327384800742E-2</v>
      </c>
      <c r="W13" s="1873">
        <f>'Output-FR (show)'!W15/'Output-FR (show)'!W5</f>
        <v>1.6780285842056875E-2</v>
      </c>
      <c r="X13" s="1873">
        <f>'Output-FR (show)'!X15/'Output-FR (show)'!X5</f>
        <v>1.8398003398674267E-2</v>
      </c>
      <c r="Y13" s="1873">
        <f>'Output-FR (show)'!Y15/'Output-FR (show)'!Y5</f>
        <v>1.8613758661582477E-2</v>
      </c>
      <c r="Z13" s="1873">
        <f>'Output-FR (show)'!Z15/'Output-FR (show)'!Z5</f>
        <v>1.9608125297748875E-2</v>
      </c>
    </row>
    <row r="14" spans="2:27">
      <c r="B14" s="1835" t="s">
        <v>339</v>
      </c>
      <c r="D14" s="1838"/>
      <c r="E14" s="1838"/>
      <c r="F14" s="1838"/>
      <c r="G14" s="1838"/>
      <c r="H14" s="1838"/>
      <c r="I14" s="1838"/>
      <c r="J14" s="1838"/>
      <c r="K14" s="1838"/>
      <c r="L14" s="1838"/>
      <c r="M14" s="1838"/>
      <c r="N14" s="1838"/>
      <c r="O14" s="1838"/>
      <c r="P14" s="1846"/>
      <c r="Q14" s="1875"/>
      <c r="R14" s="1875"/>
      <c r="S14" s="1875"/>
      <c r="T14" s="1875"/>
      <c r="U14" s="1875"/>
      <c r="V14" s="1875"/>
      <c r="W14" s="1875"/>
      <c r="X14" s="1875"/>
      <c r="Y14" s="1875"/>
      <c r="Z14" s="1875"/>
    </row>
    <row r="15" spans="2:27" s="1845" customFormat="1">
      <c r="B15" s="1841" t="s">
        <v>342</v>
      </c>
      <c r="C15" s="1841"/>
      <c r="D15" s="1842"/>
      <c r="E15" s="1842"/>
      <c r="F15" s="1842"/>
      <c r="G15" s="1842"/>
      <c r="H15" s="1842"/>
      <c r="I15" s="1842"/>
      <c r="J15" s="1843"/>
      <c r="K15" s="1843">
        <f>K11-K13-K14</f>
        <v>5.5915965777856902E-2</v>
      </c>
      <c r="L15" s="1843">
        <f t="shared" ref="L15:Z15" si="2">L11-L13-L14</f>
        <v>8.5096867020541256E-2</v>
      </c>
      <c r="M15" s="1843">
        <f t="shared" si="2"/>
        <v>0.18562187881861594</v>
      </c>
      <c r="N15" s="1843">
        <f t="shared" si="2"/>
        <v>0.27332305341895868</v>
      </c>
      <c r="O15" s="1843">
        <f t="shared" si="2"/>
        <v>5.4302458052017097E-2</v>
      </c>
      <c r="P15" s="1844">
        <f t="shared" si="2"/>
        <v>7.5661328855641682E-2</v>
      </c>
      <c r="Q15" s="1874">
        <f t="shared" si="2"/>
        <v>0.11805681482518479</v>
      </c>
      <c r="R15" s="1874">
        <f t="shared" si="2"/>
        <v>0.129011074983858</v>
      </c>
      <c r="S15" s="1874">
        <f t="shared" si="2"/>
        <v>0.14778869343939185</v>
      </c>
      <c r="T15" s="1874">
        <f t="shared" si="2"/>
        <v>0.2072863346094172</v>
      </c>
      <c r="U15" s="1874">
        <f t="shared" si="2"/>
        <v>0.1725493890849088</v>
      </c>
      <c r="V15" s="1874">
        <f t="shared" si="2"/>
        <v>0.14995687582945319</v>
      </c>
      <c r="W15" s="1874">
        <f t="shared" si="2"/>
        <v>0.14191527225958914</v>
      </c>
      <c r="X15" s="1874">
        <f t="shared" si="2"/>
        <v>0.15536133900429644</v>
      </c>
      <c r="Y15" s="1874">
        <f t="shared" si="2"/>
        <v>0.17361693482934565</v>
      </c>
      <c r="Z15" s="1874">
        <f t="shared" si="2"/>
        <v>0.16605074089463642</v>
      </c>
    </row>
    <row r="16" spans="2:27">
      <c r="D16" s="1838"/>
      <c r="E16" s="1838"/>
      <c r="F16" s="1838"/>
      <c r="G16" s="1838"/>
      <c r="H16" s="1838"/>
      <c r="I16" s="1838"/>
      <c r="J16" s="1847"/>
      <c r="K16" s="1847"/>
      <c r="L16" s="1847"/>
      <c r="M16" s="1847"/>
      <c r="N16" s="1847"/>
      <c r="O16" s="1847"/>
      <c r="P16" s="1848"/>
      <c r="Q16" s="1877"/>
      <c r="R16" s="1877"/>
      <c r="S16" s="1877"/>
      <c r="T16" s="1877"/>
      <c r="U16" s="1877"/>
      <c r="V16" s="1877"/>
      <c r="W16" s="1877"/>
      <c r="X16" s="1877"/>
      <c r="Y16" s="1877"/>
      <c r="Z16" s="1877"/>
    </row>
    <row r="17" spans="2:26">
      <c r="B17" s="1835" t="s">
        <v>1137</v>
      </c>
      <c r="D17" s="1838"/>
      <c r="E17" s="1838"/>
      <c r="F17" s="1838"/>
      <c r="G17" s="1838"/>
      <c r="H17" s="1838"/>
      <c r="I17" s="1838"/>
      <c r="J17" s="1839"/>
      <c r="K17" s="1839">
        <f>'Output-FR (show)'!K27/'Output-FR (show)'!K5</f>
        <v>4.9299775725942813E-4</v>
      </c>
      <c r="L17" s="1839">
        <f>'Output-FR (show)'!L27/'Output-FR (show)'!L5</f>
        <v>3.6032518878322309E-4</v>
      </c>
      <c r="M17" s="1839">
        <f>'Output-FR (show)'!M27/'Output-FR (show)'!M5</f>
        <v>2.6384813882170729E-4</v>
      </c>
      <c r="N17" s="1839">
        <f>'Output-FR (show)'!N27/'Output-FR (show)'!N5</f>
        <v>7.5727069325914398E-4</v>
      </c>
      <c r="O17" s="1839">
        <f>'Output-FR (show)'!O27/'Output-FR (show)'!O5</f>
        <v>1.805228581061972E-4</v>
      </c>
      <c r="P17" s="1840">
        <f>'Output-FR (show)'!P27/'Output-FR (show)'!P5</f>
        <v>8.2903468678197559E-5</v>
      </c>
      <c r="Q17" s="1873">
        <f>'Output-FR (show)'!Q27/'Output-FR (show)'!Q5</f>
        <v>3.5631135081798284E-4</v>
      </c>
      <c r="R17" s="1873">
        <f>'Output-FR (show)'!R27/'Output-FR (show)'!R5</f>
        <v>3.3353028307774203E-4</v>
      </c>
      <c r="S17" s="1873">
        <f>'Output-FR (show)'!S27/'Output-FR (show)'!S5</f>
        <v>3.2906446546016179E-4</v>
      </c>
      <c r="T17" s="1873">
        <f>'Output-FR (show)'!T27/'Output-FR (show)'!T5</f>
        <v>3.3993385323323753E-4</v>
      </c>
      <c r="U17" s="1873">
        <f>'Output-FR (show)'!U27/'Output-FR (show)'!U5</f>
        <v>2.703777132289198E-4</v>
      </c>
      <c r="V17" s="1873">
        <f>'Output-FR (show)'!V27/'Output-FR (show)'!V5</f>
        <v>2.8535352241604029E-4</v>
      </c>
      <c r="W17" s="1873">
        <f>'Output-FR (show)'!W27/'Output-FR (show)'!W5</f>
        <v>3.1909519803901404E-4</v>
      </c>
      <c r="X17" s="1873">
        <f>'Output-FR (show)'!X27/'Output-FR (show)'!X5</f>
        <v>3.1289250590918585E-4</v>
      </c>
      <c r="Y17" s="1873">
        <f>'Output-FR (show)'!Y27/'Output-FR (show)'!Y5</f>
        <v>3.0945287638109317E-4</v>
      </c>
      <c r="Z17" s="1873">
        <f>'Output-FR (show)'!Z27/'Output-FR (show)'!Z5</f>
        <v>3.0618427820124837E-4</v>
      </c>
    </row>
    <row r="18" spans="2:26">
      <c r="B18" s="1835" t="s">
        <v>346</v>
      </c>
      <c r="D18" s="1838"/>
      <c r="E18" s="1838"/>
      <c r="F18" s="1838"/>
      <c r="G18" s="1838"/>
      <c r="H18" s="1838"/>
      <c r="I18" s="1838"/>
      <c r="J18" s="1839"/>
      <c r="K18" s="1839">
        <f>'Output-FR (show)'!K26/'Output-FR (show)'!K5</f>
        <v>6.8839426422231658E-3</v>
      </c>
      <c r="L18" s="1839">
        <f>'Output-FR (show)'!L26/'Output-FR (show)'!L5</f>
        <v>1.4197796152670772E-3</v>
      </c>
      <c r="M18" s="1839">
        <f>'Output-FR (show)'!M26/'Output-FR (show)'!M5</f>
        <v>4.4288757726351562E-4</v>
      </c>
      <c r="N18" s="1839">
        <f>'Output-FR (show)'!N26/'Output-FR (show)'!N5</f>
        <v>9.5611167233341262E-4</v>
      </c>
      <c r="O18" s="1839">
        <f>'Output-FR (show)'!O26/'Output-FR (show)'!O5</f>
        <v>1.9690094420851401E-3</v>
      </c>
      <c r="P18" s="1840">
        <f>'Output-FR (show)'!P26/'Output-FR (show)'!P5</f>
        <v>1.4854557194961355E-2</v>
      </c>
      <c r="Q18" s="1873">
        <f>'Output-FR (show)'!Q26/'Output-FR (show)'!Q5</f>
        <v>1.2713817294945078E-3</v>
      </c>
      <c r="R18" s="1873">
        <f>'Output-FR (show)'!R26/'Output-FR (show)'!R5</f>
        <v>9.8055542519617333E-4</v>
      </c>
      <c r="S18" s="1873">
        <f>'Output-FR (show)'!S26/'Output-FR (show)'!S5</f>
        <v>1.0189048841078884E-3</v>
      </c>
      <c r="T18" s="1873">
        <f>'Output-FR (show)'!T26/'Output-FR (show)'!T5</f>
        <v>9.7630353990647443E-4</v>
      </c>
      <c r="U18" s="1873">
        <f>'Output-FR (show)'!U26/'Output-FR (show)'!U5</f>
        <v>1.059097852775398E-3</v>
      </c>
      <c r="V18" s="1873">
        <f>'Output-FR (show)'!V26/'Output-FR (show)'!V5</f>
        <v>1.1184866349258698E-3</v>
      </c>
      <c r="W18" s="1873">
        <f>'Output-FR (show)'!W26/'Output-FR (show)'!W5</f>
        <v>1.0197244738852362E-3</v>
      </c>
      <c r="X18" s="1873">
        <f>'Output-FR (show)'!X26/'Output-FR (show)'!X5</f>
        <v>9.8870255622993727E-4</v>
      </c>
      <c r="Y18" s="1873">
        <f>'Output-FR (show)'!Y26/'Output-FR (show)'!Y5</f>
        <v>9.6175968946249964E-4</v>
      </c>
      <c r="Z18" s="1873">
        <f>'Output-FR (show)'!Z26/'Output-FR (show)'!Z5</f>
        <v>9.6496278869535705E-4</v>
      </c>
    </row>
    <row r="19" spans="2:26">
      <c r="B19" s="1835" t="s">
        <v>350</v>
      </c>
      <c r="D19" s="1838"/>
      <c r="E19" s="1838"/>
      <c r="F19" s="1838"/>
      <c r="G19" s="1838"/>
      <c r="H19" s="1838"/>
      <c r="I19" s="1838"/>
      <c r="J19" s="1839"/>
      <c r="K19" s="1839">
        <f>'Output-FR (show)'!K21/'Output-FR (show)'!K5</f>
        <v>1.8034465156986045E-2</v>
      </c>
      <c r="L19" s="1839">
        <f>'Output-FR (show)'!L21/'Output-FR (show)'!L5</f>
        <v>1.6970243738242831E-2</v>
      </c>
      <c r="M19" s="1839">
        <f>'Output-FR (show)'!M21/'Output-FR (show)'!M5</f>
        <v>1.6974258593921276E-2</v>
      </c>
      <c r="N19" s="1839">
        <f>'Output-FR (show)'!N21/'Output-FR (show)'!N5</f>
        <v>1.8902166807914046E-2</v>
      </c>
      <c r="O19" s="1839">
        <f>'Output-FR (show)'!O21/'Output-FR (show)'!O5</f>
        <v>4.5908003540195468E-2</v>
      </c>
      <c r="P19" s="1840">
        <f>'Output-FR (show)'!P21/'Output-FR (show)'!P5</f>
        <v>2.8375124084604755E-2</v>
      </c>
      <c r="Q19" s="1873">
        <f ca="1">'Output-FR (show)'!Q21/'Output-FR (show)'!Q5</f>
        <v>3.4538994841654472E-2</v>
      </c>
      <c r="R19" s="1873">
        <f ca="1">'Output-FR (show)'!R21/'Output-FR (show)'!R5</f>
        <v>3.6623959108334263E-2</v>
      </c>
      <c r="S19" s="1873">
        <f ca="1">'Output-FR (show)'!S21/'Output-FR (show)'!S5</f>
        <v>4.013388925787565E-2</v>
      </c>
      <c r="T19" s="1873">
        <f ca="1">'Output-FR (show)'!T21/'Output-FR (show)'!T5</f>
        <v>3.973149811957568E-2</v>
      </c>
      <c r="U19" s="1873">
        <f ca="1">'Output-FR (show)'!U21/'Output-FR (show)'!U5</f>
        <v>4.661126908800086E-2</v>
      </c>
      <c r="V19" s="1873">
        <f ca="1">'Output-FR (show)'!V21/'Output-FR (show)'!V5</f>
        <v>5.5097482879098929E-2</v>
      </c>
      <c r="W19" s="1873">
        <f ca="1">'Output-FR (show)'!W21/'Output-FR (show)'!W5</f>
        <v>5.7774860484212022E-2</v>
      </c>
      <c r="X19" s="1873">
        <f ca="1">'Output-FR (show)'!X21/'Output-FR (show)'!X5</f>
        <v>6.0888297931226652E-2</v>
      </c>
      <c r="Y19" s="1873">
        <f ca="1">'Output-FR (show)'!Y21/'Output-FR (show)'!Y5</f>
        <v>6.254620559536378E-2</v>
      </c>
      <c r="Z19" s="1873">
        <f ca="1">'Output-FR (show)'!Z21/'Output-FR (show)'!Z5</f>
        <v>6.5291136998405205E-2</v>
      </c>
    </row>
    <row r="20" spans="2:26">
      <c r="B20" s="1835" t="s">
        <v>519</v>
      </c>
      <c r="D20" s="1838"/>
      <c r="E20" s="1838"/>
      <c r="F20" s="1838"/>
      <c r="G20" s="1838"/>
      <c r="H20" s="1838"/>
      <c r="I20" s="1838"/>
      <c r="J20" s="1839"/>
      <c r="K20" s="1839">
        <f>'Output-FR (show)'!K22/'Output-FR (show)'!K5</f>
        <v>1.4589516414965337E-2</v>
      </c>
      <c r="L20" s="1839">
        <f>'Output-FR (show)'!L22/'Output-FR (show)'!L5</f>
        <v>8.362944659757756E-3</v>
      </c>
      <c r="M20" s="1839">
        <f>'Output-FR (show)'!M22/'Output-FR (show)'!M5</f>
        <v>4.5667692384812894E-3</v>
      </c>
      <c r="N20" s="1839">
        <f>'Output-FR (show)'!N22/'Output-FR (show)'!N5</f>
        <v>3.7930204789383801E-3</v>
      </c>
      <c r="O20" s="1839">
        <f>'Output-FR (show)'!O22/'Output-FR (show)'!O5</f>
        <v>2.1775105107956828E-3</v>
      </c>
      <c r="P20" s="1840">
        <f>'Output-FR (show)'!P22/'Output-FR (show)'!P5</f>
        <v>5.6905074492467232E-3</v>
      </c>
      <c r="Q20" s="1873">
        <f ca="1">'Output-FR (show)'!Q22/'Output-FR (show)'!Q5</f>
        <v>5.7294240883812462E-3</v>
      </c>
      <c r="R20" s="1873">
        <f ca="1">'Output-FR (show)'!R22/'Output-FR (show)'!R5</f>
        <v>6.664349459897417E-3</v>
      </c>
      <c r="S20" s="1873">
        <f ca="1">'Output-FR (show)'!S22/'Output-FR (show)'!S5</f>
        <v>6.9001241994766181E-3</v>
      </c>
      <c r="T20" s="1873">
        <f ca="1">'Output-FR (show)'!T22/'Output-FR (show)'!T5</f>
        <v>6.7540855772969472E-3</v>
      </c>
      <c r="U20" s="1873">
        <f ca="1">'Output-FR (show)'!U22/'Output-FR (show)'!U5</f>
        <v>7.4177605272612674E-3</v>
      </c>
      <c r="V20" s="1873">
        <f ca="1">'Output-FR (show)'!V22/'Output-FR (show)'!V5</f>
        <v>7.5993436487597748E-3</v>
      </c>
      <c r="W20" s="1873">
        <f ca="1">'Output-FR (show)'!W22/'Output-FR (show)'!W5</f>
        <v>6.9073331842473594E-3</v>
      </c>
      <c r="X20" s="1873">
        <f ca="1">'Output-FR (show)'!X22/'Output-FR (show)'!X5</f>
        <v>6.6058177735812285E-3</v>
      </c>
      <c r="Y20" s="1873">
        <f ca="1">'Output-FR (show)'!Y22/'Output-FR (show)'!Y5</f>
        <v>6.3784190691621289E-3</v>
      </c>
      <c r="Z20" s="1873">
        <f ca="1">'Output-FR (show)'!Z22/'Output-FR (show)'!Z5</f>
        <v>6.509237891099277E-3</v>
      </c>
    </row>
    <row r="21" spans="2:26">
      <c r="B21" s="1841" t="s">
        <v>1138</v>
      </c>
      <c r="C21" s="1841"/>
      <c r="D21" s="1842"/>
      <c r="E21" s="1842"/>
      <c r="F21" s="1842"/>
      <c r="G21" s="1842"/>
      <c r="H21" s="1842"/>
      <c r="I21" s="1842"/>
      <c r="J21" s="1843"/>
      <c r="K21" s="1843">
        <f>K15-K17+K18+K19-K20</f>
        <v>6.5751859404841351E-2</v>
      </c>
      <c r="L21" s="1843">
        <f t="shared" ref="L21:Z21" si="3">L15-L17+L18+L19-L20</f>
        <v>9.4763620525510184E-2</v>
      </c>
      <c r="M21" s="1843">
        <f t="shared" si="3"/>
        <v>0.19820840761249772</v>
      </c>
      <c r="N21" s="1843">
        <f t="shared" si="3"/>
        <v>0.28863104072700863</v>
      </c>
      <c r="O21" s="1843">
        <f t="shared" si="3"/>
        <v>9.9821437665395835E-2</v>
      </c>
      <c r="P21" s="1844">
        <f t="shared" si="3"/>
        <v>0.11311759921728287</v>
      </c>
      <c r="Q21" s="1874">
        <f t="shared" ca="1" si="3"/>
        <v>0.14778145595713452</v>
      </c>
      <c r="R21" s="1874">
        <f t="shared" ca="1" si="3"/>
        <v>0.15961770977441328</v>
      </c>
      <c r="S21" s="1874">
        <f t="shared" ca="1" si="3"/>
        <v>0.18171229891643861</v>
      </c>
      <c r="T21" s="1874">
        <f t="shared" ca="1" si="3"/>
        <v>0.24090011683836915</v>
      </c>
      <c r="U21" s="1874">
        <f t="shared" ca="1" si="3"/>
        <v>0.21253161778519489</v>
      </c>
      <c r="V21" s="1874">
        <f t="shared" ca="1" si="3"/>
        <v>0.19828814817230217</v>
      </c>
      <c r="W21" s="1874">
        <f t="shared" ca="1" si="3"/>
        <v>0.19348342883540001</v>
      </c>
      <c r="X21" s="1874">
        <f t="shared" ca="1" si="3"/>
        <v>0.2103196292122626</v>
      </c>
      <c r="Y21" s="1874">
        <f t="shared" ca="1" si="3"/>
        <v>0.23043702816862871</v>
      </c>
      <c r="Z21" s="1874">
        <f t="shared" ca="1" si="3"/>
        <v>0.22549141851243645</v>
      </c>
    </row>
    <row r="22" spans="2:26">
      <c r="D22" s="1838"/>
      <c r="E22" s="1838"/>
      <c r="F22" s="1838"/>
      <c r="G22" s="1838"/>
      <c r="H22" s="1838"/>
      <c r="I22" s="1838"/>
      <c r="J22" s="1838"/>
      <c r="K22" s="1838"/>
      <c r="L22" s="1838"/>
      <c r="M22" s="1838"/>
      <c r="N22" s="1838"/>
      <c r="O22" s="1838"/>
      <c r="P22" s="1846"/>
      <c r="Q22" s="1875"/>
      <c r="R22" s="1875"/>
      <c r="S22" s="1875"/>
      <c r="T22" s="1875"/>
      <c r="U22" s="1875"/>
      <c r="V22" s="1875"/>
      <c r="W22" s="1875"/>
      <c r="X22" s="1875"/>
      <c r="Y22" s="1875"/>
      <c r="Z22" s="1876"/>
    </row>
    <row r="23" spans="2:26">
      <c r="B23" s="1835" t="s">
        <v>378</v>
      </c>
      <c r="D23" s="1838"/>
      <c r="E23" s="1838"/>
      <c r="F23" s="1838"/>
      <c r="G23" s="1838"/>
      <c r="H23" s="1838"/>
      <c r="I23" s="1838"/>
      <c r="J23" s="1839"/>
      <c r="K23" s="1839">
        <f>'Output-FR (show)'!K31/'Output-FR (show)'!K5</f>
        <v>5.0212421328822733E-3</v>
      </c>
      <c r="L23" s="1839">
        <f>'Output-FR (show)'!L31/'Output-FR (show)'!L5</f>
        <v>7.1532207618011353E-3</v>
      </c>
      <c r="M23" s="1839">
        <f>'Output-FR (show)'!M31/'Output-FR (show)'!M5</f>
        <v>1.3186304793994101E-2</v>
      </c>
      <c r="N23" s="1839">
        <f>'Output-FR (show)'!N31/'Output-FR (show)'!N5</f>
        <v>1.7283529518887977E-2</v>
      </c>
      <c r="O23" s="1839">
        <f>'Output-FR (show)'!O31/'Output-FR (show)'!O5</f>
        <v>1.150840319488397E-2</v>
      </c>
      <c r="P23" s="1840">
        <f>'Output-FR (show)'!P31/'Output-FR (show)'!P5</f>
        <v>6.9901758788629472E-3</v>
      </c>
      <c r="Q23" s="1873">
        <f ca="1">'Output-FR (show)'!Q31/'Output-FR (show)'!Q5</f>
        <v>2.3132052696832245E-2</v>
      </c>
      <c r="R23" s="1873">
        <f ca="1">'Output-FR (show)'!R31/'Output-FR (show)'!R5</f>
        <v>2.4984767201917276E-2</v>
      </c>
      <c r="S23" s="1873">
        <f ca="1">'Output-FR (show)'!S31/'Output-FR (show)'!S5</f>
        <v>2.8443206537475282E-2</v>
      </c>
      <c r="T23" s="1873">
        <f ca="1">'Output-FR (show)'!T31/'Output-FR (show)'!T5</f>
        <v>3.7707804144212487E-2</v>
      </c>
      <c r="U23" s="1873">
        <f ca="1">'Output-FR (show)'!U31/'Output-FR (show)'!U5</f>
        <v>3.3267317272717548E-2</v>
      </c>
      <c r="V23" s="1873">
        <f ca="1">'Output-FR (show)'!V31/'Output-FR (show)'!V5</f>
        <v>3.1037804188432272E-2</v>
      </c>
      <c r="W23" s="1873">
        <f ca="1">'Output-FR (show)'!W31/'Output-FR (show)'!W5</f>
        <v>3.0285727277463498E-2</v>
      </c>
      <c r="X23" s="1873">
        <f ca="1">'Output-FR (show)'!X31/'Output-FR (show)'!X5</f>
        <v>3.2921077374738053E-2</v>
      </c>
      <c r="Y23" s="1873">
        <f ca="1">'Output-FR (show)'!Y31/'Output-FR (show)'!Y5</f>
        <v>3.6070029520106246E-2</v>
      </c>
      <c r="Z23" s="1873">
        <f ca="1">'Output-FR (show)'!Z31/'Output-FR (show)'!Z5</f>
        <v>3.5295899217734746E-2</v>
      </c>
    </row>
    <row r="24" spans="2:26">
      <c r="B24" s="1835" t="s">
        <v>372</v>
      </c>
      <c r="D24" s="1838"/>
      <c r="E24" s="1838"/>
      <c r="F24" s="1838"/>
      <c r="G24" s="1838"/>
      <c r="H24" s="1838"/>
      <c r="I24" s="1838"/>
      <c r="J24" s="1839"/>
      <c r="K24" s="1839">
        <f>'Output-FR (show)'!K24/'Output-FR (show)'!K5</f>
        <v>0</v>
      </c>
      <c r="L24" s="1839">
        <f>'Output-FR (show)'!L24/'Output-FR (show)'!L5</f>
        <v>0</v>
      </c>
      <c r="M24" s="1839">
        <f>'Output-FR (show)'!M24/'Output-FR (show)'!M5</f>
        <v>0</v>
      </c>
      <c r="N24" s="1839">
        <f>'Output-FR (show)'!N24/'Output-FR (show)'!N5</f>
        <v>0</v>
      </c>
      <c r="O24" s="1839">
        <f>'Output-FR (show)'!O24/'Output-FR (show)'!O5</f>
        <v>0</v>
      </c>
      <c r="P24" s="1840">
        <f>'Output-FR (show)'!P24/'Output-FR (show)'!P5</f>
        <v>0</v>
      </c>
      <c r="Q24" s="1873">
        <f>'Output-FR (show)'!Q24/'Output-FR (show)'!Q5</f>
        <v>0</v>
      </c>
      <c r="R24" s="1873">
        <f>'Output-FR (show)'!R24/'Output-FR (show)'!R5</f>
        <v>0</v>
      </c>
      <c r="S24" s="1873">
        <f>'Output-FR (show)'!S24/'Output-FR (show)'!S5</f>
        <v>0</v>
      </c>
      <c r="T24" s="1873">
        <f>'Output-FR (show)'!T24/'Output-FR (show)'!T5</f>
        <v>0</v>
      </c>
      <c r="U24" s="1873">
        <f>'Output-FR (show)'!U24/'Output-FR (show)'!U5</f>
        <v>0</v>
      </c>
      <c r="V24" s="1873">
        <f>'Output-FR (show)'!V24/'Output-FR (show)'!V5</f>
        <v>0</v>
      </c>
      <c r="W24" s="1873">
        <f>'Output-FR (show)'!W24/'Output-FR (show)'!W5</f>
        <v>0</v>
      </c>
      <c r="X24" s="1873">
        <f>'Output-FR (show)'!X24/'Output-FR (show)'!X5</f>
        <v>0</v>
      </c>
      <c r="Y24" s="1873">
        <f>'Output-FR (show)'!Y24/'Output-FR (show)'!Y5</f>
        <v>0</v>
      </c>
      <c r="Z24" s="1873">
        <f>'Output-FR (show)'!Z24/'Output-FR (show)'!Z5</f>
        <v>0</v>
      </c>
    </row>
    <row r="25" spans="2:26">
      <c r="B25" s="1835" t="s">
        <v>1139</v>
      </c>
      <c r="D25" s="1838"/>
      <c r="E25" s="1838"/>
      <c r="F25" s="1838"/>
      <c r="G25" s="1838"/>
      <c r="H25" s="1838"/>
      <c r="I25" s="1838"/>
      <c r="J25" s="1839"/>
      <c r="K25" s="1839">
        <f>'Output-FR (show)'!K34/'Output-FR (show)'!K5</f>
        <v>2.198646844951572E-4</v>
      </c>
      <c r="L25" s="1839">
        <f>'Output-FR (show)'!L34/'Output-FR (show)'!L5</f>
        <v>1.8518835254685963E-4</v>
      </c>
      <c r="M25" s="1839">
        <f>'Output-FR (show)'!M34/'Output-FR (show)'!M5</f>
        <v>2.700398425728976E-4</v>
      </c>
      <c r="N25" s="1839">
        <f>'Output-FR (show)'!N34/'Output-FR (show)'!N5</f>
        <v>3.2198413092216356E-4</v>
      </c>
      <c r="O25" s="1839">
        <f>'Output-FR (show)'!O34/'Output-FR (show)'!O5</f>
        <v>9.9430223539158607E-5</v>
      </c>
      <c r="P25" s="1840">
        <f>'Output-FR (show)'!P34/'Output-FR (show)'!P5</f>
        <v>6.2045933396091412E-4</v>
      </c>
      <c r="Q25" s="1873">
        <f ca="1">'Output-FR (show)'!Q34/'Output-FR (show)'!Q5</f>
        <v>3.1894575139625127E-4</v>
      </c>
      <c r="R25" s="1873">
        <f ca="1">'Output-FR (show)'!R34/'Output-FR (show)'!R5</f>
        <v>3.2067036021247042E-4</v>
      </c>
      <c r="S25" s="1873">
        <f ca="1">'Output-FR (show)'!S34/'Output-FR (show)'!S5</f>
        <v>3.7190522409570728E-4</v>
      </c>
      <c r="T25" s="1873">
        <f ca="1">'Output-FR (show)'!T34/'Output-FR (show)'!T5</f>
        <v>5.2579051233235508E-4</v>
      </c>
      <c r="U25" s="1873">
        <f ca="1">'Output-FR (show)'!U34/'Output-FR (show)'!U5</f>
        <v>5.0573254794086656E-4</v>
      </c>
      <c r="V25" s="1873">
        <f ca="1">'Output-FR (show)'!V34/'Output-FR (show)'!V5</f>
        <v>5.1909510861697481E-4</v>
      </c>
      <c r="W25" s="1873">
        <f ca="1">'Output-FR (show)'!W34/'Output-FR (show)'!W5</f>
        <v>4.3191759671120842E-4</v>
      </c>
      <c r="X25" s="1873">
        <f ca="1">'Output-FR (show)'!X34/'Output-FR (show)'!X5</f>
        <v>4.7209880693310075E-4</v>
      </c>
      <c r="Y25" s="1873">
        <f ca="1">'Output-FR (show)'!Y34/'Output-FR (show)'!Y5</f>
        <v>5.2630748017038647E-4</v>
      </c>
      <c r="Z25" s="1873">
        <f ca="1">'Output-FR (show)'!Z34/'Output-FR (show)'!Z5</f>
        <v>5.2392948303955683E-4</v>
      </c>
    </row>
    <row r="26" spans="2:26" ht="13.8" thickBot="1">
      <c r="B26" s="1849" t="s">
        <v>381</v>
      </c>
      <c r="C26" s="1849"/>
      <c r="D26" s="1850"/>
      <c r="E26" s="1850"/>
      <c r="F26" s="1850"/>
      <c r="G26" s="1850"/>
      <c r="H26" s="1850"/>
      <c r="I26" s="1850"/>
      <c r="J26" s="1851"/>
      <c r="K26" s="1851">
        <f>'Output-FR (show)'!K32/'Output-FR (show)'!K5</f>
        <v>6.0730617271959081E-2</v>
      </c>
      <c r="L26" s="1851">
        <f>'Output-FR (show)'!L32/'Output-FR (show)'!L5</f>
        <v>8.7610399763709018E-2</v>
      </c>
      <c r="M26" s="1851">
        <f>'Output-FR (show)'!M32/'Output-FR (show)'!M5</f>
        <v>0.18502210281850365</v>
      </c>
      <c r="N26" s="1851">
        <f>'Output-FR (show)'!N32/'Output-FR (show)'!N5</f>
        <v>0.27134751120812062</v>
      </c>
      <c r="O26" s="1851">
        <f>'Output-FR (show)'!O32/'Output-FR (show)'!O5</f>
        <v>8.8313034470511878E-2</v>
      </c>
      <c r="P26" s="1852">
        <f>'Output-FR (show)'!P32/'Output-FR (show)'!P5</f>
        <v>0.10612742333841993</v>
      </c>
      <c r="Q26" s="1878">
        <f ca="1">'Output-FR (show)'!Q32/'Output-FR (show)'!Q5</f>
        <v>0.12464940326030231</v>
      </c>
      <c r="R26" s="1878">
        <f ca="1">'Output-FR (show)'!R32/'Output-FR (show)'!R5</f>
        <v>0.13463294257249597</v>
      </c>
      <c r="S26" s="1878">
        <f ca="1">'Output-FR (show)'!S32/'Output-FR (show)'!S5</f>
        <v>0.15326909237896336</v>
      </c>
      <c r="T26" s="1878">
        <f ca="1">'Output-FR (show)'!T32/'Output-FR (show)'!T5</f>
        <v>0.20319231269415669</v>
      </c>
      <c r="U26" s="1878">
        <f ca="1">'Output-FR (show)'!U32/'Output-FR (show)'!U5</f>
        <v>0.17926430051247735</v>
      </c>
      <c r="V26" s="1878">
        <f ca="1">'Output-FR (show)'!V32/'Output-FR (show)'!V5</f>
        <v>0.1672503439838699</v>
      </c>
      <c r="W26" s="1878">
        <f ca="1">'Output-FR (show)'!W32/'Output-FR (show)'!W5</f>
        <v>0.16319770155793653</v>
      </c>
      <c r="X26" s="1878">
        <f ca="1">'Output-FR (show)'!X32/'Output-FR (show)'!X5</f>
        <v>0.17739855183752454</v>
      </c>
      <c r="Y26" s="1878">
        <f ca="1">'Output-FR (show)'!Y32/'Output-FR (show)'!Y5</f>
        <v>0.19436699864852247</v>
      </c>
      <c r="Z26" s="1878">
        <f ca="1">'Output-FR (show)'!Z32/'Output-FR (show)'!Z5</f>
        <v>0.19019551929470174</v>
      </c>
    </row>
    <row r="27" spans="2:26" ht="13.8" thickTop="1">
      <c r="D27" s="1838"/>
      <c r="E27" s="1838"/>
      <c r="F27" s="1838"/>
      <c r="G27" s="1838"/>
      <c r="H27" s="1838"/>
      <c r="I27" s="1838"/>
      <c r="J27" s="1839"/>
      <c r="K27" s="1839"/>
      <c r="L27" s="1839"/>
      <c r="M27" s="1839"/>
      <c r="N27" s="1839"/>
      <c r="O27" s="1839"/>
      <c r="P27" s="1840"/>
      <c r="Q27" s="1873"/>
      <c r="R27" s="1873"/>
      <c r="S27" s="1873"/>
      <c r="T27" s="1873"/>
      <c r="U27" s="1873"/>
      <c r="V27" s="1873"/>
      <c r="W27" s="1873"/>
      <c r="X27" s="1873"/>
      <c r="Y27" s="1873"/>
      <c r="Z27" s="1873"/>
    </row>
    <row r="28" spans="2:26">
      <c r="B28" s="1835" t="s">
        <v>401</v>
      </c>
      <c r="D28" s="1838"/>
      <c r="E28" s="1838"/>
      <c r="F28" s="1838"/>
      <c r="G28" s="1838"/>
      <c r="H28" s="1838"/>
      <c r="I28" s="1838"/>
      <c r="J28" s="1839"/>
      <c r="K28" s="1839">
        <f>'Output-FR (show)'!K38/'Output-FR (show)'!K5</f>
        <v>0</v>
      </c>
      <c r="L28" s="1839">
        <f>'Output-FR (show)'!L38/'Output-FR (show)'!L5</f>
        <v>0</v>
      </c>
      <c r="M28" s="1839">
        <f>'Output-FR (show)'!M38/'Output-FR (show)'!M5</f>
        <v>0</v>
      </c>
      <c r="N28" s="1839">
        <f>'Output-FR (show)'!N38/'Output-FR (show)'!N5</f>
        <v>0</v>
      </c>
      <c r="O28" s="1839">
        <f>'Output-FR (show)'!O38/'Output-FR (show)'!O5</f>
        <v>0</v>
      </c>
      <c r="P28" s="1840">
        <f>'Output-FR (show)'!P38/'Output-FR (show)'!P5</f>
        <v>0</v>
      </c>
      <c r="Q28" s="1873">
        <f>'Output-FR (show)'!Q38/'Output-FR (show)'!Q5</f>
        <v>0</v>
      </c>
      <c r="R28" s="1873">
        <f>'Output-FR (show)'!R38/'Output-FR (show)'!R5</f>
        <v>0</v>
      </c>
      <c r="S28" s="1873">
        <f>'Output-FR (show)'!S38/'Output-FR (show)'!S5</f>
        <v>0</v>
      </c>
      <c r="T28" s="1873">
        <f>'Output-FR (show)'!T38/'Output-FR (show)'!T5</f>
        <v>0</v>
      </c>
      <c r="U28" s="1873">
        <f>'Output-FR (show)'!U38/'Output-FR (show)'!U5</f>
        <v>0</v>
      </c>
      <c r="V28" s="1873">
        <f>'Output-FR (show)'!V38/'Output-FR (show)'!V5</f>
        <v>0</v>
      </c>
      <c r="W28" s="1873">
        <f>'Output-FR (show)'!W38/'Output-FR (show)'!W5</f>
        <v>0</v>
      </c>
      <c r="X28" s="1873">
        <f>'Output-FR (show)'!X38/'Output-FR (show)'!X5</f>
        <v>0</v>
      </c>
      <c r="Y28" s="1873">
        <f>'Output-FR (show)'!Y38/'Output-FR (show)'!Y5</f>
        <v>0</v>
      </c>
      <c r="Z28" s="1873">
        <f>'Output-FR (show)'!Z38/'Output-FR (show)'!Z5</f>
        <v>0</v>
      </c>
    </row>
    <row r="29" spans="2:26">
      <c r="B29" s="1835" t="s">
        <v>404</v>
      </c>
      <c r="D29" s="1838"/>
      <c r="E29" s="1838"/>
      <c r="F29" s="1838"/>
      <c r="G29" s="1838"/>
      <c r="H29" s="1838"/>
      <c r="I29" s="1838"/>
      <c r="J29" s="1839"/>
      <c r="K29" s="1839">
        <f>'Output-FR (show)'!K39/'Output-FR (show)'!K5</f>
        <v>0</v>
      </c>
      <c r="L29" s="1839">
        <f>'Output-FR (show)'!L39/'Output-FR (show)'!L5</f>
        <v>0</v>
      </c>
      <c r="M29" s="1839">
        <f>'Output-FR (show)'!M39/'Output-FR (show)'!M5</f>
        <v>0</v>
      </c>
      <c r="N29" s="1839">
        <f>'Output-FR (show)'!N39/'Output-FR (show)'!N5</f>
        <v>0</v>
      </c>
      <c r="O29" s="1839">
        <f>'Output-FR (show)'!O39/'Output-FR (show)'!O5</f>
        <v>0</v>
      </c>
      <c r="P29" s="1840">
        <f>'Output-FR (show)'!P39/'Output-FR (show)'!P5</f>
        <v>0</v>
      </c>
      <c r="Q29" s="1873">
        <f>'Output-FR (show)'!Q39/'Output-FR (show)'!Q5</f>
        <v>0</v>
      </c>
      <c r="R29" s="1873">
        <f>'Output-FR (show)'!R39/'Output-FR (show)'!R5</f>
        <v>0</v>
      </c>
      <c r="S29" s="1873">
        <f>'Output-FR (show)'!S39/'Output-FR (show)'!S5</f>
        <v>0</v>
      </c>
      <c r="T29" s="1873">
        <f>'Output-FR (show)'!T39/'Output-FR (show)'!T5</f>
        <v>0</v>
      </c>
      <c r="U29" s="1873">
        <f>'Output-FR (show)'!U39/'Output-FR (show)'!U5</f>
        <v>0</v>
      </c>
      <c r="V29" s="1873">
        <f>'Output-FR (show)'!V39/'Output-FR (show)'!V5</f>
        <v>0</v>
      </c>
      <c r="W29" s="1873">
        <f>'Output-FR (show)'!W39/'Output-FR (show)'!W5</f>
        <v>0</v>
      </c>
      <c r="X29" s="1873">
        <f>'Output-FR (show)'!X39/'Output-FR (show)'!X5</f>
        <v>0</v>
      </c>
      <c r="Y29" s="1873">
        <f>'Output-FR (show)'!Y39/'Output-FR (show)'!Y5</f>
        <v>0</v>
      </c>
      <c r="Z29" s="1873">
        <f>'Output-FR (show)'!Z39/'Output-FR (show)'!Z5</f>
        <v>0</v>
      </c>
    </row>
    <row r="30" spans="2:26" s="1845" customFormat="1" ht="13.8" thickBot="1">
      <c r="B30" s="1849" t="s">
        <v>1140</v>
      </c>
      <c r="C30" s="1849"/>
      <c r="D30" s="1850"/>
      <c r="E30" s="1850"/>
      <c r="F30" s="1850"/>
      <c r="G30" s="1850"/>
      <c r="H30" s="1850"/>
      <c r="I30" s="1850"/>
      <c r="J30" s="1851"/>
      <c r="K30" s="1851">
        <f>K26-K28-K29</f>
        <v>6.0730617271959081E-2</v>
      </c>
      <c r="L30" s="1851">
        <f t="shared" ref="L30:Z30" si="4">L26-L28-L29</f>
        <v>8.7610399763709018E-2</v>
      </c>
      <c r="M30" s="1851">
        <f t="shared" si="4"/>
        <v>0.18502210281850365</v>
      </c>
      <c r="N30" s="1851">
        <f t="shared" si="4"/>
        <v>0.27134751120812062</v>
      </c>
      <c r="O30" s="1851">
        <f t="shared" si="4"/>
        <v>8.8313034470511878E-2</v>
      </c>
      <c r="P30" s="1852">
        <f t="shared" si="4"/>
        <v>0.10612742333841993</v>
      </c>
      <c r="Q30" s="1878">
        <f t="shared" ca="1" si="4"/>
        <v>0.12464940326030231</v>
      </c>
      <c r="R30" s="1878">
        <f t="shared" ca="1" si="4"/>
        <v>0.13463294257249597</v>
      </c>
      <c r="S30" s="1878">
        <f t="shared" ca="1" si="4"/>
        <v>0.15326909237896336</v>
      </c>
      <c r="T30" s="1878">
        <f t="shared" ca="1" si="4"/>
        <v>0.20319231269415669</v>
      </c>
      <c r="U30" s="1878">
        <f t="shared" ca="1" si="4"/>
        <v>0.17926430051247735</v>
      </c>
      <c r="V30" s="1878">
        <f t="shared" ca="1" si="4"/>
        <v>0.1672503439838699</v>
      </c>
      <c r="W30" s="1878">
        <f t="shared" ca="1" si="4"/>
        <v>0.16319770155793653</v>
      </c>
      <c r="X30" s="1878">
        <f t="shared" ca="1" si="4"/>
        <v>0.17739855183752454</v>
      </c>
      <c r="Y30" s="1878">
        <f t="shared" ca="1" si="4"/>
        <v>0.19436699864852247</v>
      </c>
      <c r="Z30" s="1878">
        <f t="shared" ca="1" si="4"/>
        <v>0.19019551929470174</v>
      </c>
    </row>
    <row r="31" spans="2:26" ht="13.8" thickTop="1">
      <c r="D31" s="1838"/>
      <c r="E31" s="1838"/>
      <c r="F31" s="1838"/>
      <c r="G31" s="1838"/>
      <c r="H31" s="1838"/>
      <c r="I31" s="1838"/>
      <c r="J31" s="1838"/>
      <c r="K31" s="1838"/>
      <c r="L31" s="1838"/>
      <c r="M31" s="1838"/>
      <c r="N31" s="1838"/>
      <c r="O31" s="1838"/>
      <c r="P31" s="1846"/>
      <c r="Q31" s="1875"/>
      <c r="R31" s="1875"/>
      <c r="S31" s="1875"/>
      <c r="T31" s="1875"/>
      <c r="U31" s="1875"/>
      <c r="V31" s="1875"/>
      <c r="W31" s="1875"/>
      <c r="X31" s="1875"/>
      <c r="Y31" s="1875"/>
      <c r="Z31" s="1875"/>
    </row>
    <row r="32" spans="2:26">
      <c r="B32" s="1835" t="s">
        <v>410</v>
      </c>
      <c r="D32" s="1838"/>
      <c r="E32" s="1838"/>
      <c r="F32" s="1838"/>
      <c r="G32" s="1838"/>
      <c r="H32" s="1838"/>
      <c r="I32" s="1838"/>
      <c r="J32" s="1839"/>
      <c r="K32" s="1839">
        <f>'Output-FR (show)'!K42/'Output-FR (show)'!K5</f>
        <v>4.5100311154623478E-2</v>
      </c>
      <c r="L32" s="1839">
        <f>'Output-FR (show)'!L42/'Output-FR (show)'!L5</f>
        <v>5.6011716856669731E-2</v>
      </c>
      <c r="M32" s="1839">
        <f>'Output-FR (show)'!M42/'Output-FR (show)'!M5</f>
        <v>9.6549431755072884E-2</v>
      </c>
      <c r="N32" s="1839">
        <f>'Output-FR (show)'!N42/'Output-FR (show)'!N5</f>
        <v>9.9732947328768889E-2</v>
      </c>
      <c r="O32" s="1839">
        <f>'Output-FR (show)'!O42/'Output-FR (show)'!O5</f>
        <v>8.4228666706169644E-2</v>
      </c>
      <c r="P32" s="1840">
        <f>'Output-FR (show)'!P42/'Output-FR (show)'!P5</f>
        <v>7.8688513968367096E-2</v>
      </c>
      <c r="Q32" s="1873">
        <f>'Output-FR (show)'!Q42/'Output-FR (show)'!Q5</f>
        <v>5.969454391830082E-2</v>
      </c>
      <c r="R32" s="1873">
        <f>'Output-FR (show)'!R42/'Output-FR (show)'!R5</f>
        <v>7.119507912250897E-2</v>
      </c>
      <c r="S32" s="1873">
        <f>'Output-FR (show)'!S42/'Output-FR (show)'!S5</f>
        <v>8.3083353888194905E-2</v>
      </c>
      <c r="T32" s="1873">
        <f>'Output-FR (show)'!T42/'Output-FR (show)'!T5</f>
        <v>7.0496973253847475E-2</v>
      </c>
      <c r="U32" s="1873">
        <f>'Output-FR (show)'!U42/'Output-FR (show)'!U5</f>
        <v>8.4868094527397672E-2</v>
      </c>
      <c r="V32" s="1873">
        <f>'Output-FR (show)'!V42/'Output-FR (show)'!V5</f>
        <v>9.0691627932129315E-2</v>
      </c>
      <c r="W32" s="1873">
        <f>'Output-FR (show)'!W42/'Output-FR (show)'!W5</f>
        <v>7.5781990669565868E-2</v>
      </c>
      <c r="X32" s="1873">
        <f>'Output-FR (show)'!X42/'Output-FR (show)'!X5</f>
        <v>9.887836752447908E-2</v>
      </c>
      <c r="Y32" s="1873">
        <f>'Output-FR (show)'!Y42/'Output-FR (show)'!Y5</f>
        <v>0.11750508709505629</v>
      </c>
      <c r="Z32" s="1873">
        <f>'Output-FR (show)'!Z42/'Output-FR (show)'!Z5</f>
        <v>0.1391336968809411</v>
      </c>
    </row>
    <row r="33" spans="2:26" s="1845" customFormat="1" ht="13.8" thickBot="1">
      <c r="B33" s="1849" t="s">
        <v>412</v>
      </c>
      <c r="C33" s="1849"/>
      <c r="D33" s="1850"/>
      <c r="E33" s="1850"/>
      <c r="F33" s="1850"/>
      <c r="G33" s="1850"/>
      <c r="H33" s="1850"/>
      <c r="I33" s="1850"/>
      <c r="J33" s="1851"/>
      <c r="K33" s="1851">
        <f>K30-K32</f>
        <v>1.5630306117335603E-2</v>
      </c>
      <c r="L33" s="1851">
        <f t="shared" ref="L33:Z33" si="5">L30-L32</f>
        <v>3.1598682907039287E-2</v>
      </c>
      <c r="M33" s="1851">
        <f t="shared" si="5"/>
        <v>8.8472671063430763E-2</v>
      </c>
      <c r="N33" s="1851">
        <f t="shared" si="5"/>
        <v>0.17161456387935173</v>
      </c>
      <c r="O33" s="1851">
        <f t="shared" si="5"/>
        <v>4.0843677643422338E-3</v>
      </c>
      <c r="P33" s="1852">
        <f t="shared" si="5"/>
        <v>2.7438909370052833E-2</v>
      </c>
      <c r="Q33" s="1878">
        <f t="shared" ca="1" si="5"/>
        <v>6.4954859342001486E-2</v>
      </c>
      <c r="R33" s="1878">
        <f t="shared" ca="1" si="5"/>
        <v>6.3437863449987003E-2</v>
      </c>
      <c r="S33" s="1878">
        <f t="shared" ca="1" si="5"/>
        <v>7.0185738490768451E-2</v>
      </c>
      <c r="T33" s="1878">
        <f t="shared" ca="1" si="5"/>
        <v>0.1326953394403092</v>
      </c>
      <c r="U33" s="1878">
        <f t="shared" ca="1" si="5"/>
        <v>9.4396205985079681E-2</v>
      </c>
      <c r="V33" s="1878">
        <f t="shared" ca="1" si="5"/>
        <v>7.6558716051740583E-2</v>
      </c>
      <c r="W33" s="1878">
        <f t="shared" ca="1" si="5"/>
        <v>8.7415710888370662E-2</v>
      </c>
      <c r="X33" s="1878">
        <f t="shared" ca="1" si="5"/>
        <v>7.8520184313045457E-2</v>
      </c>
      <c r="Y33" s="1878">
        <f t="shared" ca="1" si="5"/>
        <v>7.6861911553466181E-2</v>
      </c>
      <c r="Z33" s="1878">
        <f t="shared" ca="1" si="5"/>
        <v>5.1061822413760644E-2</v>
      </c>
    </row>
    <row r="34" spans="2:26" s="1820" customFormat="1" ht="13.8" thickTop="1">
      <c r="J34" s="1843"/>
      <c r="K34" s="1843"/>
      <c r="L34" s="1843"/>
      <c r="M34" s="1843"/>
      <c r="N34" s="1843"/>
      <c r="O34" s="1843"/>
      <c r="P34" s="1844"/>
      <c r="Q34" s="1843"/>
      <c r="R34" s="1843"/>
      <c r="S34" s="1843"/>
      <c r="T34" s="1843"/>
      <c r="U34" s="1843"/>
      <c r="V34" s="1843"/>
      <c r="W34" s="1843"/>
      <c r="X34" s="1843"/>
      <c r="Y34" s="1843"/>
      <c r="Z34" s="1843"/>
    </row>
    <row r="35" spans="2:26" s="1820" customFormat="1">
      <c r="N35" s="1835"/>
      <c r="O35" s="1835"/>
      <c r="P35" s="1853"/>
      <c r="Q35" s="1835"/>
      <c r="R35" s="1835"/>
      <c r="S35" s="1835"/>
      <c r="T35" s="1835"/>
      <c r="U35" s="1835"/>
      <c r="V35" s="1835"/>
      <c r="W35" s="1835"/>
      <c r="X35" s="1835"/>
      <c r="Y35" s="1835"/>
    </row>
    <row r="36" spans="2:26" s="1820" customFormat="1">
      <c r="D36" s="1854"/>
      <c r="E36" s="1854"/>
      <c r="F36" s="1854"/>
      <c r="G36" s="1854"/>
      <c r="H36" s="1854"/>
      <c r="I36" s="1854"/>
      <c r="J36" s="1854"/>
      <c r="K36" s="1854"/>
      <c r="N36" s="1835"/>
      <c r="O36" s="1835"/>
      <c r="P36" s="1853"/>
      <c r="Q36" s="1835"/>
      <c r="R36" s="1835"/>
      <c r="S36" s="1835"/>
      <c r="T36" s="1835"/>
      <c r="U36" s="1835"/>
      <c r="V36" s="1835"/>
      <c r="W36" s="1835"/>
      <c r="X36" s="1835"/>
      <c r="Y36" s="1835"/>
    </row>
    <row r="37" spans="2:26">
      <c r="B37" s="1824"/>
      <c r="C37" s="1824"/>
      <c r="D37" s="1825"/>
      <c r="E37" s="1825"/>
      <c r="F37" s="1825"/>
      <c r="G37" s="1825"/>
      <c r="H37" s="1825"/>
      <c r="I37" s="1825"/>
      <c r="J37" s="1825"/>
      <c r="K37" s="1825"/>
      <c r="L37" s="1826"/>
      <c r="M37" s="1826"/>
      <c r="N37" s="1826"/>
      <c r="O37" s="1826"/>
      <c r="P37" s="1855"/>
      <c r="Q37" s="1828"/>
      <c r="R37" s="1828"/>
      <c r="S37" s="1828"/>
      <c r="T37" s="1828"/>
      <c r="U37" s="1828"/>
      <c r="V37" s="1828"/>
      <c r="W37" s="1828"/>
      <c r="X37" s="1828"/>
      <c r="Y37" s="1828"/>
      <c r="Z37" s="1828"/>
    </row>
    <row r="38" spans="2:26" ht="13.8" thickBot="1">
      <c r="B38" s="1856" t="s">
        <v>418</v>
      </c>
      <c r="C38" s="1857"/>
      <c r="D38" s="1858"/>
      <c r="E38" s="1858"/>
      <c r="F38" s="1858"/>
      <c r="G38" s="1858"/>
      <c r="H38" s="1858"/>
      <c r="I38" s="1858"/>
      <c r="J38" s="1858"/>
      <c r="K38" s="1858"/>
      <c r="L38" s="1858"/>
      <c r="M38" s="1858"/>
      <c r="N38" s="1858"/>
      <c r="O38" s="1858"/>
      <c r="P38" s="1859"/>
      <c r="Q38" s="1879"/>
      <c r="R38" s="1879"/>
      <c r="S38" s="1879"/>
      <c r="T38" s="1879"/>
      <c r="U38" s="1879"/>
      <c r="V38" s="1879"/>
      <c r="W38" s="1879"/>
      <c r="X38" s="1879"/>
      <c r="Y38" s="1879"/>
      <c r="Z38" s="1879"/>
    </row>
    <row r="39" spans="2:26" ht="13.8" thickTop="1">
      <c r="B39" s="1845" t="s">
        <v>419</v>
      </c>
      <c r="C39" s="1845"/>
      <c r="D39" s="1845"/>
      <c r="E39" s="1845"/>
      <c r="F39" s="1845"/>
      <c r="G39" s="1845"/>
      <c r="H39" s="1845"/>
      <c r="I39" s="1845"/>
      <c r="J39" s="1845"/>
      <c r="K39" s="1845"/>
      <c r="L39" s="1845"/>
      <c r="M39" s="1845"/>
      <c r="N39" s="1845"/>
      <c r="O39" s="1845"/>
      <c r="P39" s="1860"/>
      <c r="Q39" s="1845"/>
      <c r="R39" s="1845"/>
      <c r="S39" s="1845"/>
      <c r="T39" s="1845"/>
      <c r="U39" s="1845"/>
      <c r="V39" s="1845"/>
      <c r="W39" s="1845"/>
      <c r="X39" s="1845"/>
      <c r="Y39" s="1845"/>
    </row>
    <row r="40" spans="2:26">
      <c r="B40" s="1835" t="s">
        <v>351</v>
      </c>
      <c r="D40" s="1838"/>
      <c r="E40" s="1838"/>
      <c r="F40" s="1838"/>
      <c r="G40" s="1838"/>
      <c r="H40" s="1838"/>
      <c r="I40" s="1838"/>
      <c r="J40" s="1839"/>
      <c r="K40" s="1839">
        <f>'Output-FR (show)'!K60/'Output-FR (show)'!K78</f>
        <v>0</v>
      </c>
      <c r="L40" s="1839">
        <f>'Output-FR (show)'!L60/'Output-FR (show)'!L78</f>
        <v>0</v>
      </c>
      <c r="M40" s="1839">
        <f>'Output-FR (show)'!M60/'Output-FR (show)'!M78</f>
        <v>0</v>
      </c>
      <c r="N40" s="1839">
        <f>'Output-FR (show)'!N60/'Output-FR (show)'!N78</f>
        <v>0</v>
      </c>
      <c r="O40" s="1839">
        <f>'Output-FR (show)'!O60/'Output-FR (show)'!O78</f>
        <v>0</v>
      </c>
      <c r="P40" s="1840">
        <f>'Output-FR (show)'!P60/'Output-FR (show)'!P78</f>
        <v>0</v>
      </c>
      <c r="Q40" s="1873">
        <f ca="1">'Output-FR (show)'!Q60/'Output-FR (show)'!Q78</f>
        <v>7.1400303057668859E-5</v>
      </c>
      <c r="R40" s="1873">
        <f ca="1">'Output-FR (show)'!R60/'Output-FR (show)'!R78</f>
        <v>1.7198928471712048E-4</v>
      </c>
      <c r="S40" s="1873">
        <f ca="1">'Output-FR (show)'!S60/'Output-FR (show)'!S78</f>
        <v>7.473210856268353E-5</v>
      </c>
      <c r="T40" s="1873">
        <f ca="1">'Output-FR (show)'!T60/'Output-FR (show)'!T78</f>
        <v>7.7717604093831749E-5</v>
      </c>
      <c r="U40" s="1873">
        <f ca="1">'Output-FR (show)'!U60/'Output-FR (show)'!U78</f>
        <v>2.001039799579516E-4</v>
      </c>
      <c r="V40" s="1873">
        <f ca="1">'Output-FR (show)'!V60/'Output-FR (show)'!V78</f>
        <v>2.1252676373264076E-4</v>
      </c>
      <c r="W40" s="1873">
        <f ca="1">'Output-FR (show)'!W60/'Output-FR (show)'!W78</f>
        <v>2.6003336419799474E-4</v>
      </c>
      <c r="X40" s="1873">
        <f ca="1">'Output-FR (show)'!X60/'Output-FR (show)'!X78</f>
        <v>2.0100635896153069E-4</v>
      </c>
      <c r="Y40" s="1873">
        <f ca="1">'Output-FR (show)'!Y60/'Output-FR (show)'!Y78</f>
        <v>9.0151507613380188E-5</v>
      </c>
      <c r="Z40" s="1873">
        <f ca="1">'Output-FR (show)'!Z60/'Output-FR (show)'!Z78</f>
        <v>9.6603015236785164E-5</v>
      </c>
    </row>
    <row r="41" spans="2:26">
      <c r="B41" s="1835" t="s">
        <v>352</v>
      </c>
      <c r="D41" s="1838"/>
      <c r="E41" s="1838"/>
      <c r="F41" s="1838"/>
      <c r="G41" s="1838"/>
      <c r="H41" s="1838"/>
      <c r="I41" s="1838"/>
      <c r="J41" s="1839"/>
      <c r="K41" s="1839">
        <f>'Output-FR (show)'!K61/'Output-FR (show)'!K78</f>
        <v>4.6317909539629609E-2</v>
      </c>
      <c r="L41" s="1839">
        <f>'Output-FR (show)'!L61/'Output-FR (show)'!L78</f>
        <v>5.8502607452148234E-2</v>
      </c>
      <c r="M41" s="1839">
        <f>'Output-FR (show)'!M61/'Output-FR (show)'!M78</f>
        <v>3.8624281469445881E-2</v>
      </c>
      <c r="N41" s="1839">
        <f>'Output-FR (show)'!N61/'Output-FR (show)'!N78</f>
        <v>0.15004208296879476</v>
      </c>
      <c r="O41" s="1839">
        <f>'Output-FR (show)'!O61/'Output-FR (show)'!O78</f>
        <v>0.14991500340094402</v>
      </c>
      <c r="P41" s="1840">
        <f>'Output-FR (show)'!P61/'Output-FR (show)'!P78</f>
        <v>0.12100367465410607</v>
      </c>
      <c r="Q41" s="1873">
        <f ca="1">'Output-FR (show)'!Q61/'Output-FR (show)'!Q78</f>
        <v>0.14984819989661047</v>
      </c>
      <c r="R41" s="1873">
        <f ca="1">'Output-FR (show)'!R61/'Output-FR (show)'!R78</f>
        <v>0.15868068805553801</v>
      </c>
      <c r="S41" s="1873">
        <f ca="1">'Output-FR (show)'!S61/'Output-FR (show)'!S78</f>
        <v>0.14497598640602763</v>
      </c>
      <c r="T41" s="1873">
        <f ca="1">'Output-FR (show)'!T61/'Output-FR (show)'!T78</f>
        <v>0.14512730474057065</v>
      </c>
      <c r="U41" s="1873">
        <f ca="1">'Output-FR (show)'!U61/'Output-FR (show)'!U78</f>
        <v>0.15033183943938375</v>
      </c>
      <c r="V41" s="1873">
        <f ca="1">'Output-FR (show)'!V61/'Output-FR (show)'!V78</f>
        <v>0.12988647285603044</v>
      </c>
      <c r="W41" s="1873">
        <f ca="1">'Output-FR (show)'!W61/'Output-FR (show)'!W78</f>
        <v>0.13146222070371871</v>
      </c>
      <c r="X41" s="1873">
        <f ca="1">'Output-FR (show)'!X61/'Output-FR (show)'!X78</f>
        <v>0.13261356522457396</v>
      </c>
      <c r="Y41" s="1873">
        <f ca="1">'Output-FR (show)'!Y61/'Output-FR (show)'!Y78</f>
        <v>0.13302195791287733</v>
      </c>
      <c r="Z41" s="1873">
        <f ca="1">'Output-FR (show)'!Z61/'Output-FR (show)'!Z78</f>
        <v>0.13408227914181556</v>
      </c>
    </row>
    <row r="42" spans="2:26">
      <c r="B42" s="1835" t="s">
        <v>1141</v>
      </c>
      <c r="D42" s="1838"/>
      <c r="E42" s="1838"/>
      <c r="F42" s="1838"/>
      <c r="G42" s="1838"/>
      <c r="H42" s="1838"/>
      <c r="I42" s="1838"/>
      <c r="J42" s="1839"/>
      <c r="K42" s="1839">
        <f>'Output-FR (show)'!K62/'Output-FR (show)'!K78</f>
        <v>0.196803278677702</v>
      </c>
      <c r="L42" s="1839">
        <f>'Output-FR (show)'!L62/'Output-FR (show)'!L78</f>
        <v>0.26406711771845498</v>
      </c>
      <c r="M42" s="1839">
        <f>'Output-FR (show)'!M62/'Output-FR (show)'!M78</f>
        <v>0.3939624456824603</v>
      </c>
      <c r="N42" s="1839">
        <f>'Output-FR (show)'!N62/'Output-FR (show)'!N78</f>
        <v>0.48084047232676597</v>
      </c>
      <c r="O42" s="1839">
        <f>'Output-FR (show)'!O62/'Output-FR (show)'!O78</f>
        <v>0.54088582222063164</v>
      </c>
      <c r="P42" s="1840">
        <f>'Output-FR (show)'!P62/'Output-FR (show)'!P78</f>
        <v>0.44752492547919648</v>
      </c>
      <c r="Q42" s="1873">
        <f ca="1">'Output-FR (show)'!Q62/'Output-FR (show)'!Q78</f>
        <v>0.40186117315855813</v>
      </c>
      <c r="R42" s="1873">
        <f ca="1">'Output-FR (show)'!R62/'Output-FR (show)'!R78</f>
        <v>0.42405246361525428</v>
      </c>
      <c r="S42" s="1873">
        <f ca="1">'Output-FR (show)'!S62/'Output-FR (show)'!S78</f>
        <v>0.45617602682474839</v>
      </c>
      <c r="T42" s="1873">
        <f ca="1">'Output-FR (show)'!T62/'Output-FR (show)'!T78</f>
        <v>0.44407285505353639</v>
      </c>
      <c r="U42" s="1873">
        <f ca="1">'Output-FR (show)'!U62/'Output-FR (show)'!U78</f>
        <v>0.47643110485178169</v>
      </c>
      <c r="V42" s="1873">
        <f ca="1">'Output-FR (show)'!V62/'Output-FR (show)'!V78</f>
        <v>0.51238675059710559</v>
      </c>
      <c r="W42" s="1873">
        <f ca="1">'Output-FR (show)'!W62/'Output-FR (show)'!W78</f>
        <v>0.5190429435620193</v>
      </c>
      <c r="X42" s="1873">
        <f ca="1">'Output-FR (show)'!X62/'Output-FR (show)'!X78</f>
        <v>0.53021277446746029</v>
      </c>
      <c r="Y42" s="1873">
        <f ca="1">'Output-FR (show)'!Y62/'Output-FR (show)'!Y78</f>
        <v>0.53625607417464261</v>
      </c>
      <c r="Z42" s="1873">
        <f ca="1">'Output-FR (show)'!Z62/'Output-FR (show)'!Z78</f>
        <v>0.53788590351640964</v>
      </c>
    </row>
    <row r="43" spans="2:26">
      <c r="B43" s="1835" t="s">
        <v>1142</v>
      </c>
      <c r="D43" s="1838"/>
      <c r="E43" s="1838"/>
      <c r="F43" s="1838"/>
      <c r="G43" s="1838"/>
      <c r="H43" s="1838"/>
      <c r="I43" s="1838"/>
      <c r="J43" s="1839"/>
      <c r="K43" s="1839">
        <f>'Output-FR (show)'!K63/'Output-FR (show)'!K78</f>
        <v>3.9509067667077583E-2</v>
      </c>
      <c r="L43" s="1839">
        <f>'Output-FR (show)'!L63/'Output-FR (show)'!L78</f>
        <v>2.4937973241765214E-2</v>
      </c>
      <c r="M43" s="1839">
        <f>'Output-FR (show)'!M63/'Output-FR (show)'!M78</f>
        <v>1.6930637906278852E-2</v>
      </c>
      <c r="N43" s="1839">
        <f>'Output-FR (show)'!N63/'Output-FR (show)'!N78</f>
        <v>1.3280973967519006E-2</v>
      </c>
      <c r="O43" s="1839">
        <f>'Output-FR (show)'!O63/'Output-FR (show)'!O78</f>
        <v>2.4008343071395426E-2</v>
      </c>
      <c r="P43" s="1840">
        <f>'Output-FR (show)'!P63/'Output-FR (show)'!P78</f>
        <v>3.3608514378863807E-2</v>
      </c>
      <c r="Q43" s="1873">
        <f ca="1">'Output-FR (show)'!Q63/'Output-FR (show)'!Q78</f>
        <v>3.9277623956781214E-2</v>
      </c>
      <c r="R43" s="1873">
        <f ca="1">'Output-FR (show)'!R63/'Output-FR (show)'!R78</f>
        <v>3.9026108459696396E-2</v>
      </c>
      <c r="S43" s="1873">
        <f ca="1">'Output-FR (show)'!S63/'Output-FR (show)'!S78</f>
        <v>3.7061614648298588E-2</v>
      </c>
      <c r="T43" s="1873">
        <f ca="1">'Output-FR (show)'!T63/'Output-FR (show)'!T78</f>
        <v>4.116857110774131E-2</v>
      </c>
      <c r="U43" s="1873">
        <f ca="1">'Output-FR (show)'!U63/'Output-FR (show)'!U78</f>
        <v>3.5796557161226518E-2</v>
      </c>
      <c r="V43" s="1873">
        <f ca="1">'Output-FR (show)'!V63/'Output-FR (show)'!V78</f>
        <v>3.430012645856443E-2</v>
      </c>
      <c r="W43" s="1873">
        <f ca="1">'Output-FR (show)'!W63/'Output-FR (show)'!W78</f>
        <v>3.2755906608152738E-2</v>
      </c>
      <c r="X43" s="1873">
        <f ca="1">'Output-FR (show)'!X63/'Output-FR (show)'!X78</f>
        <v>3.2075137543750576E-2</v>
      </c>
      <c r="Y43" s="1873">
        <f ca="1">'Output-FR (show)'!Y63/'Output-FR (show)'!Y78</f>
        <v>3.2079944926544458E-2</v>
      </c>
      <c r="Z43" s="1873">
        <f ca="1">'Output-FR (show)'!Z63/'Output-FR (show)'!Z78</f>
        <v>3.1804910631641141E-2</v>
      </c>
    </row>
    <row r="44" spans="2:26">
      <c r="B44" s="1835" t="s">
        <v>470</v>
      </c>
      <c r="D44" s="1838"/>
      <c r="E44" s="1838"/>
      <c r="F44" s="1838"/>
      <c r="G44" s="1838"/>
      <c r="H44" s="1838"/>
      <c r="I44" s="1838"/>
      <c r="J44" s="1839"/>
      <c r="K44" s="1839">
        <f>'Output-FR (show)'!K64/'Output-FR (show)'!K78</f>
        <v>0.12790473848275274</v>
      </c>
      <c r="L44" s="1839">
        <f>'Output-FR (show)'!L64/'Output-FR (show)'!L78</f>
        <v>9.5685315006284341E-2</v>
      </c>
      <c r="M44" s="1839">
        <f>'Output-FR (show)'!M64/'Output-FR (show)'!M78</f>
        <v>0.19906553053944923</v>
      </c>
      <c r="N44" s="1839">
        <f>'Output-FR (show)'!N64/'Output-FR (show)'!N78</f>
        <v>0.16111739555567697</v>
      </c>
      <c r="O44" s="1839">
        <f>'Output-FR (show)'!O64/'Output-FR (show)'!O78</f>
        <v>0.14178979670051514</v>
      </c>
      <c r="P44" s="1840">
        <f>'Output-FR (show)'!P64/'Output-FR (show)'!P78</f>
        <v>0.18757259024881265</v>
      </c>
      <c r="Q44" s="1873">
        <f ca="1">'Output-FR (show)'!Q64/'Output-FR (show)'!Q78</f>
        <v>0.21828004636300882</v>
      </c>
      <c r="R44" s="1873">
        <f ca="1">'Output-FR (show)'!R64/'Output-FR (show)'!R78</f>
        <v>0.20771382843968864</v>
      </c>
      <c r="S44" s="1873">
        <f ca="1">'Output-FR (show)'!S64/'Output-FR (show)'!S78</f>
        <v>0.18440236631172874</v>
      </c>
      <c r="T44" s="1873">
        <f ca="1">'Output-FR (show)'!T64/'Output-FR (show)'!T78</f>
        <v>0.18470686083076934</v>
      </c>
      <c r="U44" s="1873">
        <f ca="1">'Output-FR (show)'!U64/'Output-FR (show)'!U78</f>
        <v>0.1607295790895287</v>
      </c>
      <c r="V44" s="1873">
        <f ca="1">'Output-FR (show)'!V64/'Output-FR (show)'!V78</f>
        <v>0.15149903375585963</v>
      </c>
      <c r="W44" s="1873">
        <f ca="1">'Output-FR (show)'!W64/'Output-FR (show)'!W78</f>
        <v>0.15105965932428964</v>
      </c>
      <c r="X44" s="1873">
        <f ca="1">'Output-FR (show)'!X64/'Output-FR (show)'!X78</f>
        <v>0.14485307027237704</v>
      </c>
      <c r="Y44" s="1873">
        <f ca="1">'Output-FR (show)'!Y64/'Output-FR (show)'!Y78</f>
        <v>0.14139297293052205</v>
      </c>
      <c r="Z44" s="1873">
        <f ca="1">'Output-FR (show)'!Z64/'Output-FR (show)'!Z78</f>
        <v>0.14174684637223214</v>
      </c>
    </row>
    <row r="45" spans="2:26">
      <c r="B45" s="1835" t="s">
        <v>472</v>
      </c>
      <c r="D45" s="1838"/>
      <c r="E45" s="1838"/>
      <c r="F45" s="1838"/>
      <c r="G45" s="1838"/>
      <c r="H45" s="1838"/>
      <c r="I45" s="1838"/>
      <c r="J45" s="1839"/>
      <c r="K45" s="1839">
        <f>'Output-FR (show)'!K65/'Output-FR (show)'!K78</f>
        <v>7.2578168220128938E-3</v>
      </c>
      <c r="L45" s="1839">
        <f>'Output-FR (show)'!L65/'Output-FR (show)'!L78</f>
        <v>1.3153523805948308E-2</v>
      </c>
      <c r="M45" s="1839">
        <f>'Output-FR (show)'!M65/'Output-FR (show)'!M78</f>
        <v>8.5894229965683636E-3</v>
      </c>
      <c r="N45" s="1839">
        <f>'Output-FR (show)'!N65/'Output-FR (show)'!N78</f>
        <v>1.5238653961917134E-2</v>
      </c>
      <c r="O45" s="1839">
        <f>'Output-FR (show)'!O65/'Output-FR (show)'!O78</f>
        <v>2.9641038449318886E-2</v>
      </c>
      <c r="P45" s="1840">
        <f>'Output-FR (show)'!P65/'Output-FR (show)'!P78</f>
        <v>3.1765798625770468E-2</v>
      </c>
      <c r="Q45" s="1873">
        <f ca="1">'Output-FR (show)'!Q65/'Output-FR (show)'!Q78</f>
        <v>3.9689542661192352E-2</v>
      </c>
      <c r="R45" s="1873">
        <f ca="1">'Output-FR (show)'!R65/'Output-FR (show)'!R78</f>
        <v>4.2659570456063813E-2</v>
      </c>
      <c r="S45" s="1873">
        <f ca="1">'Output-FR (show)'!S65/'Output-FR (show)'!S78</f>
        <v>4.4462804054670096E-2</v>
      </c>
      <c r="T45" s="1873">
        <f ca="1">'Output-FR (show)'!T65/'Output-FR (show)'!T78</f>
        <v>4.8289413258226596E-2</v>
      </c>
      <c r="U45" s="1873">
        <f ca="1">'Output-FR (show)'!U65/'Output-FR (show)'!U78</f>
        <v>4.8847363228165998E-2</v>
      </c>
      <c r="V45" s="1873">
        <f ca="1">'Output-FR (show)'!V65/'Output-FR (show)'!V78</f>
        <v>4.7756939110631898E-2</v>
      </c>
      <c r="W45" s="1873">
        <f ca="1">'Output-FR (show)'!W65/'Output-FR (show)'!W78</f>
        <v>4.994948874193092E-2</v>
      </c>
      <c r="X45" s="1873">
        <f ca="1">'Output-FR (show)'!X65/'Output-FR (show)'!X78</f>
        <v>5.208415190260151E-2</v>
      </c>
      <c r="Y45" s="1873">
        <f ca="1">'Output-FR (show)'!Y65/'Output-FR (show)'!Y78</f>
        <v>5.5493997454174999E-2</v>
      </c>
      <c r="Z45" s="1873">
        <f ca="1">'Output-FR (show)'!Z65/'Output-FR (show)'!Z78</f>
        <v>5.8105307690067519E-2</v>
      </c>
    </row>
    <row r="46" spans="2:26">
      <c r="B46" s="1841" t="s">
        <v>614</v>
      </c>
      <c r="C46" s="1841"/>
      <c r="D46" s="1842"/>
      <c r="E46" s="1842"/>
      <c r="F46" s="1842"/>
      <c r="G46" s="1842"/>
      <c r="H46" s="1842"/>
      <c r="I46" s="1842"/>
      <c r="J46" s="1843"/>
      <c r="K46" s="1843">
        <f>SUM(K40:K45)</f>
        <v>0.41779281118917483</v>
      </c>
      <c r="L46" s="1843">
        <f t="shared" ref="L46:Z46" si="6">SUM(L40:L45)</f>
        <v>0.45634653722460111</v>
      </c>
      <c r="M46" s="1843">
        <f t="shared" si="6"/>
        <v>0.65717231859420266</v>
      </c>
      <c r="N46" s="1843">
        <f t="shared" si="6"/>
        <v>0.82051957878067383</v>
      </c>
      <c r="O46" s="1843">
        <f t="shared" si="6"/>
        <v>0.8862400038428051</v>
      </c>
      <c r="P46" s="1844">
        <f t="shared" si="6"/>
        <v>0.82147550338674946</v>
      </c>
      <c r="Q46" s="1874">
        <f t="shared" ca="1" si="6"/>
        <v>0.84902798633920873</v>
      </c>
      <c r="R46" s="1874">
        <f t="shared" ca="1" si="6"/>
        <v>0.87230464831095833</v>
      </c>
      <c r="S46" s="1874">
        <f t="shared" ca="1" si="6"/>
        <v>0.86715353035403619</v>
      </c>
      <c r="T46" s="1874">
        <f t="shared" ca="1" si="6"/>
        <v>0.86344272259493804</v>
      </c>
      <c r="U46" s="1874">
        <f t="shared" ca="1" si="6"/>
        <v>0.87233654775004454</v>
      </c>
      <c r="V46" s="1874">
        <f t="shared" ca="1" si="6"/>
        <v>0.87604184954192466</v>
      </c>
      <c r="W46" s="1874">
        <f t="shared" ca="1" si="6"/>
        <v>0.88453025230430937</v>
      </c>
      <c r="X46" s="1874">
        <f t="shared" ca="1" si="6"/>
        <v>0.89203970576972491</v>
      </c>
      <c r="Y46" s="1874">
        <f t="shared" ca="1" si="6"/>
        <v>0.89833509890637475</v>
      </c>
      <c r="Z46" s="1874">
        <f t="shared" ca="1" si="6"/>
        <v>0.90372185036740271</v>
      </c>
    </row>
    <row r="47" spans="2:26">
      <c r="D47" s="1838"/>
      <c r="E47" s="1838"/>
      <c r="F47" s="1838"/>
      <c r="G47" s="1838"/>
      <c r="H47" s="1838"/>
      <c r="I47" s="1838"/>
      <c r="J47" s="1838"/>
      <c r="K47" s="1838"/>
      <c r="L47" s="1838"/>
      <c r="M47" s="1838"/>
      <c r="N47" s="1838"/>
      <c r="O47" s="1838"/>
      <c r="P47" s="1846"/>
      <c r="Q47" s="1838"/>
      <c r="R47" s="1838"/>
      <c r="S47" s="1838"/>
      <c r="T47" s="1838"/>
      <c r="U47" s="1838"/>
      <c r="V47" s="1838"/>
      <c r="W47" s="1838"/>
      <c r="X47" s="1838"/>
      <c r="Y47" s="1838"/>
    </row>
    <row r="48" spans="2:26">
      <c r="B48" s="1835" t="s">
        <v>479</v>
      </c>
      <c r="D48" s="1838"/>
      <c r="E48" s="1838"/>
      <c r="F48" s="1838"/>
      <c r="G48" s="1838"/>
      <c r="H48" s="1838"/>
      <c r="I48" s="1838"/>
      <c r="J48" s="1839"/>
      <c r="K48" s="1839">
        <f>'Output-FR (show)'!K70/'Output-FR (show)'!K78</f>
        <v>0.50473725652651125</v>
      </c>
      <c r="L48" s="1839">
        <f>'Output-FR (show)'!L70/'Output-FR (show)'!L78</f>
        <v>0.44733463284635555</v>
      </c>
      <c r="M48" s="1839">
        <f>'Output-FR (show)'!M70/'Output-FR (show)'!M78</f>
        <v>0.30406892996976043</v>
      </c>
      <c r="N48" s="1839">
        <f>'Output-FR (show)'!N70/'Output-FR (show)'!N78</f>
        <v>0.15244343760122472</v>
      </c>
      <c r="O48" s="1839">
        <f>'Output-FR (show)'!O70/'Output-FR (show)'!O78</f>
        <v>8.2016698557756784E-2</v>
      </c>
      <c r="P48" s="1840">
        <f>'Output-FR (show)'!P70/'Output-FR (show)'!P78</f>
        <v>9.9892663307666177E-2</v>
      </c>
      <c r="Q48" s="1873">
        <f ca="1">'Output-FR (show)'!Q70/'Output-FR (show)'!Q78</f>
        <v>7.5618519607519571E-2</v>
      </c>
      <c r="R48" s="1873">
        <f ca="1">'Output-FR (show)'!R70/'Output-FR (show)'!R78</f>
        <v>5.3498096867946661E-2</v>
      </c>
      <c r="S48" s="1873">
        <f ca="1">'Output-FR (show)'!S70/'Output-FR (show)'!S78</f>
        <v>6.2173731993941717E-2</v>
      </c>
      <c r="T48" s="1873">
        <f ca="1">'Output-FR (show)'!T70/'Output-FR (show)'!T78</f>
        <v>7.4754489559218831E-2</v>
      </c>
      <c r="U48" s="1873">
        <f ca="1">'Output-FR (show)'!U70/'Output-FR (show)'!U78</f>
        <v>7.2584693653461166E-2</v>
      </c>
      <c r="V48" s="1873">
        <f ca="1">'Output-FR (show)'!V70/'Output-FR (show)'!V78</f>
        <v>7.1057633709186899E-2</v>
      </c>
      <c r="W48" s="1873">
        <f ca="1">'Output-FR (show)'!W70/'Output-FR (show)'!W78</f>
        <v>6.5445299469434504E-2</v>
      </c>
      <c r="X48" s="1873">
        <f ca="1">'Output-FR (show)'!X70/'Output-FR (show)'!X78</f>
        <v>6.0483927891914993E-2</v>
      </c>
      <c r="Y48" s="1873">
        <f ca="1">'Output-FR (show)'!Y70/'Output-FR (show)'!Y78</f>
        <v>5.619700844482723E-2</v>
      </c>
      <c r="Z48" s="1873">
        <f ca="1">'Output-FR (show)'!Z70/'Output-FR (show)'!Z78</f>
        <v>5.2526841212701007E-2</v>
      </c>
    </row>
    <row r="49" spans="2:26">
      <c r="B49" s="1835" t="s">
        <v>491</v>
      </c>
      <c r="D49" s="1838"/>
      <c r="E49" s="1838"/>
      <c r="F49" s="1838"/>
      <c r="G49" s="1838"/>
      <c r="H49" s="1838"/>
      <c r="I49" s="1838"/>
      <c r="J49" s="1839"/>
      <c r="K49" s="1839">
        <f>'Output-FR (show)'!K75/'Output-FR (show)'!K78</f>
        <v>0</v>
      </c>
      <c r="L49" s="1839">
        <f>'Output-FR (show)'!L75/'Output-FR (show)'!L78</f>
        <v>0</v>
      </c>
      <c r="M49" s="1839">
        <f>'Output-FR (show)'!M75/'Output-FR (show)'!M78</f>
        <v>0</v>
      </c>
      <c r="N49" s="1839">
        <f>'Output-FR (show)'!N75/'Output-FR (show)'!N78</f>
        <v>0</v>
      </c>
      <c r="O49" s="1839">
        <f>'Output-FR (show)'!O75/'Output-FR (show)'!O78</f>
        <v>0</v>
      </c>
      <c r="P49" s="1840">
        <f>'Output-FR (show)'!P75/'Output-FR (show)'!P78</f>
        <v>0</v>
      </c>
      <c r="Q49" s="1873">
        <f ca="1">'Output-FR (show)'!Q75/'Output-FR (show)'!Q78</f>
        <v>0</v>
      </c>
      <c r="R49" s="1873">
        <f ca="1">'Output-FR (show)'!R75/'Output-FR (show)'!R78</f>
        <v>0</v>
      </c>
      <c r="S49" s="1873">
        <f ca="1">'Output-FR (show)'!S75/'Output-FR (show)'!S78</f>
        <v>0</v>
      </c>
      <c r="T49" s="1873">
        <f ca="1">'Output-FR (show)'!T75/'Output-FR (show)'!T78</f>
        <v>0</v>
      </c>
      <c r="U49" s="1873">
        <f ca="1">'Output-FR (show)'!U75/'Output-FR (show)'!U78</f>
        <v>0</v>
      </c>
      <c r="V49" s="1873">
        <f ca="1">'Output-FR (show)'!V75/'Output-FR (show)'!V78</f>
        <v>0</v>
      </c>
      <c r="W49" s="1873">
        <f ca="1">'Output-FR (show)'!W75/'Output-FR (show)'!W78</f>
        <v>0</v>
      </c>
      <c r="X49" s="1873">
        <f ca="1">'Output-FR (show)'!X75/'Output-FR (show)'!X78</f>
        <v>0</v>
      </c>
      <c r="Y49" s="1873">
        <f ca="1">'Output-FR (show)'!Y75/'Output-FR (show)'!Y78</f>
        <v>0</v>
      </c>
      <c r="Z49" s="1873">
        <f ca="1">'Output-FR (show)'!Z75/'Output-FR (show)'!Z78</f>
        <v>0</v>
      </c>
    </row>
    <row r="50" spans="2:26">
      <c r="B50" s="1835" t="s">
        <v>482</v>
      </c>
      <c r="D50" s="1838"/>
      <c r="E50" s="1838"/>
      <c r="F50" s="1838"/>
      <c r="G50" s="1838"/>
      <c r="H50" s="1838"/>
      <c r="I50" s="1838"/>
      <c r="J50" s="1839"/>
      <c r="K50" s="1839">
        <f>'Output-FR (show)'!K71/'Output-FR (show)'!K78</f>
        <v>5.2246922887253513E-3</v>
      </c>
      <c r="L50" s="1839">
        <f>'Output-FR (show)'!L71/'Output-FR (show)'!L78</f>
        <v>6.4006533733645182E-3</v>
      </c>
      <c r="M50" s="1839">
        <f>'Output-FR (show)'!M71/'Output-FR (show)'!M78</f>
        <v>3.5165079898633301E-3</v>
      </c>
      <c r="N50" s="1839">
        <f>'Output-FR (show)'!N71/'Output-FR (show)'!N78</f>
        <v>3.3322576825578257E-3</v>
      </c>
      <c r="O50" s="1839">
        <f>'Output-FR (show)'!O71/'Output-FR (show)'!O78</f>
        <v>2.2995702389345101E-2</v>
      </c>
      <c r="P50" s="1840">
        <f>'Output-FR (show)'!P71/'Output-FR (show)'!P78</f>
        <v>2.3128568564637329E-2</v>
      </c>
      <c r="Q50" s="1873">
        <f ca="1">'Output-FR (show)'!Q71/'Output-FR (show)'!Q78</f>
        <v>2.4716357329793832E-2</v>
      </c>
      <c r="R50" s="1873">
        <f ca="1">'Output-FR (show)'!R71/'Output-FR (show)'!R78</f>
        <v>2.3514333335817691E-2</v>
      </c>
      <c r="S50" s="1873">
        <f ca="1">'Output-FR (show)'!S71/'Output-FR (show)'!S78</f>
        <v>2.0023204131239491E-2</v>
      </c>
      <c r="T50" s="1873">
        <f ca="1">'Output-FR (show)'!T71/'Output-FR (show)'!T78</f>
        <v>1.7625297392108667E-2</v>
      </c>
      <c r="U50" s="1873">
        <f ca="1">'Output-FR (show)'!U71/'Output-FR (show)'!U78</f>
        <v>1.4017060898165866E-2</v>
      </c>
      <c r="V50" s="1873">
        <f ca="1">'Output-FR (show)'!V71/'Output-FR (show)'!V78</f>
        <v>1.1589362069782023E-2</v>
      </c>
      <c r="W50" s="1873">
        <f ca="1">'Output-FR (show)'!W71/'Output-FR (show)'!W78</f>
        <v>1.0437394381436543E-2</v>
      </c>
      <c r="X50" s="1873">
        <f ca="1">'Output-FR (show)'!X71/'Output-FR (show)'!X78</f>
        <v>8.9296333864842467E-3</v>
      </c>
      <c r="Y50" s="1873">
        <f ca="1">'Output-FR (show)'!Y71/'Output-FR (show)'!Y78</f>
        <v>7.8128344820660566E-3</v>
      </c>
      <c r="Z50" s="1873">
        <f ca="1">'Output-FR (show)'!Z71/'Output-FR (show)'!Z78</f>
        <v>6.7323198578566916E-3</v>
      </c>
    </row>
    <row r="51" spans="2:26">
      <c r="B51" s="1835" t="s">
        <v>623</v>
      </c>
      <c r="D51" s="1838"/>
      <c r="E51" s="1838"/>
      <c r="F51" s="1838"/>
      <c r="G51" s="1838"/>
      <c r="H51" s="1838"/>
      <c r="I51" s="1838"/>
      <c r="J51" s="1839"/>
      <c r="K51" s="1839">
        <f>SUM('Output-FR (show)'!K72:K74,'Output-FR (show)'!K76)/'Output-FR (show)'!K78</f>
        <v>7.2244945085580589E-2</v>
      </c>
      <c r="L51" s="1839">
        <f>SUM('Output-FR (show)'!L72:L74,'Output-FR (show)'!L76)/'Output-FR (show)'!L78</f>
        <v>8.9917832419556809E-2</v>
      </c>
      <c r="M51" s="1839">
        <f>SUM('Output-FR (show)'!M72:M74,'Output-FR (show)'!M76)/'Output-FR (show)'!M78</f>
        <v>3.5241972495385694E-2</v>
      </c>
      <c r="N51" s="1839">
        <f>SUM('Output-FR (show)'!N72:N74,'Output-FR (show)'!N76)/'Output-FR (show)'!N78</f>
        <v>2.3704725935543805E-2</v>
      </c>
      <c r="O51" s="1839">
        <f>SUM('Output-FR (show)'!O72:O74,'Output-FR (show)'!O76)/'Output-FR (show)'!O78</f>
        <v>8.7475952100930874E-3</v>
      </c>
      <c r="P51" s="1866">
        <f>SUM('Output-FR (show)'!P72:P74,'Output-FR (show)'!P76)/'Output-FR (show)'!P78</f>
        <v>5.5470743221410025E-2</v>
      </c>
      <c r="Q51" s="1873">
        <f ca="1">SUM('Output-FR (show)'!Q72:Q74,'Output-FR (show)'!Q76)/'Output-FR (show)'!Q78</f>
        <v>5.0630714533296803E-2</v>
      </c>
      <c r="R51" s="1873">
        <f ca="1">SUM('Output-FR (show)'!R72:R74,'Output-FR (show)'!R76)/'Output-FR (show)'!R78</f>
        <v>5.0675819292705392E-2</v>
      </c>
      <c r="S51" s="1873">
        <f ca="1">SUM('Output-FR (show)'!S72:S74,'Output-FR (show)'!S76)/'Output-FR (show)'!S78</f>
        <v>5.0641817677865859E-2</v>
      </c>
      <c r="T51" s="1873">
        <f ca="1">SUM('Output-FR (show)'!T72:T74,'Output-FR (show)'!T76)/'Output-FR (show)'!T78</f>
        <v>4.4168917679702477E-2</v>
      </c>
      <c r="U51" s="1873">
        <f ca="1">SUM('Output-FR (show)'!U72:U74,'Output-FR (show)'!U76)/'Output-FR (show)'!U78</f>
        <v>4.1052721364417427E-2</v>
      </c>
      <c r="V51" s="1873">
        <f ca="1">SUM('Output-FR (show)'!V72:V74,'Output-FR (show)'!V76)/'Output-FR (show)'!V78</f>
        <v>4.1301617956086056E-2</v>
      </c>
      <c r="W51" s="1873">
        <f ca="1">SUM('Output-FR (show)'!W72:W74,'Output-FR (show)'!W76)/'Output-FR (show)'!W78</f>
        <v>3.9580503080329281E-2</v>
      </c>
      <c r="X51" s="1873">
        <f ca="1">SUM('Output-FR (show)'!X72:X74,'Output-FR (show)'!X76)/'Output-FR (show)'!X78</f>
        <v>3.8540036228632703E-2</v>
      </c>
      <c r="Y51" s="1873">
        <f ca="1">SUM('Output-FR (show)'!Y72:Y74,'Output-FR (show)'!Y76)/'Output-FR (show)'!Y78</f>
        <v>3.7648107917892422E-2</v>
      </c>
      <c r="Z51" s="1873">
        <f ca="1">SUM('Output-FR (show)'!Z72:Z74,'Output-FR (show)'!Z76)/'Output-FR (show)'!Z78</f>
        <v>3.7011967521899128E-2</v>
      </c>
    </row>
    <row r="52" spans="2:26" ht="13.8" thickBot="1">
      <c r="B52" s="1849" t="s">
        <v>627</v>
      </c>
      <c r="C52" s="1849"/>
      <c r="D52" s="1850"/>
      <c r="E52" s="1850"/>
      <c r="F52" s="1850"/>
      <c r="G52" s="1850"/>
      <c r="H52" s="1850"/>
      <c r="I52" s="1850"/>
      <c r="J52" s="1851"/>
      <c r="K52" s="1851">
        <f>K46+SUM(K48:K51)</f>
        <v>0.99999970508999203</v>
      </c>
      <c r="L52" s="1851">
        <f t="shared" ref="L52:Z52" si="7">L46+SUM(L48:L51)</f>
        <v>0.99999965586387796</v>
      </c>
      <c r="M52" s="1851">
        <f t="shared" si="7"/>
        <v>0.99999972904921208</v>
      </c>
      <c r="N52" s="1851">
        <f t="shared" si="7"/>
        <v>1.0000000000000002</v>
      </c>
      <c r="O52" s="1851">
        <f t="shared" si="7"/>
        <v>1</v>
      </c>
      <c r="P52" s="1852">
        <f t="shared" si="7"/>
        <v>0.99996747848046297</v>
      </c>
      <c r="Q52" s="1878">
        <f t="shared" ca="1" si="7"/>
        <v>0.99999357780981901</v>
      </c>
      <c r="R52" s="1878">
        <f t="shared" ca="1" si="7"/>
        <v>0.99999289780742806</v>
      </c>
      <c r="S52" s="1878">
        <f t="shared" ca="1" si="7"/>
        <v>0.9999922841570833</v>
      </c>
      <c r="T52" s="1878">
        <f t="shared" ca="1" si="7"/>
        <v>0.99999142722596801</v>
      </c>
      <c r="U52" s="1878">
        <f t="shared" ca="1" si="7"/>
        <v>0.99999102366608894</v>
      </c>
      <c r="V52" s="1878">
        <f t="shared" ca="1" si="7"/>
        <v>0.9999904632769796</v>
      </c>
      <c r="W52" s="1878">
        <f t="shared" ca="1" si="7"/>
        <v>0.9999934492355097</v>
      </c>
      <c r="X52" s="1878">
        <f t="shared" ca="1" si="7"/>
        <v>0.99999330327675684</v>
      </c>
      <c r="Y52" s="1878">
        <f t="shared" ca="1" si="7"/>
        <v>0.99999304975116043</v>
      </c>
      <c r="Z52" s="1878">
        <f t="shared" ca="1" si="7"/>
        <v>0.9999929789598595</v>
      </c>
    </row>
    <row r="53" spans="2:26" ht="13.8" thickTop="1">
      <c r="D53" s="1838"/>
      <c r="E53" s="1838"/>
      <c r="F53" s="1838"/>
      <c r="G53" s="1838"/>
      <c r="H53" s="1838"/>
      <c r="I53" s="1838"/>
      <c r="J53" s="1838"/>
      <c r="K53" s="1838"/>
      <c r="L53" s="1838"/>
      <c r="M53" s="1838"/>
      <c r="N53" s="1838"/>
      <c r="O53" s="1838"/>
      <c r="P53" s="1846"/>
      <c r="Q53" s="1838"/>
      <c r="R53" s="1838"/>
      <c r="S53" s="1838"/>
      <c r="T53" s="1838"/>
      <c r="U53" s="1838"/>
      <c r="V53" s="1838"/>
      <c r="W53" s="1838"/>
      <c r="X53" s="1838"/>
      <c r="Y53" s="1838"/>
    </row>
    <row r="54" spans="2:26">
      <c r="B54" s="1845" t="s">
        <v>497</v>
      </c>
      <c r="C54" s="1845"/>
      <c r="D54" s="1861"/>
      <c r="E54" s="1861"/>
      <c r="F54" s="1861"/>
      <c r="G54" s="1861"/>
      <c r="H54" s="1861"/>
      <c r="I54" s="1861"/>
      <c r="J54" s="1861"/>
      <c r="K54" s="1861"/>
      <c r="L54" s="1861"/>
      <c r="M54" s="1861"/>
      <c r="N54" s="1861"/>
      <c r="O54" s="1861"/>
      <c r="P54" s="1862"/>
      <c r="Q54" s="1861"/>
      <c r="R54" s="1861"/>
      <c r="S54" s="1861"/>
      <c r="T54" s="1861"/>
      <c r="U54" s="1861"/>
      <c r="V54" s="1861"/>
      <c r="W54" s="1861"/>
      <c r="X54" s="1861"/>
      <c r="Y54" s="1861"/>
    </row>
    <row r="55" spans="2:26">
      <c r="B55" s="1835" t="s">
        <v>360</v>
      </c>
      <c r="D55" s="1838"/>
      <c r="E55" s="1838"/>
      <c r="F55" s="1838"/>
      <c r="G55" s="1838"/>
      <c r="H55" s="1838"/>
      <c r="I55" s="1838"/>
      <c r="J55" s="1839"/>
      <c r="K55" s="1839">
        <f>'Output-FR (show)'!K83/'Output-FR (show)'!K78</f>
        <v>0</v>
      </c>
      <c r="L55" s="1839">
        <f>'Output-FR (show)'!L83/'Output-FR (show)'!L78</f>
        <v>0</v>
      </c>
      <c r="M55" s="1839">
        <f>'Output-FR (show)'!M83/'Output-FR (show)'!M78</f>
        <v>0</v>
      </c>
      <c r="N55" s="1839">
        <f>'Output-FR (show)'!N83/'Output-FR (show)'!N78</f>
        <v>0</v>
      </c>
      <c r="O55" s="1839">
        <f>'Output-FR (show)'!O83/'Output-FR (show)'!O78</f>
        <v>0</v>
      </c>
      <c r="P55" s="1840">
        <f>'Output-FR (show)'!P83/'Output-FR (show)'!P78</f>
        <v>0</v>
      </c>
      <c r="Q55" s="1873">
        <f ca="1">'Output-FR (show)'!Q83/'Output-FR (show)'!Q78</f>
        <v>0</v>
      </c>
      <c r="R55" s="1873">
        <f ca="1">'Output-FR (show)'!R83/'Output-FR (show)'!R78</f>
        <v>0</v>
      </c>
      <c r="S55" s="1873">
        <f ca="1">'Output-FR (show)'!S83/'Output-FR (show)'!S78</f>
        <v>0</v>
      </c>
      <c r="T55" s="1873">
        <f ca="1">'Output-FR (show)'!T83/'Output-FR (show)'!T78</f>
        <v>0</v>
      </c>
      <c r="U55" s="1873">
        <f ca="1">'Output-FR (show)'!U83/'Output-FR (show)'!U78</f>
        <v>0</v>
      </c>
      <c r="V55" s="1873">
        <f ca="1">'Output-FR (show)'!V83/'Output-FR (show)'!V78</f>
        <v>0</v>
      </c>
      <c r="W55" s="1873">
        <f ca="1">'Output-FR (show)'!W83/'Output-FR (show)'!W78</f>
        <v>0</v>
      </c>
      <c r="X55" s="1873">
        <f ca="1">'Output-FR (show)'!X83/'Output-FR (show)'!X78</f>
        <v>0</v>
      </c>
      <c r="Y55" s="1873">
        <f ca="1">'Output-FR (show)'!Y83/'Output-FR (show)'!Y78</f>
        <v>0</v>
      </c>
      <c r="Z55" s="1873">
        <f ca="1">'Output-FR (show)'!Z83/'Output-FR (show)'!Z78</f>
        <v>0</v>
      </c>
    </row>
    <row r="56" spans="2:26">
      <c r="B56" s="1835" t="s">
        <v>361</v>
      </c>
      <c r="D56" s="1838"/>
      <c r="E56" s="1838"/>
      <c r="F56" s="1838"/>
      <c r="G56" s="1838"/>
      <c r="H56" s="1838"/>
      <c r="I56" s="1838"/>
      <c r="J56" s="1839"/>
      <c r="K56" s="1839">
        <f>'Output-FR (show)'!K84/'Output-FR (show)'!K78</f>
        <v>0.11367519561485018</v>
      </c>
      <c r="L56" s="1839">
        <f>'Output-FR (show)'!L84/'Output-FR (show)'!L78</f>
        <v>7.8624385644648451E-2</v>
      </c>
      <c r="M56" s="1839">
        <f>'Output-FR (show)'!M84/'Output-FR (show)'!M78</f>
        <v>6.224308156397821E-2</v>
      </c>
      <c r="N56" s="1839">
        <f>'Output-FR (show)'!N84/'Output-FR (show)'!N78</f>
        <v>1.8066144522645592E-4</v>
      </c>
      <c r="O56" s="1839">
        <f>'Output-FR (show)'!O84/'Output-FR (show)'!O78</f>
        <v>5.5506475420481878E-2</v>
      </c>
      <c r="P56" s="1840">
        <f>'Output-FR (show)'!P84/'Output-FR (show)'!P78</f>
        <v>7.8151182263491298E-2</v>
      </c>
      <c r="Q56" s="1873">
        <f ca="1">'Output-FR (show)'!Q84/'Output-FR (show)'!Q78</f>
        <v>9.034134094098803E-2</v>
      </c>
      <c r="R56" s="1873">
        <f ca="1">'Output-FR (show)'!R84/'Output-FR (show)'!R78</f>
        <v>8.5400218069283482E-2</v>
      </c>
      <c r="S56" s="1873">
        <f ca="1">'Output-FR (show)'!S84/'Output-FR (show)'!S78</f>
        <v>7.1685752452821966E-2</v>
      </c>
      <c r="T56" s="1873">
        <f ca="1">'Output-FR (show)'!T84/'Output-FR (show)'!T78</f>
        <v>8.0229949342155354E-2</v>
      </c>
      <c r="U56" s="1873">
        <f ca="1">'Output-FR (show)'!U84/'Output-FR (show)'!U78</f>
        <v>7.4902814753245409E-2</v>
      </c>
      <c r="V56" s="1873">
        <f ca="1">'Output-FR (show)'!V84/'Output-FR (show)'!V78</f>
        <v>6.9202726569324829E-2</v>
      </c>
      <c r="W56" s="1873">
        <f ca="1">'Output-FR (show)'!W84/'Output-FR (show)'!W78</f>
        <v>6.746447837057333E-2</v>
      </c>
      <c r="X56" s="1873">
        <f ca="1">'Output-FR (show)'!X84/'Output-FR (show)'!X78</f>
        <v>6.8283932760246149E-2</v>
      </c>
      <c r="Y56" s="1873">
        <f ca="1">'Output-FR (show)'!Y84/'Output-FR (show)'!Y78</f>
        <v>6.7913131990584602E-2</v>
      </c>
      <c r="Z56" s="1873">
        <f ca="1">'Output-FR (show)'!Z84/'Output-FR (show)'!Z78</f>
        <v>6.9105820854707109E-2</v>
      </c>
    </row>
    <row r="57" spans="2:26">
      <c r="B57" s="1835" t="s">
        <v>507</v>
      </c>
      <c r="D57" s="1838"/>
      <c r="E57" s="1838"/>
      <c r="F57" s="1838"/>
      <c r="G57" s="1838"/>
      <c r="H57" s="1838"/>
      <c r="I57" s="1838"/>
      <c r="J57" s="1839"/>
      <c r="K57" s="1839">
        <f>'Output-FR (show)'!K86/'Output-FR (show)'!K78</f>
        <v>8.6438284107861516E-2</v>
      </c>
      <c r="L57" s="1839">
        <f>'Output-FR (show)'!L86/'Output-FR (show)'!L78</f>
        <v>8.1345382371584313E-2</v>
      </c>
      <c r="M57" s="1839">
        <f>'Output-FR (show)'!M86/'Output-FR (show)'!M78</f>
        <v>7.1783650604871546E-2</v>
      </c>
      <c r="N57" s="1839">
        <f>'Output-FR (show)'!N86/'Output-FR (show)'!N78</f>
        <v>7.2597292823377083E-2</v>
      </c>
      <c r="O57" s="1839">
        <f>'Output-FR (show)'!O86/'Output-FR (show)'!O78</f>
        <v>0.13054782749659921</v>
      </c>
      <c r="P57" s="1840">
        <f>'Output-FR (show)'!P86/'Output-FR (show)'!P78</f>
        <v>0.10245575508764873</v>
      </c>
      <c r="Q57" s="1873">
        <f ca="1">'Output-FR (show)'!Q86/'Output-FR (show)'!Q78</f>
        <v>8.4235758703802274E-2</v>
      </c>
      <c r="R57" s="1873">
        <f ca="1">'Output-FR (show)'!R86/'Output-FR (show)'!R78</f>
        <v>7.5665649120219433E-2</v>
      </c>
      <c r="S57" s="1873">
        <f ca="1">'Output-FR (show)'!S86/'Output-FR (show)'!S78</f>
        <v>6.9408421744134863E-2</v>
      </c>
      <c r="T57" s="1873">
        <f ca="1">'Output-FR (show)'!T86/'Output-FR (show)'!T78</f>
        <v>6.6206071519564036E-2</v>
      </c>
      <c r="U57" s="1873">
        <f ca="1">'Output-FR (show)'!U86/'Output-FR (show)'!U78</f>
        <v>6.4605139798037836E-2</v>
      </c>
      <c r="V57" s="1873">
        <f ca="1">'Output-FR (show)'!V86/'Output-FR (show)'!V78</f>
        <v>4.8629725520731457E-2</v>
      </c>
      <c r="W57" s="1873">
        <f ca="1">'Output-FR (show)'!W86/'Output-FR (show)'!W78</f>
        <v>4.2798766638099617E-2</v>
      </c>
      <c r="X57" s="1873">
        <f ca="1">'Output-FR (show)'!X86/'Output-FR (show)'!X78</f>
        <v>3.9570346049160002E-2</v>
      </c>
      <c r="Y57" s="1873">
        <f ca="1">'Output-FR (show)'!Y86/'Output-FR (show)'!Y78</f>
        <v>3.763529051657484E-2</v>
      </c>
      <c r="Z57" s="1873">
        <f ca="1">'Output-FR (show)'!Z86/'Output-FR (show)'!Z78</f>
        <v>3.5149397561365037E-2</v>
      </c>
    </row>
    <row r="58" spans="2:26">
      <c r="B58" s="1835" t="s">
        <v>509</v>
      </c>
      <c r="D58" s="1838"/>
      <c r="E58" s="1838"/>
      <c r="F58" s="1838"/>
      <c r="G58" s="1838"/>
      <c r="H58" s="1838"/>
      <c r="I58" s="1838"/>
      <c r="J58" s="1839"/>
      <c r="K58" s="1839">
        <f>('Output-FR (show)'!K85+'Output-FR (show)'!K87)/'Output-FR (show)'!K78</f>
        <v>0.12428731806678008</v>
      </c>
      <c r="L58" s="1839">
        <f>('Output-FR (show)'!L85+'Output-FR (show)'!L87)/'Output-FR (show)'!L78</f>
        <v>7.5207326981855463E-2</v>
      </c>
      <c r="M58" s="1839">
        <f>('Output-FR (show)'!M85+'Output-FR (show)'!M87)/'Output-FR (show)'!M78</f>
        <v>0.1537781469776075</v>
      </c>
      <c r="N58" s="1839">
        <f>('Output-FR (show)'!N85+'Output-FR (show)'!N87)/'Output-FR (show)'!N78</f>
        <v>0.13012063015679301</v>
      </c>
      <c r="O58" s="1839">
        <f>('Output-FR (show)'!O85+'Output-FR (show)'!O87)/'Output-FR (show)'!O78</f>
        <v>0.11039324543578038</v>
      </c>
      <c r="P58" s="1840">
        <f>('Output-FR (show)'!P85+'Output-FR (show)'!P87)/'Output-FR (show)'!P78</f>
        <v>0.11698194585713369</v>
      </c>
      <c r="Q58" s="1873">
        <f ca="1">('Output-FR (show)'!Q85+'Output-FR (show)'!Q87)/'Output-FR (show)'!Q78</f>
        <v>0.13536865838511031</v>
      </c>
      <c r="R58" s="1873">
        <f ca="1">('Output-FR (show)'!R85+'Output-FR (show)'!R87)/'Output-FR (show)'!R78</f>
        <v>0.12292960432098778</v>
      </c>
      <c r="S58" s="1873">
        <f ca="1">('Output-FR (show)'!S85+'Output-FR (show)'!S87)/'Output-FR (show)'!S78</f>
        <v>0.1217910623209482</v>
      </c>
      <c r="T58" s="1873">
        <f ca="1">('Output-FR (show)'!T85+'Output-FR (show)'!T87)/'Output-FR (show)'!T78</f>
        <v>0.11167375084829811</v>
      </c>
      <c r="U58" s="1873">
        <f ca="1">('Output-FR (show)'!U85+'Output-FR (show)'!U87)/'Output-FR (show)'!U78</f>
        <v>0.10228443961507892</v>
      </c>
      <c r="V58" s="1873">
        <f ca="1">('Output-FR (show)'!V85+'Output-FR (show)'!V87)/'Output-FR (show)'!V78</f>
        <v>9.3251458568132481E-2</v>
      </c>
      <c r="W58" s="1873">
        <f ca="1">('Output-FR (show)'!W85+'Output-FR (show)'!W87)/'Output-FR (show)'!W78</f>
        <v>9.0345181638205346E-2</v>
      </c>
      <c r="X58" s="1873">
        <f ca="1">('Output-FR (show)'!X85+'Output-FR (show)'!X87)/'Output-FR (show)'!X78</f>
        <v>8.7205612441598787E-2</v>
      </c>
      <c r="Y58" s="1873">
        <f ca="1">('Output-FR (show)'!Y85+'Output-FR (show)'!Y87)/'Output-FR (show)'!Y78</f>
        <v>8.7026459930987773E-2</v>
      </c>
      <c r="Z58" s="1873">
        <f ca="1">('Output-FR (show)'!Z85+'Output-FR (show)'!Z87)/'Output-FR (show)'!Z78</f>
        <v>8.4907919825198214E-2</v>
      </c>
    </row>
    <row r="59" spans="2:26">
      <c r="B59" s="1841" t="s">
        <v>634</v>
      </c>
      <c r="C59" s="1841"/>
      <c r="D59" s="1842"/>
      <c r="E59" s="1842"/>
      <c r="F59" s="1842"/>
      <c r="G59" s="1842"/>
      <c r="H59" s="1842"/>
      <c r="I59" s="1842"/>
      <c r="J59" s="1843"/>
      <c r="K59" s="1843">
        <f>SUM(K55:K58)</f>
        <v>0.32440079778949177</v>
      </c>
      <c r="L59" s="1843">
        <f t="shared" ref="L59:Z59" si="8">SUM(L55:L58)</f>
        <v>0.2351770949980882</v>
      </c>
      <c r="M59" s="1843">
        <f t="shared" si="8"/>
        <v>0.28780487914645725</v>
      </c>
      <c r="N59" s="1843">
        <f t="shared" si="8"/>
        <v>0.20289858442539654</v>
      </c>
      <c r="O59" s="1843">
        <f t="shared" si="8"/>
        <v>0.29644754835286147</v>
      </c>
      <c r="P59" s="1844">
        <f t="shared" si="8"/>
        <v>0.2975888832082737</v>
      </c>
      <c r="Q59" s="1874">
        <f t="shared" ca="1" si="8"/>
        <v>0.3099457580299006</v>
      </c>
      <c r="R59" s="1874">
        <f t="shared" ca="1" si="8"/>
        <v>0.2839954715104907</v>
      </c>
      <c r="S59" s="1874">
        <f t="shared" ca="1" si="8"/>
        <v>0.26288523651790502</v>
      </c>
      <c r="T59" s="1874">
        <f t="shared" ca="1" si="8"/>
        <v>0.25810977171001748</v>
      </c>
      <c r="U59" s="1874">
        <f t="shared" ca="1" si="8"/>
        <v>0.24179239416636217</v>
      </c>
      <c r="V59" s="1874">
        <f t="shared" ca="1" si="8"/>
        <v>0.21108391065818877</v>
      </c>
      <c r="W59" s="1874">
        <f t="shared" ca="1" si="8"/>
        <v>0.20060842664687828</v>
      </c>
      <c r="X59" s="1874">
        <f t="shared" ca="1" si="8"/>
        <v>0.19505989125100492</v>
      </c>
      <c r="Y59" s="1874">
        <f t="shared" ca="1" si="8"/>
        <v>0.19257488243814722</v>
      </c>
      <c r="Z59" s="1874">
        <f t="shared" ca="1" si="8"/>
        <v>0.18916313824127035</v>
      </c>
    </row>
    <row r="60" spans="2:26">
      <c r="D60" s="1838"/>
      <c r="E60" s="1838"/>
      <c r="F60" s="1838"/>
      <c r="G60" s="1838"/>
      <c r="H60" s="1838"/>
      <c r="I60" s="1838"/>
      <c r="J60" s="1838"/>
      <c r="K60" s="1838"/>
      <c r="L60" s="1838"/>
      <c r="M60" s="1838"/>
      <c r="N60" s="1838"/>
      <c r="O60" s="1838"/>
      <c r="P60" s="1846"/>
      <c r="Q60" s="1838"/>
      <c r="R60" s="1838"/>
      <c r="S60" s="1838"/>
      <c r="T60" s="1838"/>
      <c r="U60" s="1838"/>
      <c r="V60" s="1838"/>
      <c r="W60" s="1838"/>
      <c r="X60" s="1838"/>
      <c r="Y60" s="1838"/>
    </row>
    <row r="61" spans="2:26">
      <c r="B61" s="1835" t="s">
        <v>518</v>
      </c>
      <c r="D61" s="1838"/>
      <c r="E61" s="1838"/>
      <c r="F61" s="1838"/>
      <c r="G61" s="1838"/>
      <c r="H61" s="1838"/>
      <c r="I61" s="1838"/>
      <c r="J61" s="1839"/>
      <c r="K61" s="1839">
        <f>'Output-FR (show)'!K92/'Output-FR (show)'!K78</f>
        <v>6.1780942868224414E-2</v>
      </c>
      <c r="L61" s="1839">
        <f>'Output-FR (show)'!L92/'Output-FR (show)'!L78</f>
        <v>1.572268720077552E-2</v>
      </c>
      <c r="M61" s="1839">
        <f>'Output-FR (show)'!M92/'Output-FR (show)'!M78</f>
        <v>2.4171912960870107E-4</v>
      </c>
      <c r="N61" s="1839">
        <f>'Output-FR (show)'!N92/'Output-FR (show)'!N78</f>
        <v>7.4009445050774529E-5</v>
      </c>
      <c r="O61" s="1839">
        <f>'Output-FR (show)'!O92/'Output-FR (show)'!O78</f>
        <v>1.9454563633170227E-4</v>
      </c>
      <c r="P61" s="1840">
        <f>'Output-FR (show)'!P92/'Output-FR (show)'!P78</f>
        <v>7.5992533643025745E-3</v>
      </c>
      <c r="Q61" s="1839">
        <f ca="1">'Output-FR (show)'!Q92/'Output-FR (show)'!Q78</f>
        <v>1.9486691511613041E-2</v>
      </c>
      <c r="R61" s="1839">
        <f ca="1">'Output-FR (show)'!R92/'Output-FR (show)'!R78</f>
        <v>2.5182977171966429E-2</v>
      </c>
      <c r="S61" s="1839">
        <f ca="1">'Output-FR (show)'!S92/'Output-FR (show)'!S78</f>
        <v>2.6986624343993834E-2</v>
      </c>
      <c r="T61" s="1839">
        <f ca="1">'Output-FR (show)'!T92/'Output-FR (show)'!T78</f>
        <v>3.0574142248824966E-2</v>
      </c>
      <c r="U61" s="1839">
        <f ca="1">'Output-FR (show)'!U92/'Output-FR (show)'!U78</f>
        <v>2.4740484662401196E-2</v>
      </c>
      <c r="V61" s="1839">
        <f ca="1">'Output-FR (show)'!V92/'Output-FR (show)'!V78</f>
        <v>1.9478738300218026E-2</v>
      </c>
      <c r="W61" s="1839">
        <f ca="1">'Output-FR (show)'!W92/'Output-FR (show)'!W78</f>
        <v>1.4265043557037276E-2</v>
      </c>
      <c r="X61" s="1839">
        <f ca="1">'Output-FR (show)'!X92/'Output-FR (show)'!X78</f>
        <v>1.0891367705715986E-2</v>
      </c>
      <c r="Y61" s="1839">
        <f ca="1">'Output-FR (show)'!Y92/'Output-FR (show)'!Y78</f>
        <v>9.6908848372347731E-3</v>
      </c>
      <c r="Z61" s="1839">
        <f ca="1">'Output-FR (show)'!Z92/'Output-FR (show)'!Z78</f>
        <v>9.5572653470447841E-3</v>
      </c>
    </row>
    <row r="62" spans="2:26">
      <c r="B62" s="1835" t="s">
        <v>523</v>
      </c>
      <c r="D62" s="1838"/>
      <c r="E62" s="1838"/>
      <c r="F62" s="1838"/>
      <c r="G62" s="1838"/>
      <c r="H62" s="1838"/>
      <c r="I62" s="1838"/>
      <c r="J62" s="1839"/>
      <c r="K62" s="1839">
        <f>'Output-FR (show)'!K94/'Output-FR (show)'!K78</f>
        <v>0</v>
      </c>
      <c r="L62" s="1839">
        <f>'Output-FR (show)'!L94/'Output-FR (show)'!L78</f>
        <v>0</v>
      </c>
      <c r="M62" s="1839">
        <f>'Output-FR (show)'!M94/'Output-FR (show)'!M78</f>
        <v>0</v>
      </c>
      <c r="N62" s="1839">
        <f>'Output-FR (show)'!N94/'Output-FR (show)'!N78</f>
        <v>0</v>
      </c>
      <c r="O62" s="1839">
        <f>'Output-FR (show)'!O94/'Output-FR (show)'!O78</f>
        <v>0</v>
      </c>
      <c r="P62" s="1840">
        <f>'Output-FR (show)'!P94/'Output-FR (show)'!P78</f>
        <v>0</v>
      </c>
      <c r="Q62" s="1839">
        <f ca="1">'Output-FR (show)'!Q94/'Output-FR (show)'!Q78</f>
        <v>0</v>
      </c>
      <c r="R62" s="1839">
        <f ca="1">'Output-FR (show)'!R94/'Output-FR (show)'!R78</f>
        <v>0</v>
      </c>
      <c r="S62" s="1839">
        <f ca="1">'Output-FR (show)'!S94/'Output-FR (show)'!S78</f>
        <v>0</v>
      </c>
      <c r="T62" s="1839">
        <f ca="1">'Output-FR (show)'!T94/'Output-FR (show)'!T78</f>
        <v>0</v>
      </c>
      <c r="U62" s="1839">
        <f ca="1">'Output-FR (show)'!U94/'Output-FR (show)'!U78</f>
        <v>0</v>
      </c>
      <c r="V62" s="1839">
        <f ca="1">'Output-FR (show)'!V94/'Output-FR (show)'!V78</f>
        <v>0</v>
      </c>
      <c r="W62" s="1839">
        <f ca="1">'Output-FR (show)'!W94/'Output-FR (show)'!W78</f>
        <v>0</v>
      </c>
      <c r="X62" s="1839">
        <f ca="1">'Output-FR (show)'!X94/'Output-FR (show)'!X78</f>
        <v>0</v>
      </c>
      <c r="Y62" s="1839">
        <f ca="1">'Output-FR (show)'!Y94/'Output-FR (show)'!Y78</f>
        <v>0</v>
      </c>
      <c r="Z62" s="1839">
        <f ca="1">'Output-FR (show)'!Z94/'Output-FR (show)'!Z78</f>
        <v>0</v>
      </c>
    </row>
    <row r="63" spans="2:26">
      <c r="B63" s="1835" t="s">
        <v>527</v>
      </c>
      <c r="D63" s="1838"/>
      <c r="E63" s="1838"/>
      <c r="F63" s="1838"/>
      <c r="G63" s="1838"/>
      <c r="H63" s="1838"/>
      <c r="I63" s="1838"/>
      <c r="J63" s="1839"/>
      <c r="K63" s="1839">
        <f>'Output-FR (show)'!K95/'Output-FR (show)'!K78</f>
        <v>0</v>
      </c>
      <c r="L63" s="1839">
        <f>'Output-FR (show)'!L95/'Output-FR (show)'!L78</f>
        <v>0</v>
      </c>
      <c r="M63" s="1839">
        <f>'Output-FR (show)'!M95/'Output-FR (show)'!M78</f>
        <v>0</v>
      </c>
      <c r="N63" s="1839">
        <f>'Output-FR (show)'!N95/'Output-FR (show)'!N78</f>
        <v>0</v>
      </c>
      <c r="O63" s="1839">
        <f>'Output-FR (show)'!O95/'Output-FR (show)'!O78</f>
        <v>0</v>
      </c>
      <c r="P63" s="1840">
        <f>'Output-FR (show)'!P95/'Output-FR (show)'!P78</f>
        <v>0</v>
      </c>
      <c r="Q63" s="1839">
        <f ca="1">'Output-FR (show)'!Q95/'Output-FR (show)'!Q78</f>
        <v>0</v>
      </c>
      <c r="R63" s="1839">
        <f ca="1">'Output-FR (show)'!R95/'Output-FR (show)'!R78</f>
        <v>0</v>
      </c>
      <c r="S63" s="1839">
        <f ca="1">'Output-FR (show)'!S95/'Output-FR (show)'!S78</f>
        <v>0</v>
      </c>
      <c r="T63" s="1839">
        <f ca="1">'Output-FR (show)'!T95/'Output-FR (show)'!T78</f>
        <v>0</v>
      </c>
      <c r="U63" s="1839">
        <f ca="1">'Output-FR (show)'!U95/'Output-FR (show)'!U78</f>
        <v>0</v>
      </c>
      <c r="V63" s="1839">
        <f ca="1">'Output-FR (show)'!V95/'Output-FR (show)'!V78</f>
        <v>0</v>
      </c>
      <c r="W63" s="1839">
        <f ca="1">'Output-FR (show)'!W95/'Output-FR (show)'!W78</f>
        <v>0</v>
      </c>
      <c r="X63" s="1839">
        <f ca="1">'Output-FR (show)'!X95/'Output-FR (show)'!X78</f>
        <v>0</v>
      </c>
      <c r="Y63" s="1839">
        <f ca="1">'Output-FR (show)'!Y95/'Output-FR (show)'!Y78</f>
        <v>0</v>
      </c>
      <c r="Z63" s="1839">
        <f ca="1">'Output-FR (show)'!Z95/'Output-FR (show)'!Z78</f>
        <v>0</v>
      </c>
    </row>
    <row r="64" spans="2:26">
      <c r="B64" s="1835" t="s">
        <v>529</v>
      </c>
      <c r="D64" s="1838"/>
      <c r="E64" s="1838"/>
      <c r="F64" s="1838"/>
      <c r="G64" s="1838"/>
      <c r="H64" s="1838"/>
      <c r="I64" s="1838"/>
      <c r="J64" s="1839"/>
      <c r="K64" s="1839">
        <f>'Output-FR (show)'!K96/'Output-FR (show)'!K98</f>
        <v>0</v>
      </c>
      <c r="L64" s="1839">
        <f>'Output-FR (show)'!L96/'Output-FR (show)'!L98</f>
        <v>0</v>
      </c>
      <c r="M64" s="1839">
        <f>'Output-FR (show)'!M96/'Output-FR (show)'!M98</f>
        <v>0</v>
      </c>
      <c r="N64" s="1839">
        <f>'Output-FR (show)'!N96/'Output-FR (show)'!N98</f>
        <v>0</v>
      </c>
      <c r="O64" s="1839">
        <f>'Output-FR (show)'!O96/'Output-FR (show)'!O98</f>
        <v>0</v>
      </c>
      <c r="P64" s="1840">
        <f>'Output-FR (show)'!P96/'Output-FR (show)'!P98</f>
        <v>0</v>
      </c>
      <c r="Q64" s="1839">
        <f>'Output-FR (show)'!Q96/'Output-FR (show)'!Q98</f>
        <v>0</v>
      </c>
      <c r="R64" s="1839">
        <f>'Output-FR (show)'!R96/'Output-FR (show)'!R98</f>
        <v>0</v>
      </c>
      <c r="S64" s="1839">
        <f>'Output-FR (show)'!S96/'Output-FR (show)'!S98</f>
        <v>0</v>
      </c>
      <c r="T64" s="1839">
        <f>'Output-FR (show)'!T96/'Output-FR (show)'!T98</f>
        <v>0</v>
      </c>
      <c r="U64" s="1839">
        <f>'Output-FR (show)'!U96/'Output-FR (show)'!U98</f>
        <v>0</v>
      </c>
      <c r="V64" s="1839">
        <f>'Output-FR (show)'!V96/'Output-FR (show)'!V98</f>
        <v>0</v>
      </c>
      <c r="W64" s="1839">
        <f>'Output-FR (show)'!W96/'Output-FR (show)'!W98</f>
        <v>0</v>
      </c>
      <c r="X64" s="1839">
        <f>'Output-FR (show)'!X96/'Output-FR (show)'!X98</f>
        <v>0</v>
      </c>
      <c r="Y64" s="1839">
        <f>'Output-FR (show)'!Y96/'Output-FR (show)'!Y98</f>
        <v>0</v>
      </c>
      <c r="Z64" s="1839">
        <f>'Output-FR (show)'!Z96/'Output-FR (show)'!Z98</f>
        <v>0</v>
      </c>
    </row>
    <row r="65" spans="1:26">
      <c r="B65" s="1863" t="s">
        <v>536</v>
      </c>
      <c r="C65" s="1863"/>
      <c r="D65" s="1864"/>
      <c r="E65" s="1864"/>
      <c r="F65" s="1864"/>
      <c r="G65" s="1838"/>
      <c r="H65" s="1864"/>
      <c r="I65" s="1864"/>
      <c r="J65" s="1865"/>
      <c r="K65" s="1865">
        <f>'Output-FR (show)'!K97/'Output-FR (show)'!K78</f>
        <v>1.3545919934420159E-2</v>
      </c>
      <c r="L65" s="1865">
        <f>'Output-FR (show)'!L97/'Output-FR (show)'!L78</f>
        <v>2.3380495125287629E-2</v>
      </c>
      <c r="M65" s="1865">
        <f>'Output-FR (show)'!M97/'Output-FR (show)'!M78</f>
        <v>3.6554618674321242E-2</v>
      </c>
      <c r="N65" s="1865">
        <f>'Output-FR (show)'!N97/'Output-FR (show)'!N78</f>
        <v>4.8417744037242534E-2</v>
      </c>
      <c r="O65" s="1865">
        <f>'Output-FR (show)'!O97/'Output-FR (show)'!O78</f>
        <v>4.9505354117236625E-2</v>
      </c>
      <c r="P65" s="1866">
        <f>'Output-FR (show)'!P97/'Output-FR (show)'!P78</f>
        <v>4.7772930300982799E-2</v>
      </c>
      <c r="Q65" s="1865">
        <f ca="1">'Output-FR (show)'!Q97/'Output-FR (show)'!Q78</f>
        <v>4.0436553089164023E-2</v>
      </c>
      <c r="R65" s="1865">
        <f ca="1">'Output-FR (show)'!R97/'Output-FR (show)'!R78</f>
        <v>4.2067643489470584E-2</v>
      </c>
      <c r="S65" s="1865">
        <f ca="1">'Output-FR (show)'!S97/'Output-FR (show)'!S78</f>
        <v>4.2078139531280305E-2</v>
      </c>
      <c r="T65" s="1865">
        <f ca="1">'Output-FR (show)'!T97/'Output-FR (show)'!T78</f>
        <v>4.1203975865010505E-2</v>
      </c>
      <c r="U65" s="1865">
        <f ca="1">'Output-FR (show)'!U97/'Output-FR (show)'!U78</f>
        <v>3.7693761231881506E-2</v>
      </c>
      <c r="V65" s="1865">
        <f ca="1">'Output-FR (show)'!V97/'Output-FR (show)'!V78</f>
        <v>3.3132584697290794E-2</v>
      </c>
      <c r="W65" s="1865">
        <f ca="1">'Output-FR (show)'!W97/'Output-FR (show)'!W78</f>
        <v>3.1287932316522986E-2</v>
      </c>
      <c r="X65" s="1865">
        <f ca="1">'Output-FR (show)'!X97/'Output-FR (show)'!X78</f>
        <v>3.0910137042285804E-2</v>
      </c>
      <c r="Y65" s="1865">
        <f ca="1">'Output-FR (show)'!Y97/'Output-FR (show)'!Y78</f>
        <v>3.1018689378151061E-2</v>
      </c>
      <c r="Z65" s="1865">
        <f ca="1">'Output-FR (show)'!Z97/'Output-FR (show)'!Z78</f>
        <v>3.0422507771380378E-2</v>
      </c>
    </row>
    <row r="66" spans="1:26">
      <c r="A66" s="1867"/>
      <c r="B66" s="1867" t="s">
        <v>1143</v>
      </c>
      <c r="D66" s="1838"/>
      <c r="E66" s="1838"/>
      <c r="F66" s="1838"/>
      <c r="G66" s="1868"/>
      <c r="H66" s="1838"/>
      <c r="I66" s="1838"/>
      <c r="J66" s="1843"/>
      <c r="K66" s="1843">
        <f>'Output-FR (show)'!K98/'Output-FR (show)'!K78</f>
        <v>7.532686280264457E-2</v>
      </c>
      <c r="L66" s="1843">
        <f>'Output-FR (show)'!L98/'Output-FR (show)'!L78</f>
        <v>3.9103182326063149E-2</v>
      </c>
      <c r="M66" s="1843">
        <f>'Output-FR (show)'!M98/'Output-FR (show)'!M78</f>
        <v>3.6796337803929942E-2</v>
      </c>
      <c r="N66" s="1843">
        <f>'Output-FR (show)'!N98/'Output-FR (show)'!N78</f>
        <v>4.8491753482293308E-2</v>
      </c>
      <c r="O66" s="1843">
        <f>'Output-FR (show)'!O98/'Output-FR (show)'!O78</f>
        <v>4.9699899753568332E-2</v>
      </c>
      <c r="P66" s="1844">
        <f>'Output-FR (show)'!P98/'Output-FR (show)'!P78</f>
        <v>5.5372183665285374E-2</v>
      </c>
      <c r="Q66" s="1843">
        <f ca="1">'Output-FR (show)'!Q98/'Output-FR (show)'!Q78</f>
        <v>5.9923244600777061E-2</v>
      </c>
      <c r="R66" s="1843">
        <f ca="1">'Output-FR (show)'!R98/'Output-FR (show)'!R78</f>
        <v>6.7250620661437013E-2</v>
      </c>
      <c r="S66" s="1843">
        <f ca="1">'Output-FR (show)'!S98/'Output-FR (show)'!S78</f>
        <v>6.9064763875274132E-2</v>
      </c>
      <c r="T66" s="1843">
        <f ca="1">'Output-FR (show)'!T98/'Output-FR (show)'!T78</f>
        <v>7.1778118113835471E-2</v>
      </c>
      <c r="U66" s="1843">
        <f ca="1">'Output-FR (show)'!U98/'Output-FR (show)'!U78</f>
        <v>6.243424589428271E-2</v>
      </c>
      <c r="V66" s="1843">
        <f ca="1">'Output-FR (show)'!V98/'Output-FR (show)'!V78</f>
        <v>5.2611322997508821E-2</v>
      </c>
      <c r="W66" s="1843">
        <f ca="1">'Output-FR (show)'!W98/'Output-FR (show)'!W78</f>
        <v>4.5552975873560261E-2</v>
      </c>
      <c r="X66" s="1843">
        <f ca="1">'Output-FR (show)'!X98/'Output-FR (show)'!X78</f>
        <v>4.1801504748001789E-2</v>
      </c>
      <c r="Y66" s="1843">
        <f ca="1">'Output-FR (show)'!Y98/'Output-FR (show)'!Y78</f>
        <v>4.0709574215385833E-2</v>
      </c>
      <c r="Z66" s="1843">
        <f ca="1">'Output-FR (show)'!Z98/'Output-FR (show)'!Z78</f>
        <v>3.9979773118425162E-2</v>
      </c>
    </row>
    <row r="67" spans="1:26" ht="13.8" thickBot="1">
      <c r="B67" s="1849" t="s">
        <v>645</v>
      </c>
      <c r="C67" s="1849"/>
      <c r="D67" s="1850"/>
      <c r="E67" s="1850"/>
      <c r="F67" s="1850"/>
      <c r="G67" s="1850"/>
      <c r="H67" s="1850"/>
      <c r="I67" s="1850"/>
      <c r="J67" s="1851"/>
      <c r="K67" s="1851">
        <f>SUM(K59,K66)</f>
        <v>0.39972766059213632</v>
      </c>
      <c r="L67" s="1851">
        <f t="shared" ref="L67:Z67" si="9">SUM(L59,L66)</f>
        <v>0.27428027732415133</v>
      </c>
      <c r="M67" s="1851">
        <f t="shared" si="9"/>
        <v>0.32460121695038718</v>
      </c>
      <c r="N67" s="1851">
        <f t="shared" si="9"/>
        <v>0.25139033790768983</v>
      </c>
      <c r="O67" s="1851">
        <f t="shared" si="9"/>
        <v>0.34614744810642978</v>
      </c>
      <c r="P67" s="1852">
        <f t="shared" si="9"/>
        <v>0.3529610668735591</v>
      </c>
      <c r="Q67" s="1851">
        <f t="shared" ca="1" si="9"/>
        <v>0.36986900263067768</v>
      </c>
      <c r="R67" s="1851">
        <f t="shared" ca="1" si="9"/>
        <v>0.3512460921719277</v>
      </c>
      <c r="S67" s="1851">
        <f t="shared" ca="1" si="9"/>
        <v>0.33195000039317912</v>
      </c>
      <c r="T67" s="1851">
        <f t="shared" ca="1" si="9"/>
        <v>0.32988788982385298</v>
      </c>
      <c r="U67" s="1851">
        <f t="shared" ca="1" si="9"/>
        <v>0.30422664006064487</v>
      </c>
      <c r="V67" s="1851">
        <f t="shared" ca="1" si="9"/>
        <v>0.26369523365569758</v>
      </c>
      <c r="W67" s="1851">
        <f t="shared" ca="1" si="9"/>
        <v>0.24616140252043855</v>
      </c>
      <c r="X67" s="1851">
        <f t="shared" ca="1" si="9"/>
        <v>0.23686139599900671</v>
      </c>
      <c r="Y67" s="1851">
        <f t="shared" ca="1" si="9"/>
        <v>0.23328445665353303</v>
      </c>
      <c r="Z67" s="1851">
        <f t="shared" ca="1" si="9"/>
        <v>0.2291429113596955</v>
      </c>
    </row>
    <row r="68" spans="1:26" ht="13.8" thickTop="1">
      <c r="D68" s="1838"/>
      <c r="E68" s="1838"/>
      <c r="F68" s="1838"/>
      <c r="G68" s="1838"/>
      <c r="H68" s="1838"/>
      <c r="I68" s="1838"/>
      <c r="J68" s="1838"/>
      <c r="K68" s="1838"/>
      <c r="L68" s="1838"/>
      <c r="M68" s="1838"/>
      <c r="N68" s="1838"/>
      <c r="O68" s="1838"/>
      <c r="P68" s="1846"/>
      <c r="Q68" s="1838"/>
      <c r="R68" s="1838"/>
      <c r="S68" s="1838"/>
      <c r="T68" s="1838"/>
      <c r="U68" s="1838"/>
      <c r="V68" s="1838"/>
      <c r="W68" s="1838"/>
      <c r="X68" s="1838"/>
      <c r="Y68" s="1838"/>
    </row>
    <row r="69" spans="1:26">
      <c r="B69" s="1845" t="s">
        <v>540</v>
      </c>
      <c r="C69" s="1845"/>
      <c r="D69" s="1861"/>
      <c r="E69" s="1861"/>
      <c r="F69" s="1861"/>
      <c r="G69" s="1861"/>
      <c r="H69" s="1861"/>
      <c r="I69" s="1861"/>
      <c r="J69" s="1861"/>
      <c r="K69" s="1861"/>
      <c r="L69" s="1861"/>
      <c r="M69" s="1861"/>
      <c r="N69" s="1861"/>
      <c r="O69" s="1861"/>
      <c r="P69" s="1862"/>
      <c r="Q69" s="1861"/>
      <c r="R69" s="1861"/>
      <c r="S69" s="1861"/>
      <c r="T69" s="1861"/>
      <c r="U69" s="1861"/>
      <c r="V69" s="1861"/>
      <c r="W69" s="1861"/>
      <c r="X69" s="1861"/>
      <c r="Y69" s="1861"/>
    </row>
    <row r="70" spans="1:26" ht="12.6" customHeight="1">
      <c r="B70" s="1835" t="s">
        <v>543</v>
      </c>
      <c r="D70" s="1838"/>
      <c r="E70" s="1838"/>
      <c r="F70" s="1838"/>
      <c r="G70" s="1838"/>
      <c r="H70" s="1838"/>
      <c r="I70" s="1838"/>
      <c r="J70" s="1839"/>
      <c r="K70" s="1839">
        <f>'Output-FR (show)'!K103/'Output-FR (show)'!K78</f>
        <v>2.6815079152383006E-3</v>
      </c>
      <c r="L70" s="1839">
        <f>'Output-FR (show)'!L103/'Output-FR (show)'!L78</f>
        <v>3.0223670158919468E-3</v>
      </c>
      <c r="M70" s="1839">
        <f>'Output-FR (show)'!M103/'Output-FR (show)'!M78</f>
        <v>2.4013631810674251E-3</v>
      </c>
      <c r="N70" s="1839">
        <f>'Output-FR (show)'!N103/'Output-FR (show)'!N78</f>
        <v>2.0571484419144546E-3</v>
      </c>
      <c r="O70" s="1839">
        <f>'Output-FR (show)'!O103/'Output-FR (show)'!O78</f>
        <v>1.8106790025846412E-3</v>
      </c>
      <c r="P70" s="1840">
        <f>'Output-FR (show)'!P103/'Output-FR (show)'!P78</f>
        <v>2.0844628010654133E-3</v>
      </c>
      <c r="Q70" s="1873">
        <f ca="1">'Output-FR (show)'!Q103/'Output-FR (show)'!Q78</f>
        <v>2.6723578164812231E-3</v>
      </c>
      <c r="R70" s="1873">
        <f ca="1">'Output-FR (show)'!R103/'Output-FR (show)'!R78</f>
        <v>2.3053723615192442E-3</v>
      </c>
      <c r="S70" s="1873">
        <f ca="1">'Output-FR (show)'!S103/'Output-FR (show)'!S78</f>
        <v>2.5604860412493866E-3</v>
      </c>
      <c r="T70" s="1873">
        <f ca="1">'Output-FR (show)'!T103/'Output-FR (show)'!T78</f>
        <v>3.6668031536907135E-3</v>
      </c>
      <c r="U70" s="1873">
        <f ca="1">'Output-FR (show)'!U103/'Output-FR (show)'!U78</f>
        <v>2.8076085805029578E-3</v>
      </c>
      <c r="V70" s="1873">
        <f ca="1">'Output-FR (show)'!V103/'Output-FR (show)'!V78</f>
        <v>2.3315625878677572E-3</v>
      </c>
      <c r="W70" s="1873">
        <f ca="1">'Output-FR (show)'!W103/'Output-FR (show)'!W78</f>
        <v>2.1738877240062263E-3</v>
      </c>
      <c r="X70" s="1873">
        <f ca="1">'Output-FR (show)'!X103/'Output-FR (show)'!X78</f>
        <v>2.3276224814776977E-3</v>
      </c>
      <c r="Y70" s="1873">
        <f ca="1">'Output-FR (show)'!Y103/'Output-FR (show)'!Y78</f>
        <v>2.5656977433768913E-3</v>
      </c>
      <c r="Z70" s="1873">
        <f ca="1">'Output-FR (show)'!Z103/'Output-FR (show)'!Z78</f>
        <v>2.4372252739083156E-3</v>
      </c>
    </row>
    <row r="71" spans="1:26">
      <c r="D71" s="1838"/>
      <c r="E71" s="1838"/>
      <c r="F71" s="1838"/>
      <c r="G71" s="1838"/>
      <c r="H71" s="1838"/>
      <c r="I71" s="1838"/>
      <c r="J71" s="1838"/>
      <c r="K71" s="1838"/>
      <c r="L71" s="1838"/>
      <c r="M71" s="1838"/>
      <c r="N71" s="1838"/>
      <c r="O71" s="1838"/>
      <c r="P71" s="1846"/>
      <c r="Q71" s="1838"/>
      <c r="R71" s="1838"/>
      <c r="S71" s="1838"/>
      <c r="T71" s="1838"/>
      <c r="U71" s="1838"/>
      <c r="V71" s="1838"/>
      <c r="W71" s="1838"/>
      <c r="X71" s="1838"/>
      <c r="Y71" s="1838"/>
    </row>
    <row r="72" spans="1:26">
      <c r="B72" s="1845" t="s">
        <v>1144</v>
      </c>
      <c r="C72" s="1845"/>
      <c r="D72" s="1861"/>
      <c r="E72" s="1861"/>
      <c r="F72" s="1861"/>
      <c r="G72" s="1861"/>
      <c r="H72" s="1861"/>
      <c r="I72" s="1861"/>
      <c r="J72" s="1861"/>
      <c r="K72" s="1861"/>
      <c r="L72" s="1861"/>
      <c r="M72" s="1861"/>
      <c r="N72" s="1861"/>
      <c r="O72" s="1861"/>
      <c r="P72" s="1862"/>
      <c r="Q72" s="1861"/>
      <c r="R72" s="1861"/>
      <c r="S72" s="1861"/>
      <c r="T72" s="1861"/>
      <c r="U72" s="1861"/>
      <c r="V72" s="1861"/>
      <c r="W72" s="1861"/>
      <c r="X72" s="1861"/>
      <c r="Y72" s="1861"/>
    </row>
    <row r="73" spans="1:26">
      <c r="B73" s="1835" t="s">
        <v>548</v>
      </c>
      <c r="D73" s="1838"/>
      <c r="E73" s="1838"/>
      <c r="F73" s="1838"/>
      <c r="G73" s="1838"/>
      <c r="H73" s="1838"/>
      <c r="I73" s="1838"/>
      <c r="J73" s="1839"/>
      <c r="K73" s="1839">
        <f>'Output-FR (show)'!K106/'Output-FR (show)'!K78</f>
        <v>0</v>
      </c>
      <c r="L73" s="1839">
        <f>'Output-FR (show)'!L106/'Output-FR (show)'!L78</f>
        <v>0</v>
      </c>
      <c r="M73" s="1839">
        <f>'Output-FR (show)'!M106/'Output-FR (show)'!M78</f>
        <v>0</v>
      </c>
      <c r="N73" s="1839">
        <f>'Output-FR (show)'!N106/'Output-FR (show)'!N78</f>
        <v>0</v>
      </c>
      <c r="O73" s="1839">
        <f>'Output-FR (show)'!O106/'Output-FR (show)'!O78</f>
        <v>0</v>
      </c>
      <c r="P73" s="1840">
        <f>'Output-FR (show)'!P106/'Output-FR (show)'!P78</f>
        <v>0</v>
      </c>
      <c r="Q73" s="1873">
        <f ca="1">'Output-FR (show)'!Q106/'Output-FR (show)'!Q78</f>
        <v>0</v>
      </c>
      <c r="R73" s="1873">
        <f ca="1">'Output-FR (show)'!R106/'Output-FR (show)'!R78</f>
        <v>0</v>
      </c>
      <c r="S73" s="1873">
        <f ca="1">'Output-FR (show)'!S106/'Output-FR (show)'!S78</f>
        <v>0</v>
      </c>
      <c r="T73" s="1873">
        <f ca="1">'Output-FR (show)'!T106/'Output-FR (show)'!T78</f>
        <v>0</v>
      </c>
      <c r="U73" s="1873">
        <f ca="1">'Output-FR (show)'!U106/'Output-FR (show)'!U78</f>
        <v>0</v>
      </c>
      <c r="V73" s="1873">
        <f ca="1">'Output-FR (show)'!V106/'Output-FR (show)'!V78</f>
        <v>0</v>
      </c>
      <c r="W73" s="1873">
        <f ca="1">'Output-FR (show)'!W106/'Output-FR (show)'!W78</f>
        <v>0</v>
      </c>
      <c r="X73" s="1873">
        <f ca="1">'Output-FR (show)'!X106/'Output-FR (show)'!X78</f>
        <v>0</v>
      </c>
      <c r="Y73" s="1873">
        <f ca="1">'Output-FR (show)'!Y106/'Output-FR (show)'!Y78</f>
        <v>0</v>
      </c>
      <c r="Z73" s="1873">
        <f ca="1">'Output-FR (show)'!Z106/'Output-FR (show)'!Z78</f>
        <v>0</v>
      </c>
    </row>
    <row r="74" spans="1:26">
      <c r="B74" s="1835" t="s">
        <v>551</v>
      </c>
      <c r="D74" s="1838"/>
      <c r="E74" s="1838"/>
      <c r="F74" s="1838"/>
      <c r="G74" s="1838"/>
      <c r="H74" s="1838"/>
      <c r="I74" s="1838"/>
      <c r="J74" s="1839"/>
      <c r="K74" s="1839">
        <f>'Output-FR (show)'!K107/'Output-FR (show)'!K78</f>
        <v>0.52041786079907815</v>
      </c>
      <c r="L74" s="1839">
        <f>'Output-FR (show)'!L107/'Output-FR (show)'!L78</f>
        <v>0.60728554352801933</v>
      </c>
      <c r="M74" s="1839">
        <f>'Output-FR (show)'!M107/'Output-FR (show)'!M78</f>
        <v>0.4781378238062689</v>
      </c>
      <c r="N74" s="1839">
        <f>'Output-FR (show)'!N107/'Output-FR (show)'!N78</f>
        <v>0.37368899889869334</v>
      </c>
      <c r="O74" s="1839">
        <f>'Output-FR (show)'!O107/'Output-FR (show)'!O78</f>
        <v>0.34742168682795727</v>
      </c>
      <c r="P74" s="1840">
        <f>'Output-FR (show)'!P107/'Output-FR (show)'!P78</f>
        <v>0.33657901855027816</v>
      </c>
      <c r="Q74" s="1873">
        <f ca="1">'Output-FR (show)'!Q107/'Output-FR (show)'!Q78</f>
        <v>0.29382571993739465</v>
      </c>
      <c r="R74" s="1873">
        <f ca="1">'Output-FR (show)'!R107/'Output-FR (show)'!R78</f>
        <v>0.26824248232826364</v>
      </c>
      <c r="S74" s="1873">
        <f ca="1">'Output-FR (show)'!S107/'Output-FR (show)'!S78</f>
        <v>0.24475495344916992</v>
      </c>
      <c r="T74" s="1873">
        <f ca="1">'Output-FR (show)'!T107/'Output-FR (show)'!T78</f>
        <v>0.19876712321197337</v>
      </c>
      <c r="U74" s="1873">
        <f ca="1">'Output-FR (show)'!U107/'Output-FR (show)'!U78</f>
        <v>0.18407829210557949</v>
      </c>
      <c r="V74" s="1873">
        <f ca="1">'Output-FR (show)'!V107/'Output-FR (show)'!V78</f>
        <v>0.17913428007975707</v>
      </c>
      <c r="W74" s="1873">
        <f ca="1">'Output-FR (show)'!W107/'Output-FR (show)'!W78</f>
        <v>0.16957862748024022</v>
      </c>
      <c r="X74" s="1873">
        <f ca="1">'Output-FR (show)'!X107/'Output-FR (show)'!X78</f>
        <v>0.16076293659706564</v>
      </c>
      <c r="Y74" s="1873">
        <f ca="1">'Output-FR (show)'!Y107/'Output-FR (show)'!Y78</f>
        <v>0.15184784195799431</v>
      </c>
      <c r="Z74" s="1873">
        <f ca="1">'Output-FR (show)'!Z107/'Output-FR (show)'!Z78</f>
        <v>0.14675070141368704</v>
      </c>
    </row>
    <row r="75" spans="1:26">
      <c r="B75" s="1835" t="s">
        <v>556</v>
      </c>
      <c r="D75" s="1838"/>
      <c r="E75" s="1838"/>
      <c r="F75" s="1838"/>
      <c r="G75" s="1838"/>
      <c r="H75" s="1838"/>
      <c r="I75" s="1838"/>
      <c r="J75" s="1839"/>
      <c r="K75" s="1839">
        <f>'Output-FR (show)'!K109/'Output-FR (show)'!K78</f>
        <v>4.215695609797461E-2</v>
      </c>
      <c r="L75" s="1839">
        <f>'Output-FR (show)'!L109/'Output-FR (show)'!L78</f>
        <v>6.693073674490406E-2</v>
      </c>
      <c r="M75" s="1839">
        <f>'Output-FR (show)'!M109/'Output-FR (show)'!M78</f>
        <v>0.10729519318910599</v>
      </c>
      <c r="N75" s="1839">
        <f>'Output-FR (show)'!N109/'Output-FR (show)'!N78</f>
        <v>0.21306449733209432</v>
      </c>
      <c r="O75" s="1839">
        <f>'Output-FR (show)'!O109/'Output-FR (show)'!O78</f>
        <v>0.13419450389210888</v>
      </c>
      <c r="P75" s="1840">
        <f>'Output-FR (show)'!P109/'Output-FR (show)'!P78</f>
        <v>0.11968538135401702</v>
      </c>
      <c r="Q75" s="1873">
        <f ca="1">'Output-FR (show)'!Q109/'Output-FR (show)'!Q78</f>
        <v>0.1576273778765506</v>
      </c>
      <c r="R75" s="1873">
        <f ca="1">'Output-FR (show)'!R109/'Output-FR (show)'!R78</f>
        <v>0.19361256736070806</v>
      </c>
      <c r="S75" s="1873">
        <f ca="1">'Output-FR (show)'!S109/'Output-FR (show)'!S78</f>
        <v>0.22723829813885624</v>
      </c>
      <c r="T75" s="1873">
        <f ca="1">'Output-FR (show)'!T109/'Output-FR (show)'!T78</f>
        <v>0.28068206047888317</v>
      </c>
      <c r="U75" s="1873">
        <f ca="1">'Output-FR (show)'!U109/'Output-FR (show)'!U78</f>
        <v>0.32012434874417439</v>
      </c>
      <c r="V75" s="1873">
        <f ca="1">'Output-FR (show)'!V109/'Output-FR (show)'!V78</f>
        <v>0.35461325645284847</v>
      </c>
      <c r="W75" s="1873">
        <f ca="1">'Output-FR (show)'!W109/'Output-FR (show)'!W78</f>
        <v>0.38495935939583409</v>
      </c>
      <c r="X75" s="1873">
        <f ca="1">'Output-FR (show)'!X109/'Output-FR (show)'!X78</f>
        <v>0.40569396755042902</v>
      </c>
      <c r="Y75" s="1873">
        <f ca="1">'Output-FR (show)'!Y109/'Output-FR (show)'!Y78</f>
        <v>0.42138276713852779</v>
      </c>
      <c r="Z75" s="1873">
        <f ca="1">'Output-FR (show)'!Z109/'Output-FR (show)'!Z78</f>
        <v>0.42977816916801653</v>
      </c>
    </row>
    <row r="76" spans="1:26">
      <c r="B76" s="1835" t="s">
        <v>1145</v>
      </c>
      <c r="D76" s="1838"/>
      <c r="E76" s="1838"/>
      <c r="F76" s="1838"/>
      <c r="G76" s="1838"/>
      <c r="H76" s="1838"/>
      <c r="I76" s="1838"/>
      <c r="J76" s="1839"/>
      <c r="K76" s="1839">
        <f>('Output-FR (show)'!K108+'Output-FR (show)'!K110)/'Output-FR (show)'!K78</f>
        <v>3.5016014595572673E-2</v>
      </c>
      <c r="L76" s="1839">
        <f>('Output-FR (show)'!L108+'Output-FR (show)'!L110)/'Output-FR (show)'!L78</f>
        <v>4.8481075387033307E-2</v>
      </c>
      <c r="M76" s="1839">
        <f>('Output-FR (show)'!M108+'Output-FR (show)'!M110)/'Output-FR (show)'!M78</f>
        <v>8.7564402873170563E-2</v>
      </c>
      <c r="N76" s="1839">
        <f>('Output-FR (show)'!N108+'Output-FR (show)'!N110)/'Output-FR (show)'!N78</f>
        <v>0.15979901741960825</v>
      </c>
      <c r="O76" s="1839">
        <f>('Output-FR (show)'!O108+'Output-FR (show)'!O110)/'Output-FR (show)'!O78</f>
        <v>0.17042568217091941</v>
      </c>
      <c r="P76" s="1840">
        <f>('Output-FR (show)'!P108+'Output-FR (show)'!P110)/'Output-FR (show)'!P78</f>
        <v>0.18869007042108021</v>
      </c>
      <c r="Q76" s="1873">
        <f ca="1">('Output-FR (show)'!Q108+'Output-FR (show)'!Q110)/'Output-FR (show)'!Q78</f>
        <v>0.17600554173889602</v>
      </c>
      <c r="R76" s="1873">
        <f ca="1">('Output-FR (show)'!R108+'Output-FR (show)'!R110)/'Output-FR (show)'!R78</f>
        <v>0.18459348577758145</v>
      </c>
      <c r="S76" s="1873">
        <f ca="1">('Output-FR (show)'!S108+'Output-FR (show)'!S110)/'Output-FR (show)'!S78</f>
        <v>0.19349626197754524</v>
      </c>
      <c r="T76" s="1873">
        <f ca="1">('Output-FR (show)'!T108+'Output-FR (show)'!T110)/'Output-FR (show)'!T78</f>
        <v>0.18699612333159979</v>
      </c>
      <c r="U76" s="1873">
        <f ca="1">('Output-FR (show)'!U108+'Output-FR (show)'!U110)/'Output-FR (show)'!U78</f>
        <v>0.18876311050909816</v>
      </c>
      <c r="V76" s="1873">
        <f ca="1">('Output-FR (show)'!V108+'Output-FR (show)'!V110)/'Output-FR (show)'!V78</f>
        <v>0.20022566722382923</v>
      </c>
      <c r="W76" s="1873">
        <f ca="1">('Output-FR (show)'!W108+'Output-FR (show)'!W110)/'Output-FR (show)'!W78</f>
        <v>0.19712672287948085</v>
      </c>
      <c r="X76" s="1873">
        <f ca="1">('Output-FR (show)'!X108+'Output-FR (show)'!X110)/'Output-FR (show)'!X78</f>
        <v>0.19435407737202115</v>
      </c>
      <c r="Y76" s="1873">
        <f ca="1">('Output-FR (show)'!Y108+'Output-FR (show)'!Y110)/'Output-FR (show)'!Y78</f>
        <v>0.1909192365065682</v>
      </c>
      <c r="Z76" s="1873">
        <f ca="1">('Output-FR (show)'!Z108+'Output-FR (show)'!Z110)/'Output-FR (show)'!Z78</f>
        <v>0.19189099278469288</v>
      </c>
    </row>
    <row r="77" spans="1:26">
      <c r="B77" s="1869" t="s">
        <v>1146</v>
      </c>
      <c r="C77" s="1869"/>
      <c r="D77" s="1870"/>
      <c r="E77" s="1870"/>
      <c r="F77" s="1870"/>
      <c r="G77" s="1870"/>
      <c r="H77" s="1870"/>
      <c r="I77" s="1870"/>
      <c r="J77" s="1871"/>
      <c r="K77" s="1871">
        <f>SUM(K73:K76)</f>
        <v>0.59759083149262548</v>
      </c>
      <c r="L77" s="1871">
        <f t="shared" ref="L77:Z77" si="10">SUM(L73:L76)</f>
        <v>0.72269735565995663</v>
      </c>
      <c r="M77" s="1871">
        <f t="shared" si="10"/>
        <v>0.67299741986854544</v>
      </c>
      <c r="N77" s="1871">
        <f t="shared" si="10"/>
        <v>0.74655251365039588</v>
      </c>
      <c r="O77" s="1871">
        <f t="shared" si="10"/>
        <v>0.65204187289098559</v>
      </c>
      <c r="P77" s="1872">
        <f t="shared" si="10"/>
        <v>0.64495447032537534</v>
      </c>
      <c r="Q77" s="1880">
        <f t="shared" ca="1" si="10"/>
        <v>0.62745863955284131</v>
      </c>
      <c r="R77" s="1880">
        <f t="shared" ca="1" si="10"/>
        <v>0.64644853546655323</v>
      </c>
      <c r="S77" s="1880">
        <f t="shared" ca="1" si="10"/>
        <v>0.6654895135655714</v>
      </c>
      <c r="T77" s="1880">
        <f t="shared" ca="1" si="10"/>
        <v>0.6664453070224563</v>
      </c>
      <c r="U77" s="1880">
        <f t="shared" ca="1" si="10"/>
        <v>0.69296575135885208</v>
      </c>
      <c r="V77" s="1880">
        <f t="shared" ca="1" si="10"/>
        <v>0.73397320375643482</v>
      </c>
      <c r="W77" s="1880">
        <f t="shared" ca="1" si="10"/>
        <v>0.7516647097555551</v>
      </c>
      <c r="X77" s="1880">
        <f t="shared" ca="1" si="10"/>
        <v>0.76081098151951587</v>
      </c>
      <c r="Y77" s="1880">
        <f t="shared" ca="1" si="10"/>
        <v>0.76414984560309029</v>
      </c>
      <c r="Z77" s="1880">
        <f t="shared" ca="1" si="10"/>
        <v>0.76841986336639645</v>
      </c>
    </row>
    <row r="78" spans="1:26" ht="13.8" thickBot="1">
      <c r="B78" s="1849" t="s">
        <v>1147</v>
      </c>
      <c r="C78" s="1849"/>
      <c r="D78" s="1850"/>
      <c r="E78" s="1850"/>
      <c r="F78" s="1850"/>
      <c r="G78" s="1850"/>
      <c r="H78" s="1850"/>
      <c r="I78" s="1850"/>
      <c r="J78" s="1851"/>
      <c r="K78" s="1851">
        <f>SUM(K67,K70,K77)</f>
        <v>1</v>
      </c>
      <c r="L78" s="1851">
        <f t="shared" ref="L78:Z78" si="11">SUM(L67,L70,L77)</f>
        <v>0.99999999999999989</v>
      </c>
      <c r="M78" s="1851">
        <f t="shared" si="11"/>
        <v>1</v>
      </c>
      <c r="N78" s="1851">
        <f t="shared" si="11"/>
        <v>1.0000000000000002</v>
      </c>
      <c r="O78" s="1851">
        <f t="shared" si="11"/>
        <v>1</v>
      </c>
      <c r="P78" s="1852">
        <f t="shared" si="11"/>
        <v>0.99999999999999978</v>
      </c>
      <c r="Q78" s="1878">
        <f t="shared" ca="1" si="11"/>
        <v>1.0000000000000002</v>
      </c>
      <c r="R78" s="1878">
        <f t="shared" ca="1" si="11"/>
        <v>1.0000000000000002</v>
      </c>
      <c r="S78" s="1878">
        <f t="shared" ca="1" si="11"/>
        <v>0.99999999999999989</v>
      </c>
      <c r="T78" s="1878">
        <f t="shared" ca="1" si="11"/>
        <v>1</v>
      </c>
      <c r="U78" s="1878">
        <f t="shared" ca="1" si="11"/>
        <v>0.99999999999999989</v>
      </c>
      <c r="V78" s="1878">
        <f t="shared" ca="1" si="11"/>
        <v>1.0000000000000002</v>
      </c>
      <c r="W78" s="1878">
        <f t="shared" ca="1" si="11"/>
        <v>0.99999999999999989</v>
      </c>
      <c r="X78" s="1878">
        <f t="shared" ca="1" si="11"/>
        <v>1.0000000000000002</v>
      </c>
      <c r="Y78" s="1878">
        <f t="shared" ca="1" si="11"/>
        <v>1.0000000000000002</v>
      </c>
      <c r="Z78" s="1878">
        <f t="shared" ca="1" si="11"/>
        <v>1.0000000000000002</v>
      </c>
    </row>
    <row r="79" spans="1:26" ht="13.8" thickTop="1">
      <c r="M79" s="1835"/>
      <c r="P79" s="1837"/>
    </row>
    <row r="80" spans="1:26">
      <c r="M80" s="1835"/>
    </row>
    <row r="81" s="1835" customFormat="1"/>
    <row r="82" s="1835" customFormat="1"/>
    <row r="83" s="1835" customFormat="1"/>
    <row r="84" s="1835" customFormat="1"/>
    <row r="85" s="1835" customFormat="1"/>
    <row r="86" s="1835" customFormat="1"/>
    <row r="87" s="1835" customFormat="1"/>
    <row r="88" s="1835" customFormat="1"/>
    <row r="89" s="1835" customFormat="1"/>
  </sheetData>
  <mergeCells count="1">
    <mergeCell ref="B2:B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89CEE-F23A-4061-859A-3727958BC829}">
  <dimension ref="B1:C11"/>
  <sheetViews>
    <sheetView workbookViewId="0">
      <selection activeCell="F7" sqref="F7"/>
    </sheetView>
  </sheetViews>
  <sheetFormatPr defaultRowHeight="14.4"/>
  <cols>
    <col min="2" max="2" width="24.44140625" customWidth="1"/>
    <col min="3" max="3" width="23.109375" customWidth="1"/>
  </cols>
  <sheetData>
    <row r="1" spans="2:3">
      <c r="B1" s="1881" t="s">
        <v>0</v>
      </c>
      <c r="C1" s="1882" t="s">
        <v>1148</v>
      </c>
    </row>
    <row r="2" spans="2:3">
      <c r="B2" s="75" t="s">
        <v>1514</v>
      </c>
      <c r="C2" s="80">
        <v>29.5</v>
      </c>
    </row>
    <row r="3" spans="2:3">
      <c r="B3" s="75" t="s">
        <v>1515</v>
      </c>
      <c r="C3" s="80">
        <v>17.09</v>
      </c>
    </row>
    <row r="4" spans="2:3">
      <c r="B4" s="75" t="s">
        <v>1516</v>
      </c>
      <c r="C4" s="80">
        <v>12.41</v>
      </c>
    </row>
    <row r="5" spans="2:3">
      <c r="B5" s="75" t="s">
        <v>1332</v>
      </c>
      <c r="C5" s="80">
        <v>10.74</v>
      </c>
    </row>
    <row r="6" spans="2:3">
      <c r="B6" s="75" t="s">
        <v>1517</v>
      </c>
      <c r="C6" s="80">
        <v>10.29</v>
      </c>
    </row>
    <row r="7" spans="2:3">
      <c r="B7" s="75" t="s">
        <v>1518</v>
      </c>
      <c r="C7" s="80">
        <v>13.11</v>
      </c>
    </row>
    <row r="8" spans="2:3">
      <c r="B8" s="75" t="s">
        <v>1519</v>
      </c>
      <c r="C8" s="80">
        <v>10.45</v>
      </c>
    </row>
    <row r="9" spans="2:3">
      <c r="B9" s="294" t="s">
        <v>1149</v>
      </c>
      <c r="C9" s="1883">
        <f>MEDIAN(C2:C8)</f>
        <v>12.41</v>
      </c>
    </row>
    <row r="10" spans="2:3">
      <c r="B10" s="75" t="s">
        <v>1150</v>
      </c>
      <c r="C10" s="514">
        <f>Input!P146</f>
        <v>2451.6583642652063</v>
      </c>
    </row>
    <row r="11" spans="2:3">
      <c r="B11" s="1884" t="s">
        <v>1151</v>
      </c>
      <c r="C11" s="188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IS Raw</vt:lpstr>
      <vt:lpstr>BS Raw</vt:lpstr>
      <vt:lpstr>CF Raw</vt:lpstr>
      <vt:lpstr>Notes</vt:lpstr>
      <vt:lpstr>Doanh thu DCM</vt:lpstr>
      <vt:lpstr>Doanh thu KVF</vt:lpstr>
      <vt:lpstr>Welfare &amp; Dividends</vt:lpstr>
      <vt:lpstr>Consol. Rev.</vt:lpstr>
      <vt:lpstr>Debt</vt:lpstr>
      <vt:lpstr>LT. Asset</vt:lpstr>
      <vt:lpstr>Input</vt:lpstr>
      <vt:lpstr>Output-FR (show)</vt:lpstr>
      <vt:lpstr>Output-FR (check)</vt:lpstr>
      <vt:lpstr>ERP-Beta</vt:lpstr>
      <vt:lpstr>Assumption &amp; Result</vt:lpstr>
      <vt:lpstr>DCF</vt:lpstr>
      <vt:lpstr>Ratio</vt:lpstr>
      <vt:lpstr>ComSize</vt:lpstr>
      <vt:lpstr>RV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Hiển Đinh</cp:lastModifiedBy>
  <dcterms:created xsi:type="dcterms:W3CDTF">2015-06-05T18:17:20Z</dcterms:created>
  <dcterms:modified xsi:type="dcterms:W3CDTF">2025-10-01T08:51:07Z</dcterms:modified>
</cp:coreProperties>
</file>