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mc:AlternateContent xmlns:mc="http://schemas.openxmlformats.org/markup-compatibility/2006">
    <mc:Choice Requires="x15">
      <x15ac:absPath xmlns:x15ac="http://schemas.microsoft.com/office/spreadsheetml/2010/11/ac" url="C:\Users\Owner\Downloads\Design of Water Treatment Process-20210915T113819Z-001\"/>
    </mc:Choice>
  </mc:AlternateContent>
  <xr:revisionPtr revIDLastSave="0" documentId="13_ncr:1_{836A772E-EF10-4F63-BBDC-D934EE8CB410}" xr6:coauthVersionLast="47" xr6:coauthVersionMax="47" xr10:uidLastSave="{00000000-0000-0000-0000-000000000000}"/>
  <bookViews>
    <workbookView xWindow="-110" yWindow="-110" windowWidth="19420" windowHeight="10300" firstSheet="11" activeTab="10" xr2:uid="{00000000-000D-0000-FFFF-FFFF00000000}"/>
  </bookViews>
  <sheets>
    <sheet name="1 Raw water characteristics" sheetId="1" r:id="rId1"/>
    <sheet name="2.1 Design capacity" sheetId="2" r:id="rId2"/>
    <sheet name="2.2 Product water requirements" sheetId="3" r:id="rId3"/>
    <sheet name="3.1 Pump station" sheetId="4" r:id="rId4"/>
    <sheet name="3.2 Chemical coagulation" sheetId="6" r:id="rId5"/>
    <sheet name="3.3 Flocculation" sheetId="7" r:id="rId6"/>
    <sheet name="3.4 Flotation" sheetId="8" r:id="rId7"/>
    <sheet name="3.5 Chemical oxidation" sheetId="9" r:id="rId8"/>
    <sheet name="3.6 Sand filtration" sheetId="10" r:id="rId9"/>
    <sheet name="3.7 GAC filtration" sheetId="11" r:id="rId10"/>
    <sheet name="3.8 UV disinfection" sheetId="12" r:id="rId11"/>
    <sheet name="3.9 Alkalinity, hardness and pH" sheetId="13" r:id="rId12"/>
    <sheet name="3.12 Sampling" sheetId="16" r:id="rId13"/>
    <sheet name="4 Summary" sheetId="19" r:id="rId14"/>
    <sheet name="5 Treatment options" sheetId="20"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7" i="13" l="1"/>
  <c r="B16" i="13"/>
  <c r="B102" i="13"/>
  <c r="B100" i="13"/>
  <c r="B99" i="13"/>
  <c r="B98" i="13"/>
  <c r="G89" i="13"/>
  <c r="G88" i="13"/>
  <c r="G87" i="13"/>
  <c r="G85" i="13"/>
  <c r="G84" i="13"/>
  <c r="G83" i="13"/>
  <c r="B90" i="13"/>
  <c r="B89" i="13"/>
  <c r="B88" i="13"/>
  <c r="B86" i="13"/>
  <c r="B85" i="13"/>
  <c r="B84" i="13"/>
  <c r="B83" i="13"/>
  <c r="B81" i="13"/>
  <c r="B80" i="13"/>
  <c r="B79" i="13"/>
  <c r="B78" i="13"/>
  <c r="B77" i="13"/>
  <c r="B75" i="13"/>
  <c r="C75" i="13"/>
  <c r="D75" i="13" s="1"/>
  <c r="E75" i="13" s="1"/>
  <c r="F75" i="13" s="1"/>
  <c r="G75" i="13" s="1"/>
  <c r="B74" i="13"/>
  <c r="C74" i="13"/>
  <c r="D74" i="13"/>
  <c r="E74" i="13"/>
  <c r="F74" i="13"/>
  <c r="G74" i="13"/>
  <c r="G64" i="13" l="1"/>
  <c r="G65" i="13"/>
  <c r="G66" i="13"/>
  <c r="G67" i="13"/>
  <c r="G68" i="13"/>
  <c r="G69" i="13"/>
  <c r="G70" i="13"/>
  <c r="G71" i="13"/>
  <c r="G72" i="13"/>
  <c r="G73" i="13"/>
  <c r="G63" i="13"/>
  <c r="F64" i="13"/>
  <c r="F65" i="13"/>
  <c r="F66" i="13"/>
  <c r="F67" i="13"/>
  <c r="F68" i="13"/>
  <c r="F69" i="13"/>
  <c r="F70" i="13"/>
  <c r="F71" i="13"/>
  <c r="F72" i="13"/>
  <c r="F73" i="13"/>
  <c r="F63" i="13"/>
  <c r="E64" i="13"/>
  <c r="E65" i="13"/>
  <c r="E66" i="13"/>
  <c r="E67" i="13"/>
  <c r="E68" i="13"/>
  <c r="E69" i="13"/>
  <c r="E70" i="13"/>
  <c r="E71" i="13"/>
  <c r="E72" i="13"/>
  <c r="E73" i="13"/>
  <c r="E63" i="13"/>
  <c r="D64" i="13"/>
  <c r="D65" i="13"/>
  <c r="D66" i="13"/>
  <c r="D67" i="13"/>
  <c r="D68" i="13"/>
  <c r="D69" i="13"/>
  <c r="D70" i="13"/>
  <c r="D71" i="13"/>
  <c r="D72" i="13"/>
  <c r="D73" i="13"/>
  <c r="D63" i="13"/>
  <c r="C64" i="13"/>
  <c r="C65" i="13"/>
  <c r="C66" i="13"/>
  <c r="C67" i="13"/>
  <c r="C68" i="13"/>
  <c r="C69" i="13"/>
  <c r="C70" i="13"/>
  <c r="C71" i="13"/>
  <c r="C72" i="13"/>
  <c r="C73" i="13"/>
  <c r="C63" i="13"/>
  <c r="B64" i="13"/>
  <c r="B65" i="13"/>
  <c r="B66" i="13"/>
  <c r="B67" i="13"/>
  <c r="B68" i="13"/>
  <c r="B69" i="13"/>
  <c r="B70" i="13"/>
  <c r="B71" i="13"/>
  <c r="B72" i="13"/>
  <c r="B73" i="13"/>
  <c r="B63" i="13"/>
  <c r="B54" i="13"/>
  <c r="B52" i="13"/>
  <c r="L45" i="13"/>
  <c r="M45" i="13"/>
  <c r="N45" i="13"/>
  <c r="K45" i="13"/>
  <c r="L38" i="13"/>
  <c r="M38" i="13"/>
  <c r="N38" i="13"/>
  <c r="K38" i="13"/>
  <c r="C39" i="13"/>
  <c r="B20" i="13" l="1"/>
  <c r="B19" i="13"/>
  <c r="B71" i="6" l="1"/>
  <c r="G68" i="6"/>
  <c r="G70" i="6" s="1"/>
  <c r="G71" i="6" s="1"/>
  <c r="B68" i="6"/>
  <c r="B70" i="6"/>
  <c r="B67" i="6"/>
  <c r="G67" i="6"/>
  <c r="B65" i="6"/>
  <c r="B64" i="6"/>
  <c r="B63" i="6"/>
  <c r="B62" i="6"/>
  <c r="G62" i="6"/>
  <c r="G63" i="6" s="1"/>
  <c r="B61" i="6"/>
  <c r="G61" i="6"/>
  <c r="G60" i="6"/>
  <c r="G64" i="6" l="1"/>
  <c r="G65" i="6" s="1"/>
  <c r="G57" i="6"/>
  <c r="G56" i="6"/>
  <c r="B57" i="6"/>
  <c r="B56" i="6"/>
  <c r="G55" i="6"/>
  <c r="B55" i="6"/>
  <c r="B26" i="12"/>
  <c r="B25" i="12"/>
  <c r="B21" i="6" l="1"/>
  <c r="B7" i="11"/>
  <c r="C7" i="11"/>
  <c r="B6" i="11"/>
  <c r="C6" i="11"/>
  <c r="B5" i="11"/>
  <c r="C5" i="11"/>
  <c r="B26" i="11"/>
  <c r="B23" i="11"/>
  <c r="B25" i="11" s="1"/>
  <c r="B15" i="11"/>
  <c r="B17" i="11" s="1"/>
  <c r="B14" i="11"/>
  <c r="B13" i="11"/>
  <c r="C15" i="10"/>
  <c r="C14" i="10"/>
  <c r="K63" i="10"/>
  <c r="B67" i="10" s="1"/>
  <c r="B66" i="10"/>
  <c r="B63" i="10"/>
  <c r="C17" i="10" s="1"/>
  <c r="K61" i="10"/>
  <c r="B61" i="10"/>
  <c r="B54" i="10"/>
  <c r="B55" i="10" s="1"/>
  <c r="C9" i="10"/>
  <c r="B71" i="10" s="1"/>
  <c r="B19" i="10" s="1"/>
  <c r="B53" i="10"/>
  <c r="C11" i="10" s="1"/>
  <c r="B51" i="10"/>
  <c r="B50" i="10"/>
  <c r="B31" i="10"/>
  <c r="B30" i="10"/>
  <c r="B23" i="10"/>
  <c r="B24" i="10" s="1"/>
  <c r="B22" i="10"/>
  <c r="D102" i="9"/>
  <c r="D101" i="9"/>
  <c r="D100" i="9"/>
  <c r="D99" i="9"/>
  <c r="D98" i="9"/>
  <c r="D97" i="9"/>
  <c r="B102" i="9"/>
  <c r="B99" i="9"/>
  <c r="B100" i="9"/>
  <c r="B101" i="9"/>
  <c r="B98" i="9"/>
  <c r="B97" i="9"/>
  <c r="B93" i="9"/>
  <c r="B92" i="9"/>
  <c r="B91" i="9"/>
  <c r="B90" i="9"/>
  <c r="B86" i="9"/>
  <c r="B85" i="9"/>
  <c r="B84" i="9"/>
  <c r="B80" i="9"/>
  <c r="B83" i="9"/>
  <c r="B32" i="10" l="1"/>
  <c r="B26" i="10"/>
  <c r="C13" i="10"/>
  <c r="B9" i="10"/>
  <c r="B4" i="11"/>
  <c r="B18" i="11"/>
  <c r="B27" i="11" s="1"/>
  <c r="C4" i="11"/>
  <c r="B16" i="11"/>
  <c r="B20" i="9"/>
  <c r="C20" i="9"/>
  <c r="B19" i="9"/>
  <c r="C19" i="9"/>
  <c r="B79" i="9"/>
  <c r="B78" i="9"/>
  <c r="B77" i="9"/>
  <c r="B73" i="9"/>
  <c r="B72" i="9"/>
  <c r="B68" i="9"/>
  <c r="B67" i="9"/>
  <c r="B66" i="9"/>
  <c r="B65" i="9"/>
  <c r="B64" i="9"/>
  <c r="B63" i="9"/>
  <c r="B62" i="9"/>
  <c r="B61" i="9"/>
  <c r="B59" i="9"/>
  <c r="B58" i="9"/>
  <c r="B55" i="9"/>
  <c r="B54" i="9"/>
  <c r="B53" i="9"/>
  <c r="B52" i="9"/>
  <c r="B49" i="9"/>
  <c r="B48" i="9"/>
  <c r="B47" i="9"/>
  <c r="B46" i="9"/>
  <c r="B45" i="9"/>
  <c r="B44" i="9"/>
  <c r="B42" i="9"/>
  <c r="C7" i="12"/>
  <c r="B7" i="12"/>
  <c r="B6" i="12"/>
  <c r="B5" i="12"/>
  <c r="B32" i="12"/>
  <c r="B31" i="12"/>
  <c r="C5" i="12" s="1"/>
  <c r="B30" i="12"/>
  <c r="C6" i="12" s="1"/>
  <c r="B34" i="10" l="1"/>
  <c r="B65" i="10"/>
  <c r="C18" i="10" s="1"/>
  <c r="C8" i="10"/>
  <c r="B8" i="10" s="1"/>
  <c r="B32" i="11"/>
  <c r="B29" i="11"/>
  <c r="B28" i="11"/>
  <c r="C9" i="11" s="1"/>
  <c r="B9" i="11" s="1"/>
  <c r="C8" i="11"/>
  <c r="B8" i="11" s="1"/>
  <c r="B27" i="12"/>
  <c r="B14" i="12"/>
  <c r="B15" i="12"/>
  <c r="B16" i="12"/>
  <c r="B17" i="12"/>
  <c r="B18" i="12"/>
  <c r="B19" i="12"/>
  <c r="B20" i="12"/>
  <c r="B13" i="12"/>
  <c r="B80" i="8"/>
  <c r="B79" i="8"/>
  <c r="B77" i="8"/>
  <c r="B81" i="8" s="1"/>
  <c r="B82" i="8" s="1"/>
  <c r="B76" i="8"/>
  <c r="B14" i="8"/>
  <c r="C14" i="8"/>
  <c r="B11" i="8"/>
  <c r="C9" i="8"/>
  <c r="C7" i="8"/>
  <c r="C6" i="8"/>
  <c r="C11" i="8"/>
  <c r="B68" i="8"/>
  <c r="B69" i="8" s="1"/>
  <c r="B70" i="8" s="1"/>
  <c r="B66" i="8"/>
  <c r="B40" i="8"/>
  <c r="B41" i="8"/>
  <c r="B38" i="8"/>
  <c r="B37" i="8"/>
  <c r="B36" i="8"/>
  <c r="B34" i="8"/>
  <c r="B33" i="8"/>
  <c r="B28" i="8"/>
  <c r="B44" i="6"/>
  <c r="B43" i="6"/>
  <c r="B42" i="6"/>
  <c r="B41" i="6"/>
  <c r="B38" i="6"/>
  <c r="B37" i="6"/>
  <c r="B36" i="6"/>
  <c r="B34" i="6"/>
  <c r="B33" i="6"/>
  <c r="B32" i="6"/>
  <c r="B30" i="6"/>
  <c r="B29" i="6"/>
  <c r="B18" i="6"/>
  <c r="B17" i="6"/>
  <c r="B83" i="8" l="1"/>
  <c r="B88" i="8"/>
  <c r="B89" i="8" s="1"/>
  <c r="B90" i="8" s="1"/>
  <c r="B15" i="6"/>
  <c r="B16" i="6"/>
  <c r="B5" i="7"/>
  <c r="B22" i="7"/>
  <c r="E46" i="7"/>
  <c r="D46" i="7"/>
  <c r="C46" i="7"/>
  <c r="B93" i="8" l="1"/>
  <c r="C22" i="8"/>
  <c r="B84" i="8"/>
  <c r="C20" i="8" s="1"/>
  <c r="C19" i="8"/>
  <c r="B38" i="7"/>
  <c r="B31" i="7"/>
  <c r="E48" i="7" l="1"/>
  <c r="D48" i="7"/>
  <c r="C48" i="7"/>
  <c r="B19" i="7"/>
  <c r="B17" i="7"/>
  <c r="B20" i="7" s="1"/>
  <c r="B32" i="7" l="1"/>
  <c r="B60" i="7" s="1"/>
  <c r="B64" i="7" s="1"/>
  <c r="B33" i="7"/>
  <c r="B61" i="7" s="1"/>
  <c r="B65" i="7" s="1"/>
  <c r="B34" i="7"/>
  <c r="B62" i="7" s="1"/>
  <c r="B66" i="7" s="1"/>
  <c r="B25" i="7"/>
  <c r="B11" i="6"/>
  <c r="B12" i="6" s="1"/>
  <c r="C8" i="2"/>
  <c r="B8" i="2"/>
  <c r="C7" i="2"/>
  <c r="B7" i="2"/>
  <c r="C5" i="2"/>
  <c r="B4" i="2"/>
  <c r="C4" i="2" s="1"/>
  <c r="B13" i="6" l="1"/>
  <c r="B14" i="6" s="1"/>
  <c r="B39" i="7"/>
  <c r="B27" i="7"/>
  <c r="C47" i="7" l="1"/>
  <c r="D47" i="7"/>
  <c r="E47" i="7"/>
  <c r="E45" i="7"/>
  <c r="C45" i="7"/>
  <c r="D45" i="7"/>
</calcChain>
</file>

<file path=xl/sharedStrings.xml><?xml version="1.0" encoding="utf-8"?>
<sst xmlns="http://schemas.openxmlformats.org/spreadsheetml/2006/main" count="1068" uniqueCount="715">
  <si>
    <t>Table 3. Design flow rates of the surface water treatment plant.</t>
  </si>
  <si>
    <t>Flow rate of product water (production capacity)</t>
  </si>
  <si>
    <t xml:space="preserve">Flow rate of raw water intake </t>
  </si>
  <si>
    <t>-        Entire plant</t>
  </si>
  <si>
    <t>-        Per parallel treatment line</t>
  </si>
  <si>
    <r>
      <t>Q</t>
    </r>
    <r>
      <rPr>
        <vertAlign val="subscript"/>
        <sz val="10"/>
        <color theme="1"/>
        <rFont val="Arial"/>
        <family val="2"/>
      </rPr>
      <t>d</t>
    </r>
    <r>
      <rPr>
        <sz val="10"/>
        <color theme="1"/>
        <rFont val="Arial"/>
        <family val="2"/>
      </rPr>
      <t xml:space="preserve"> (m</t>
    </r>
    <r>
      <rPr>
        <vertAlign val="superscript"/>
        <sz val="10"/>
        <color theme="1"/>
        <rFont val="Arial"/>
        <family val="2"/>
      </rPr>
      <t>3</t>
    </r>
    <r>
      <rPr>
        <sz val="10"/>
        <color theme="1"/>
        <rFont val="Arial"/>
        <family val="2"/>
      </rPr>
      <t>/d; 20 h)</t>
    </r>
  </si>
  <si>
    <r>
      <t>q</t>
    </r>
    <r>
      <rPr>
        <vertAlign val="subscript"/>
        <sz val="10"/>
        <color theme="1"/>
        <rFont val="Arial"/>
        <family val="2"/>
      </rPr>
      <t>h</t>
    </r>
    <r>
      <rPr>
        <sz val="10"/>
        <color theme="1"/>
        <rFont val="Arial"/>
        <family val="2"/>
      </rPr>
      <t xml:space="preserve"> (m</t>
    </r>
    <r>
      <rPr>
        <vertAlign val="superscript"/>
        <sz val="10"/>
        <color theme="1"/>
        <rFont val="Arial"/>
        <family val="2"/>
      </rPr>
      <t>3</t>
    </r>
    <r>
      <rPr>
        <sz val="10"/>
        <color theme="1"/>
        <rFont val="Arial"/>
        <family val="2"/>
      </rPr>
      <t>/h)</t>
    </r>
  </si>
  <si>
    <t xml:space="preserve">Characteristic(s) to be altered or removed </t>
  </si>
  <si>
    <t>Target value/range</t>
  </si>
  <si>
    <t>Justification and reference</t>
  </si>
  <si>
    <t xml:space="preserve">Table 4. Raw water characteristics that should be altered and target values for the chosen parameters </t>
  </si>
  <si>
    <t xml:space="preserve">Where should the flow rate of raw water going to the treatment plant be measured from? What kind of flow meter is used? </t>
  </si>
  <si>
    <t xml:space="preserve">Table 5. Chemicals and their dosage in chemical coagulation. </t>
  </si>
  <si>
    <t>Chemical</t>
  </si>
  <si>
    <t>Dosage</t>
  </si>
  <si>
    <t>Chemical consumption</t>
  </si>
  <si>
    <t xml:space="preserve">PIX-322 </t>
  </si>
  <si>
    <t>Calcium hydroxide (Ca(OH)2)</t>
  </si>
  <si>
    <t>in hour</t>
  </si>
  <si>
    <t>per day</t>
  </si>
  <si>
    <r>
      <t>Lime water (Ca(OH)</t>
    </r>
    <r>
      <rPr>
        <vertAlign val="subscript"/>
        <sz val="11"/>
        <color theme="1"/>
        <rFont val="Calibri"/>
        <family val="2"/>
        <scheme val="minor"/>
      </rPr>
      <t>2</t>
    </r>
    <r>
      <rPr>
        <sz val="11"/>
        <color theme="1"/>
        <rFont val="Calibri"/>
        <family val="2"/>
        <scheme val="minor"/>
      </rPr>
      <t>, 1.1 kg/m</t>
    </r>
    <r>
      <rPr>
        <vertAlign val="superscript"/>
        <sz val="11"/>
        <color theme="1"/>
        <rFont val="Calibri"/>
        <family val="2"/>
        <scheme val="minor"/>
      </rPr>
      <t>3</t>
    </r>
    <r>
      <rPr>
        <sz val="11"/>
        <color theme="1"/>
        <rFont val="Calibri"/>
        <family val="2"/>
        <scheme val="minor"/>
      </rPr>
      <t>)</t>
    </r>
  </si>
  <si>
    <r>
      <t>PIX-solution (density 1560 kg/m</t>
    </r>
    <r>
      <rPr>
        <vertAlign val="superscript"/>
        <sz val="11"/>
        <color theme="1"/>
        <rFont val="Calibri"/>
        <family val="2"/>
        <scheme val="minor"/>
      </rPr>
      <t>3</t>
    </r>
    <r>
      <rPr>
        <sz val="11"/>
        <color theme="1"/>
        <rFont val="Calibri"/>
        <family val="2"/>
        <scheme val="minor"/>
      </rPr>
      <t>)</t>
    </r>
  </si>
  <si>
    <t>Table 6. Design of flocculation at the treatment plant.</t>
  </si>
  <si>
    <t>Whole plant</t>
  </si>
  <si>
    <t>Per line</t>
  </si>
  <si>
    <t>Detention time (min)</t>
  </si>
  <si>
    <t>Number of basins</t>
  </si>
  <si>
    <t>Dimensions of one basin, width x length x depth (m)</t>
  </si>
  <si>
    <t>Velocity gradient, G (1/s), basin 1/2/3</t>
  </si>
  <si>
    <t>Input power (W), basin 1/2/3</t>
  </si>
  <si>
    <r>
      <t>Flow rate in design situation (m</t>
    </r>
    <r>
      <rPr>
        <vertAlign val="superscript"/>
        <sz val="11"/>
        <color theme="1"/>
        <rFont val="Calibri"/>
        <family val="2"/>
        <scheme val="minor"/>
      </rPr>
      <t>3</t>
    </r>
    <r>
      <rPr>
        <sz val="11"/>
        <color theme="1"/>
        <rFont val="Calibri"/>
        <family val="2"/>
        <scheme val="minor"/>
      </rPr>
      <t>/h)</t>
    </r>
  </si>
  <si>
    <r>
      <t>Total volume (m</t>
    </r>
    <r>
      <rPr>
        <vertAlign val="superscript"/>
        <sz val="11"/>
        <color theme="1"/>
        <rFont val="Calibri"/>
        <family val="2"/>
        <scheme val="minor"/>
      </rPr>
      <t>3</t>
    </r>
    <r>
      <rPr>
        <sz val="11"/>
        <color theme="1"/>
        <rFont val="Calibri"/>
        <family val="2"/>
        <scheme val="minor"/>
      </rPr>
      <t>)</t>
    </r>
  </si>
  <si>
    <r>
      <t>Volume per basin (m</t>
    </r>
    <r>
      <rPr>
        <vertAlign val="superscript"/>
        <sz val="11"/>
        <color theme="1"/>
        <rFont val="Calibri"/>
        <family val="2"/>
        <scheme val="minor"/>
      </rPr>
      <t>3</t>
    </r>
    <r>
      <rPr>
        <sz val="11"/>
        <color theme="1"/>
        <rFont val="Calibri"/>
        <family val="2"/>
        <scheme val="minor"/>
      </rPr>
      <t>)</t>
    </r>
  </si>
  <si>
    <t>Table 7. Design of flotation of surface water treatment plant.</t>
  </si>
  <si>
    <t>Hydraulic loading (m/h)</t>
  </si>
  <si>
    <t>Hydraulic retention time (min)</t>
  </si>
  <si>
    <t>Gauge pressure of dispersion water (kPa)</t>
  </si>
  <si>
    <t>Table 8. Estimation of flotation sludge generation at surface water treatment plant.</t>
  </si>
  <si>
    <t>Mass of solids to be removed (kg TS/h)</t>
  </si>
  <si>
    <t>Suspended solids in flotation sludge (% ww)</t>
  </si>
  <si>
    <r>
      <t>Flow rate (m</t>
    </r>
    <r>
      <rPr>
        <vertAlign val="superscript"/>
        <sz val="11"/>
        <color theme="1"/>
        <rFont val="Calibri"/>
        <family val="2"/>
        <scheme val="minor"/>
      </rPr>
      <t>3</t>
    </r>
    <r>
      <rPr>
        <sz val="11"/>
        <color theme="1"/>
        <rFont val="Calibri"/>
        <family val="2"/>
        <scheme val="minor"/>
      </rPr>
      <t xml:space="preserve">/h) </t>
    </r>
  </si>
  <si>
    <r>
      <t>Surface area (m</t>
    </r>
    <r>
      <rPr>
        <vertAlign val="superscript"/>
        <sz val="11"/>
        <color theme="1"/>
        <rFont val="Calibri"/>
        <family val="2"/>
        <scheme val="minor"/>
      </rPr>
      <t>2</t>
    </r>
    <r>
      <rPr>
        <sz val="11"/>
        <color theme="1"/>
        <rFont val="Calibri"/>
        <family val="2"/>
        <scheme val="minor"/>
      </rPr>
      <t>), total</t>
    </r>
  </si>
  <si>
    <r>
      <t>Volume (m</t>
    </r>
    <r>
      <rPr>
        <vertAlign val="superscript"/>
        <sz val="11"/>
        <color theme="1"/>
        <rFont val="Calibri"/>
        <family val="2"/>
        <scheme val="minor"/>
      </rPr>
      <t>3</t>
    </r>
    <r>
      <rPr>
        <sz val="11"/>
        <color theme="1"/>
        <rFont val="Calibri"/>
        <family val="2"/>
        <scheme val="minor"/>
      </rPr>
      <t>), total</t>
    </r>
  </si>
  <si>
    <r>
      <t>Flow rate of dispersion water (m</t>
    </r>
    <r>
      <rPr>
        <vertAlign val="superscript"/>
        <sz val="11"/>
        <color theme="1"/>
        <rFont val="Calibri"/>
        <family val="2"/>
        <scheme val="minor"/>
      </rPr>
      <t>3</t>
    </r>
    <r>
      <rPr>
        <sz val="11"/>
        <color theme="1"/>
        <rFont val="Calibri"/>
        <family val="2"/>
        <scheme val="minor"/>
      </rPr>
      <t>/h)</t>
    </r>
  </si>
  <si>
    <r>
      <t>Feed of dispersion air (g/water-m</t>
    </r>
    <r>
      <rPr>
        <vertAlign val="superscript"/>
        <sz val="11"/>
        <color theme="1"/>
        <rFont val="Calibri"/>
        <family val="2"/>
        <scheme val="minor"/>
      </rPr>
      <t>3</t>
    </r>
    <r>
      <rPr>
        <sz val="11"/>
        <color theme="1"/>
        <rFont val="Calibri"/>
        <family val="2"/>
        <scheme val="minor"/>
      </rPr>
      <t>)</t>
    </r>
  </si>
  <si>
    <r>
      <t>Production of dispersion air (Nm</t>
    </r>
    <r>
      <rPr>
        <vertAlign val="superscript"/>
        <sz val="11"/>
        <color theme="1"/>
        <rFont val="Calibri"/>
        <family val="2"/>
        <scheme val="minor"/>
      </rPr>
      <t>3</t>
    </r>
    <r>
      <rPr>
        <sz val="11"/>
        <color theme="1"/>
        <rFont val="Calibri"/>
        <family val="2"/>
        <scheme val="minor"/>
      </rPr>
      <t>/h)</t>
    </r>
  </si>
  <si>
    <r>
      <t>Solids removed from water (kg TS/water-m</t>
    </r>
    <r>
      <rPr>
        <vertAlign val="superscript"/>
        <sz val="11"/>
        <color theme="1"/>
        <rFont val="Calibri"/>
        <family val="2"/>
        <scheme val="minor"/>
      </rPr>
      <t>3</t>
    </r>
    <r>
      <rPr>
        <sz val="11"/>
        <color theme="1"/>
        <rFont val="Calibri"/>
        <family val="2"/>
        <scheme val="minor"/>
      </rPr>
      <t xml:space="preserve">) </t>
    </r>
  </si>
  <si>
    <r>
      <t>Production of flotation sludge (m</t>
    </r>
    <r>
      <rPr>
        <vertAlign val="superscript"/>
        <sz val="11"/>
        <color theme="1"/>
        <rFont val="Calibri"/>
        <family val="2"/>
        <scheme val="minor"/>
      </rPr>
      <t>3</t>
    </r>
    <r>
      <rPr>
        <sz val="11"/>
        <color theme="1"/>
        <rFont val="Calibri"/>
        <family val="2"/>
        <scheme val="minor"/>
      </rPr>
      <t>/h)</t>
    </r>
  </si>
  <si>
    <t>Estimates</t>
  </si>
  <si>
    <t>Chemical consumption, when</t>
  </si>
  <si>
    <t>TOC/taste and odor:</t>
  </si>
  <si>
    <t>Mn oxidation (in summer):</t>
  </si>
  <si>
    <t>Total:</t>
  </si>
  <si>
    <t>Ozonator capacity</t>
  </si>
  <si>
    <t>--</t>
  </si>
  <si>
    <r>
      <t>Ozone O</t>
    </r>
    <r>
      <rPr>
        <vertAlign val="subscript"/>
        <sz val="11"/>
        <color theme="1"/>
        <rFont val="Calibri"/>
        <family val="2"/>
        <scheme val="minor"/>
      </rPr>
      <t>3</t>
    </r>
  </si>
  <si>
    <r>
      <t>Oxygen used to produce O</t>
    </r>
    <r>
      <rPr>
        <vertAlign val="subscript"/>
        <sz val="11"/>
        <color theme="1"/>
        <rFont val="Calibri"/>
        <family val="2"/>
        <scheme val="minor"/>
      </rPr>
      <t>3</t>
    </r>
  </si>
  <si>
    <r>
      <t>7 Nm</t>
    </r>
    <r>
      <rPr>
        <vertAlign val="superscript"/>
        <sz val="11"/>
        <color theme="1"/>
        <rFont val="Calibri"/>
        <family val="2"/>
        <scheme val="minor"/>
      </rPr>
      <t>3</t>
    </r>
    <r>
      <rPr>
        <sz val="11"/>
        <color theme="1"/>
        <rFont val="Calibri"/>
        <family val="2"/>
        <scheme val="minor"/>
      </rPr>
      <t xml:space="preserve"> O</t>
    </r>
    <r>
      <rPr>
        <vertAlign val="subscript"/>
        <sz val="11"/>
        <color theme="1"/>
        <rFont val="Calibri"/>
        <family val="2"/>
        <scheme val="minor"/>
      </rPr>
      <t>2</t>
    </r>
    <r>
      <rPr>
        <sz val="11"/>
        <color theme="1"/>
        <rFont val="Calibri"/>
        <family val="2"/>
        <scheme val="minor"/>
      </rPr>
      <t>/kg O</t>
    </r>
    <r>
      <rPr>
        <vertAlign val="subscript"/>
        <sz val="11"/>
        <color theme="1"/>
        <rFont val="Calibri"/>
        <family val="2"/>
        <scheme val="minor"/>
      </rPr>
      <t>3</t>
    </r>
  </si>
  <si>
    <r>
      <t>Oxygen used to produce O</t>
    </r>
    <r>
      <rPr>
        <vertAlign val="subscript"/>
        <sz val="11"/>
        <color theme="1"/>
        <rFont val="Calibri"/>
        <family val="2"/>
        <scheme val="minor"/>
      </rPr>
      <t>3</t>
    </r>
    <r>
      <rPr>
        <sz val="11"/>
        <color theme="1"/>
        <rFont val="Calibri"/>
        <family val="2"/>
        <scheme val="minor"/>
      </rPr>
      <t xml:space="preserve">: </t>
    </r>
  </si>
  <si>
    <t>Table 10. Design of ozone contact basins.</t>
  </si>
  <si>
    <t>HRT (min)</t>
  </si>
  <si>
    <r>
      <t>Volume (m</t>
    </r>
    <r>
      <rPr>
        <vertAlign val="superscript"/>
        <sz val="11"/>
        <color theme="1"/>
        <rFont val="Calibri"/>
        <family val="2"/>
        <scheme val="minor"/>
      </rPr>
      <t>3</t>
    </r>
    <r>
      <rPr>
        <sz val="11"/>
        <color theme="1"/>
        <rFont val="Calibri"/>
        <family val="2"/>
        <scheme val="minor"/>
      </rPr>
      <t xml:space="preserve">), total </t>
    </r>
  </si>
  <si>
    <r>
      <t>Area (m</t>
    </r>
    <r>
      <rPr>
        <vertAlign val="superscript"/>
        <sz val="11"/>
        <color theme="1"/>
        <rFont val="Calibri"/>
        <family val="2"/>
        <scheme val="minor"/>
      </rPr>
      <t>2</t>
    </r>
    <r>
      <rPr>
        <sz val="11"/>
        <color theme="1"/>
        <rFont val="Calibri"/>
        <family val="2"/>
        <scheme val="minor"/>
      </rPr>
      <t>), total</t>
    </r>
  </si>
  <si>
    <t>Table 11. Chemicals and their dosage in oxidation of manganese. The dosage is enough to cover alkalinity consumed by oxidation of residual iron provided that iron concentration after flotation does not exceed 0.2 mg/l.</t>
  </si>
  <si>
    <t>Chemical consumption when</t>
  </si>
  <si>
    <t>Oxidation of manganese:</t>
  </si>
  <si>
    <r>
      <t>Calcium hydroxide (Ca(OH)</t>
    </r>
    <r>
      <rPr>
        <vertAlign val="subscript"/>
        <sz val="11"/>
        <color theme="1"/>
        <rFont val="Arial"/>
        <family val="2"/>
      </rPr>
      <t>2</t>
    </r>
    <r>
      <rPr>
        <sz val="11"/>
        <color theme="1"/>
        <rFont val="Arial"/>
        <family val="2"/>
      </rPr>
      <t>)</t>
    </r>
  </si>
  <si>
    <r>
      <t>Lime water (Ca(OH)</t>
    </r>
    <r>
      <rPr>
        <vertAlign val="subscript"/>
        <sz val="11"/>
        <color theme="1"/>
        <rFont val="Arial"/>
        <family val="2"/>
      </rPr>
      <t>2</t>
    </r>
    <r>
      <rPr>
        <sz val="11"/>
        <color theme="1"/>
        <rFont val="Arial"/>
        <family val="2"/>
      </rPr>
      <t>, 1.1 kg/m</t>
    </r>
    <r>
      <rPr>
        <vertAlign val="superscript"/>
        <sz val="11"/>
        <color theme="1"/>
        <rFont val="Arial"/>
        <family val="2"/>
      </rPr>
      <t>3</t>
    </r>
    <r>
      <rPr>
        <sz val="11"/>
        <color theme="1"/>
        <rFont val="Arial"/>
        <family val="2"/>
      </rPr>
      <t>)</t>
    </r>
  </si>
  <si>
    <t>Oxidation of iron:</t>
  </si>
  <si>
    <r>
      <t>Lime water (Ca(OH), 1.1 kg/m</t>
    </r>
    <r>
      <rPr>
        <vertAlign val="superscript"/>
        <sz val="11"/>
        <color theme="1"/>
        <rFont val="Arial"/>
        <family val="2"/>
      </rPr>
      <t>3</t>
    </r>
    <r>
      <rPr>
        <sz val="11"/>
        <color theme="1"/>
        <rFont val="Arial"/>
        <family val="2"/>
      </rPr>
      <t>)</t>
    </r>
  </si>
  <si>
    <t>Table 12. Design of sand filters.</t>
  </si>
  <si>
    <t>Per filter (except number of filters which is per line)</t>
  </si>
  <si>
    <t>Number of filters</t>
  </si>
  <si>
    <t>Filtration rate (m/h)</t>
  </si>
  <si>
    <t>EBCT (min)</t>
  </si>
  <si>
    <t>Depth of filter bed (m)</t>
  </si>
  <si>
    <t>Necessary height of the basin (m)</t>
  </si>
  <si>
    <t>Dimensions of one basin, width, length, depth (m)</t>
  </si>
  <si>
    <t>Total duration of backwashing (min)</t>
  </si>
  <si>
    <r>
      <t>Flow rate (m</t>
    </r>
    <r>
      <rPr>
        <vertAlign val="superscript"/>
        <sz val="11"/>
        <color theme="1"/>
        <rFont val="Calibri"/>
        <family val="2"/>
        <scheme val="minor"/>
      </rPr>
      <t>3</t>
    </r>
    <r>
      <rPr>
        <sz val="11"/>
        <color theme="1"/>
        <rFont val="Calibri"/>
        <family val="2"/>
        <scheme val="minor"/>
      </rPr>
      <t>/h)</t>
    </r>
  </si>
  <si>
    <r>
      <t>Area (m</t>
    </r>
    <r>
      <rPr>
        <vertAlign val="superscript"/>
        <sz val="11"/>
        <color theme="1"/>
        <rFont val="Calibri"/>
        <family val="2"/>
        <scheme val="minor"/>
      </rPr>
      <t>2</t>
    </r>
    <r>
      <rPr>
        <sz val="11"/>
        <color theme="1"/>
        <rFont val="Calibri"/>
        <family val="2"/>
        <scheme val="minor"/>
      </rPr>
      <t xml:space="preserve">) </t>
    </r>
  </si>
  <si>
    <r>
      <t>Volume of filter bed (m</t>
    </r>
    <r>
      <rPr>
        <vertAlign val="superscript"/>
        <sz val="11"/>
        <color theme="1"/>
        <rFont val="Calibri"/>
        <family val="2"/>
        <scheme val="minor"/>
      </rPr>
      <t>3</t>
    </r>
    <r>
      <rPr>
        <sz val="11"/>
        <color theme="1"/>
        <rFont val="Calibri"/>
        <family val="2"/>
        <scheme val="minor"/>
      </rPr>
      <t>)</t>
    </r>
  </si>
  <si>
    <r>
      <t>Volume of backwashing water per filter (m</t>
    </r>
    <r>
      <rPr>
        <vertAlign val="superscript"/>
        <sz val="11"/>
        <color theme="1"/>
        <rFont val="Calibri"/>
        <family val="2"/>
        <scheme val="minor"/>
      </rPr>
      <t>3</t>
    </r>
    <r>
      <rPr>
        <sz val="11"/>
        <color theme="1"/>
        <rFont val="Calibri"/>
        <family val="2"/>
        <scheme val="minor"/>
      </rPr>
      <t>)</t>
    </r>
  </si>
  <si>
    <r>
      <t>Backwashing air used per filter (Nm</t>
    </r>
    <r>
      <rPr>
        <vertAlign val="superscript"/>
        <sz val="11"/>
        <color theme="1"/>
        <rFont val="Calibri"/>
        <family val="2"/>
        <scheme val="minor"/>
      </rPr>
      <t>3</t>
    </r>
    <r>
      <rPr>
        <sz val="11"/>
        <color theme="1"/>
        <rFont val="Calibri"/>
        <family val="2"/>
        <scheme val="minor"/>
      </rPr>
      <t>/min*m</t>
    </r>
    <r>
      <rPr>
        <vertAlign val="superscript"/>
        <sz val="11"/>
        <color theme="1"/>
        <rFont val="Calibri"/>
        <family val="2"/>
        <scheme val="minor"/>
      </rPr>
      <t>2</t>
    </r>
    <r>
      <rPr>
        <sz val="11"/>
        <color theme="1"/>
        <rFont val="Calibri"/>
        <family val="2"/>
        <scheme val="minor"/>
      </rPr>
      <t>)</t>
    </r>
  </si>
  <si>
    <r>
      <t>Production of backwashing air (Nm</t>
    </r>
    <r>
      <rPr>
        <vertAlign val="superscript"/>
        <sz val="11"/>
        <color theme="1"/>
        <rFont val="Calibri"/>
        <family val="2"/>
        <scheme val="minor"/>
      </rPr>
      <t>3</t>
    </r>
    <r>
      <rPr>
        <sz val="11"/>
        <color theme="1"/>
        <rFont val="Calibri"/>
        <family val="2"/>
        <scheme val="minor"/>
      </rPr>
      <t>/h)</t>
    </r>
  </si>
  <si>
    <r>
      <t>Volume of backwashing water basin (m</t>
    </r>
    <r>
      <rPr>
        <vertAlign val="superscript"/>
        <sz val="11"/>
        <color theme="1"/>
        <rFont val="Calibri"/>
        <family val="2"/>
        <scheme val="minor"/>
      </rPr>
      <t>3</t>
    </r>
    <r>
      <rPr>
        <sz val="11"/>
        <color theme="1"/>
        <rFont val="Calibri"/>
        <family val="2"/>
        <scheme val="minor"/>
      </rPr>
      <t>)</t>
    </r>
  </si>
  <si>
    <t xml:space="preserve">Table 13. Design of GAC filters. </t>
  </si>
  <si>
    <t>Empty bed contact time (EBCT, min)</t>
  </si>
  <si>
    <t xml:space="preserve">Filtration rate (m/h) </t>
  </si>
  <si>
    <t>Height of bed (m)</t>
  </si>
  <si>
    <t>Dimensions of filter bed, width x length x height (m)</t>
  </si>
  <si>
    <r>
      <t>Area of bed (m</t>
    </r>
    <r>
      <rPr>
        <vertAlign val="superscript"/>
        <sz val="11"/>
        <color theme="1"/>
        <rFont val="Calibri"/>
        <family val="2"/>
        <scheme val="minor"/>
      </rPr>
      <t>2</t>
    </r>
    <r>
      <rPr>
        <sz val="11"/>
        <color theme="1"/>
        <rFont val="Calibri"/>
        <family val="2"/>
        <scheme val="minor"/>
      </rPr>
      <t xml:space="preserve">) </t>
    </r>
  </si>
  <si>
    <r>
      <t>Volume of bed (m</t>
    </r>
    <r>
      <rPr>
        <vertAlign val="superscript"/>
        <sz val="11"/>
        <color theme="1"/>
        <rFont val="Calibri"/>
        <family val="2"/>
        <scheme val="minor"/>
      </rPr>
      <t>3</t>
    </r>
    <r>
      <rPr>
        <sz val="11"/>
        <color theme="1"/>
        <rFont val="Calibri"/>
        <family val="2"/>
        <scheme val="minor"/>
      </rPr>
      <t>)</t>
    </r>
  </si>
  <si>
    <t>Task: Estimate based on Davis (2010) appendix D-12, what is the reduction of Cryptosporidium and Giardia Lamblia cysts and viruses using intensity of 400 J/m2 (in ideal situation). Calculate results both as log inactivation (log(N/N0)) and removal efficiency (%) [=100%*(N0-N)/N0)]. (see also Davis (2010) Figure 13-7).</t>
  </si>
  <si>
    <t>Table 20. Raw water characteristics that should be altered and alternative treatment options.</t>
  </si>
  <si>
    <t>Treatment options</t>
  </si>
  <si>
    <t xml:space="preserve">Draw simplified process flow layout (e.g. made of rectangles and arrows) of the water treatment process planned. The layout should show at least number of parallel lines, treatment stages of water and sludge (parallel units specified), water and sludge flow directions, chemicals added (including points in which added). Discuss, if there is a possibility to cross-run the lines in process maintenance situations. </t>
  </si>
  <si>
    <t>Table 14. Design of stabilization (increase of hardness, alkalinity and pH), the used chemicals and their dosage.</t>
  </si>
  <si>
    <r>
      <t>Carbon dioxide (CO</t>
    </r>
    <r>
      <rPr>
        <vertAlign val="subscript"/>
        <sz val="11"/>
        <color theme="1"/>
        <rFont val="Calibri"/>
        <family val="2"/>
        <scheme val="minor"/>
      </rPr>
      <t>2</t>
    </r>
    <r>
      <rPr>
        <sz val="11"/>
        <color theme="1"/>
        <rFont val="Calibri"/>
        <family val="2"/>
        <scheme val="minor"/>
      </rPr>
      <t>)</t>
    </r>
  </si>
  <si>
    <r>
      <t>Calcium hydroxide (Ca(OH)</t>
    </r>
    <r>
      <rPr>
        <vertAlign val="subscript"/>
        <sz val="11"/>
        <color theme="1"/>
        <rFont val="Calibri"/>
        <family val="2"/>
        <scheme val="minor"/>
      </rPr>
      <t>2</t>
    </r>
    <r>
      <rPr>
        <sz val="11"/>
        <color theme="1"/>
        <rFont val="Calibri"/>
        <family val="2"/>
        <scheme val="minor"/>
      </rPr>
      <t>)</t>
    </r>
  </si>
  <si>
    <r>
      <t>Lime water (Ca(OH)</t>
    </r>
    <r>
      <rPr>
        <vertAlign val="subscript"/>
        <sz val="11"/>
        <color theme="1"/>
        <rFont val="Calibri"/>
        <family val="2"/>
        <scheme val="minor"/>
      </rPr>
      <t>2</t>
    </r>
    <r>
      <rPr>
        <sz val="11"/>
        <color theme="1"/>
        <rFont val="Calibri"/>
        <family val="2"/>
        <scheme val="minor"/>
      </rPr>
      <t>, 1.1 kg/m</t>
    </r>
    <r>
      <rPr>
        <vertAlign val="superscript"/>
        <sz val="11"/>
        <color theme="1"/>
        <rFont val="Calibri"/>
        <family val="2"/>
        <scheme val="minor"/>
      </rPr>
      <t>3</t>
    </r>
    <r>
      <rPr>
        <sz val="11"/>
        <color theme="1"/>
        <rFont val="Calibri"/>
        <family val="2"/>
        <scheme val="minor"/>
      </rPr>
      <t>)</t>
    </r>
  </si>
  <si>
    <t xml:space="preserve">Table 15. Dosage of calcium hydroxide and lime water. </t>
  </si>
  <si>
    <t xml:space="preserve">Chemical consumption, </t>
  </si>
  <si>
    <t>Tip speed (m/s), basin 1/2/3</t>
  </si>
  <si>
    <t>Backwash flow rate (m/h) in water air backwashing</t>
  </si>
  <si>
    <t>Backwash flow rate in water backwashing (m/h)</t>
  </si>
  <si>
    <r>
      <t>Volume of water per basin (m</t>
    </r>
    <r>
      <rPr>
        <vertAlign val="superscript"/>
        <sz val="11"/>
        <color theme="1"/>
        <rFont val="Calibri"/>
        <family val="2"/>
        <scheme val="minor"/>
      </rPr>
      <t>3</t>
    </r>
    <r>
      <rPr>
        <sz val="11"/>
        <color theme="1"/>
        <rFont val="Calibri"/>
        <family val="2"/>
        <scheme val="minor"/>
      </rPr>
      <t>)</t>
    </r>
  </si>
  <si>
    <t>Table 14. Removal of Giardia, Cryptosporidium and viruses in UV disinfection</t>
  </si>
  <si>
    <r>
      <t>log(N/N</t>
    </r>
    <r>
      <rPr>
        <vertAlign val="subscript"/>
        <sz val="11"/>
        <color theme="1"/>
        <rFont val="Arial"/>
        <family val="2"/>
      </rPr>
      <t>0</t>
    </r>
    <r>
      <rPr>
        <sz val="11"/>
        <color theme="1"/>
        <rFont val="Arial"/>
        <family val="2"/>
      </rPr>
      <t>)</t>
    </r>
  </si>
  <si>
    <t>Removal efficiency (%)</t>
  </si>
  <si>
    <t>Giardia</t>
  </si>
  <si>
    <t>Cryptosporidium</t>
  </si>
  <si>
    <t>Viruses</t>
  </si>
  <si>
    <t>Table 16. Design of lime silo.</t>
  </si>
  <si>
    <r>
      <t>Volume of lime silo (m</t>
    </r>
    <r>
      <rPr>
        <vertAlign val="superscript"/>
        <sz val="11"/>
        <color theme="1"/>
        <rFont val="Arial"/>
        <family val="2"/>
      </rPr>
      <t>3</t>
    </r>
    <r>
      <rPr>
        <sz val="11"/>
        <color theme="1"/>
        <rFont val="Arial"/>
        <family val="2"/>
      </rPr>
      <t>)</t>
    </r>
  </si>
  <si>
    <t>Interval of filling lime silo (d)</t>
  </si>
  <si>
    <t>The flow rate of product water is calculated by: 9000 + (last digit of student number)*1000 (m3/d)</t>
  </si>
  <si>
    <t xml:space="preserve">The flow rate of raw water intake is 110% of the flow rate of product water </t>
  </si>
  <si>
    <t>In this project work, 2 parallel treatment lines are assumed to be used as the main treatment line. In addition, there will be another back up lines for each of the main lines.</t>
  </si>
  <si>
    <t>In total, there will be 4 lines in the plant, but only 2 of them are operated. The other two are used when one of the main line are broken or in maintenance.</t>
  </si>
  <si>
    <t>In each of the line, there is 1 coagulation / flocculation, 1 sedimentation basin / 1 flotation basin, 1 filtration, 1 disinfection unit.</t>
  </si>
  <si>
    <t>COD(Mn) (5.6-6.2 mg/L)</t>
  </si>
  <si>
    <t>&lt; 2.0 mgO2/L</t>
  </si>
  <si>
    <t>To minimize production of unwanted disinfection by-products (Additional requirements from Project work instrucstion)</t>
  </si>
  <si>
    <t>TOC (5.8-6.9 mg/L)</t>
  </si>
  <si>
    <t>&lt; 2.0 mg/L</t>
  </si>
  <si>
    <t>Al (max = 210 μg/L)</t>
  </si>
  <si>
    <t>&lt; 200 μg/L</t>
  </si>
  <si>
    <t>Decree 1352/2015 of the Ministry of Social Affairs and Health, table 4, quality recommendation</t>
  </si>
  <si>
    <t>Fe (max = 250 μg/L)</t>
  </si>
  <si>
    <t>Mn (510 μg/L)</t>
  </si>
  <si>
    <t>&lt; 50 μg/L</t>
  </si>
  <si>
    <t>Turbidity (max = 19)</t>
  </si>
  <si>
    <t>&lt; 1 NTU</t>
  </si>
  <si>
    <t>Escherichia coli (Average = 2.9 mpn/100ml)</t>
  </si>
  <si>
    <t>0 pmy/100 ml</t>
  </si>
  <si>
    <t>Decree 1352/2015 of the Ministry of Social Affairs and Health, table 1, microbiogical quality recommendation</t>
  </si>
  <si>
    <t>Coliform bacteria (Average = 15.1 mpn/100ml)</t>
  </si>
  <si>
    <t>Product water should not contain algae or have detectable odour or taste (Additional requirements from Project work instrucstion)</t>
  </si>
  <si>
    <t>Other technical quality objectives should be set e.g. to eliminate corrosion of distribution network? List technical quality requirements and quality objectives for these parameters. Justify your choices.</t>
  </si>
  <si>
    <t xml:space="preserve">Characteristic(s)  </t>
  </si>
  <si>
    <t>Maximum/unit</t>
  </si>
  <si>
    <t>Chloride</t>
  </si>
  <si>
    <t>25 mg/l</t>
  </si>
  <si>
    <t>The water must not be corrosive and to prevent corrosibing of water supply materials (decree 1352/2015 of the Ministry of Social Affairs and Health, table 4, quality recommendation)</t>
  </si>
  <si>
    <t xml:space="preserve">Sulphate </t>
  </si>
  <si>
    <t>150 mg/l</t>
  </si>
  <si>
    <t>Electrical conductivity</t>
  </si>
  <si>
    <t>2500 μS/cm</t>
  </si>
  <si>
    <t>The water must not be corrosive  (decree 1352/2015 of the Ministry of Social Affairs and Health, table 4, quality recommendation)</t>
  </si>
  <si>
    <t>pH</t>
  </si>
  <si>
    <t>6.5-9.5</t>
  </si>
  <si>
    <t>Hardness</t>
  </si>
  <si>
    <t>150 - 200 mg/l CaCO3</t>
  </si>
  <si>
    <t>Mechenich, C &amp; Andrews, E. Interpreting Drinking Water Test Results. Home water safety.</t>
  </si>
  <si>
    <t>Alkalinity</t>
  </si>
  <si>
    <t>&gt; 0.6 mmol/l</t>
  </si>
  <si>
    <t>Talousvesiasetuksen soveltamisohje, Osa III Enimmäisarvojen perusteet. 2020. Valvira.</t>
  </si>
  <si>
    <t>High hardness can cause lime buildup (scaling) in
pipes and water heaters. On the other hand, water that is naturally too soft may be
corrosive.</t>
  </si>
  <si>
    <t xml:space="preserve">The flow rate of raw water intake should be measured from the two pressure lines that transfers water from the pump station </t>
  </si>
  <si>
    <t>to the treatment plant and from the 2 parellel treatment lines after pre-treatment of raw water intake. Magnetic flow meter is chosen to measure the flow rate of raw water intake. Because</t>
  </si>
  <si>
    <t>Magnetic flowmeters are applicable for water flow, indeed, the raw water in this case has sufficient conductivity to ensure</t>
  </si>
  <si>
    <t>the velocity detecting mechanism of magnetic flowmeters which are based on the electrodes. Moreover, magnetic flowmeters also have low interference of particles</t>
  </si>
  <si>
    <t>which is good for handling raw water intake which may have some gas or solid contents. Furthermore, these flowmeters produce good accuracy of measurng results</t>
  </si>
  <si>
    <t xml:space="preserve">(ranging 0.5%-1%) and the low relative loss of pressure during the operation to save the energy. Finally, the cost is in the middle range which is reasonable for </t>
  </si>
  <si>
    <t xml:space="preserve"> the advantage of high accuracy measuring data in comparison with other flowmeters.</t>
  </si>
  <si>
    <t xml:space="preserve">Reference: AWWA, ASCE. (2012). Water Treatment Plant Design. McGraw-Hill Professional. Vol. 27 (3). </t>
  </si>
  <si>
    <t>COD_Mn (95%)</t>
  </si>
  <si>
    <t>mgO2/L</t>
  </si>
  <si>
    <t>m3/h</t>
  </si>
  <si>
    <t>mg/L</t>
  </si>
  <si>
    <t>(As in the instruction, the usual dose is calculated by 8-12*COD_Mn)</t>
  </si>
  <si>
    <t>g/m3</t>
  </si>
  <si>
    <t>Concentration of PIX</t>
  </si>
  <si>
    <t>Flowrate (1 line)</t>
  </si>
  <si>
    <t>Dose of PIX-322</t>
  </si>
  <si>
    <t>g/h</t>
  </si>
  <si>
    <t>kg/h</t>
  </si>
  <si>
    <t>kg/d</t>
  </si>
  <si>
    <t>Concentration of Ferric Sulphate</t>
  </si>
  <si>
    <t>(Since ferric sulphate is 42.5%-wt of PIX 322)</t>
  </si>
  <si>
    <t>PIX solution</t>
  </si>
  <si>
    <t>ml/m3</t>
  </si>
  <si>
    <t>PIX consumption in hour</t>
  </si>
  <si>
    <t>PIX consumption per day</t>
  </si>
  <si>
    <t>(The value was obtained by dividing concentration of PIX to the density of PIX solution. Then it was converted to the desireable unit)</t>
  </si>
  <si>
    <t>PIX solution consumption in hour</t>
  </si>
  <si>
    <t>70/45/20</t>
  </si>
  <si>
    <t>(whole plant)</t>
  </si>
  <si>
    <t>(1 line)</t>
  </si>
  <si>
    <t>Detention time</t>
  </si>
  <si>
    <t>min</t>
  </si>
  <si>
    <t>h</t>
  </si>
  <si>
    <t>Q</t>
  </si>
  <si>
    <t>Since there is one flocculation basin in each line, the maximum day flow through each will be equal to the flow rate of 1 line.</t>
  </si>
  <si>
    <t>V_flocculation basin</t>
  </si>
  <si>
    <t>m3</t>
  </si>
  <si>
    <t>Each basin is divided into three compartments</t>
  </si>
  <si>
    <t>V_compartment</t>
  </si>
  <si>
    <t>Flow rate of raw water (Q)</t>
  </si>
  <si>
    <t>The recommended depth range is 3 - 4.5 m (Davies 2010). Assuming that the water depth is 4 m</t>
  </si>
  <si>
    <t>Depth</t>
  </si>
  <si>
    <t>m</t>
  </si>
  <si>
    <t>Surface area (A_surface)</t>
  </si>
  <si>
    <t>m2</t>
  </si>
  <si>
    <t xml:space="preserve">Since the plan is rectangular, the length equal the width. </t>
  </si>
  <si>
    <t>Length</t>
  </si>
  <si>
    <t>Width</t>
  </si>
  <si>
    <t>* Calculating the required input power</t>
  </si>
  <si>
    <r>
      <t>Dynamic viscosity (at 4</t>
    </r>
    <r>
      <rPr>
        <vertAlign val="superscript"/>
        <sz val="11"/>
        <color theme="1"/>
        <rFont val="Calibri"/>
        <family val="2"/>
        <scheme val="minor"/>
      </rPr>
      <t>o</t>
    </r>
    <r>
      <rPr>
        <sz val="11"/>
        <color theme="1"/>
        <rFont val="Calibri"/>
        <family val="2"/>
        <scheme val="minor"/>
      </rPr>
      <t>C)</t>
    </r>
  </si>
  <si>
    <t>Pa.s</t>
  </si>
  <si>
    <t>Power (P1)</t>
  </si>
  <si>
    <t>W</t>
  </si>
  <si>
    <t>Power (P2)</t>
  </si>
  <si>
    <t>Power (P3)</t>
  </si>
  <si>
    <t>(Equation 6-12 in Davies 2010)</t>
  </si>
  <si>
    <t>(Equation 6-13 in Davies 2010)</t>
  </si>
  <si>
    <t>(Table A-1 in Appendix A in Davies 2010)</t>
  </si>
  <si>
    <t>According to Davies 2010, the impeller is placed at one-third the water depth</t>
  </si>
  <si>
    <t>Location of impeller</t>
  </si>
  <si>
    <t>* Calculating the diameter of the impeller</t>
  </si>
  <si>
    <t>Equivalent diameter</t>
  </si>
  <si>
    <t>Using table 6-5 to evaluate the diameter of the impeller</t>
  </si>
  <si>
    <t>Table 6-5 (Davies 2010)</t>
  </si>
  <si>
    <t>Geometric ratio</t>
  </si>
  <si>
    <t>Allowable range</t>
  </si>
  <si>
    <t>0.8 m</t>
  </si>
  <si>
    <t>1.4 m</t>
  </si>
  <si>
    <t>2 m</t>
  </si>
  <si>
    <t>Axial impeller diameter</t>
  </si>
  <si>
    <t>D/T</t>
  </si>
  <si>
    <t>H/D</t>
  </si>
  <si>
    <t>H/T</t>
  </si>
  <si>
    <t>B/D</t>
  </si>
  <si>
    <t>0.17 - 0.4</t>
  </si>
  <si>
    <t>2.0 - 4.0</t>
  </si>
  <si>
    <t>0.34 - 1.6</t>
  </si>
  <si>
    <t>0.7 - 1.6</t>
  </si>
  <si>
    <t>where</t>
  </si>
  <si>
    <t>T = Equivalent diameter</t>
  </si>
  <si>
    <t>H = Water depth</t>
  </si>
  <si>
    <t>B = Location of impeller</t>
  </si>
  <si>
    <t>D = Axial diameter</t>
  </si>
  <si>
    <t>OK</t>
  </si>
  <si>
    <t>From the table 6-5, the diameter of 1.4 m meets all the allowable range, hence, it is suitable for the design criteria.</t>
  </si>
  <si>
    <t>* Calculating the tip speed</t>
  </si>
  <si>
    <t>rps</t>
  </si>
  <si>
    <t>(Formular derived from equation 6-17 in Davies 2010)</t>
  </si>
  <si>
    <t>Impeller constant (N_P)</t>
  </si>
  <si>
    <t>(From the table provided by the manufacturer)</t>
  </si>
  <si>
    <t>D</t>
  </si>
  <si>
    <t>Water density (rho)</t>
  </si>
  <si>
    <t>kg/m3</t>
  </si>
  <si>
    <t>Basin 1</t>
  </si>
  <si>
    <t>Rotational speed of basin 1 (n1)</t>
  </si>
  <si>
    <t>Rotational speed of basin 2 (n2)</t>
  </si>
  <si>
    <t xml:space="preserve">Rotational speed of basin 3 (n3) </t>
  </si>
  <si>
    <t>The tip speed of</t>
  </si>
  <si>
    <t>Basin 2</t>
  </si>
  <si>
    <t>Basin 3</t>
  </si>
  <si>
    <t>The tip speed is more than the maximum tip speed 2.7 m/s. In order to reduce the tip speed, the detention time can be reduced to reduce the volume of the basin.</t>
  </si>
  <si>
    <t>m/s</t>
  </si>
  <si>
    <t>4.33 x 4.33 x 4.6</t>
  </si>
  <si>
    <t>l/h</t>
  </si>
  <si>
    <t>PIX solution consumption per day</t>
  </si>
  <si>
    <t>l/d</t>
  </si>
  <si>
    <r>
      <t>63 g/m</t>
    </r>
    <r>
      <rPr>
        <vertAlign val="superscript"/>
        <sz val="11"/>
        <color theme="1"/>
        <rFont val="Calibri"/>
        <family val="2"/>
        <scheme val="minor"/>
      </rPr>
      <t>3</t>
    </r>
  </si>
  <si>
    <t>24.26 kg/h</t>
  </si>
  <si>
    <t>485.1 kg/d</t>
  </si>
  <si>
    <r>
      <t>40.38 ml/m</t>
    </r>
    <r>
      <rPr>
        <vertAlign val="superscript"/>
        <sz val="11"/>
        <color theme="1"/>
        <rFont val="Calibri"/>
        <family val="2"/>
        <scheme val="minor"/>
      </rPr>
      <t>3</t>
    </r>
  </si>
  <si>
    <t>15.55 l/h</t>
  </si>
  <si>
    <t>310.96 l/d</t>
  </si>
  <si>
    <t>Molecular weight (g/mol)</t>
  </si>
  <si>
    <t>Fe2(SO4)3</t>
  </si>
  <si>
    <t>Ca(OH)2</t>
  </si>
  <si>
    <r>
      <t>Fe</t>
    </r>
    <r>
      <rPr>
        <vertAlign val="subscript"/>
        <sz val="11"/>
        <color theme="1"/>
        <rFont val="Calibri"/>
        <family val="2"/>
        <scheme val="minor"/>
      </rPr>
      <t>2</t>
    </r>
    <r>
      <rPr>
        <sz val="11"/>
        <color theme="1"/>
        <rFont val="Calibri"/>
        <family val="2"/>
        <scheme val="minor"/>
      </rPr>
      <t>(SO</t>
    </r>
    <r>
      <rPr>
        <vertAlign val="subscript"/>
        <sz val="11"/>
        <color theme="1"/>
        <rFont val="Calibri"/>
        <family val="2"/>
        <scheme val="minor"/>
      </rPr>
      <t>4</t>
    </r>
    <r>
      <rPr>
        <sz val="11"/>
        <color theme="1"/>
        <rFont val="Calibri"/>
        <family val="2"/>
        <scheme val="minor"/>
      </rPr>
      <t>)</t>
    </r>
    <r>
      <rPr>
        <vertAlign val="subscript"/>
        <sz val="11"/>
        <color theme="1"/>
        <rFont val="Calibri"/>
        <family val="2"/>
        <scheme val="minor"/>
      </rPr>
      <t>3</t>
    </r>
  </si>
  <si>
    <r>
      <t>Ca(OH)</t>
    </r>
    <r>
      <rPr>
        <vertAlign val="subscript"/>
        <sz val="11"/>
        <color theme="1"/>
        <rFont val="Calibri"/>
        <family val="2"/>
        <scheme val="minor"/>
      </rPr>
      <t>2</t>
    </r>
  </si>
  <si>
    <r>
      <t>Fe(OH)</t>
    </r>
    <r>
      <rPr>
        <vertAlign val="subscript"/>
        <sz val="11"/>
        <color theme="1"/>
        <rFont val="Calibri"/>
        <family val="2"/>
        <scheme val="minor"/>
      </rPr>
      <t>3</t>
    </r>
  </si>
  <si>
    <r>
      <t>CaSO</t>
    </r>
    <r>
      <rPr>
        <vertAlign val="subscript"/>
        <sz val="11"/>
        <color theme="1"/>
        <rFont val="Calibri"/>
        <family val="2"/>
        <scheme val="minor"/>
      </rPr>
      <t>4</t>
    </r>
  </si>
  <si>
    <t>The mole of</t>
  </si>
  <si>
    <t>mol/m3</t>
  </si>
  <si>
    <t>(According to equation (1))</t>
  </si>
  <si>
    <t>Ca(OH)2_concentration</t>
  </si>
  <si>
    <t>Ca(OH)2_consumption in hour</t>
  </si>
  <si>
    <t>Ca(OH)2_consumption per day</t>
  </si>
  <si>
    <t>Lime_water_concentration</t>
  </si>
  <si>
    <t>l/m3</t>
  </si>
  <si>
    <t>(The result was obtained by dividing Ca(OH)2 concentration to lime water density)</t>
  </si>
  <si>
    <t>Lime_consumption in hour</t>
  </si>
  <si>
    <t>Lime_consuption per day</t>
  </si>
  <si>
    <t>m3/d</t>
  </si>
  <si>
    <t>* 2-fold dosage scenario</t>
  </si>
  <si>
    <t>Ferrice_sulphate_conc</t>
  </si>
  <si>
    <t>Ca(OH)2_conc</t>
  </si>
  <si>
    <t>Lime_water_conc</t>
  </si>
  <si>
    <t>lime_consumption</t>
  </si>
  <si>
    <r>
      <t>15.76 g/m</t>
    </r>
    <r>
      <rPr>
        <vertAlign val="superscript"/>
        <sz val="11"/>
        <color theme="1"/>
        <rFont val="Calibri"/>
        <family val="2"/>
        <scheme val="minor"/>
      </rPr>
      <t>3</t>
    </r>
  </si>
  <si>
    <t>6.07 kg/h</t>
  </si>
  <si>
    <t>121.35 kg/d</t>
  </si>
  <si>
    <r>
      <t>14.33 l/m</t>
    </r>
    <r>
      <rPr>
        <vertAlign val="superscript"/>
        <sz val="11"/>
        <color theme="1"/>
        <rFont val="Calibri"/>
        <family val="2"/>
        <scheme val="minor"/>
      </rPr>
      <t>3</t>
    </r>
  </si>
  <si>
    <r>
      <t>5.52 m</t>
    </r>
    <r>
      <rPr>
        <vertAlign val="superscript"/>
        <sz val="11"/>
        <color theme="1"/>
        <rFont val="Calibri"/>
        <family val="2"/>
        <scheme val="minor"/>
      </rPr>
      <t>3</t>
    </r>
    <r>
      <rPr>
        <sz val="11"/>
        <color theme="1"/>
        <rFont val="Calibri"/>
        <family val="2"/>
        <scheme val="minor"/>
      </rPr>
      <t>/h</t>
    </r>
  </si>
  <si>
    <r>
      <t>110.32 m</t>
    </r>
    <r>
      <rPr>
        <vertAlign val="superscript"/>
        <sz val="11"/>
        <color theme="1"/>
        <rFont val="Calibri"/>
        <family val="2"/>
        <scheme val="minor"/>
      </rPr>
      <t>3</t>
    </r>
    <r>
      <rPr>
        <sz val="11"/>
        <color theme="1"/>
        <rFont val="Calibri"/>
        <family val="2"/>
        <scheme val="minor"/>
      </rPr>
      <t>/d</t>
    </r>
  </si>
  <si>
    <t>(Additional 0.6m was added to the depth as free board)</t>
  </si>
  <si>
    <t>* Defining the size of the flotation basin</t>
  </si>
  <si>
    <t>%</t>
  </si>
  <si>
    <t>(According to Edzwald 2012, 10% is a typical rate for design value)</t>
  </si>
  <si>
    <t>Recycling rate (R)</t>
  </si>
  <si>
    <t>Q_return (Qr)</t>
  </si>
  <si>
    <t>3.08 /2.3 /1.34</t>
  </si>
  <si>
    <t>3.08 /2.3 / 1.34</t>
  </si>
  <si>
    <t>575 / 238 / 47</t>
  </si>
  <si>
    <t>(Equation 9-52 in Edzwald 2012)</t>
  </si>
  <si>
    <t>Nominal hydraulic loading</t>
  </si>
  <si>
    <t>m/h</t>
  </si>
  <si>
    <t>Separation zone hydraulic loading</t>
  </si>
  <si>
    <t xml:space="preserve">Based on equation 9-67 in Edzwald 2012, the hydraulic loading for each zone can be calculated. </t>
  </si>
  <si>
    <t>For separation zone, the flow rate is (Q+Qr), hence, the new flow rate will be 110% Q. The area of separation zone is 90% of gross area.</t>
  </si>
  <si>
    <t>(Equation 9-67 in Edzwald 2012)</t>
  </si>
  <si>
    <t>Contact zone hydraulic loading</t>
  </si>
  <si>
    <t>Surface area of separation zone</t>
  </si>
  <si>
    <t>Surface area of contact zone</t>
  </si>
  <si>
    <t>Total area</t>
  </si>
  <si>
    <t>Since the ratio of L:W is 2:1</t>
  </si>
  <si>
    <t>(Choosing from table 9-5 in Edzwald 2012)</t>
  </si>
  <si>
    <t>For contact zone, the flow rate is (Q+Qr), hence, the new flowrate will be 110% Q. The area of contact zone is 10% of gross area.</t>
  </si>
  <si>
    <t>Gauge pressure</t>
  </si>
  <si>
    <t>kPa</t>
  </si>
  <si>
    <t>Mass air concentration from recycled water</t>
  </si>
  <si>
    <t>Amount of vaporized air</t>
  </si>
  <si>
    <t>M_air</t>
  </si>
  <si>
    <t>g/mol</t>
  </si>
  <si>
    <t>R</t>
  </si>
  <si>
    <t>bar.dm3/mol.K</t>
  </si>
  <si>
    <t>T</t>
  </si>
  <si>
    <t>oC</t>
  </si>
  <si>
    <t>K</t>
  </si>
  <si>
    <t>Atmospheric pressure</t>
  </si>
  <si>
    <t>bar</t>
  </si>
  <si>
    <t>V_dissolved air in water</t>
  </si>
  <si>
    <t>m3/m3-treated water</t>
  </si>
  <si>
    <t>(Based on ideal gas law; formula (1))</t>
  </si>
  <si>
    <t>Required volume of air</t>
  </si>
  <si>
    <t>(Select based on Table 9-5)</t>
  </si>
  <si>
    <t>3.58 x 7.16 x 3</t>
  </si>
  <si>
    <t>* Calculation for flotation sludge removal</t>
  </si>
  <si>
    <t>Suspended solid concentration</t>
  </si>
  <si>
    <t>(Select from section 1 between 1 - 4.3 mg/L)</t>
  </si>
  <si>
    <t>TOC</t>
  </si>
  <si>
    <t>(Select from section 1 between 5.8 - 6.9)</t>
  </si>
  <si>
    <t>Concentration of organic matter</t>
  </si>
  <si>
    <t>(TOC = 40-60% * organic matter concentration)</t>
  </si>
  <si>
    <t>When the volume of the basin is decreased, the water input power can be reduced, hence, the tip speed can be reduced to the desirable tip speed of 2.7 m/s.</t>
  </si>
  <si>
    <t>Fe(OH)3 precipitation</t>
  </si>
  <si>
    <t>SS removed</t>
  </si>
  <si>
    <t>Organic matter removed</t>
  </si>
  <si>
    <t>Fe(OH)3 removed</t>
  </si>
  <si>
    <t>Total solid removed</t>
  </si>
  <si>
    <t>kgTS/m3-water</t>
  </si>
  <si>
    <t>Mass of removed solid</t>
  </si>
  <si>
    <t>kgTS/h</t>
  </si>
  <si>
    <t>*Calculation of flotation sludge</t>
  </si>
  <si>
    <t>Suspended solids in flotation sludge</t>
  </si>
  <si>
    <t>Amount of flotation sludge</t>
  </si>
  <si>
    <t>Amount of sludge production (dry)</t>
  </si>
  <si>
    <t>mgTS/L-water</t>
  </si>
  <si>
    <t>m3-sludge/m3-water</t>
  </si>
  <si>
    <t>Amount of flotation sludge (wet)</t>
  </si>
  <si>
    <t>UV intensity</t>
  </si>
  <si>
    <t>J/m2</t>
  </si>
  <si>
    <t>mJ/cm2</t>
  </si>
  <si>
    <t>Log(N/N0)</t>
  </si>
  <si>
    <t>N/N0</t>
  </si>
  <si>
    <t>*Calculation of log inactivation</t>
  </si>
  <si>
    <t>* Removal efficiency</t>
  </si>
  <si>
    <t>(From the equation in the graph)</t>
  </si>
  <si>
    <t>Flowrate after flotation</t>
  </si>
  <si>
    <t>Initial [Mn2+]</t>
  </si>
  <si>
    <t>μg/L</t>
  </si>
  <si>
    <t>g/L</t>
  </si>
  <si>
    <t>(1)</t>
  </si>
  <si>
    <t xml:space="preserve">Molecular mass </t>
  </si>
  <si>
    <t>Mn2+</t>
  </si>
  <si>
    <t>O</t>
  </si>
  <si>
    <t>H</t>
  </si>
  <si>
    <t>(Mn2+ concentration in summer)</t>
  </si>
  <si>
    <t>* Calculation of O3 dose for Mn2+</t>
  </si>
  <si>
    <t>*Calculation of O3 dose for TOC after flotation</t>
  </si>
  <si>
    <t>TOC after flotation</t>
  </si>
  <si>
    <t>(Based on the organic concentration from flotation, the amount of TOC = 40-60% * organic matter concentration)</t>
  </si>
  <si>
    <t>Theoretically, 1g of Mn2+ consume 0.87 g O3.</t>
  </si>
  <si>
    <t>O3 dose</t>
  </si>
  <si>
    <t>(Whole plant)</t>
  </si>
  <si>
    <t>O3 consumption per day</t>
  </si>
  <si>
    <t>O3 consumption in hour</t>
  </si>
  <si>
    <r>
      <t>q</t>
    </r>
    <r>
      <rPr>
        <vertAlign val="subscript"/>
        <sz val="11"/>
        <color theme="1"/>
        <rFont val="Calibri"/>
        <family val="2"/>
        <scheme val="minor"/>
      </rPr>
      <t>h</t>
    </r>
    <r>
      <rPr>
        <sz val="11"/>
        <color theme="1"/>
        <rFont val="Calibri"/>
        <family val="2"/>
        <scheme val="minor"/>
      </rPr>
      <t xml:space="preserve"> = 385 m</t>
    </r>
    <r>
      <rPr>
        <vertAlign val="superscript"/>
        <sz val="11"/>
        <color theme="1"/>
        <rFont val="Calibri"/>
        <family val="2"/>
        <scheme val="minor"/>
      </rPr>
      <t>3</t>
    </r>
    <r>
      <rPr>
        <sz val="11"/>
        <color theme="1"/>
        <rFont val="Calibri"/>
        <family val="2"/>
        <scheme val="minor"/>
      </rPr>
      <t>/h</t>
    </r>
  </si>
  <si>
    <r>
      <t>Q</t>
    </r>
    <r>
      <rPr>
        <vertAlign val="subscript"/>
        <sz val="11"/>
        <color theme="1"/>
        <rFont val="Calibri"/>
        <family val="2"/>
        <scheme val="minor"/>
      </rPr>
      <t>d</t>
    </r>
    <r>
      <rPr>
        <sz val="11"/>
        <color theme="1"/>
        <rFont val="Calibri"/>
        <family val="2"/>
        <scheme val="minor"/>
      </rPr>
      <t xml:space="preserve"> = 7700 m</t>
    </r>
    <r>
      <rPr>
        <vertAlign val="superscript"/>
        <sz val="11"/>
        <color theme="1"/>
        <rFont val="Calibri"/>
        <family val="2"/>
        <scheme val="minor"/>
      </rPr>
      <t>3</t>
    </r>
    <r>
      <rPr>
        <sz val="11"/>
        <color theme="1"/>
        <rFont val="Calibri"/>
        <family val="2"/>
        <scheme val="minor"/>
      </rPr>
      <t>/d</t>
    </r>
  </si>
  <si>
    <t>gO3/m3-treated water</t>
  </si>
  <si>
    <t>(Selction from range 0.7-1.1 gO3/m3-treated water. Since the amount of TOC after flotation has already surpassed the highest range concentration, the selection has to be at maximum concentration to treat both TOC and residual iron.)</t>
  </si>
  <si>
    <t>* Calculation for ozone production</t>
  </si>
  <si>
    <t>Total dose of O3</t>
  </si>
  <si>
    <t>1kg of O3 requires 7 Nm3 O2</t>
  </si>
  <si>
    <t>O2 required in TOC removal</t>
  </si>
  <si>
    <t>Nm3/h</t>
  </si>
  <si>
    <t>Nm3/d</t>
  </si>
  <si>
    <t>O2 required in Mn2+ removal</t>
  </si>
  <si>
    <t>Total O2 required</t>
  </si>
  <si>
    <t>Capacity of ozonator</t>
  </si>
  <si>
    <r>
      <t>1.1 g/m</t>
    </r>
    <r>
      <rPr>
        <vertAlign val="superscript"/>
        <sz val="11"/>
        <color theme="1"/>
        <rFont val="Calibri"/>
        <family val="2"/>
        <scheme val="minor"/>
      </rPr>
      <t>3</t>
    </r>
  </si>
  <si>
    <t>0.42 kg/h</t>
  </si>
  <si>
    <t>8.47 kg/d</t>
  </si>
  <si>
    <r>
      <t>2.96 Nm</t>
    </r>
    <r>
      <rPr>
        <vertAlign val="superscript"/>
        <sz val="11"/>
        <color theme="1"/>
        <rFont val="Calibri"/>
        <family val="2"/>
        <scheme val="minor"/>
      </rPr>
      <t>3</t>
    </r>
    <r>
      <rPr>
        <sz val="11"/>
        <color theme="1"/>
        <rFont val="Calibri"/>
        <family val="2"/>
        <scheme val="minor"/>
      </rPr>
      <t>/h</t>
    </r>
  </si>
  <si>
    <r>
      <t>59.29 Nm</t>
    </r>
    <r>
      <rPr>
        <vertAlign val="superscript"/>
        <sz val="11"/>
        <color theme="1"/>
        <rFont val="Calibri"/>
        <family val="2"/>
        <scheme val="minor"/>
      </rPr>
      <t>3</t>
    </r>
    <r>
      <rPr>
        <sz val="11"/>
        <color theme="1"/>
        <rFont val="Calibri"/>
        <family val="2"/>
        <scheme val="minor"/>
      </rPr>
      <t>/d</t>
    </r>
  </si>
  <si>
    <r>
      <t>0.44 g/m</t>
    </r>
    <r>
      <rPr>
        <vertAlign val="superscript"/>
        <sz val="11"/>
        <color theme="1"/>
        <rFont val="Calibri"/>
        <family val="2"/>
        <scheme val="minor"/>
      </rPr>
      <t>3</t>
    </r>
  </si>
  <si>
    <t>0.17 kg/h</t>
  </si>
  <si>
    <t>3.42 kg/d</t>
  </si>
  <si>
    <r>
      <t>1.2 Nm</t>
    </r>
    <r>
      <rPr>
        <vertAlign val="superscript"/>
        <sz val="11"/>
        <color theme="1"/>
        <rFont val="Calibri"/>
        <family val="2"/>
        <scheme val="minor"/>
      </rPr>
      <t>3</t>
    </r>
    <r>
      <rPr>
        <sz val="11"/>
        <color theme="1"/>
        <rFont val="Calibri"/>
        <family val="2"/>
        <scheme val="minor"/>
      </rPr>
      <t>/h</t>
    </r>
  </si>
  <si>
    <r>
      <t>23.92 Nm</t>
    </r>
    <r>
      <rPr>
        <vertAlign val="superscript"/>
        <sz val="11"/>
        <color theme="1"/>
        <rFont val="Calibri"/>
        <family val="2"/>
        <scheme val="minor"/>
      </rPr>
      <t>3</t>
    </r>
    <r>
      <rPr>
        <sz val="11"/>
        <color theme="1"/>
        <rFont val="Calibri"/>
        <family val="2"/>
        <scheme val="minor"/>
      </rPr>
      <t>/d</t>
    </r>
  </si>
  <si>
    <r>
      <t>1.54 g/m</t>
    </r>
    <r>
      <rPr>
        <vertAlign val="superscript"/>
        <sz val="11"/>
        <color theme="1"/>
        <rFont val="Calibri"/>
        <family val="2"/>
        <scheme val="minor"/>
      </rPr>
      <t>3</t>
    </r>
  </si>
  <si>
    <t>0.59 kg/h</t>
  </si>
  <si>
    <t>11.89 kg/d</t>
  </si>
  <si>
    <r>
      <t>4.16 Nm</t>
    </r>
    <r>
      <rPr>
        <vertAlign val="superscript"/>
        <sz val="11"/>
        <color theme="1"/>
        <rFont val="Calibri"/>
        <family val="2"/>
        <scheme val="minor"/>
      </rPr>
      <t>3</t>
    </r>
    <r>
      <rPr>
        <sz val="11"/>
        <color theme="1"/>
        <rFont val="Calibri"/>
        <family val="2"/>
        <scheme val="minor"/>
      </rPr>
      <t>/h</t>
    </r>
  </si>
  <si>
    <r>
      <t>83.21 Nm</t>
    </r>
    <r>
      <rPr>
        <vertAlign val="superscript"/>
        <sz val="11"/>
        <color theme="1"/>
        <rFont val="Calibri"/>
        <family val="2"/>
        <scheme val="minor"/>
      </rPr>
      <t>3</t>
    </r>
    <r>
      <rPr>
        <sz val="11"/>
        <color theme="1"/>
        <rFont val="Calibri"/>
        <family val="2"/>
        <scheme val="minor"/>
      </rPr>
      <t>/d</t>
    </r>
  </si>
  <si>
    <t>1.19 kg/h</t>
  </si>
  <si>
    <t>23.77 kg/d</t>
  </si>
  <si>
    <t>* Dimension of ozone contact chamber</t>
  </si>
  <si>
    <t xml:space="preserve">HRT </t>
  </si>
  <si>
    <t>V_basin</t>
  </si>
  <si>
    <t>(From definition of hydraulic detention time)</t>
  </si>
  <si>
    <t xml:space="preserve">We have </t>
  </si>
  <si>
    <t>H = 4W</t>
  </si>
  <si>
    <t>L = W</t>
  </si>
  <si>
    <t xml:space="preserve">Therefore, </t>
  </si>
  <si>
    <t>4W*W*W = V_basin</t>
  </si>
  <si>
    <t>L</t>
  </si>
  <si>
    <t>(Since L:W = 1:1)</t>
  </si>
  <si>
    <t>(Since H:W = 4:1)</t>
  </si>
  <si>
    <r>
      <t>Table 9. Ozone dosage when Mn concentration is 0.51 mg/l (in summer</t>
    </r>
    <r>
      <rPr>
        <sz val="8"/>
        <rFont val="Calibri"/>
        <family val="2"/>
        <scheme val="minor"/>
      </rPr>
      <t> </t>
    </r>
    <r>
      <rPr>
        <b/>
        <sz val="11"/>
        <rFont val="Calibri"/>
        <family val="2"/>
        <scheme val="minor"/>
      </rPr>
      <t>) and TOC concentration is 2.52 mg/l after flotation.</t>
    </r>
  </si>
  <si>
    <r>
      <t>q</t>
    </r>
    <r>
      <rPr>
        <vertAlign val="subscript"/>
        <sz val="11"/>
        <color theme="1"/>
        <rFont val="Arial"/>
        <family val="2"/>
      </rPr>
      <t>h</t>
    </r>
    <r>
      <rPr>
        <sz val="11"/>
        <color theme="1"/>
        <rFont val="Arial"/>
        <family val="2"/>
      </rPr>
      <t xml:space="preserve"> = 385 m</t>
    </r>
    <r>
      <rPr>
        <vertAlign val="superscript"/>
        <sz val="11"/>
        <color theme="1"/>
        <rFont val="Arial"/>
        <family val="2"/>
      </rPr>
      <t>3</t>
    </r>
    <r>
      <rPr>
        <sz val="11"/>
        <color theme="1"/>
        <rFont val="Arial"/>
        <family val="2"/>
      </rPr>
      <t>/h</t>
    </r>
  </si>
  <si>
    <r>
      <t>Q</t>
    </r>
    <r>
      <rPr>
        <vertAlign val="subscript"/>
        <sz val="11"/>
        <color theme="1"/>
        <rFont val="Arial"/>
        <family val="2"/>
      </rPr>
      <t>d</t>
    </r>
    <r>
      <rPr>
        <sz val="11"/>
        <color theme="1"/>
        <rFont val="Arial"/>
        <family val="2"/>
      </rPr>
      <t xml:space="preserve"> = 7700 m</t>
    </r>
    <r>
      <rPr>
        <vertAlign val="superscript"/>
        <sz val="11"/>
        <color theme="1"/>
        <rFont val="Arial"/>
        <family val="2"/>
      </rPr>
      <t>3</t>
    </r>
    <r>
      <rPr>
        <sz val="11"/>
        <color theme="1"/>
        <rFont val="Arial"/>
        <family val="2"/>
      </rPr>
      <t>/d</t>
    </r>
  </si>
  <si>
    <t>According to water safety plan from WHO, guildline for drinking-water</t>
  </si>
  <si>
    <t>treatment and supply, to ensure the quality of product water and control</t>
  </si>
  <si>
    <t xml:space="preserve">the operation of the process, sampling must be taken to verify the </t>
  </si>
  <si>
    <t>chemical, physical and biological quality of the water running through the process.</t>
  </si>
  <si>
    <t>Normally, sampling at the treatment plant and at the head of the distribution system</t>
  </si>
  <si>
    <t>is enough for constituents that do not change during delivery. However, depend on</t>
  </si>
  <si>
    <t>the water quality characteristic that can change during distribution, sampling must be taken</t>
  </si>
  <si>
    <t>in the points near the extremities of the distribution system and tap connected directly</t>
  </si>
  <si>
    <t xml:space="preserve">to household or buildings. </t>
  </si>
  <si>
    <t>Considering the sampling at treatment plan to control the treatment process,</t>
  </si>
  <si>
    <t>sampling points are:</t>
  </si>
  <si>
    <t>_ Raw water source or storage</t>
  </si>
  <si>
    <t>_ Coalgulation (during and/or output of the unit process)</t>
  </si>
  <si>
    <t>_ Floculation (during and/or output of the unit process)</t>
  </si>
  <si>
    <t>_Flotation (during and/or output of the unit process)</t>
  </si>
  <si>
    <t>_Filtration (during and/or output of the unit process)</t>
  </si>
  <si>
    <t>_Disinfection (during and/or output of the unit process)</t>
  </si>
  <si>
    <t>_Water distribution system</t>
  </si>
  <si>
    <t xml:space="preserve">To follow the product water quality, sampling are taken at the head of water distribution </t>
  </si>
  <si>
    <t>system. The analyses to be conducted and monitering parameters for sampling are showed</t>
  </si>
  <si>
    <t xml:space="preserve">in the table 4.4 in detail. The common analyses are pH, turbidity, organic carbon, flow rate,... </t>
  </si>
  <si>
    <t>Reference: Water Safety Plan. WHO</t>
  </si>
  <si>
    <t>Table 4.4. Analyzing parameters for operational control (Water Safety Plan, WHO)</t>
  </si>
  <si>
    <t>* Calculation of oxiation of Mn</t>
  </si>
  <si>
    <t>Dose of Ca(OH)2</t>
  </si>
  <si>
    <t>Ca(OH)2 consumption in hour</t>
  </si>
  <si>
    <t>H= depth, W= width, L= length of baffle</t>
  </si>
  <si>
    <t>The length of the basin is</t>
  </si>
  <si>
    <t>(Assuming that there are 40 cell, hence, the length of the basin is L*number of cells)</t>
  </si>
  <si>
    <t>2.89 x 115.48 x 11.55</t>
  </si>
  <si>
    <t>Ca(OH)2 consumption per day</t>
  </si>
  <si>
    <t>* Calculation of oxidation of Fe</t>
  </si>
  <si>
    <t>Concentration of Fe</t>
  </si>
  <si>
    <t>(Required dose of Ca(OH)2 is 1.35g Ca(OH)2/g Mn2+)</t>
  </si>
  <si>
    <t>(Required dose of Ca(OH)2 is 1.33g Ca(OH)2/g Fe2+)</t>
  </si>
  <si>
    <t>*Calculation of lime water</t>
  </si>
  <si>
    <t>Normal situation</t>
  </si>
  <si>
    <t xml:space="preserve">Lime water in Mn2+ </t>
  </si>
  <si>
    <t>L/m3</t>
  </si>
  <si>
    <t>Lime water consumption in Mn2+</t>
  </si>
  <si>
    <t>Lime water in Fe</t>
  </si>
  <si>
    <t>Lime water consumption in Fe</t>
  </si>
  <si>
    <t>Exceptional situation</t>
  </si>
  <si>
    <r>
      <t>0.69 g/m</t>
    </r>
    <r>
      <rPr>
        <vertAlign val="superscript"/>
        <sz val="11"/>
        <color theme="1"/>
        <rFont val="Arial"/>
        <family val="2"/>
      </rPr>
      <t>3</t>
    </r>
  </si>
  <si>
    <t>0.27 kg/h</t>
  </si>
  <si>
    <t>5.3 kg/d</t>
  </si>
  <si>
    <r>
      <t>0.27 g/m</t>
    </r>
    <r>
      <rPr>
        <vertAlign val="superscript"/>
        <sz val="11"/>
        <color theme="1"/>
        <rFont val="Arial"/>
        <family val="2"/>
      </rPr>
      <t>3</t>
    </r>
  </si>
  <si>
    <t>0.102 kg/h</t>
  </si>
  <si>
    <t>2.05 kg/d</t>
  </si>
  <si>
    <r>
      <t>0.63 l/m</t>
    </r>
    <r>
      <rPr>
        <vertAlign val="superscript"/>
        <sz val="11"/>
        <color theme="1"/>
        <rFont val="Arial"/>
        <family val="2"/>
      </rPr>
      <t>3</t>
    </r>
  </si>
  <si>
    <r>
      <t>0.24 m</t>
    </r>
    <r>
      <rPr>
        <vertAlign val="superscript"/>
        <sz val="11"/>
        <color theme="1"/>
        <rFont val="Arial"/>
        <family val="2"/>
      </rPr>
      <t>3</t>
    </r>
    <r>
      <rPr>
        <sz val="11"/>
        <color theme="1"/>
        <rFont val="Arial"/>
        <family val="2"/>
      </rPr>
      <t>/h</t>
    </r>
  </si>
  <si>
    <r>
      <t>4.82 m</t>
    </r>
    <r>
      <rPr>
        <vertAlign val="superscript"/>
        <sz val="11"/>
        <color theme="1"/>
        <rFont val="Arial"/>
        <family val="2"/>
      </rPr>
      <t>3</t>
    </r>
    <r>
      <rPr>
        <sz val="11"/>
        <color theme="1"/>
        <rFont val="Arial"/>
        <family val="2"/>
      </rPr>
      <t>/d</t>
    </r>
  </si>
  <si>
    <r>
      <t>0.24 l/m</t>
    </r>
    <r>
      <rPr>
        <vertAlign val="superscript"/>
        <sz val="11"/>
        <color theme="1"/>
        <rFont val="Arial"/>
        <family val="2"/>
      </rPr>
      <t>3</t>
    </r>
  </si>
  <si>
    <r>
      <t>0.093 m</t>
    </r>
    <r>
      <rPr>
        <vertAlign val="superscript"/>
        <sz val="11"/>
        <color theme="1"/>
        <rFont val="Arial"/>
        <family val="2"/>
      </rPr>
      <t>3</t>
    </r>
    <r>
      <rPr>
        <sz val="11"/>
        <color theme="1"/>
        <rFont val="Arial"/>
        <family val="2"/>
      </rPr>
      <t>/h</t>
    </r>
  </si>
  <si>
    <r>
      <t>1.86 m</t>
    </r>
    <r>
      <rPr>
        <vertAlign val="superscript"/>
        <sz val="11"/>
        <color theme="1"/>
        <rFont val="Arial"/>
        <family val="2"/>
      </rPr>
      <t>3</t>
    </r>
    <r>
      <rPr>
        <sz val="11"/>
        <color theme="1"/>
        <rFont val="Arial"/>
        <family val="2"/>
      </rPr>
      <t>/d</t>
    </r>
  </si>
  <si>
    <r>
      <t>0.96 g/m</t>
    </r>
    <r>
      <rPr>
        <vertAlign val="superscript"/>
        <sz val="11"/>
        <color theme="1"/>
        <rFont val="Arial"/>
        <family val="2"/>
      </rPr>
      <t>3</t>
    </r>
  </si>
  <si>
    <r>
      <t>0.87 l/m</t>
    </r>
    <r>
      <rPr>
        <vertAlign val="superscript"/>
        <sz val="11"/>
        <color theme="1"/>
        <rFont val="Arial"/>
        <family val="2"/>
      </rPr>
      <t>3</t>
    </r>
  </si>
  <si>
    <t>0.372 kg/h</t>
  </si>
  <si>
    <r>
      <t>0.333 m</t>
    </r>
    <r>
      <rPr>
        <vertAlign val="superscript"/>
        <sz val="11"/>
        <color theme="1"/>
        <rFont val="Arial"/>
        <family val="2"/>
      </rPr>
      <t>3</t>
    </r>
    <r>
      <rPr>
        <sz val="11"/>
        <color theme="1"/>
        <rFont val="Arial"/>
        <family val="2"/>
      </rPr>
      <t>/h</t>
    </r>
  </si>
  <si>
    <t>7.35 kg/d</t>
  </si>
  <si>
    <r>
      <t>6.68 m</t>
    </r>
    <r>
      <rPr>
        <vertAlign val="superscript"/>
        <sz val="11"/>
        <color theme="1"/>
        <rFont val="Arial"/>
        <family val="2"/>
      </rPr>
      <t>3</t>
    </r>
    <r>
      <rPr>
        <sz val="11"/>
        <color theme="1"/>
        <rFont val="Arial"/>
        <family val="2"/>
      </rPr>
      <t>/d</t>
    </r>
  </si>
  <si>
    <t>(From section 'Flotation', the flowrate is in 1 line)</t>
  </si>
  <si>
    <t>Number of filter</t>
  </si>
  <si>
    <t>(According to equation 11-17 in Davies 2010)</t>
  </si>
  <si>
    <t>According to Davies 2010, the minimum number of filter for plants with capacity higher than 8000 m3/d is 4 filters.</t>
  </si>
  <si>
    <t>Therefore, in this case, the number of filters is 4.</t>
  </si>
  <si>
    <t>Q_whole_plant</t>
  </si>
  <si>
    <t>2 per line</t>
  </si>
  <si>
    <t>Filtration rate</t>
  </si>
  <si>
    <t>m3/(m2.d)</t>
  </si>
  <si>
    <t>m2/filter</t>
  </si>
  <si>
    <t>(According to equation 11-18 in Davies 2010)</t>
  </si>
  <si>
    <t>Length of each cell (L)</t>
  </si>
  <si>
    <t xml:space="preserve">(Suitable because the ratio of L:W is 2.3:1, which is in </t>
  </si>
  <si>
    <t>range 2:1 to 4:1. (Davies 2010; as cited in Kawamura 2000))</t>
  </si>
  <si>
    <t>Assuming that there are two cells in 1 filter, and the total width of the cell is 5 m (each cell will be 2.5 m)</t>
  </si>
  <si>
    <t>Depth of the cell</t>
  </si>
  <si>
    <t>(0.9m fine sand and 0.3m coarse sand)</t>
  </si>
  <si>
    <t>Depth of the basin</t>
  </si>
  <si>
    <t>(1.2m sand filter + 2m water level + 0.5m filter support)</t>
  </si>
  <si>
    <t>(According to Davies 2010, the basin depth should be at least 4m to provide space for</t>
  </si>
  <si>
    <t>underdrain system, media, and headloss)</t>
  </si>
  <si>
    <t>Final depth</t>
  </si>
  <si>
    <t>5 x 5.63 x 4</t>
  </si>
  <si>
    <t>Area of 1 filter</t>
  </si>
  <si>
    <t>EBCT</t>
  </si>
  <si>
    <t>*Calculation for backwashing</t>
  </si>
  <si>
    <t>Water-air-backwashing</t>
  </si>
  <si>
    <t>Time</t>
  </si>
  <si>
    <t>Air flowrate</t>
  </si>
  <si>
    <t>m3/(h*m2-filter)</t>
  </si>
  <si>
    <t>Water flowrate</t>
  </si>
  <si>
    <t>(Choose from range 50 - 75 m/h)</t>
  </si>
  <si>
    <t>(Choose from range 7 - 15 m/h)</t>
  </si>
  <si>
    <t>Backwashing air production</t>
  </si>
  <si>
    <t>Water backwashing</t>
  </si>
  <si>
    <t>m3/(min*m2-filter)</t>
  </si>
  <si>
    <t>(OK. In range of 0.9 - 1.5 m3 Air/(min*m2-filter)</t>
  </si>
  <si>
    <t>Wash water volume</t>
  </si>
  <si>
    <t>m3/m2-filter</t>
  </si>
  <si>
    <t>Total wash water volume</t>
  </si>
  <si>
    <t>(Choose from range 36-50 m/h)</t>
  </si>
  <si>
    <t>The total wash water volume is reasonable since it meets the requirement of value between the range of 4-8 m3/m2-filter</t>
  </si>
  <si>
    <t>* Calculation of backwashing water basin</t>
  </si>
  <si>
    <t>V_backwashing_basin</t>
  </si>
  <si>
    <t>Q coming to sand filtration</t>
  </si>
  <si>
    <t>Backwashing water flowrate</t>
  </si>
  <si>
    <t>(Since backwashing water flowrate is usually 1-7% of product flowrate)</t>
  </si>
  <si>
    <t>Flowrate of dispersion water</t>
  </si>
  <si>
    <t>Flowrate coming to GAC filtration</t>
  </si>
  <si>
    <t>(Same number as sand filters. This is the number of filter for the whole plant)</t>
  </si>
  <si>
    <t>Number of GAC filters (a)</t>
  </si>
  <si>
    <t>Number of GAC filters (b)</t>
  </si>
  <si>
    <t>(Number of GAC filter in 1 line)</t>
  </si>
  <si>
    <t>(Select from the range of 15-20 min)</t>
  </si>
  <si>
    <t>Column height</t>
  </si>
  <si>
    <t>(From table 14-11 in Davies 2010)</t>
  </si>
  <si>
    <t>(OK. The filtration rate is in the typical range 7-10 m/h)</t>
  </si>
  <si>
    <t>m3/(d*m2)</t>
  </si>
  <si>
    <t>Area of filter</t>
  </si>
  <si>
    <t>Volume of bed</t>
  </si>
  <si>
    <t>Diameter</t>
  </si>
  <si>
    <t>Assuming the shape of GAC filter is the same as in sand filtration, and the width of the cell is 4 m. Then, each cell's width will be 2 m</t>
  </si>
  <si>
    <t>(OK. The ratio is 2.5:1, which is in range of L:W from 2:1 to 4:1)</t>
  </si>
  <si>
    <t>The diameter was obtained. However, the calculated diameter did not meet the requirement for standard diameter of GAC filter, which was provided in table 14-11 in Davies 2010.</t>
  </si>
  <si>
    <t>The GAC filter can be in shape of cylinder. Another solution for dimensioning the GAC filter was calculated above with the shape of the filter was cylinder.</t>
  </si>
  <si>
    <t xml:space="preserve">Therefore, a rectangular basin was considered reasonable in this case. </t>
  </si>
  <si>
    <t>4 x 5.09 x 3</t>
  </si>
  <si>
    <t>Mn, Fe</t>
  </si>
  <si>
    <t>Aeration</t>
  </si>
  <si>
    <t>Aeration increase Oxygen and oxidize iron and manganese so that they form precipitates which can be removed by settlement or filtration (Safe Water System Manual, Health Education to Village)</t>
  </si>
  <si>
    <t>Pathogen, color, taste</t>
  </si>
  <si>
    <t>Iodine disinfection</t>
  </si>
  <si>
    <t>Iodine disinfectant provide water treatment with little supervision, simple and cost effective and may also bring superior disinfection to chlorine for water of poor quality (Iodine as a drinking water disinfectant, WHO)</t>
  </si>
  <si>
    <t>NaOH for pH adjustment</t>
  </si>
  <si>
    <t>Some unit processes require pH adjustment to favour the condition such as coagulation, using NaOH will not cause hardness problems in treated water (Drinking Water Treatment – pH Adjustment, WHO)</t>
  </si>
  <si>
    <t>Combining reverse osmosis and ion exchange</t>
  </si>
  <si>
    <t>Efficient solutions to remove organic impurities through adsorption to produce high-quality water without using hazardous chemicals (Ion Exchange And Reverse Osmosis: A Perfect Combination, Water Online. https://www.wateronline.com/doc/ion-exchange-and-reverse-osmosis-a-perfect-combination-0001)</t>
  </si>
  <si>
    <t>* Design of in line static mixer</t>
  </si>
  <si>
    <t>L/D</t>
  </si>
  <si>
    <t>COV</t>
  </si>
  <si>
    <t>kPa/element</t>
  </si>
  <si>
    <t>s</t>
  </si>
  <si>
    <t>(Equation 13-28 in Davies 2010)</t>
  </si>
  <si>
    <t>min_velocity</t>
  </si>
  <si>
    <t>max_velocity</t>
  </si>
  <si>
    <t>Case 1: with min velocity</t>
  </si>
  <si>
    <t>A_mixer</t>
  </si>
  <si>
    <t>Case 2: with max velocity</t>
  </si>
  <si>
    <t>Diamter</t>
  </si>
  <si>
    <t>mm</t>
  </si>
  <si>
    <t>Assumed diamter</t>
  </si>
  <si>
    <t>Number of elements</t>
  </si>
  <si>
    <t>(Davies 2010)</t>
  </si>
  <si>
    <t>Headloss per element</t>
  </si>
  <si>
    <t>Total headloss</t>
  </si>
  <si>
    <t>V_mixer</t>
  </si>
  <si>
    <r>
      <t>Specific weight of fluid (</t>
    </r>
    <r>
      <rPr>
        <sz val="11"/>
        <color theme="1"/>
        <rFont val="Calibri"/>
        <family val="2"/>
      </rPr>
      <t>γ)</t>
    </r>
  </si>
  <si>
    <t>kN/m3</t>
  </si>
  <si>
    <t>(Appendix A, table A-1, Davies 2010)</t>
  </si>
  <si>
    <r>
      <t>Dynamic viscosity (</t>
    </r>
    <r>
      <rPr>
        <sz val="11"/>
        <color theme="1"/>
        <rFont val="Calibri"/>
        <family val="2"/>
      </rPr>
      <t>μ)</t>
    </r>
  </si>
  <si>
    <t>Water power</t>
  </si>
  <si>
    <t>kW</t>
  </si>
  <si>
    <t>(0.102 is conversion factor, Davies 2010)</t>
  </si>
  <si>
    <t>Velocity gradient</t>
  </si>
  <si>
    <t>(P is calculated based on equation 6-16)</t>
  </si>
  <si>
    <t>s-1</t>
  </si>
  <si>
    <t>Gt</t>
  </si>
  <si>
    <t>From the 2 cases with max and min velocity, we can see that the diameter of 250mm fulfill the requirement for velocity gradient, which is between 3000 and 5000 1/s.</t>
  </si>
  <si>
    <t xml:space="preserve">The detention time of both case does not qualify the requirement as given in the instruction. However, in the case of 250mm diameter, the retention time almost equal to 1s, </t>
  </si>
  <si>
    <t xml:space="preserve">hence, I think this is a suitable choice for the design as it nearly meet the requirement. </t>
  </si>
  <si>
    <t>* Design of stabilization</t>
  </si>
  <si>
    <t>Target</t>
  </si>
  <si>
    <t>&gt; 7.5</t>
  </si>
  <si>
    <t>0.26 - 0.42</t>
  </si>
  <si>
    <t>mol/L</t>
  </si>
  <si>
    <t>Alkalinity of raw water</t>
  </si>
  <si>
    <t>mmol/L</t>
  </si>
  <si>
    <t>mg/L Ca</t>
  </si>
  <si>
    <t>Water temperature</t>
  </si>
  <si>
    <t>M_Ca(OH)2</t>
  </si>
  <si>
    <t>M_CO2</t>
  </si>
  <si>
    <t>pH in carbonate system</t>
  </si>
  <si>
    <t>Equation 1</t>
  </si>
  <si>
    <t>CO2</t>
  </si>
  <si>
    <t>+</t>
  </si>
  <si>
    <t>H2O</t>
  </si>
  <si>
    <t>&lt;--&gt;</t>
  </si>
  <si>
    <t>H2CO3</t>
  </si>
  <si>
    <t>HCO3-</t>
  </si>
  <si>
    <t>H+</t>
  </si>
  <si>
    <t>In the beginning</t>
  </si>
  <si>
    <t>n(0)</t>
  </si>
  <si>
    <t>At equillibrium</t>
  </si>
  <si>
    <t>n(t)</t>
  </si>
  <si>
    <t>n(a) - X</t>
  </si>
  <si>
    <t>X - Y</t>
  </si>
  <si>
    <t>X + Y</t>
  </si>
  <si>
    <t>pKa, 1</t>
  </si>
  <si>
    <t>Ka, 1</t>
  </si>
  <si>
    <t>5oC</t>
  </si>
  <si>
    <t>10oC</t>
  </si>
  <si>
    <t>15oC</t>
  </si>
  <si>
    <t>20oC</t>
  </si>
  <si>
    <t>Ka,1 = [H+][HCO3-]/[H2CO3]</t>
  </si>
  <si>
    <t>Ka,2 = [H+][CO32-]/[HCO3-]</t>
  </si>
  <si>
    <t>Ka, 1 = (X+Y)(X-Y)/(n(a)-X)</t>
  </si>
  <si>
    <t>Equation 2</t>
  </si>
  <si>
    <t xml:space="preserve">HCO3- </t>
  </si>
  <si>
    <t>CO32-</t>
  </si>
  <si>
    <t>Y</t>
  </si>
  <si>
    <t>pKa, 2</t>
  </si>
  <si>
    <t>Ka, 2</t>
  </si>
  <si>
    <t>Ka, 2 = (X+Y)*Y/(X-Y)</t>
  </si>
  <si>
    <t>Since one Ka is very small compared to the other, let's assume that Y &lt;&lt; X. Then equation can be simplified:</t>
  </si>
  <si>
    <t>Ka,1 = X*X/(n(a)-X) =&gt; X^2 + Ka,1*X - Ka,1*n(a) = 0</t>
  </si>
  <si>
    <t>X</t>
  </si>
  <si>
    <t>(Using calculator)</t>
  </si>
  <si>
    <t>Ka,2 = X*Y/Y = Y</t>
  </si>
  <si>
    <t>Addition of Ca(OH)2 to the solution</t>
  </si>
  <si>
    <t>2 CO2</t>
  </si>
  <si>
    <t>Ca2+</t>
  </si>
  <si>
    <t>2 HCO3-</t>
  </si>
  <si>
    <t>2 H+</t>
  </si>
  <si>
    <r>
      <t>Hendersson-Hasselbach equation pH = pKa,</t>
    </r>
    <r>
      <rPr>
        <sz val="8"/>
        <color theme="1"/>
        <rFont val="Calibri"/>
        <family val="2"/>
        <scheme val="minor"/>
      </rPr>
      <t>1</t>
    </r>
    <r>
      <rPr>
        <sz val="11"/>
        <color theme="1"/>
        <rFont val="Calibri"/>
        <family val="2"/>
        <scheme val="minor"/>
      </rPr>
      <t xml:space="preserve"> + log([A-]/[HA])</t>
    </r>
  </si>
  <si>
    <t>If Ca(OH)2 is added</t>
  </si>
  <si>
    <t>(g/m3)</t>
  </si>
  <si>
    <t>(g/L)</t>
  </si>
  <si>
    <t>[A-]/[HA]</t>
  </si>
  <si>
    <t>log([A-]/[HA])</t>
  </si>
  <si>
    <t>Dosage CO2</t>
  </si>
  <si>
    <t>CO2 consumption in hour</t>
  </si>
  <si>
    <t>CO2 consumption per day</t>
  </si>
  <si>
    <t>Dosage Ca(OH)2</t>
  </si>
  <si>
    <t>Dosage limewater</t>
  </si>
  <si>
    <t>Lime water consumtion in hour</t>
  </si>
  <si>
    <t>Lime water consumtion per day</t>
  </si>
  <si>
    <t>* Total dose of Ca(OH)2 and lime water</t>
  </si>
  <si>
    <t>Dosage Ca(OH)2 total</t>
  </si>
  <si>
    <t>Total Ca(OH)2 consumption in h</t>
  </si>
  <si>
    <t>Total Ca(OH)2 consumption per day</t>
  </si>
  <si>
    <t>Dosage lime water total</t>
  </si>
  <si>
    <t>Total lime water consumption in h</t>
  </si>
  <si>
    <t>Total lime water consumption per day</t>
  </si>
  <si>
    <t>* Design of lime silo</t>
  </si>
  <si>
    <t>Transport time</t>
  </si>
  <si>
    <t>days</t>
  </si>
  <si>
    <t>Bulk density</t>
  </si>
  <si>
    <t>(Selection from the instruction range 400-600 kg/m3)</t>
  </si>
  <si>
    <t>Purity of lime</t>
  </si>
  <si>
    <t>(The average value of purity from table A-11 in Davies 2010)</t>
  </si>
  <si>
    <t>Volume expansion</t>
  </si>
  <si>
    <t>Daily consumption of slaked slime</t>
  </si>
  <si>
    <t>Mass storage</t>
  </si>
  <si>
    <t>kg</t>
  </si>
  <si>
    <t>(In table 5-1 (Davies 2010), an interuptible chemical should have 10-day supply plus 1.5 times the shipping time of 1 week)</t>
  </si>
  <si>
    <t>Volume of silo</t>
  </si>
  <si>
    <t>(Rounding up)</t>
  </si>
  <si>
    <t>Interval of filling lime silo</t>
  </si>
  <si>
    <r>
      <t>32.07 g/m</t>
    </r>
    <r>
      <rPr>
        <vertAlign val="superscript"/>
        <sz val="11"/>
        <color theme="1"/>
        <rFont val="Calibri"/>
        <family val="2"/>
        <scheme val="minor"/>
      </rPr>
      <t>3</t>
    </r>
  </si>
  <si>
    <t>11.76 kg/h</t>
  </si>
  <si>
    <t>235.1 kg/d</t>
  </si>
  <si>
    <r>
      <t>27 g/m</t>
    </r>
    <r>
      <rPr>
        <vertAlign val="superscript"/>
        <sz val="11"/>
        <color theme="1"/>
        <rFont val="Calibri"/>
        <family val="2"/>
        <scheme val="minor"/>
      </rPr>
      <t>3</t>
    </r>
  </si>
  <si>
    <t>9.9 kg/h</t>
  </si>
  <si>
    <t>197.91 kg/d</t>
  </si>
  <si>
    <r>
      <t>24.55 l/m</t>
    </r>
    <r>
      <rPr>
        <vertAlign val="superscript"/>
        <sz val="11"/>
        <color theme="1"/>
        <rFont val="Calibri"/>
        <family val="2"/>
        <scheme val="minor"/>
      </rPr>
      <t>3</t>
    </r>
  </si>
  <si>
    <r>
      <t>9 m</t>
    </r>
    <r>
      <rPr>
        <vertAlign val="superscript"/>
        <sz val="11"/>
        <color theme="1"/>
        <rFont val="Calibri"/>
        <family val="2"/>
        <scheme val="minor"/>
      </rPr>
      <t>3</t>
    </r>
    <r>
      <rPr>
        <sz val="11"/>
        <color theme="1"/>
        <rFont val="Calibri"/>
        <family val="2"/>
        <scheme val="minor"/>
      </rPr>
      <t>/h</t>
    </r>
  </si>
  <si>
    <r>
      <t>179.92 m</t>
    </r>
    <r>
      <rPr>
        <vertAlign val="superscript"/>
        <sz val="11"/>
        <color theme="1"/>
        <rFont val="Calibri"/>
        <family val="2"/>
        <scheme val="minor"/>
      </rPr>
      <t>3</t>
    </r>
    <r>
      <rPr>
        <sz val="11"/>
        <color theme="1"/>
        <rFont val="Calibri"/>
        <family val="2"/>
        <scheme val="minor"/>
      </rPr>
      <t>/d</t>
    </r>
  </si>
  <si>
    <r>
      <t>Q</t>
    </r>
    <r>
      <rPr>
        <vertAlign val="subscript"/>
        <sz val="11"/>
        <color theme="1"/>
        <rFont val="Calibri"/>
        <family val="2"/>
        <scheme val="minor"/>
      </rPr>
      <t>d</t>
    </r>
    <r>
      <rPr>
        <sz val="11"/>
        <color theme="1"/>
        <rFont val="Calibri"/>
        <family val="2"/>
        <scheme val="minor"/>
      </rPr>
      <t xml:space="preserve"> = 7330 m</t>
    </r>
    <r>
      <rPr>
        <vertAlign val="superscript"/>
        <sz val="11"/>
        <color theme="1"/>
        <rFont val="Calibri"/>
        <family val="2"/>
        <scheme val="minor"/>
      </rPr>
      <t>3</t>
    </r>
    <r>
      <rPr>
        <sz val="11"/>
        <color theme="1"/>
        <rFont val="Calibri"/>
        <family val="2"/>
        <scheme val="minor"/>
      </rPr>
      <t>/d</t>
    </r>
  </si>
  <si>
    <r>
      <t>43.71 g/m</t>
    </r>
    <r>
      <rPr>
        <vertAlign val="superscript"/>
        <sz val="11"/>
        <color theme="1"/>
        <rFont val="Calibri"/>
        <family val="2"/>
        <scheme val="minor"/>
      </rPr>
      <t>3</t>
    </r>
  </si>
  <si>
    <t>16.33 kg/h</t>
  </si>
  <si>
    <t>326.61 kg/d</t>
  </si>
  <si>
    <r>
      <t>39.74 L/m</t>
    </r>
    <r>
      <rPr>
        <vertAlign val="superscript"/>
        <sz val="11"/>
        <color theme="1"/>
        <rFont val="Calibri"/>
        <family val="2"/>
        <scheme val="minor"/>
      </rPr>
      <t>3</t>
    </r>
  </si>
  <si>
    <r>
      <t>14.85 m</t>
    </r>
    <r>
      <rPr>
        <vertAlign val="superscript"/>
        <sz val="11"/>
        <color theme="1"/>
        <rFont val="Calibri"/>
        <family val="2"/>
        <scheme val="minor"/>
      </rPr>
      <t>3</t>
    </r>
    <r>
      <rPr>
        <sz val="11"/>
        <color theme="1"/>
        <rFont val="Calibri"/>
        <family val="2"/>
        <scheme val="minor"/>
      </rPr>
      <t>/h</t>
    </r>
  </si>
  <si>
    <r>
      <t>296.92m</t>
    </r>
    <r>
      <rPr>
        <vertAlign val="superscript"/>
        <sz val="11"/>
        <color theme="1"/>
        <rFont val="Calibri"/>
        <family val="2"/>
        <scheme val="minor"/>
      </rPr>
      <t>3</t>
    </r>
    <r>
      <rPr>
        <sz val="11"/>
        <color theme="1"/>
        <rFont val="Calibri"/>
        <family val="2"/>
        <scheme val="minor"/>
      </rPr>
      <t>/d</t>
    </r>
  </si>
  <si>
    <r>
      <t>q</t>
    </r>
    <r>
      <rPr>
        <vertAlign val="subscript"/>
        <sz val="11"/>
        <color theme="1"/>
        <rFont val="Calibri"/>
        <family val="2"/>
        <scheme val="minor"/>
      </rPr>
      <t>h</t>
    </r>
    <r>
      <rPr>
        <sz val="11"/>
        <color theme="1"/>
        <rFont val="Calibri"/>
        <family val="2"/>
        <scheme val="minor"/>
      </rPr>
      <t xml:space="preserve"> = 366.5 m</t>
    </r>
    <r>
      <rPr>
        <vertAlign val="superscript"/>
        <sz val="11"/>
        <color theme="1"/>
        <rFont val="Calibri"/>
        <family val="2"/>
        <scheme val="minor"/>
      </rPr>
      <t>3</t>
    </r>
    <r>
      <rPr>
        <sz val="11"/>
        <color theme="1"/>
        <rFont val="Calibri"/>
        <family val="2"/>
        <scheme val="minor"/>
      </rPr>
      <t>/h</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</si>
</sst>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0"/>
    <numFmt numFmtId="165" formatCode="0.000"/>
    <numFmt numFmtId="166" formatCode="0.0"/>
    <numFmt numFmtId="167" formatCode="0.00000"/>
    <numFmt numFmtId="168" formatCode="0.000000000"/>
    <numFmt numFmtId="169" formatCode="0.000000"/>
  </numFmts>
  <fonts count="23" x14ac:knownFonts="1">
    <font>
      <sz val="11"/>
      <color theme="1"/>
      <name val="Calibri"/>
      <family val="2"/>
      <scheme val="minor"/>
    </font>
    <font>
      <b/>
      <sz val="11"/>
      <color theme="1"/>
      <name val="Calibri"/>
      <family val="2"/>
      <scheme val="minor"/>
    </font>
    <font>
      <sz val="11"/>
      <color theme="1"/>
      <name val="Arial"/>
      <family val="2"/>
    </font>
    <font>
      <vertAlign val="subscript"/>
      <sz val="11"/>
      <color theme="1"/>
      <name val="Arial"/>
      <family val="2"/>
    </font>
    <font>
      <vertAlign val="subscript"/>
      <sz val="10"/>
      <color theme="1"/>
      <name val="Arial"/>
      <family val="2"/>
    </font>
    <font>
      <sz val="10"/>
      <color theme="1"/>
      <name val="Arial"/>
      <family val="2"/>
    </font>
    <font>
      <vertAlign val="superscript"/>
      <sz val="11"/>
      <color theme="1"/>
      <name val="Arial"/>
      <family val="2"/>
    </font>
    <font>
      <vertAlign val="superscript"/>
      <sz val="10"/>
      <color theme="1"/>
      <name val="Arial"/>
      <family val="2"/>
    </font>
    <font>
      <vertAlign val="subscript"/>
      <sz val="11"/>
      <color theme="1"/>
      <name val="Calibri"/>
      <family val="2"/>
      <scheme val="minor"/>
    </font>
    <font>
      <vertAlign val="superscript"/>
      <sz val="11"/>
      <color theme="1"/>
      <name val="Calibri"/>
      <family val="2"/>
      <scheme val="minor"/>
    </font>
    <font>
      <b/>
      <sz val="11"/>
      <color theme="1"/>
      <name val="Arial"/>
      <family val="2"/>
    </font>
    <font>
      <b/>
      <sz val="11"/>
      <name val="Calibri"/>
      <family val="2"/>
      <scheme val="minor"/>
    </font>
    <font>
      <b/>
      <sz val="11"/>
      <color rgb="FF009DE0"/>
      <name val="Calibri"/>
      <family val="2"/>
      <scheme val="minor"/>
    </font>
    <font>
      <sz val="8"/>
      <name val="Calibri"/>
      <family val="2"/>
      <scheme val="minor"/>
    </font>
    <font>
      <sz val="8"/>
      <color theme="1"/>
      <name val="Calibri"/>
      <family val="2"/>
      <scheme val="minor"/>
    </font>
    <font>
      <sz val="11"/>
      <color rgb="FF363636"/>
      <name val="Calibri"/>
      <family val="2"/>
      <scheme val="minor"/>
    </font>
    <font>
      <sz val="11"/>
      <color rgb="FF444444"/>
      <name val="Calibri"/>
      <family val="2"/>
      <scheme val="minor"/>
    </font>
    <font>
      <i/>
      <sz val="11"/>
      <color theme="1"/>
      <name val="Calibri"/>
      <family val="2"/>
      <scheme val="minor"/>
    </font>
    <font>
      <sz val="11"/>
      <color theme="1"/>
      <name val="Calibri"/>
      <family val="2"/>
    </font>
    <font>
      <sz val="11"/>
      <color rgb="FF000000"/>
      <name val="Calibri"/>
      <family val="2"/>
      <scheme val="minor"/>
    </font>
    <font>
      <i/>
      <sz val="11"/>
      <color theme="5" tint="-0.249977111117893"/>
      <name val="Calibri"/>
      <family val="2"/>
      <scheme val="minor"/>
    </font>
    <font>
      <b/>
      <sz val="11"/>
      <color theme="5" tint="-0.249977111117893"/>
      <name val="Calibri"/>
      <family val="2"/>
      <scheme val="minor"/>
    </font>
    <font>
      <sz val="11"/>
      <name val="Calibri"/>
      <family val="2"/>
      <scheme val="minor"/>
    </font>
  </fonts>
  <fills count="6">
    <fill>
      <patternFill patternType="none"/>
    </fill>
    <fill>
      <patternFill patternType="gray125"/>
    </fill>
    <fill>
      <patternFill patternType="solid">
        <fgColor rgb="FFCCCCCC"/>
        <bgColor indexed="64"/>
      </patternFill>
    </fill>
    <fill>
      <patternFill patternType="solid">
        <fgColor theme="0"/>
        <bgColor indexed="64"/>
      </patternFill>
    </fill>
    <fill>
      <patternFill patternType="solid">
        <fgColor rgb="FFFFFF00"/>
        <bgColor indexed="64"/>
      </patternFill>
    </fill>
    <fill>
      <patternFill patternType="solid">
        <fgColor rgb="FF92D050"/>
        <bgColor indexed="64"/>
      </patternFill>
    </fill>
  </fills>
  <borders count="30">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dotted">
        <color indexed="64"/>
      </bottom>
      <diagonal/>
    </border>
    <border>
      <left style="medium">
        <color indexed="64"/>
      </left>
      <right/>
      <top style="medium">
        <color indexed="64"/>
      </top>
      <bottom style="dotted">
        <color indexed="64"/>
      </bottom>
      <diagonal/>
    </border>
    <border>
      <left/>
      <right style="medium">
        <color indexed="64"/>
      </right>
      <top style="dotted">
        <color indexed="64"/>
      </top>
      <bottom style="medium">
        <color indexed="64"/>
      </bottom>
      <diagonal/>
    </border>
    <border>
      <left style="medium">
        <color indexed="64"/>
      </left>
      <right style="medium">
        <color indexed="64"/>
      </right>
      <top style="dotted">
        <color indexed="64"/>
      </top>
      <bottom style="medium">
        <color indexed="64"/>
      </bottom>
      <diagonal/>
    </border>
    <border>
      <left/>
      <right/>
      <top style="medium">
        <color indexed="64"/>
      </top>
      <bottom/>
      <diagonal/>
    </border>
    <border>
      <left style="medium">
        <color indexed="64"/>
      </left>
      <right/>
      <top/>
      <bottom style="medium">
        <color indexed="64"/>
      </bottom>
      <diagonal/>
    </border>
    <border>
      <left/>
      <right style="medium">
        <color indexed="64"/>
      </right>
      <top/>
      <bottom style="thin">
        <color auto="1"/>
      </bottom>
      <diagonal/>
    </border>
    <border>
      <left style="medium">
        <color indexed="64"/>
      </left>
      <right style="medium">
        <color indexed="64"/>
      </right>
      <top style="medium">
        <color indexed="64"/>
      </top>
      <bottom style="medium">
        <color rgb="FF4D4D4D"/>
      </bottom>
      <diagonal/>
    </border>
    <border>
      <left style="medium">
        <color indexed="64"/>
      </left>
      <right style="medium">
        <color indexed="64"/>
      </right>
      <top/>
      <bottom style="medium">
        <color rgb="FF4D4D4D"/>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indexed="64"/>
      </left>
      <right style="medium">
        <color indexed="64"/>
      </right>
      <top/>
      <bottom style="medium">
        <color indexed="64"/>
      </bottom>
      <diagonal/>
    </border>
    <border>
      <left style="thin">
        <color auto="1"/>
      </left>
      <right style="thin">
        <color auto="1"/>
      </right>
      <top/>
      <bottom style="thin">
        <color auto="1"/>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style="thin">
        <color auto="1"/>
      </top>
      <bottom style="thin">
        <color auto="1"/>
      </bottom>
      <diagonal/>
    </border>
    <border>
      <left/>
      <right style="thin">
        <color auto="1"/>
      </right>
      <top style="thin">
        <color auto="1"/>
      </top>
      <bottom/>
      <diagonal/>
    </border>
    <border>
      <left style="medium">
        <color indexed="64"/>
      </left>
      <right style="medium">
        <color indexed="64"/>
      </right>
      <top/>
      <bottom/>
      <diagonal/>
    </border>
    <border>
      <left/>
      <right style="medium">
        <color indexed="64"/>
      </right>
      <top style="thin">
        <color indexed="64"/>
      </top>
      <bottom style="thin">
        <color indexed="64"/>
      </bottom>
      <diagonal/>
    </border>
  </borders>
  <cellStyleXfs count="1">
    <xf numFmtId="0" fontId="0" fillId="0" borderId="0"/>
  </cellStyleXfs>
  <cellXfs count="153">
    <xf numFmtId="0" fontId="0" fillId="0" borderId="0" xfId="0"/>
    <xf numFmtId="0" fontId="2" fillId="0" borderId="1" xfId="0" applyFont="1" applyBorder="1" applyAlignment="1">
      <alignment vertical="center" wrapText="1"/>
    </xf>
    <xf numFmtId="0" fontId="2" fillId="0" borderId="2" xfId="0" applyFont="1" applyBorder="1" applyAlignment="1">
      <alignment vertical="center" wrapText="1"/>
    </xf>
    <xf numFmtId="16" fontId="0" fillId="0" borderId="0" xfId="0" applyNumberFormat="1"/>
    <xf numFmtId="0" fontId="2" fillId="2" borderId="4" xfId="0" applyFont="1" applyFill="1" applyBorder="1" applyAlignment="1">
      <alignment vertical="center" wrapText="1"/>
    </xf>
    <xf numFmtId="0" fontId="2" fillId="0" borderId="0" xfId="0" applyFont="1" applyAlignment="1">
      <alignment vertical="center" wrapText="1"/>
    </xf>
    <xf numFmtId="0" fontId="2" fillId="0" borderId="5" xfId="0" applyFont="1" applyBorder="1" applyAlignment="1">
      <alignment vertical="center" wrapText="1"/>
    </xf>
    <xf numFmtId="0" fontId="0" fillId="0" borderId="0" xfId="0" applyFont="1"/>
    <xf numFmtId="0" fontId="0" fillId="0" borderId="2" xfId="0" applyBorder="1"/>
    <xf numFmtId="0" fontId="0" fillId="0" borderId="1" xfId="0" applyBorder="1"/>
    <xf numFmtId="0" fontId="0" fillId="0" borderId="6" xfId="0" applyBorder="1"/>
    <xf numFmtId="0" fontId="2" fillId="0" borderId="0" xfId="0" applyFont="1" applyAlignment="1">
      <alignment vertical="center"/>
    </xf>
    <xf numFmtId="0" fontId="2" fillId="2" borderId="7" xfId="0" applyFont="1" applyFill="1" applyBorder="1" applyAlignment="1">
      <alignment vertical="center" wrapText="1"/>
    </xf>
    <xf numFmtId="0" fontId="2" fillId="2" borderId="9" xfId="0" applyFont="1" applyFill="1" applyBorder="1" applyAlignment="1">
      <alignment vertical="center" wrapText="1"/>
    </xf>
    <xf numFmtId="0" fontId="2" fillId="2" borderId="10" xfId="0" applyFont="1" applyFill="1" applyBorder="1" applyAlignment="1">
      <alignment vertical="center" wrapText="1"/>
    </xf>
    <xf numFmtId="0" fontId="10" fillId="0" borderId="0" xfId="0" applyFont="1" applyAlignment="1">
      <alignment vertical="center"/>
    </xf>
    <xf numFmtId="0" fontId="11" fillId="0" borderId="0" xfId="0" applyFont="1" applyAlignment="1">
      <alignment vertical="center"/>
    </xf>
    <xf numFmtId="0" fontId="0" fillId="2" borderId="4" xfId="0" applyFont="1" applyFill="1" applyBorder="1" applyAlignment="1">
      <alignment vertical="center" wrapText="1"/>
    </xf>
    <xf numFmtId="0" fontId="0" fillId="0" borderId="0" xfId="0" applyFont="1" applyAlignment="1">
      <alignment vertical="center" wrapText="1"/>
    </xf>
    <xf numFmtId="0" fontId="0" fillId="0" borderId="5" xfId="0" applyFont="1" applyBorder="1" applyAlignment="1">
      <alignment vertical="center" wrapText="1"/>
    </xf>
    <xf numFmtId="0" fontId="12" fillId="0" borderId="0" xfId="0" applyFont="1" applyAlignment="1">
      <alignment vertical="center"/>
    </xf>
    <xf numFmtId="0" fontId="0" fillId="0" borderId="2" xfId="0" applyFont="1" applyBorder="1" applyAlignment="1">
      <alignment vertical="center" wrapText="1"/>
    </xf>
    <xf numFmtId="0" fontId="0" fillId="0" borderId="1" xfId="0" applyFont="1" applyBorder="1" applyAlignment="1">
      <alignment vertical="center" wrapText="1"/>
    </xf>
    <xf numFmtId="0" fontId="0" fillId="0" borderId="6" xfId="0" applyFont="1" applyBorder="1" applyAlignment="1">
      <alignment vertical="center" wrapText="1"/>
    </xf>
    <xf numFmtId="0" fontId="2" fillId="2" borderId="11" xfId="0" applyFont="1" applyFill="1" applyBorder="1" applyAlignment="1">
      <alignment vertical="center" wrapText="1"/>
    </xf>
    <xf numFmtId="0" fontId="2" fillId="2" borderId="5" xfId="0" applyFont="1" applyFill="1" applyBorder="1" applyAlignment="1">
      <alignment vertical="center" wrapText="1"/>
    </xf>
    <xf numFmtId="0" fontId="10" fillId="0" borderId="0" xfId="0" applyFont="1" applyAlignment="1">
      <alignment vertical="center" wrapText="1"/>
    </xf>
    <xf numFmtId="0" fontId="14" fillId="0" borderId="0" xfId="0" applyFont="1" applyAlignment="1">
      <alignment vertical="center"/>
    </xf>
    <xf numFmtId="0" fontId="0" fillId="2" borderId="11" xfId="0" applyFont="1" applyFill="1" applyBorder="1" applyAlignment="1">
      <alignment vertical="center" wrapText="1"/>
    </xf>
    <xf numFmtId="0" fontId="0" fillId="2" borderId="5" xfId="0" applyFont="1" applyFill="1" applyBorder="1" applyAlignment="1">
      <alignment vertical="center" wrapText="1"/>
    </xf>
    <xf numFmtId="0" fontId="1" fillId="0" borderId="0" xfId="0" applyFont="1" applyAlignment="1">
      <alignment vertical="center" wrapText="1"/>
    </xf>
    <xf numFmtId="0" fontId="1" fillId="0" borderId="11" xfId="0" applyFont="1" applyBorder="1" applyAlignment="1">
      <alignment vertical="center" wrapText="1"/>
    </xf>
    <xf numFmtId="0" fontId="0" fillId="0" borderId="11" xfId="0" applyFont="1" applyBorder="1" applyAlignment="1">
      <alignment vertical="center" wrapText="1"/>
    </xf>
    <xf numFmtId="0" fontId="2" fillId="0" borderId="6" xfId="0" applyFont="1" applyBorder="1" applyAlignment="1">
      <alignment vertical="center" wrapText="1"/>
    </xf>
    <xf numFmtId="0" fontId="0" fillId="0" borderId="3" xfId="0" applyFont="1" applyBorder="1" applyAlignment="1">
      <alignment vertical="center" wrapText="1"/>
    </xf>
    <xf numFmtId="0" fontId="0" fillId="0" borderId="12" xfId="0" applyFont="1" applyBorder="1" applyAlignment="1">
      <alignment vertical="center" wrapText="1"/>
    </xf>
    <xf numFmtId="0" fontId="0" fillId="0" borderId="13" xfId="0" applyFont="1" applyBorder="1" applyAlignment="1">
      <alignment vertical="center" wrapText="1"/>
    </xf>
    <xf numFmtId="0" fontId="1" fillId="0" borderId="0" xfId="0" applyFont="1" applyAlignment="1">
      <alignment vertical="center"/>
    </xf>
    <xf numFmtId="0" fontId="0" fillId="0" borderId="0" xfId="0" applyAlignment="1">
      <alignment wrapText="1"/>
    </xf>
    <xf numFmtId="0" fontId="5" fillId="0" borderId="14" xfId="0" applyFont="1" applyBorder="1" applyAlignment="1">
      <alignment vertical="center" wrapText="1"/>
    </xf>
    <xf numFmtId="0" fontId="5" fillId="0" borderId="15" xfId="0" applyFont="1" applyBorder="1" applyAlignment="1">
      <alignment vertical="center" wrapText="1"/>
    </xf>
    <xf numFmtId="0" fontId="0" fillId="0" borderId="18" xfId="0" applyBorder="1"/>
    <xf numFmtId="0" fontId="0" fillId="2" borderId="4" xfId="0" applyFont="1" applyFill="1" applyBorder="1" applyAlignment="1">
      <alignment vertical="center" wrapText="1"/>
    </xf>
    <xf numFmtId="0" fontId="5" fillId="0" borderId="20" xfId="0" applyFont="1" applyBorder="1" applyAlignment="1">
      <alignment vertical="center"/>
    </xf>
    <xf numFmtId="0" fontId="5" fillId="0" borderId="20" xfId="0" applyFont="1" applyBorder="1" applyAlignment="1">
      <alignment vertical="center" wrapText="1"/>
    </xf>
    <xf numFmtId="0" fontId="10" fillId="3" borderId="0" xfId="0" applyFont="1" applyFill="1" applyAlignment="1">
      <alignment vertical="center"/>
    </xf>
    <xf numFmtId="0" fontId="0" fillId="3" borderId="0" xfId="0" applyFont="1" applyFill="1"/>
    <xf numFmtId="0" fontId="1" fillId="0" borderId="0" xfId="0" applyFont="1"/>
    <xf numFmtId="0" fontId="5" fillId="2" borderId="18" xfId="0" applyFont="1" applyFill="1" applyBorder="1" applyAlignment="1">
      <alignment vertical="center" wrapText="1"/>
    </xf>
    <xf numFmtId="0" fontId="0" fillId="0" borderId="21" xfId="0" applyBorder="1"/>
    <xf numFmtId="0" fontId="0" fillId="0" borderId="0" xfId="0" applyBorder="1"/>
    <xf numFmtId="0" fontId="0" fillId="0" borderId="0" xfId="0" applyFont="1" applyAlignment="1">
      <alignment wrapText="1"/>
    </xf>
    <xf numFmtId="0" fontId="0" fillId="2" borderId="2" xfId="0" applyFont="1" applyFill="1" applyBorder="1" applyAlignment="1">
      <alignment vertical="center" wrapText="1"/>
    </xf>
    <xf numFmtId="0" fontId="0" fillId="2" borderId="1" xfId="0" applyFont="1" applyFill="1" applyBorder="1" applyAlignment="1">
      <alignment vertical="center" wrapText="1"/>
    </xf>
    <xf numFmtId="0" fontId="0" fillId="2" borderId="6" xfId="0" applyFont="1" applyFill="1" applyBorder="1" applyAlignment="1">
      <alignment vertical="center" wrapText="1"/>
    </xf>
    <xf numFmtId="0" fontId="0" fillId="0" borderId="6" xfId="0" applyFont="1" applyBorder="1"/>
    <xf numFmtId="0" fontId="0" fillId="0" borderId="25" xfId="0" applyFont="1" applyBorder="1"/>
    <xf numFmtId="0" fontId="0" fillId="0" borderId="17" xfId="0" applyFont="1" applyBorder="1"/>
    <xf numFmtId="0" fontId="0" fillId="0" borderId="8" xfId="0" applyFont="1" applyBorder="1"/>
    <xf numFmtId="0" fontId="0" fillId="0" borderId="26" xfId="0" applyFont="1" applyBorder="1"/>
    <xf numFmtId="0" fontId="16" fillId="0" borderId="17" xfId="0" applyFont="1" applyBorder="1"/>
    <xf numFmtId="0" fontId="0" fillId="0" borderId="24" xfId="0" applyFont="1" applyFill="1" applyBorder="1"/>
    <xf numFmtId="0" fontId="16" fillId="0" borderId="27" xfId="0" applyFont="1" applyBorder="1"/>
    <xf numFmtId="0" fontId="0" fillId="0" borderId="6" xfId="0" applyFont="1" applyFill="1" applyBorder="1"/>
    <xf numFmtId="0" fontId="0" fillId="0" borderId="1" xfId="0" applyFont="1" applyBorder="1"/>
    <xf numFmtId="0" fontId="0" fillId="0" borderId="4" xfId="0" applyFont="1" applyBorder="1"/>
    <xf numFmtId="0" fontId="0" fillId="0" borderId="2" xfId="0" applyFont="1" applyBorder="1"/>
    <xf numFmtId="0" fontId="0" fillId="0" borderId="0" xfId="0"/>
    <xf numFmtId="0" fontId="15" fillId="0" borderId="0" xfId="0" applyFont="1"/>
    <xf numFmtId="0" fontId="0" fillId="0" borderId="0" xfId="0" applyAlignment="1"/>
    <xf numFmtId="0" fontId="0" fillId="0" borderId="0" xfId="0" applyAlignment="1"/>
    <xf numFmtId="0" fontId="0" fillId="0" borderId="0" xfId="0" applyAlignment="1"/>
    <xf numFmtId="0" fontId="0" fillId="0" borderId="0" xfId="0" applyAlignment="1"/>
    <xf numFmtId="0" fontId="0" fillId="0" borderId="0" xfId="0" applyAlignment="1"/>
    <xf numFmtId="0" fontId="0" fillId="0" borderId="0" xfId="0"/>
    <xf numFmtId="0" fontId="0" fillId="0" borderId="0" xfId="0" applyAlignment="1">
      <alignment horizontal="center"/>
    </xf>
    <xf numFmtId="2" fontId="0" fillId="0" borderId="0" xfId="0" applyNumberFormat="1"/>
    <xf numFmtId="0" fontId="0" fillId="0" borderId="0" xfId="0" applyFont="1" applyFill="1" applyBorder="1" applyAlignment="1">
      <alignment vertical="center" wrapText="1"/>
    </xf>
    <xf numFmtId="164" fontId="0" fillId="0" borderId="0" xfId="0" applyNumberFormat="1"/>
    <xf numFmtId="0" fontId="0" fillId="0" borderId="0" xfId="0" applyAlignment="1">
      <alignment horizontal="left" wrapText="1"/>
    </xf>
    <xf numFmtId="16" fontId="0" fillId="0" borderId="18" xfId="0" applyNumberFormat="1" applyBorder="1"/>
    <xf numFmtId="165" fontId="0" fillId="0" borderId="18" xfId="0" applyNumberFormat="1" applyBorder="1"/>
    <xf numFmtId="2" fontId="0" fillId="0" borderId="18" xfId="0" applyNumberFormat="1" applyBorder="1"/>
    <xf numFmtId="166" fontId="0" fillId="0" borderId="18" xfId="0" applyNumberFormat="1" applyBorder="1"/>
    <xf numFmtId="2" fontId="1" fillId="0" borderId="0" xfId="0" applyNumberFormat="1" applyFont="1"/>
    <xf numFmtId="165" fontId="0" fillId="0" borderId="0" xfId="0" applyNumberFormat="1"/>
    <xf numFmtId="0" fontId="17" fillId="0" borderId="0" xfId="0" applyFont="1"/>
    <xf numFmtId="2" fontId="0" fillId="0" borderId="0" xfId="0" applyNumberFormat="1" applyFont="1"/>
    <xf numFmtId="2" fontId="0" fillId="0" borderId="2" xfId="0" applyNumberFormat="1" applyFont="1" applyBorder="1" applyAlignment="1">
      <alignment vertical="center" wrapText="1"/>
    </xf>
    <xf numFmtId="2" fontId="0" fillId="0" borderId="12" xfId="0" applyNumberFormat="1" applyFont="1" applyBorder="1" applyAlignment="1">
      <alignment vertical="center" wrapText="1"/>
    </xf>
    <xf numFmtId="165" fontId="1" fillId="0" borderId="0" xfId="0" applyNumberFormat="1" applyFont="1"/>
    <xf numFmtId="0" fontId="0" fillId="0" borderId="18" xfId="0" applyBorder="1"/>
    <xf numFmtId="167" fontId="0" fillId="0" borderId="0" xfId="0" applyNumberFormat="1" applyFont="1"/>
    <xf numFmtId="2" fontId="0" fillId="0" borderId="6" xfId="0" applyNumberFormat="1" applyFont="1" applyBorder="1" applyAlignment="1">
      <alignment vertical="center" wrapText="1"/>
    </xf>
    <xf numFmtId="0" fontId="1" fillId="0" borderId="18" xfId="0" applyFont="1" applyBorder="1"/>
    <xf numFmtId="168" fontId="1" fillId="0" borderId="0" xfId="0" applyNumberFormat="1" applyFont="1"/>
    <xf numFmtId="165" fontId="5" fillId="0" borderId="3" xfId="0" applyNumberFormat="1" applyFont="1" applyBorder="1" applyAlignment="1">
      <alignment vertical="center"/>
    </xf>
    <xf numFmtId="165" fontId="5" fillId="0" borderId="3" xfId="0" applyNumberFormat="1" applyFont="1" applyBorder="1" applyAlignment="1">
      <alignment vertical="center" wrapText="1"/>
    </xf>
    <xf numFmtId="0" fontId="1" fillId="4" borderId="0" xfId="0" applyFont="1" applyFill="1"/>
    <xf numFmtId="166" fontId="1" fillId="4" borderId="0" xfId="0" applyNumberFormat="1" applyFont="1" applyFill="1"/>
    <xf numFmtId="0" fontId="18" fillId="0" borderId="0" xfId="0" applyFont="1"/>
    <xf numFmtId="49" fontId="0" fillId="0" borderId="0" xfId="0" applyNumberFormat="1" applyFont="1"/>
    <xf numFmtId="11" fontId="0" fillId="0" borderId="0" xfId="0" applyNumberFormat="1" applyFont="1"/>
    <xf numFmtId="165" fontId="0" fillId="0" borderId="0" xfId="0" applyNumberFormat="1" applyFont="1"/>
    <xf numFmtId="2" fontId="0" fillId="0" borderId="0" xfId="0" applyNumberFormat="1" applyFont="1" applyAlignment="1">
      <alignment vertical="center" wrapText="1"/>
    </xf>
    <xf numFmtId="2" fontId="2" fillId="0" borderId="6" xfId="0" applyNumberFormat="1" applyFont="1" applyBorder="1" applyAlignment="1">
      <alignment vertical="center" wrapText="1"/>
    </xf>
    <xf numFmtId="2" fontId="2" fillId="0" borderId="1" xfId="0" applyNumberFormat="1" applyFont="1" applyBorder="1" applyAlignment="1">
      <alignment vertical="center" wrapText="1"/>
    </xf>
    <xf numFmtId="0" fontId="1" fillId="0" borderId="0" xfId="0" applyFont="1" applyFill="1" applyBorder="1" applyAlignment="1">
      <alignment vertical="center" wrapText="1"/>
    </xf>
    <xf numFmtId="0" fontId="5" fillId="0" borderId="0" xfId="0" applyFont="1" applyBorder="1" applyAlignment="1">
      <alignment vertical="center" wrapText="1"/>
    </xf>
    <xf numFmtId="0" fontId="5" fillId="0" borderId="28" xfId="0" applyFont="1" applyBorder="1" applyAlignment="1">
      <alignment vertical="center" wrapText="1"/>
    </xf>
    <xf numFmtId="0" fontId="5" fillId="0" borderId="26" xfId="0" applyFont="1" applyBorder="1" applyAlignment="1">
      <alignment vertical="center" wrapText="1"/>
    </xf>
    <xf numFmtId="0" fontId="5" fillId="0" borderId="29" xfId="0" applyFont="1" applyBorder="1" applyAlignment="1">
      <alignment vertical="center" wrapText="1"/>
    </xf>
    <xf numFmtId="0" fontId="19" fillId="0" borderId="0" xfId="0" applyFont="1"/>
    <xf numFmtId="0" fontId="0" fillId="2" borderId="23" xfId="0" applyFont="1" applyFill="1" applyBorder="1" applyAlignment="1">
      <alignment vertical="center" wrapText="1"/>
    </xf>
    <xf numFmtId="0" fontId="0" fillId="2" borderId="22" xfId="0" applyFont="1" applyFill="1" applyBorder="1" applyAlignment="1">
      <alignment vertical="center" wrapText="1"/>
    </xf>
    <xf numFmtId="0" fontId="16" fillId="0" borderId="1" xfId="0" applyFont="1" applyBorder="1" applyAlignment="1"/>
    <xf numFmtId="0" fontId="0" fillId="0" borderId="1" xfId="0" applyFont="1" applyBorder="1" applyAlignment="1"/>
    <xf numFmtId="0" fontId="0" fillId="0" borderId="2" xfId="0" applyFont="1" applyBorder="1" applyAlignment="1"/>
    <xf numFmtId="0" fontId="16" fillId="0" borderId="1" xfId="0" applyFont="1" applyBorder="1" applyAlignment="1">
      <alignment wrapText="1"/>
    </xf>
    <xf numFmtId="0" fontId="0" fillId="0" borderId="2" xfId="0" applyFont="1" applyBorder="1" applyAlignment="1">
      <alignment wrapText="1"/>
    </xf>
    <xf numFmtId="0" fontId="0" fillId="0" borderId="1" xfId="0" applyFont="1" applyBorder="1" applyAlignment="1">
      <alignment wrapText="1"/>
    </xf>
    <xf numFmtId="0" fontId="0" fillId="0" borderId="20" xfId="0" applyFont="1" applyFill="1" applyBorder="1"/>
    <xf numFmtId="0" fontId="0" fillId="0" borderId="20" xfId="0" applyFont="1" applyBorder="1"/>
    <xf numFmtId="0" fontId="0" fillId="0" borderId="18" xfId="0" applyBorder="1"/>
    <xf numFmtId="167" fontId="0" fillId="0" borderId="0" xfId="0" applyNumberFormat="1"/>
    <xf numFmtId="1" fontId="0" fillId="0" borderId="0" xfId="0" applyNumberFormat="1"/>
    <xf numFmtId="0" fontId="0" fillId="0" borderId="0" xfId="0" applyNumberFormat="1"/>
    <xf numFmtId="169" fontId="0" fillId="0" borderId="0" xfId="0" applyNumberFormat="1"/>
    <xf numFmtId="166" fontId="0" fillId="0" borderId="0" xfId="0" applyNumberFormat="1"/>
    <xf numFmtId="0" fontId="20" fillId="0" borderId="0" xfId="0" applyFont="1"/>
    <xf numFmtId="0" fontId="21" fillId="0" borderId="0" xfId="0" applyFont="1"/>
    <xf numFmtId="0" fontId="0" fillId="4" borderId="0" xfId="0" applyFill="1"/>
    <xf numFmtId="11" fontId="0" fillId="0" borderId="0" xfId="0" applyNumberFormat="1"/>
    <xf numFmtId="11" fontId="1" fillId="0" borderId="0" xfId="0" applyNumberFormat="1" applyFont="1"/>
    <xf numFmtId="167" fontId="0" fillId="0" borderId="18" xfId="0" applyNumberFormat="1" applyBorder="1"/>
    <xf numFmtId="0" fontId="22" fillId="5" borderId="18" xfId="0" applyFont="1" applyFill="1" applyBorder="1"/>
    <xf numFmtId="167" fontId="22" fillId="5" borderId="18" xfId="0" applyNumberFormat="1" applyFont="1" applyFill="1" applyBorder="1"/>
    <xf numFmtId="0" fontId="0" fillId="0" borderId="19" xfId="0" applyBorder="1"/>
    <xf numFmtId="0" fontId="0" fillId="0" borderId="16" xfId="0" applyBorder="1"/>
    <xf numFmtId="0" fontId="0" fillId="0" borderId="17" xfId="0" applyBorder="1"/>
    <xf numFmtId="2" fontId="1" fillId="0" borderId="0" xfId="0" applyNumberFormat="1" applyFont="1" applyAlignment="1">
      <alignment horizontal="right" vertical="center"/>
    </xf>
    <xf numFmtId="0" fontId="1" fillId="0" borderId="0" xfId="0" applyFont="1" applyAlignment="1">
      <alignment horizontal="left" vertical="center"/>
    </xf>
    <xf numFmtId="0" fontId="0" fillId="0" borderId="18" xfId="0" applyBorder="1"/>
    <xf numFmtId="0" fontId="0" fillId="0" borderId="2" xfId="0" applyFont="1" applyBorder="1" applyAlignment="1">
      <alignment vertical="center" wrapText="1"/>
    </xf>
    <xf numFmtId="0" fontId="0" fillId="0" borderId="1" xfId="0" applyFont="1" applyBorder="1" applyAlignment="1">
      <alignment vertical="center" wrapText="1"/>
    </xf>
    <xf numFmtId="0" fontId="0" fillId="2" borderId="4" xfId="0" applyFont="1" applyFill="1" applyBorder="1" applyAlignment="1">
      <alignment vertical="center" wrapText="1"/>
    </xf>
    <xf numFmtId="0" fontId="0" fillId="2" borderId="11" xfId="0" applyFont="1" applyFill="1" applyBorder="1" applyAlignment="1">
      <alignment vertical="center" wrapText="1"/>
    </xf>
    <xf numFmtId="0" fontId="0" fillId="2" borderId="5" xfId="0" applyFont="1" applyFill="1" applyBorder="1" applyAlignment="1">
      <alignment vertical="center" wrapText="1"/>
    </xf>
    <xf numFmtId="0" fontId="2" fillId="2" borderId="11" xfId="0" applyFont="1" applyFill="1" applyBorder="1" applyAlignment="1">
      <alignment vertical="center" wrapText="1"/>
    </xf>
    <xf numFmtId="0" fontId="2" fillId="2" borderId="5" xfId="0" applyFont="1" applyFill="1" applyBorder="1" applyAlignment="1">
      <alignment vertical="center" wrapText="1"/>
    </xf>
    <xf numFmtId="0" fontId="0" fillId="0" borderId="19" xfId="0" applyBorder="1" applyAlignment="1"/>
    <xf numFmtId="0" fontId="0" fillId="0" borderId="16" xfId="0" applyBorder="1" applyAlignment="1"/>
    <xf numFmtId="0" fontId="0" fillId="0" borderId="17" xfId="0" applyBorder="1" applyAlignment="1"/>
  </cellXfs>
  <cellStyles count="1">
    <cellStyle name="Normal" xfId="0" builtinId="0"/>
  </cellStyles>
  <dxfs count="4">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Crypto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I"/>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trendlineLbl>
          </c:trendline>
          <c:xVal>
            <c:numRef>
              <c:f>'3.8 UV disinfection'!$C$13:$C$20</c:f>
              <c:numCache>
                <c:formatCode>General</c:formatCode>
                <c:ptCount val="8"/>
                <c:pt idx="0">
                  <c:v>1.6</c:v>
                </c:pt>
                <c:pt idx="1">
                  <c:v>2.5</c:v>
                </c:pt>
                <c:pt idx="2">
                  <c:v>3.9</c:v>
                </c:pt>
                <c:pt idx="3">
                  <c:v>5.8</c:v>
                </c:pt>
                <c:pt idx="4">
                  <c:v>8.5</c:v>
                </c:pt>
                <c:pt idx="5">
                  <c:v>12</c:v>
                </c:pt>
                <c:pt idx="6">
                  <c:v>15</c:v>
                </c:pt>
                <c:pt idx="7">
                  <c:v>22</c:v>
                </c:pt>
              </c:numCache>
            </c:numRef>
          </c:xVal>
          <c:yVal>
            <c:numRef>
              <c:f>'3.8 UV disinfection'!$A$13:$A$20</c:f>
              <c:numCache>
                <c:formatCode>General</c:formatCode>
                <c:ptCount val="8"/>
                <c:pt idx="0">
                  <c:v>0.5</c:v>
                </c:pt>
                <c:pt idx="1">
                  <c:v>1</c:v>
                </c:pt>
                <c:pt idx="2">
                  <c:v>1.5</c:v>
                </c:pt>
                <c:pt idx="3">
                  <c:v>2</c:v>
                </c:pt>
                <c:pt idx="4">
                  <c:v>2.5</c:v>
                </c:pt>
                <c:pt idx="5">
                  <c:v>3</c:v>
                </c:pt>
                <c:pt idx="6">
                  <c:v>3.5</c:v>
                </c:pt>
                <c:pt idx="7">
                  <c:v>4</c:v>
                </c:pt>
              </c:numCache>
            </c:numRef>
          </c:yVal>
          <c:smooth val="0"/>
          <c:extLst>
            <c:ext xmlns:c16="http://schemas.microsoft.com/office/drawing/2014/chart" uri="{C3380CC4-5D6E-409C-BE32-E72D297353CC}">
              <c16:uniqueId val="{00000000-3304-48AA-8F0D-BD134DD1351F}"/>
            </c:ext>
          </c:extLst>
        </c:ser>
        <c:dLbls>
          <c:showLegendKey val="0"/>
          <c:showVal val="0"/>
          <c:showCatName val="0"/>
          <c:showSerName val="0"/>
          <c:showPercent val="0"/>
          <c:showBubbleSize val="0"/>
        </c:dLbls>
        <c:axId val="760196223"/>
        <c:axId val="760199135"/>
      </c:scatterChart>
      <c:valAx>
        <c:axId val="7601962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760199135"/>
        <c:crosses val="autoZero"/>
        <c:crossBetween val="midCat"/>
      </c:valAx>
      <c:valAx>
        <c:axId val="760199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76019622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Giardia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I"/>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trendlineLbl>
          </c:trendline>
          <c:xVal>
            <c:numRef>
              <c:f>'3.8 UV disinfection'!$D$13:$D$20</c:f>
              <c:numCache>
                <c:formatCode>General</c:formatCode>
                <c:ptCount val="8"/>
                <c:pt idx="0">
                  <c:v>1.5</c:v>
                </c:pt>
                <c:pt idx="1">
                  <c:v>2.1</c:v>
                </c:pt>
                <c:pt idx="2">
                  <c:v>3</c:v>
                </c:pt>
                <c:pt idx="3">
                  <c:v>5.2</c:v>
                </c:pt>
                <c:pt idx="4">
                  <c:v>7.7</c:v>
                </c:pt>
                <c:pt idx="5">
                  <c:v>11</c:v>
                </c:pt>
                <c:pt idx="6">
                  <c:v>15</c:v>
                </c:pt>
                <c:pt idx="7">
                  <c:v>22</c:v>
                </c:pt>
              </c:numCache>
            </c:numRef>
          </c:xVal>
          <c:yVal>
            <c:numRef>
              <c:f>'3.8 UV disinfection'!$A$13:$A$20</c:f>
              <c:numCache>
                <c:formatCode>General</c:formatCode>
                <c:ptCount val="8"/>
                <c:pt idx="0">
                  <c:v>0.5</c:v>
                </c:pt>
                <c:pt idx="1">
                  <c:v>1</c:v>
                </c:pt>
                <c:pt idx="2">
                  <c:v>1.5</c:v>
                </c:pt>
                <c:pt idx="3">
                  <c:v>2</c:v>
                </c:pt>
                <c:pt idx="4">
                  <c:v>2.5</c:v>
                </c:pt>
                <c:pt idx="5">
                  <c:v>3</c:v>
                </c:pt>
                <c:pt idx="6">
                  <c:v>3.5</c:v>
                </c:pt>
                <c:pt idx="7">
                  <c:v>4</c:v>
                </c:pt>
              </c:numCache>
            </c:numRef>
          </c:yVal>
          <c:smooth val="0"/>
          <c:extLst>
            <c:ext xmlns:c16="http://schemas.microsoft.com/office/drawing/2014/chart" uri="{C3380CC4-5D6E-409C-BE32-E72D297353CC}">
              <c16:uniqueId val="{00000000-8242-44C2-92E2-BF9EEF591349}"/>
            </c:ext>
          </c:extLst>
        </c:ser>
        <c:dLbls>
          <c:showLegendKey val="0"/>
          <c:showVal val="0"/>
          <c:showCatName val="0"/>
          <c:showSerName val="0"/>
          <c:showPercent val="0"/>
          <c:showBubbleSize val="0"/>
        </c:dLbls>
        <c:axId val="761803535"/>
        <c:axId val="761801871"/>
      </c:scatterChart>
      <c:valAx>
        <c:axId val="7618035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761801871"/>
        <c:crosses val="autoZero"/>
        <c:crossBetween val="midCat"/>
      </c:valAx>
      <c:valAx>
        <c:axId val="761801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76180353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Viruses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I"/>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trendlineLbl>
          </c:trendline>
          <c:xVal>
            <c:numRef>
              <c:f>'3.8 UV disinfection'!$E$13:$E$15</c:f>
              <c:numCache>
                <c:formatCode>General</c:formatCode>
                <c:ptCount val="3"/>
                <c:pt idx="0">
                  <c:v>39</c:v>
                </c:pt>
                <c:pt idx="1">
                  <c:v>58</c:v>
                </c:pt>
                <c:pt idx="2">
                  <c:v>79</c:v>
                </c:pt>
              </c:numCache>
            </c:numRef>
          </c:xVal>
          <c:yVal>
            <c:numRef>
              <c:f>'3.8 UV disinfection'!$A$13:$A$15</c:f>
              <c:numCache>
                <c:formatCode>General</c:formatCode>
                <c:ptCount val="3"/>
                <c:pt idx="0">
                  <c:v>0.5</c:v>
                </c:pt>
                <c:pt idx="1">
                  <c:v>1</c:v>
                </c:pt>
                <c:pt idx="2">
                  <c:v>1.5</c:v>
                </c:pt>
              </c:numCache>
            </c:numRef>
          </c:yVal>
          <c:smooth val="0"/>
          <c:extLst>
            <c:ext xmlns:c16="http://schemas.microsoft.com/office/drawing/2014/chart" uri="{C3380CC4-5D6E-409C-BE32-E72D297353CC}">
              <c16:uniqueId val="{00000000-DA9D-4B05-9E80-69EDC3E3185A}"/>
            </c:ext>
          </c:extLst>
        </c:ser>
        <c:dLbls>
          <c:showLegendKey val="0"/>
          <c:showVal val="0"/>
          <c:showCatName val="0"/>
          <c:showSerName val="0"/>
          <c:showPercent val="0"/>
          <c:showBubbleSize val="0"/>
        </c:dLbls>
        <c:axId val="409158975"/>
        <c:axId val="409159391"/>
      </c:scatterChart>
      <c:valAx>
        <c:axId val="4091589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409159391"/>
        <c:crosses val="autoZero"/>
        <c:crossBetween val="midCat"/>
      </c:valAx>
      <c:valAx>
        <c:axId val="409159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40915897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3" Type="http://schemas.openxmlformats.org/officeDocument/2006/relationships/image" Target="../media/image36.png"/><Relationship Id="rId2" Type="http://schemas.openxmlformats.org/officeDocument/2006/relationships/image" Target="../media/image35.png"/><Relationship Id="rId1" Type="http://schemas.openxmlformats.org/officeDocument/2006/relationships/image" Target="../media/image34.png"/><Relationship Id="rId4" Type="http://schemas.openxmlformats.org/officeDocument/2006/relationships/image" Target="../media/image37.png"/></Relationships>
</file>

<file path=xl/drawings/_rels/drawing11.xml.rels><?xml version="1.0" encoding="UTF-8" standalone="yes"?>
<Relationships xmlns="http://schemas.openxmlformats.org/package/2006/relationships"><Relationship Id="rId1" Type="http://schemas.openxmlformats.org/officeDocument/2006/relationships/image" Target="../media/image38.png"/></Relationships>
</file>

<file path=xl/drawings/_rels/drawing12.xml.rels><?xml version="1.0" encoding="UTF-8" standalone="yes"?>
<Relationships xmlns="http://schemas.openxmlformats.org/package/2006/relationships"><Relationship Id="rId1" Type="http://schemas.openxmlformats.org/officeDocument/2006/relationships/image" Target="../media/image39.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image" Target="../media/image14.jpeg"/><Relationship Id="rId5" Type="http://schemas.openxmlformats.org/officeDocument/2006/relationships/image" Target="../media/image13.png"/><Relationship Id="rId4" Type="http://schemas.openxmlformats.org/officeDocument/2006/relationships/image" Target="../media/image12.png"/></Relationships>
</file>

<file path=xl/drawings/_rels/drawing5.xml.rels><?xml version="1.0" encoding="UTF-8" standalone="yes"?>
<Relationships xmlns="http://schemas.openxmlformats.org/package/2006/relationships"><Relationship Id="rId3" Type="http://schemas.openxmlformats.org/officeDocument/2006/relationships/image" Target="../media/image17.png"/><Relationship Id="rId7" Type="http://schemas.openxmlformats.org/officeDocument/2006/relationships/image" Target="../media/image21.png"/><Relationship Id="rId2" Type="http://schemas.openxmlformats.org/officeDocument/2006/relationships/image" Target="../media/image16.png"/><Relationship Id="rId1" Type="http://schemas.openxmlformats.org/officeDocument/2006/relationships/image" Target="../media/image15.png"/><Relationship Id="rId6" Type="http://schemas.openxmlformats.org/officeDocument/2006/relationships/image" Target="../media/image20.png"/><Relationship Id="rId5" Type="http://schemas.openxmlformats.org/officeDocument/2006/relationships/image" Target="../media/image19.png"/><Relationship Id="rId4" Type="http://schemas.openxmlformats.org/officeDocument/2006/relationships/image" Target="../media/image18.png"/></Relationships>
</file>

<file path=xl/drawings/_rels/drawing6.xml.rels><?xml version="1.0" encoding="UTF-8" standalone="yes"?>
<Relationships xmlns="http://schemas.openxmlformats.org/package/2006/relationships"><Relationship Id="rId3" Type="http://schemas.openxmlformats.org/officeDocument/2006/relationships/image" Target="../media/image24.png"/><Relationship Id="rId2" Type="http://schemas.openxmlformats.org/officeDocument/2006/relationships/image" Target="../media/image23.png"/><Relationship Id="rId1" Type="http://schemas.openxmlformats.org/officeDocument/2006/relationships/image" Target="../media/image22.png"/><Relationship Id="rId4" Type="http://schemas.openxmlformats.org/officeDocument/2006/relationships/image" Target="../media/image25.png"/></Relationships>
</file>

<file path=xl/drawings/_rels/drawing7.xml.rels><?xml version="1.0" encoding="UTF-8" standalone="yes"?>
<Relationships xmlns="http://schemas.openxmlformats.org/package/2006/relationships"><Relationship Id="rId3" Type="http://schemas.openxmlformats.org/officeDocument/2006/relationships/image" Target="../media/image28.png"/><Relationship Id="rId2" Type="http://schemas.openxmlformats.org/officeDocument/2006/relationships/image" Target="../media/image27.png"/><Relationship Id="rId1" Type="http://schemas.openxmlformats.org/officeDocument/2006/relationships/image" Target="../media/image26.png"/></Relationships>
</file>

<file path=xl/drawings/_rels/drawing8.xml.rels><?xml version="1.0" encoding="UTF-8" standalone="yes"?>
<Relationships xmlns="http://schemas.openxmlformats.org/package/2006/relationships"><Relationship Id="rId2" Type="http://schemas.openxmlformats.org/officeDocument/2006/relationships/image" Target="../media/image30.jpeg"/><Relationship Id="rId1" Type="http://schemas.openxmlformats.org/officeDocument/2006/relationships/image" Target="../media/image29.png"/></Relationships>
</file>

<file path=xl/drawings/_rels/drawing9.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31.png"/><Relationship Id="rId6" Type="http://schemas.openxmlformats.org/officeDocument/2006/relationships/image" Target="../media/image33.png"/><Relationship Id="rId5" Type="http://schemas.openxmlformats.org/officeDocument/2006/relationships/image" Target="../media/image32.png"/><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12</xdr:col>
      <xdr:colOff>37257</xdr:colOff>
      <xdr:row>23</xdr:row>
      <xdr:rowOff>138545</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stretch>
          <a:fillRect/>
        </a:stretch>
      </xdr:blipFill>
      <xdr:spPr>
        <a:xfrm>
          <a:off x="609600" y="182880"/>
          <a:ext cx="6742857" cy="4161905"/>
        </a:xfrm>
        <a:prstGeom prst="rect">
          <a:avLst/>
        </a:prstGeom>
      </xdr:spPr>
    </xdr:pic>
    <xdr:clientData/>
  </xdr:twoCellAnchor>
  <xdr:twoCellAnchor editAs="oneCell">
    <xdr:from>
      <xdr:col>1</xdr:col>
      <xdr:colOff>0</xdr:colOff>
      <xdr:row>25</xdr:row>
      <xdr:rowOff>0</xdr:rowOff>
    </xdr:from>
    <xdr:to>
      <xdr:col>12</xdr:col>
      <xdr:colOff>227733</xdr:colOff>
      <xdr:row>48</xdr:row>
      <xdr:rowOff>41379</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a:stretch>
          <a:fillRect/>
        </a:stretch>
      </xdr:blipFill>
      <xdr:spPr>
        <a:xfrm>
          <a:off x="609600" y="4572000"/>
          <a:ext cx="6933333" cy="4247619"/>
        </a:xfrm>
        <a:prstGeom prst="rect">
          <a:avLst/>
        </a:prstGeom>
      </xdr:spPr>
    </xdr:pic>
    <xdr:clientData/>
  </xdr:twoCellAnchor>
  <xdr:twoCellAnchor editAs="oneCell">
    <xdr:from>
      <xdr:col>1</xdr:col>
      <xdr:colOff>0</xdr:colOff>
      <xdr:row>50</xdr:row>
      <xdr:rowOff>0</xdr:rowOff>
    </xdr:from>
    <xdr:to>
      <xdr:col>12</xdr:col>
      <xdr:colOff>237257</xdr:colOff>
      <xdr:row>64</xdr:row>
      <xdr:rowOff>39680</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3"/>
        <a:stretch>
          <a:fillRect/>
        </a:stretch>
      </xdr:blipFill>
      <xdr:spPr>
        <a:xfrm>
          <a:off x="609600" y="9144000"/>
          <a:ext cx="6942857" cy="2600000"/>
        </a:xfrm>
        <a:prstGeom prst="rect">
          <a:avLst/>
        </a:prstGeom>
      </xdr:spPr>
    </xdr:pic>
    <xdr:clientData/>
  </xdr:twoCellAnchor>
  <xdr:twoCellAnchor editAs="oneCell">
    <xdr:from>
      <xdr:col>1</xdr:col>
      <xdr:colOff>0</xdr:colOff>
      <xdr:row>65</xdr:row>
      <xdr:rowOff>0</xdr:rowOff>
    </xdr:from>
    <xdr:to>
      <xdr:col>13</xdr:col>
      <xdr:colOff>132419</xdr:colOff>
      <xdr:row>92</xdr:row>
      <xdr:rowOff>14621</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4"/>
        <a:stretch>
          <a:fillRect/>
        </a:stretch>
      </xdr:blipFill>
      <xdr:spPr>
        <a:xfrm>
          <a:off x="609600" y="11887200"/>
          <a:ext cx="7447619" cy="4952381"/>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11</xdr:col>
      <xdr:colOff>546100</xdr:colOff>
      <xdr:row>2</xdr:row>
      <xdr:rowOff>127000</xdr:rowOff>
    </xdr:from>
    <xdr:to>
      <xdr:col>31</xdr:col>
      <xdr:colOff>57751</xdr:colOff>
      <xdr:row>16</xdr:row>
      <xdr:rowOff>95425</xdr:rowOff>
    </xdr:to>
    <xdr:pic>
      <xdr:nvPicPr>
        <xdr:cNvPr id="2" name="Picture 1">
          <a:extLst>
            <a:ext uri="{FF2B5EF4-FFF2-40B4-BE49-F238E27FC236}">
              <a16:creationId xmlns:a16="http://schemas.microsoft.com/office/drawing/2014/main" id="{79A7AADF-FBFE-4D63-93D3-03F313D672B2}"/>
            </a:ext>
          </a:extLst>
        </xdr:cNvPr>
        <xdr:cNvPicPr>
          <a:picLocks noChangeAspect="1"/>
        </xdr:cNvPicPr>
      </xdr:nvPicPr>
      <xdr:blipFill>
        <a:blip xmlns:r="http://schemas.openxmlformats.org/officeDocument/2006/relationships" r:embed="rId1"/>
        <a:stretch>
          <a:fillRect/>
        </a:stretch>
      </xdr:blipFill>
      <xdr:spPr>
        <a:xfrm>
          <a:off x="9988550" y="501650"/>
          <a:ext cx="11703651" cy="3410125"/>
        </a:xfrm>
        <a:prstGeom prst="rect">
          <a:avLst/>
        </a:prstGeom>
      </xdr:spPr>
    </xdr:pic>
    <xdr:clientData/>
  </xdr:twoCellAnchor>
  <xdr:twoCellAnchor editAs="oneCell">
    <xdr:from>
      <xdr:col>3</xdr:col>
      <xdr:colOff>133350</xdr:colOff>
      <xdr:row>22</xdr:row>
      <xdr:rowOff>31750</xdr:rowOff>
    </xdr:from>
    <xdr:to>
      <xdr:col>5</xdr:col>
      <xdr:colOff>323951</xdr:colOff>
      <xdr:row>23</xdr:row>
      <xdr:rowOff>25409</xdr:rowOff>
    </xdr:to>
    <xdr:pic>
      <xdr:nvPicPr>
        <xdr:cNvPr id="3" name="Picture 2">
          <a:extLst>
            <a:ext uri="{FF2B5EF4-FFF2-40B4-BE49-F238E27FC236}">
              <a16:creationId xmlns:a16="http://schemas.microsoft.com/office/drawing/2014/main" id="{646D7A96-6588-4F75-94AF-6024F62CDCA3}"/>
            </a:ext>
          </a:extLst>
        </xdr:cNvPr>
        <xdr:cNvPicPr>
          <a:picLocks noChangeAspect="1"/>
        </xdr:cNvPicPr>
      </xdr:nvPicPr>
      <xdr:blipFill>
        <a:blip xmlns:r="http://schemas.openxmlformats.org/officeDocument/2006/relationships" r:embed="rId2"/>
        <a:stretch>
          <a:fillRect/>
        </a:stretch>
      </xdr:blipFill>
      <xdr:spPr>
        <a:xfrm>
          <a:off x="4699000" y="6273800"/>
          <a:ext cx="1968601" cy="177809"/>
        </a:xfrm>
        <a:prstGeom prst="rect">
          <a:avLst/>
        </a:prstGeom>
      </xdr:spPr>
    </xdr:pic>
    <xdr:clientData/>
  </xdr:twoCellAnchor>
  <xdr:oneCellAnchor>
    <xdr:from>
      <xdr:col>0</xdr:col>
      <xdr:colOff>136525</xdr:colOff>
      <xdr:row>50</xdr:row>
      <xdr:rowOff>6350</xdr:rowOff>
    </xdr:from>
    <xdr:ext cx="3151376" cy="175369"/>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BC89F07C-A819-41C4-9F8B-70DF1E3BA555}"/>
                </a:ext>
              </a:extLst>
            </xdr:cNvPr>
            <xdr:cNvSpPr txBox="1"/>
          </xdr:nvSpPr>
          <xdr:spPr>
            <a:xfrm>
              <a:off x="136525" y="11404600"/>
              <a:ext cx="3151376"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FI" sz="1100" i="1">
                            <a:latin typeface="Cambria Math" panose="02040503050406030204" pitchFamily="18" charset="0"/>
                          </a:rPr>
                        </m:ctrlPr>
                      </m:sSupPr>
                      <m:e>
                        <m:r>
                          <a:rPr lang="en-US" sz="1100" b="0" i="1">
                            <a:latin typeface="Cambria Math" panose="02040503050406030204" pitchFamily="18" charset="0"/>
                          </a:rPr>
                          <m:t>𝑋</m:t>
                        </m:r>
                      </m:e>
                      <m:sup>
                        <m:r>
                          <a:rPr lang="en-US" sz="1100" b="0" i="1">
                            <a:latin typeface="Cambria Math" panose="02040503050406030204" pitchFamily="18" charset="0"/>
                          </a:rPr>
                          <m:t>2</m:t>
                        </m:r>
                      </m:sup>
                    </m:sSup>
                    <m:r>
                      <a:rPr lang="en-US" sz="1100" b="0" i="1">
                        <a:latin typeface="Cambria Math" panose="02040503050406030204" pitchFamily="18" charset="0"/>
                      </a:rPr>
                      <m:t>+(3.02</m:t>
                    </m:r>
                    <m:r>
                      <a:rPr lang="en-US" sz="1100" b="0" i="1">
                        <a:latin typeface="Cambria Math" panose="02040503050406030204" pitchFamily="18" charset="0"/>
                      </a:rPr>
                      <m:t>𝐸</m:t>
                    </m:r>
                    <m:r>
                      <a:rPr lang="en-US" sz="1100" b="0" i="1">
                        <a:latin typeface="Cambria Math" panose="02040503050406030204" pitchFamily="18" charset="0"/>
                      </a:rPr>
                      <m:t>−07)</m:t>
                    </m:r>
                    <m:d>
                      <m:dPr>
                        <m:ctrlPr>
                          <a:rPr lang="en-US" sz="1100" b="0" i="1">
                            <a:latin typeface="Cambria Math" panose="02040503050406030204" pitchFamily="18" charset="0"/>
                          </a:rPr>
                        </m:ctrlPr>
                      </m:dPr>
                      <m:e>
                        <m:r>
                          <a:rPr lang="en-US" sz="1100" b="0" i="1">
                            <a:latin typeface="Cambria Math" panose="02040503050406030204" pitchFamily="18" charset="0"/>
                          </a:rPr>
                          <m:t>𝑋</m:t>
                        </m:r>
                      </m:e>
                    </m:d>
                    <m:r>
                      <a:rPr lang="en-US" sz="1100" b="0" i="1">
                        <a:latin typeface="Cambria Math" panose="02040503050406030204" pitchFamily="18" charset="0"/>
                      </a:rPr>
                      <m:t>−</m:t>
                    </m:r>
                    <m:d>
                      <m:dPr>
                        <m:ctrlPr>
                          <a:rPr lang="en-US" sz="1100" b="0" i="1">
                            <a:latin typeface="Cambria Math" panose="02040503050406030204" pitchFamily="18" charset="0"/>
                          </a:rPr>
                        </m:ctrlPr>
                      </m:dPr>
                      <m:e>
                        <m:r>
                          <a:rPr lang="en-US" sz="1100" b="0" i="1">
                            <a:latin typeface="Cambria Math" panose="02040503050406030204" pitchFamily="18" charset="0"/>
                          </a:rPr>
                          <m:t>3.02</m:t>
                        </m:r>
                        <m:r>
                          <a:rPr lang="en-US" sz="1100" b="0" i="1">
                            <a:latin typeface="Cambria Math" panose="02040503050406030204" pitchFamily="18" charset="0"/>
                          </a:rPr>
                          <m:t>𝐸</m:t>
                        </m:r>
                        <m:r>
                          <a:rPr lang="en-US" sz="1100" b="0" i="1">
                            <a:latin typeface="Cambria Math" panose="02040503050406030204" pitchFamily="18" charset="0"/>
                          </a:rPr>
                          <m:t>−07∗0.0008</m:t>
                        </m:r>
                      </m:e>
                    </m:d>
                    <m:r>
                      <a:rPr lang="en-US" sz="1100" b="0" i="1">
                        <a:latin typeface="Cambria Math" panose="02040503050406030204" pitchFamily="18" charset="0"/>
                      </a:rPr>
                      <m:t>=0</m:t>
                    </m:r>
                  </m:oMath>
                </m:oMathPara>
              </a14:m>
              <a:endParaRPr lang="en-FI" sz="1100"/>
            </a:p>
          </xdr:txBody>
        </xdr:sp>
      </mc:Choice>
      <mc:Fallback xmlns="">
        <xdr:sp macro="" textlink="">
          <xdr:nvSpPr>
            <xdr:cNvPr id="4" name="TextBox 3">
              <a:extLst>
                <a:ext uri="{FF2B5EF4-FFF2-40B4-BE49-F238E27FC236}">
                  <a16:creationId xmlns:a16="http://schemas.microsoft.com/office/drawing/2014/main" id="{BC89F07C-A819-41C4-9F8B-70DF1E3BA555}"/>
                </a:ext>
              </a:extLst>
            </xdr:cNvPr>
            <xdr:cNvSpPr txBox="1"/>
          </xdr:nvSpPr>
          <xdr:spPr>
            <a:xfrm>
              <a:off x="136525" y="11404600"/>
              <a:ext cx="3151376"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𝑋</a:t>
              </a:r>
              <a:r>
                <a:rPr lang="en-FI" sz="1100" b="0" i="0">
                  <a:latin typeface="Cambria Math" panose="02040503050406030204" pitchFamily="18" charset="0"/>
                </a:rPr>
                <a:t>^</a:t>
              </a:r>
              <a:r>
                <a:rPr lang="en-US" sz="1100" b="0" i="0">
                  <a:latin typeface="Cambria Math" panose="02040503050406030204" pitchFamily="18" charset="0"/>
                </a:rPr>
                <a:t>2+(3.02𝐸−07)(𝑋)−(3.02𝐸−07∗0.0008)=0</a:t>
              </a:r>
              <a:endParaRPr lang="en-FI" sz="1100"/>
            </a:p>
          </xdr:txBody>
        </xdr:sp>
      </mc:Fallback>
    </mc:AlternateContent>
    <xdr:clientData/>
  </xdr:oneCellAnchor>
  <xdr:twoCellAnchor editAs="oneCell">
    <xdr:from>
      <xdr:col>8</xdr:col>
      <xdr:colOff>31750</xdr:colOff>
      <xdr:row>89</xdr:row>
      <xdr:rowOff>36654</xdr:rowOff>
    </xdr:from>
    <xdr:to>
      <xdr:col>14</xdr:col>
      <xdr:colOff>13025</xdr:colOff>
      <xdr:row>97</xdr:row>
      <xdr:rowOff>152534</xdr:rowOff>
    </xdr:to>
    <xdr:pic>
      <xdr:nvPicPr>
        <xdr:cNvPr id="7" name="Picture 6">
          <a:extLst>
            <a:ext uri="{FF2B5EF4-FFF2-40B4-BE49-F238E27FC236}">
              <a16:creationId xmlns:a16="http://schemas.microsoft.com/office/drawing/2014/main" id="{C5093B2B-300D-443D-B2F5-7D7C455908BA}"/>
            </a:ext>
          </a:extLst>
        </xdr:cNvPr>
        <xdr:cNvPicPr>
          <a:picLocks noChangeAspect="1"/>
        </xdr:cNvPicPr>
      </xdr:nvPicPr>
      <xdr:blipFill>
        <a:blip xmlns:r="http://schemas.openxmlformats.org/officeDocument/2006/relationships" r:embed="rId3"/>
        <a:stretch>
          <a:fillRect/>
        </a:stretch>
      </xdr:blipFill>
      <xdr:spPr>
        <a:xfrm>
          <a:off x="9715500" y="18616754"/>
          <a:ext cx="3854775" cy="1589080"/>
        </a:xfrm>
        <a:prstGeom prst="rect">
          <a:avLst/>
        </a:prstGeom>
      </xdr:spPr>
    </xdr:pic>
    <xdr:clientData/>
  </xdr:twoCellAnchor>
  <xdr:twoCellAnchor editAs="oneCell">
    <xdr:from>
      <xdr:col>8</xdr:col>
      <xdr:colOff>126892</xdr:colOff>
      <xdr:row>102</xdr:row>
      <xdr:rowOff>165100</xdr:rowOff>
    </xdr:from>
    <xdr:to>
      <xdr:col>13</xdr:col>
      <xdr:colOff>355923</xdr:colOff>
      <xdr:row>110</xdr:row>
      <xdr:rowOff>133483</xdr:rowOff>
    </xdr:to>
    <xdr:pic>
      <xdr:nvPicPr>
        <xdr:cNvPr id="8" name="Picture 7">
          <a:extLst>
            <a:ext uri="{FF2B5EF4-FFF2-40B4-BE49-F238E27FC236}">
              <a16:creationId xmlns:a16="http://schemas.microsoft.com/office/drawing/2014/main" id="{541C60D7-DFC0-4F1F-989D-BAE72B0A1F28}"/>
            </a:ext>
          </a:extLst>
        </xdr:cNvPr>
        <xdr:cNvPicPr>
          <a:picLocks noChangeAspect="1"/>
        </xdr:cNvPicPr>
      </xdr:nvPicPr>
      <xdr:blipFill>
        <a:blip xmlns:r="http://schemas.openxmlformats.org/officeDocument/2006/relationships" r:embed="rId4"/>
        <a:stretch>
          <a:fillRect/>
        </a:stretch>
      </xdr:blipFill>
      <xdr:spPr>
        <a:xfrm>
          <a:off x="9810642" y="21139150"/>
          <a:ext cx="3492931" cy="1441583"/>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11</xdr:col>
      <xdr:colOff>0</xdr:colOff>
      <xdr:row>4</xdr:row>
      <xdr:rowOff>0</xdr:rowOff>
    </xdr:from>
    <xdr:to>
      <xdr:col>21</xdr:col>
      <xdr:colOff>473867</xdr:colOff>
      <xdr:row>29</xdr:row>
      <xdr:rowOff>7101</xdr:rowOff>
    </xdr:to>
    <xdr:pic>
      <xdr:nvPicPr>
        <xdr:cNvPr id="2" name="Picture 1">
          <a:extLst>
            <a:ext uri="{FF2B5EF4-FFF2-40B4-BE49-F238E27FC236}">
              <a16:creationId xmlns:a16="http://schemas.microsoft.com/office/drawing/2014/main" id="{48F4B588-A07D-4E43-9A15-D085E284F7E7}"/>
            </a:ext>
          </a:extLst>
        </xdr:cNvPr>
        <xdr:cNvPicPr>
          <a:picLocks noChangeAspect="1"/>
        </xdr:cNvPicPr>
      </xdr:nvPicPr>
      <xdr:blipFill>
        <a:blip xmlns:r="http://schemas.openxmlformats.org/officeDocument/2006/relationships" r:embed="rId1"/>
        <a:stretch>
          <a:fillRect/>
        </a:stretch>
      </xdr:blipFill>
      <xdr:spPr>
        <a:xfrm>
          <a:off x="6705600" y="736600"/>
          <a:ext cx="6569867" cy="4610851"/>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1</xdr:row>
      <xdr:rowOff>113000</xdr:rowOff>
    </xdr:from>
    <xdr:to>
      <xdr:col>21</xdr:col>
      <xdr:colOff>50599</xdr:colOff>
      <xdr:row>24</xdr:row>
      <xdr:rowOff>139700</xdr:rowOff>
    </xdr:to>
    <xdr:pic>
      <xdr:nvPicPr>
        <xdr:cNvPr id="2" name="Picture 1">
          <a:extLst>
            <a:ext uri="{FF2B5EF4-FFF2-40B4-BE49-F238E27FC236}">
              <a16:creationId xmlns:a16="http://schemas.microsoft.com/office/drawing/2014/main" id="{164751D9-8B56-4642-A5F8-1F1AA0DF6112}"/>
            </a:ext>
          </a:extLst>
        </xdr:cNvPr>
        <xdr:cNvPicPr>
          <a:picLocks noChangeAspect="1"/>
        </xdr:cNvPicPr>
      </xdr:nvPicPr>
      <xdr:blipFill>
        <a:blip xmlns:r="http://schemas.openxmlformats.org/officeDocument/2006/relationships" r:embed="rId1"/>
        <a:stretch>
          <a:fillRect/>
        </a:stretch>
      </xdr:blipFill>
      <xdr:spPr>
        <a:xfrm>
          <a:off x="0" y="297150"/>
          <a:ext cx="12852199" cy="42621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20</xdr:row>
      <xdr:rowOff>165100</xdr:rowOff>
    </xdr:from>
    <xdr:to>
      <xdr:col>1</xdr:col>
      <xdr:colOff>1536700</xdr:colOff>
      <xdr:row>31</xdr:row>
      <xdr:rowOff>109470</xdr:rowOff>
    </xdr:to>
    <xdr:pic>
      <xdr:nvPicPr>
        <xdr:cNvPr id="2" name="Picture 1">
          <a:extLst>
            <a:ext uri="{FF2B5EF4-FFF2-40B4-BE49-F238E27FC236}">
              <a16:creationId xmlns:a16="http://schemas.microsoft.com/office/drawing/2014/main" id="{337279DB-D8C2-4029-A97B-F1B8C8A4220E}"/>
            </a:ext>
          </a:extLst>
        </xdr:cNvPr>
        <xdr:cNvPicPr>
          <a:picLocks noChangeAspect="1"/>
        </xdr:cNvPicPr>
      </xdr:nvPicPr>
      <xdr:blipFill>
        <a:blip xmlns:r="http://schemas.openxmlformats.org/officeDocument/2006/relationships" r:embed="rId1"/>
        <a:stretch>
          <a:fillRect/>
        </a:stretch>
      </xdr:blipFill>
      <xdr:spPr>
        <a:xfrm>
          <a:off x="0" y="4781550"/>
          <a:ext cx="4337050" cy="233832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2</xdr:col>
      <xdr:colOff>206375</xdr:colOff>
      <xdr:row>22</xdr:row>
      <xdr:rowOff>31751</xdr:rowOff>
    </xdr:from>
    <xdr:ext cx="6778625" cy="172227"/>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FA345372-C7E9-44AE-9111-09A3BBE1FE8D}"/>
                </a:ext>
              </a:extLst>
            </xdr:cNvPr>
            <xdr:cNvSpPr txBox="1"/>
          </xdr:nvSpPr>
          <xdr:spPr>
            <a:xfrm>
              <a:off x="3571875" y="4235451"/>
              <a:ext cx="67786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a:t>                                          </a:t>
              </a:r>
              <a14:m>
                <m:oMath xmlns:m="http://schemas.openxmlformats.org/officeDocument/2006/math">
                  <m:sSub>
                    <m:sSubPr>
                      <m:ctrlPr>
                        <a:rPr lang="en-FI" sz="1100" i="1">
                          <a:latin typeface="Cambria Math" panose="02040503050406030204" pitchFamily="18" charset="0"/>
                        </a:rPr>
                      </m:ctrlPr>
                    </m:sSubPr>
                    <m:e>
                      <m:r>
                        <a:rPr lang="en-US" sz="1100" b="0" i="1">
                          <a:latin typeface="Cambria Math" panose="02040503050406030204" pitchFamily="18" charset="0"/>
                        </a:rPr>
                        <m:t>𝐹𝑒</m:t>
                      </m:r>
                    </m:e>
                    <m:sub>
                      <m:r>
                        <a:rPr lang="en-US" sz="1100" b="0" i="1">
                          <a:latin typeface="Cambria Math" panose="02040503050406030204" pitchFamily="18" charset="0"/>
                        </a:rPr>
                        <m:t>2</m:t>
                      </m:r>
                    </m:sub>
                  </m:sSub>
                  <m:sSub>
                    <m:sSubPr>
                      <m:ctrlPr>
                        <a:rPr lang="en-FI" sz="1100" i="1">
                          <a:latin typeface="Cambria Math" panose="02040503050406030204" pitchFamily="18" charset="0"/>
                        </a:rPr>
                      </m:ctrlPr>
                    </m:sSubPr>
                    <m:e>
                      <m:r>
                        <a:rPr lang="en-US" sz="1100" b="0" i="1">
                          <a:latin typeface="Cambria Math" panose="02040503050406030204" pitchFamily="18" charset="0"/>
                        </a:rPr>
                        <m:t>(</m:t>
                      </m:r>
                      <m:r>
                        <a:rPr lang="en-US" sz="1100" b="0" i="1">
                          <a:latin typeface="Cambria Math" panose="02040503050406030204" pitchFamily="18" charset="0"/>
                        </a:rPr>
                        <m:t>𝑆𝑂</m:t>
                      </m:r>
                      <m:r>
                        <a:rPr lang="en-US" sz="1100" b="0" i="1">
                          <a:latin typeface="Cambria Math" panose="02040503050406030204" pitchFamily="18" charset="0"/>
                        </a:rPr>
                        <m:t>4)</m:t>
                      </m:r>
                    </m:e>
                    <m:sub>
                      <m:r>
                        <a:rPr lang="en-US" sz="1100" b="0" i="1">
                          <a:latin typeface="Cambria Math" panose="02040503050406030204" pitchFamily="18" charset="0"/>
                        </a:rPr>
                        <m:t>3</m:t>
                      </m:r>
                    </m:sub>
                  </m:sSub>
                  <m:r>
                    <a:rPr lang="en-US" sz="1100" b="0" i="1">
                      <a:latin typeface="Cambria Math" panose="02040503050406030204" pitchFamily="18" charset="0"/>
                    </a:rPr>
                    <m:t>        +     3 </m:t>
                  </m:r>
                  <m:r>
                    <a:rPr lang="en-US" sz="1100" b="0" i="1">
                      <a:latin typeface="Cambria Math" panose="02040503050406030204" pitchFamily="18" charset="0"/>
                    </a:rPr>
                    <m:t>𝐶𝑎</m:t>
                  </m:r>
                  <m:d>
                    <m:dPr>
                      <m:ctrlPr>
                        <a:rPr lang="en-US" sz="1100" b="0" i="1">
                          <a:latin typeface="Cambria Math" panose="02040503050406030204" pitchFamily="18" charset="0"/>
                        </a:rPr>
                      </m:ctrlPr>
                    </m:dPr>
                    <m:e>
                      <m:r>
                        <a:rPr lang="en-US" sz="1100" b="0" i="1">
                          <a:latin typeface="Cambria Math" panose="02040503050406030204" pitchFamily="18" charset="0"/>
                        </a:rPr>
                        <m:t>𝑂𝐻</m:t>
                      </m:r>
                    </m:e>
                  </m:d>
                  <m:r>
                    <a:rPr lang="en-US" sz="1100" b="0" i="1">
                      <a:latin typeface="Cambria Math" panose="02040503050406030204" pitchFamily="18" charset="0"/>
                    </a:rPr>
                    <m:t>2        </m:t>
                  </m:r>
                  <m:r>
                    <a:rPr lang="en-US" sz="1100" b="0" i="1">
                      <a:latin typeface="Cambria Math" panose="02040503050406030204" pitchFamily="18" charset="0"/>
                      <a:ea typeface="Cambria Math" panose="02040503050406030204" pitchFamily="18" charset="0"/>
                    </a:rPr>
                    <m:t>↔    2 </m:t>
                  </m:r>
                  <m:r>
                    <a:rPr lang="en-US" sz="1100" b="0" i="1">
                      <a:latin typeface="Cambria Math" panose="02040503050406030204" pitchFamily="18" charset="0"/>
                      <a:ea typeface="Cambria Math" panose="02040503050406030204" pitchFamily="18" charset="0"/>
                    </a:rPr>
                    <m:t>𝐹𝑒</m:t>
                  </m:r>
                  <m:sSub>
                    <m:sSubPr>
                      <m:ctrlPr>
                        <a:rPr lang="en-US" sz="1100" b="0" i="1">
                          <a:latin typeface="Cambria Math" panose="02040503050406030204" pitchFamily="18" charset="0"/>
                          <a:ea typeface="Cambria Math" panose="02040503050406030204" pitchFamily="18" charset="0"/>
                        </a:rPr>
                      </m:ctrlPr>
                    </m:sSubPr>
                    <m:e>
                      <m:r>
                        <a:rPr lang="en-US" sz="1100" b="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𝑂𝐻</m:t>
                      </m:r>
                      <m:r>
                        <a:rPr lang="en-US" sz="1100" b="0" i="1">
                          <a:latin typeface="Cambria Math" panose="02040503050406030204" pitchFamily="18" charset="0"/>
                          <a:ea typeface="Cambria Math" panose="02040503050406030204" pitchFamily="18" charset="0"/>
                        </a:rPr>
                        <m:t>)</m:t>
                      </m:r>
                    </m:e>
                    <m:sub>
                      <m:r>
                        <a:rPr lang="en-US" sz="1100" b="0" i="1">
                          <a:latin typeface="Cambria Math" panose="02040503050406030204" pitchFamily="18" charset="0"/>
                          <a:ea typeface="Cambria Math" panose="02040503050406030204" pitchFamily="18" charset="0"/>
                        </a:rPr>
                        <m:t>3</m:t>
                      </m:r>
                    </m:sub>
                  </m:sSub>
                  <m:r>
                    <a:rPr lang="en-US" sz="1100" b="0" i="1">
                      <a:latin typeface="Cambria Math" panose="02040503050406030204" pitchFamily="18" charset="0"/>
                      <a:ea typeface="Cambria Math" panose="02040503050406030204" pitchFamily="18" charset="0"/>
                    </a:rPr>
                    <m:t>       +        3 </m:t>
                  </m:r>
                  <m:sSub>
                    <m:sSubPr>
                      <m:ctrlPr>
                        <a:rPr lang="en-US" sz="1100" b="0" i="1">
                          <a:latin typeface="Cambria Math" panose="02040503050406030204" pitchFamily="18" charset="0"/>
                          <a:ea typeface="Cambria Math" panose="02040503050406030204" pitchFamily="18" charset="0"/>
                        </a:rPr>
                      </m:ctrlPr>
                    </m:sSubPr>
                    <m:e>
                      <m:r>
                        <a:rPr lang="en-US" sz="1100" b="0" i="1">
                          <a:latin typeface="Cambria Math" panose="02040503050406030204" pitchFamily="18" charset="0"/>
                          <a:ea typeface="Cambria Math" panose="02040503050406030204" pitchFamily="18" charset="0"/>
                        </a:rPr>
                        <m:t>𝐶𝑎𝑆𝑂</m:t>
                      </m:r>
                    </m:e>
                    <m:sub>
                      <m:r>
                        <a:rPr lang="en-US" sz="1100" b="0" i="1">
                          <a:latin typeface="Cambria Math" panose="02040503050406030204" pitchFamily="18" charset="0"/>
                          <a:ea typeface="Cambria Math" panose="02040503050406030204" pitchFamily="18" charset="0"/>
                        </a:rPr>
                        <m:t>4</m:t>
                      </m:r>
                    </m:sub>
                  </m:sSub>
                  <m:r>
                    <a:rPr lang="en-US" sz="1100" b="0" i="1">
                      <a:latin typeface="Cambria Math" panose="02040503050406030204" pitchFamily="18" charset="0"/>
                      <a:ea typeface="Cambria Math" panose="02040503050406030204" pitchFamily="18" charset="0"/>
                    </a:rPr>
                    <m:t>                                 (1)</m:t>
                  </m:r>
                </m:oMath>
              </a14:m>
              <a:endParaRPr lang="en-FI" sz="1100"/>
            </a:p>
          </xdr:txBody>
        </xdr:sp>
      </mc:Choice>
      <mc:Fallback xmlns="">
        <xdr:sp macro="" textlink="">
          <xdr:nvSpPr>
            <xdr:cNvPr id="2" name="TextBox 1">
              <a:extLst>
                <a:ext uri="{FF2B5EF4-FFF2-40B4-BE49-F238E27FC236}">
                  <a16:creationId xmlns:a16="http://schemas.microsoft.com/office/drawing/2014/main" id="{FA345372-C7E9-44AE-9111-09A3BBE1FE8D}"/>
                </a:ext>
              </a:extLst>
            </xdr:cNvPr>
            <xdr:cNvSpPr txBox="1"/>
          </xdr:nvSpPr>
          <xdr:spPr>
            <a:xfrm>
              <a:off x="3571875" y="4235451"/>
              <a:ext cx="67786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a:t>                                          </a:t>
              </a:r>
              <a:r>
                <a:rPr lang="en-FI" sz="1100" i="0">
                  <a:latin typeface="Cambria Math" panose="02040503050406030204" pitchFamily="18" charset="0"/>
                </a:rPr>
                <a:t>〖</a:t>
              </a:r>
              <a:r>
                <a:rPr lang="en-US" sz="1100" b="0" i="0">
                  <a:latin typeface="Cambria Math" panose="02040503050406030204" pitchFamily="18" charset="0"/>
                </a:rPr>
                <a:t>𝐹𝑒</a:t>
              </a:r>
              <a:r>
                <a:rPr lang="en-FI" sz="1100" b="0" i="0">
                  <a:latin typeface="Cambria Math" panose="02040503050406030204" pitchFamily="18" charset="0"/>
                </a:rPr>
                <a:t>〗_</a:t>
              </a:r>
              <a:r>
                <a:rPr lang="en-US" sz="1100" b="0" i="0">
                  <a:latin typeface="Cambria Math" panose="02040503050406030204" pitchFamily="18" charset="0"/>
                </a:rPr>
                <a:t>2</a:t>
              </a:r>
              <a:r>
                <a:rPr lang="en-FI" sz="1100" b="0" i="0">
                  <a:latin typeface="Cambria Math" panose="02040503050406030204" pitchFamily="18" charset="0"/>
                </a:rPr>
                <a:t> </a:t>
              </a:r>
              <a:r>
                <a:rPr lang="en-FI" sz="1100" i="0">
                  <a:latin typeface="Cambria Math" panose="02040503050406030204" pitchFamily="18" charset="0"/>
                </a:rPr>
                <a:t>〖</a:t>
              </a:r>
              <a:r>
                <a:rPr lang="en-US" sz="1100" b="0" i="0">
                  <a:latin typeface="Cambria Math" panose="02040503050406030204" pitchFamily="18" charset="0"/>
                </a:rPr>
                <a:t>(𝑆𝑂4)</a:t>
              </a:r>
              <a:r>
                <a:rPr lang="en-FI" sz="1100" b="0" i="0">
                  <a:latin typeface="Cambria Math" panose="02040503050406030204" pitchFamily="18" charset="0"/>
                </a:rPr>
                <a:t>〗_</a:t>
              </a:r>
              <a:r>
                <a:rPr lang="en-US" sz="1100" b="0" i="0">
                  <a:latin typeface="Cambria Math" panose="02040503050406030204" pitchFamily="18" charset="0"/>
                </a:rPr>
                <a:t>3         +     3 𝐶𝑎(𝑂𝐻)2        </a:t>
              </a:r>
              <a:r>
                <a:rPr lang="en-US" sz="1100" b="0" i="0">
                  <a:latin typeface="Cambria Math" panose="02040503050406030204" pitchFamily="18" charset="0"/>
                  <a:ea typeface="Cambria Math" panose="02040503050406030204" pitchFamily="18" charset="0"/>
                </a:rPr>
                <a:t>↔    2 𝐹𝑒〖(𝑂𝐻)〗_3        +        3 〖𝐶𝑎𝑆𝑂〗_4                                  (1)</a:t>
              </a:r>
              <a:endParaRPr lang="en-FI" sz="1100"/>
            </a:p>
          </xdr:txBody>
        </xdr:sp>
      </mc:Fallback>
    </mc:AlternateContent>
    <xdr:clientData/>
  </xdr:oneCellAnchor>
  <xdr:twoCellAnchor editAs="oneCell">
    <xdr:from>
      <xdr:col>10</xdr:col>
      <xdr:colOff>7020</xdr:colOff>
      <xdr:row>52</xdr:row>
      <xdr:rowOff>171450</xdr:rowOff>
    </xdr:from>
    <xdr:to>
      <xdr:col>21</xdr:col>
      <xdr:colOff>483123</xdr:colOff>
      <xdr:row>70</xdr:row>
      <xdr:rowOff>158991</xdr:rowOff>
    </xdr:to>
    <xdr:pic>
      <xdr:nvPicPr>
        <xdr:cNvPr id="3" name="Picture 2">
          <a:extLst>
            <a:ext uri="{FF2B5EF4-FFF2-40B4-BE49-F238E27FC236}">
              <a16:creationId xmlns:a16="http://schemas.microsoft.com/office/drawing/2014/main" id="{636E1753-B90F-4D2F-8ECE-70F413745F5B}"/>
            </a:ext>
          </a:extLst>
        </xdr:cNvPr>
        <xdr:cNvPicPr>
          <a:picLocks noChangeAspect="1"/>
        </xdr:cNvPicPr>
      </xdr:nvPicPr>
      <xdr:blipFill>
        <a:blip xmlns:r="http://schemas.openxmlformats.org/officeDocument/2006/relationships" r:embed="rId1"/>
        <a:stretch>
          <a:fillRect/>
        </a:stretch>
      </xdr:blipFill>
      <xdr:spPr>
        <a:xfrm>
          <a:off x="10935370" y="10001250"/>
          <a:ext cx="7181703" cy="3302241"/>
        </a:xfrm>
        <a:prstGeom prst="rect">
          <a:avLst/>
        </a:prstGeom>
      </xdr:spPr>
    </xdr:pic>
    <xdr:clientData/>
  </xdr:twoCellAnchor>
  <xdr:twoCellAnchor>
    <xdr:from>
      <xdr:col>17</xdr:col>
      <xdr:colOff>412750</xdr:colOff>
      <xdr:row>61</xdr:row>
      <xdr:rowOff>38100</xdr:rowOff>
    </xdr:from>
    <xdr:to>
      <xdr:col>17</xdr:col>
      <xdr:colOff>412750</xdr:colOff>
      <xdr:row>69</xdr:row>
      <xdr:rowOff>12700</xdr:rowOff>
    </xdr:to>
    <xdr:cxnSp macro="">
      <xdr:nvCxnSpPr>
        <xdr:cNvPr id="5" name="Straight Connector 4">
          <a:extLst>
            <a:ext uri="{FF2B5EF4-FFF2-40B4-BE49-F238E27FC236}">
              <a16:creationId xmlns:a16="http://schemas.microsoft.com/office/drawing/2014/main" id="{AD7339F8-4957-420E-8BD6-19BFFC419E21}"/>
            </a:ext>
          </a:extLst>
        </xdr:cNvPr>
        <xdr:cNvCxnSpPr/>
      </xdr:nvCxnSpPr>
      <xdr:spPr>
        <a:xfrm flipV="1">
          <a:off x="15894050" y="11525250"/>
          <a:ext cx="0" cy="14478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14</xdr:col>
      <xdr:colOff>222250</xdr:colOff>
      <xdr:row>61</xdr:row>
      <xdr:rowOff>44450</xdr:rowOff>
    </xdr:from>
    <xdr:to>
      <xdr:col>17</xdr:col>
      <xdr:colOff>425450</xdr:colOff>
      <xdr:row>61</xdr:row>
      <xdr:rowOff>44450</xdr:rowOff>
    </xdr:to>
    <xdr:cxnSp macro="">
      <xdr:nvCxnSpPr>
        <xdr:cNvPr id="7" name="Straight Connector 6">
          <a:extLst>
            <a:ext uri="{FF2B5EF4-FFF2-40B4-BE49-F238E27FC236}">
              <a16:creationId xmlns:a16="http://schemas.microsoft.com/office/drawing/2014/main" id="{0E2D3900-A195-452E-AB45-5CC03A6EB599}"/>
            </a:ext>
          </a:extLst>
        </xdr:cNvPr>
        <xdr:cNvCxnSpPr/>
      </xdr:nvCxnSpPr>
      <xdr:spPr>
        <a:xfrm flipH="1">
          <a:off x="13874750" y="11531600"/>
          <a:ext cx="2032000" cy="0"/>
        </a:xfrm>
        <a:prstGeom prst="line">
          <a:avLst/>
        </a:prstGeom>
        <a:ln>
          <a:headEnd type="none" w="med" len="med"/>
          <a:tailEnd type="none" w="med" len="med"/>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14</xdr:col>
      <xdr:colOff>209550</xdr:colOff>
      <xdr:row>62</xdr:row>
      <xdr:rowOff>25400</xdr:rowOff>
    </xdr:from>
    <xdr:to>
      <xdr:col>17</xdr:col>
      <xdr:colOff>406400</xdr:colOff>
      <xdr:row>62</xdr:row>
      <xdr:rowOff>25400</xdr:rowOff>
    </xdr:to>
    <xdr:cxnSp macro="">
      <xdr:nvCxnSpPr>
        <xdr:cNvPr id="6" name="Straight Connector 5">
          <a:extLst>
            <a:ext uri="{FF2B5EF4-FFF2-40B4-BE49-F238E27FC236}">
              <a16:creationId xmlns:a16="http://schemas.microsoft.com/office/drawing/2014/main" id="{B4FBF78D-A941-49A0-BEB9-C9B2AAE2E812}"/>
            </a:ext>
          </a:extLst>
        </xdr:cNvPr>
        <xdr:cNvCxnSpPr/>
      </xdr:nvCxnSpPr>
      <xdr:spPr>
        <a:xfrm flipH="1">
          <a:off x="14541500" y="11696700"/>
          <a:ext cx="2025650" cy="0"/>
        </a:xfrm>
        <a:prstGeom prst="line">
          <a:avLst/>
        </a:prstGeom>
        <a:ln>
          <a:headEnd type="none" w="med" len="med"/>
          <a:tailEnd type="none" w="med" len="med"/>
        </a:ln>
      </xdr:spPr>
      <xdr:style>
        <a:lnRef idx="2">
          <a:schemeClr val="accent2"/>
        </a:lnRef>
        <a:fillRef idx="0">
          <a:schemeClr val="accent2"/>
        </a:fillRef>
        <a:effectRef idx="1">
          <a:schemeClr val="accent2"/>
        </a:effectRef>
        <a:fontRef idx="minor">
          <a:schemeClr val="tx1"/>
        </a:fontRef>
      </xdr:style>
    </xdr:cxnSp>
    <xdr:clientData/>
  </xdr:twoCellAnchor>
  <xdr:twoCellAnchor editAs="oneCell">
    <xdr:from>
      <xdr:col>10</xdr:col>
      <xdr:colOff>0</xdr:colOff>
      <xdr:row>73</xdr:row>
      <xdr:rowOff>0</xdr:rowOff>
    </xdr:from>
    <xdr:to>
      <xdr:col>20</xdr:col>
      <xdr:colOff>216224</xdr:colOff>
      <xdr:row>85</xdr:row>
      <xdr:rowOff>171572</xdr:rowOff>
    </xdr:to>
    <xdr:pic>
      <xdr:nvPicPr>
        <xdr:cNvPr id="8" name="Picture 7">
          <a:extLst>
            <a:ext uri="{FF2B5EF4-FFF2-40B4-BE49-F238E27FC236}">
              <a16:creationId xmlns:a16="http://schemas.microsoft.com/office/drawing/2014/main" id="{8050A878-6007-49B6-BBB8-CB5D0FC6C80B}"/>
            </a:ext>
          </a:extLst>
        </xdr:cNvPr>
        <xdr:cNvPicPr>
          <a:picLocks noChangeAspect="1"/>
        </xdr:cNvPicPr>
      </xdr:nvPicPr>
      <xdr:blipFill>
        <a:blip xmlns:r="http://schemas.openxmlformats.org/officeDocument/2006/relationships" r:embed="rId2"/>
        <a:stretch>
          <a:fillRect/>
        </a:stretch>
      </xdr:blipFill>
      <xdr:spPr>
        <a:xfrm>
          <a:off x="11893550" y="13696950"/>
          <a:ext cx="6312224" cy="2381372"/>
        </a:xfrm>
        <a:prstGeom prst="rect">
          <a:avLst/>
        </a:prstGeom>
      </xdr:spPr>
    </xdr:pic>
    <xdr:clientData/>
  </xdr:twoCellAnchor>
  <xdr:twoCellAnchor editAs="oneCell">
    <xdr:from>
      <xdr:col>10</xdr:col>
      <xdr:colOff>91424</xdr:colOff>
      <xdr:row>87</xdr:row>
      <xdr:rowOff>25400</xdr:rowOff>
    </xdr:from>
    <xdr:to>
      <xdr:col>14</xdr:col>
      <xdr:colOff>590815</xdr:colOff>
      <xdr:row>97</xdr:row>
      <xdr:rowOff>120826</xdr:rowOff>
    </xdr:to>
    <xdr:pic>
      <xdr:nvPicPr>
        <xdr:cNvPr id="9" name="Picture 8">
          <a:extLst>
            <a:ext uri="{FF2B5EF4-FFF2-40B4-BE49-F238E27FC236}">
              <a16:creationId xmlns:a16="http://schemas.microsoft.com/office/drawing/2014/main" id="{812631E9-D223-4DFE-81E6-CA21F969A6B8}"/>
            </a:ext>
          </a:extLst>
        </xdr:cNvPr>
        <xdr:cNvPicPr>
          <a:picLocks noChangeAspect="1"/>
        </xdr:cNvPicPr>
      </xdr:nvPicPr>
      <xdr:blipFill>
        <a:blip xmlns:r="http://schemas.openxmlformats.org/officeDocument/2006/relationships" r:embed="rId3"/>
        <a:stretch>
          <a:fillRect/>
        </a:stretch>
      </xdr:blipFill>
      <xdr:spPr>
        <a:xfrm>
          <a:off x="12556474" y="16300450"/>
          <a:ext cx="2937791" cy="193692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50800</xdr:colOff>
      <xdr:row>16</xdr:row>
      <xdr:rowOff>48576</xdr:rowOff>
    </xdr:from>
    <xdr:to>
      <xdr:col>16</xdr:col>
      <xdr:colOff>209873</xdr:colOff>
      <xdr:row>26</xdr:row>
      <xdr:rowOff>133490</xdr:rowOff>
    </xdr:to>
    <xdr:pic>
      <xdr:nvPicPr>
        <xdr:cNvPr id="2" name="Picture 1">
          <a:extLst>
            <a:ext uri="{FF2B5EF4-FFF2-40B4-BE49-F238E27FC236}">
              <a16:creationId xmlns:a16="http://schemas.microsoft.com/office/drawing/2014/main" id="{594D4E84-E9E4-4C61-8BC8-6B05CBE35285}"/>
            </a:ext>
          </a:extLst>
        </xdr:cNvPr>
        <xdr:cNvPicPr>
          <a:picLocks noChangeAspect="1"/>
        </xdr:cNvPicPr>
      </xdr:nvPicPr>
      <xdr:blipFill>
        <a:blip xmlns:r="http://schemas.openxmlformats.org/officeDocument/2006/relationships" r:embed="rId1"/>
        <a:stretch>
          <a:fillRect/>
        </a:stretch>
      </xdr:blipFill>
      <xdr:spPr>
        <a:xfrm>
          <a:off x="8121650" y="4239576"/>
          <a:ext cx="4426272" cy="1926414"/>
        </a:xfrm>
        <a:prstGeom prst="rect">
          <a:avLst/>
        </a:prstGeom>
      </xdr:spPr>
    </xdr:pic>
    <xdr:clientData/>
  </xdr:twoCellAnchor>
  <xdr:twoCellAnchor editAs="oneCell">
    <xdr:from>
      <xdr:col>9</xdr:col>
      <xdr:colOff>63500</xdr:colOff>
      <xdr:row>27</xdr:row>
      <xdr:rowOff>27946</xdr:rowOff>
    </xdr:from>
    <xdr:to>
      <xdr:col>14</xdr:col>
      <xdr:colOff>266927</xdr:colOff>
      <xdr:row>36</xdr:row>
      <xdr:rowOff>114423</xdr:rowOff>
    </xdr:to>
    <xdr:pic>
      <xdr:nvPicPr>
        <xdr:cNvPr id="3" name="Picture 2">
          <a:extLst>
            <a:ext uri="{FF2B5EF4-FFF2-40B4-BE49-F238E27FC236}">
              <a16:creationId xmlns:a16="http://schemas.microsoft.com/office/drawing/2014/main" id="{E62C9F6B-D579-487E-90A1-9D389BFBD1DF}"/>
            </a:ext>
          </a:extLst>
        </xdr:cNvPr>
        <xdr:cNvPicPr>
          <a:picLocks noChangeAspect="1"/>
        </xdr:cNvPicPr>
      </xdr:nvPicPr>
      <xdr:blipFill>
        <a:blip xmlns:r="http://schemas.openxmlformats.org/officeDocument/2006/relationships" r:embed="rId2"/>
        <a:stretch>
          <a:fillRect/>
        </a:stretch>
      </xdr:blipFill>
      <xdr:spPr>
        <a:xfrm>
          <a:off x="8204200" y="6244596"/>
          <a:ext cx="3251426" cy="1769227"/>
        </a:xfrm>
        <a:prstGeom prst="rect">
          <a:avLst/>
        </a:prstGeom>
      </xdr:spPr>
    </xdr:pic>
    <xdr:clientData/>
  </xdr:twoCellAnchor>
  <xdr:twoCellAnchor editAs="oneCell">
    <xdr:from>
      <xdr:col>9</xdr:col>
      <xdr:colOff>19050</xdr:colOff>
      <xdr:row>37</xdr:row>
      <xdr:rowOff>12924</xdr:rowOff>
    </xdr:from>
    <xdr:to>
      <xdr:col>16</xdr:col>
      <xdr:colOff>495624</xdr:colOff>
      <xdr:row>45</xdr:row>
      <xdr:rowOff>76305</xdr:rowOff>
    </xdr:to>
    <xdr:pic>
      <xdr:nvPicPr>
        <xdr:cNvPr id="4" name="Picture 3">
          <a:extLst>
            <a:ext uri="{FF2B5EF4-FFF2-40B4-BE49-F238E27FC236}">
              <a16:creationId xmlns:a16="http://schemas.microsoft.com/office/drawing/2014/main" id="{0FAC372C-1B3D-40FE-A977-08A81B52C662}"/>
            </a:ext>
          </a:extLst>
        </xdr:cNvPr>
        <xdr:cNvPicPr>
          <a:picLocks noChangeAspect="1"/>
        </xdr:cNvPicPr>
      </xdr:nvPicPr>
      <xdr:blipFill>
        <a:blip xmlns:r="http://schemas.openxmlformats.org/officeDocument/2006/relationships" r:embed="rId3"/>
        <a:stretch>
          <a:fillRect/>
        </a:stretch>
      </xdr:blipFill>
      <xdr:spPr>
        <a:xfrm>
          <a:off x="8159750" y="8096474"/>
          <a:ext cx="4743773" cy="1536581"/>
        </a:xfrm>
        <a:prstGeom prst="rect">
          <a:avLst/>
        </a:prstGeom>
      </xdr:spPr>
    </xdr:pic>
    <xdr:clientData/>
  </xdr:twoCellAnchor>
  <xdr:twoCellAnchor editAs="oneCell">
    <xdr:from>
      <xdr:col>10</xdr:col>
      <xdr:colOff>212725</xdr:colOff>
      <xdr:row>56</xdr:row>
      <xdr:rowOff>30589</xdr:rowOff>
    </xdr:from>
    <xdr:to>
      <xdr:col>17</xdr:col>
      <xdr:colOff>308222</xdr:colOff>
      <xdr:row>70</xdr:row>
      <xdr:rowOff>62060</xdr:rowOff>
    </xdr:to>
    <xdr:pic>
      <xdr:nvPicPr>
        <xdr:cNvPr id="5" name="Picture 4">
          <a:extLst>
            <a:ext uri="{FF2B5EF4-FFF2-40B4-BE49-F238E27FC236}">
              <a16:creationId xmlns:a16="http://schemas.microsoft.com/office/drawing/2014/main" id="{5F1BD165-C6A1-4094-AF79-8BB258EC85F4}"/>
            </a:ext>
          </a:extLst>
        </xdr:cNvPr>
        <xdr:cNvPicPr>
          <a:picLocks noChangeAspect="1"/>
        </xdr:cNvPicPr>
      </xdr:nvPicPr>
      <xdr:blipFill>
        <a:blip xmlns:r="http://schemas.openxmlformats.org/officeDocument/2006/relationships" r:embed="rId4"/>
        <a:stretch>
          <a:fillRect/>
        </a:stretch>
      </xdr:blipFill>
      <xdr:spPr>
        <a:xfrm>
          <a:off x="10182225" y="11357402"/>
          <a:ext cx="4373810" cy="2587346"/>
        </a:xfrm>
        <a:prstGeom prst="rect">
          <a:avLst/>
        </a:prstGeom>
      </xdr:spPr>
    </xdr:pic>
    <xdr:clientData/>
  </xdr:twoCellAnchor>
  <xdr:twoCellAnchor editAs="oneCell">
    <xdr:from>
      <xdr:col>10</xdr:col>
      <xdr:colOff>190501</xdr:colOff>
      <xdr:row>70</xdr:row>
      <xdr:rowOff>47626</xdr:rowOff>
    </xdr:from>
    <xdr:to>
      <xdr:col>20</xdr:col>
      <xdr:colOff>162239</xdr:colOff>
      <xdr:row>77</xdr:row>
      <xdr:rowOff>8003</xdr:rowOff>
    </xdr:to>
    <xdr:pic>
      <xdr:nvPicPr>
        <xdr:cNvPr id="6" name="Picture 5">
          <a:extLst>
            <a:ext uri="{FF2B5EF4-FFF2-40B4-BE49-F238E27FC236}">
              <a16:creationId xmlns:a16="http://schemas.microsoft.com/office/drawing/2014/main" id="{CEB8C58A-BFD6-431B-8E33-CE26B8ED0F41}"/>
            </a:ext>
          </a:extLst>
        </xdr:cNvPr>
        <xdr:cNvPicPr>
          <a:picLocks noChangeAspect="1"/>
        </xdr:cNvPicPr>
      </xdr:nvPicPr>
      <xdr:blipFill>
        <a:blip xmlns:r="http://schemas.openxmlformats.org/officeDocument/2006/relationships" r:embed="rId5"/>
        <a:stretch>
          <a:fillRect/>
        </a:stretch>
      </xdr:blipFill>
      <xdr:spPr>
        <a:xfrm>
          <a:off x="10160001" y="13930314"/>
          <a:ext cx="6083613" cy="1238314"/>
        </a:xfrm>
        <a:prstGeom prst="rect">
          <a:avLst/>
        </a:prstGeom>
      </xdr:spPr>
    </xdr:pic>
    <xdr:clientData/>
  </xdr:twoCellAnchor>
  <xdr:twoCellAnchor editAs="oneCell">
    <xdr:from>
      <xdr:col>10</xdr:col>
      <xdr:colOff>103188</xdr:colOff>
      <xdr:row>3</xdr:row>
      <xdr:rowOff>39688</xdr:rowOff>
    </xdr:from>
    <xdr:to>
      <xdr:col>18</xdr:col>
      <xdr:colOff>68692</xdr:colOff>
      <xdr:row>9</xdr:row>
      <xdr:rowOff>213951</xdr:rowOff>
    </xdr:to>
    <xdr:pic>
      <xdr:nvPicPr>
        <xdr:cNvPr id="7" name="Picture 6" descr="OLCreate: WaterSupply_1.0 Study Session 5 Water Treatment Technologies for  Large-scale Water Supply: 5.2.3 Coagulation and flocculation">
          <a:extLst>
            <a:ext uri="{FF2B5EF4-FFF2-40B4-BE49-F238E27FC236}">
              <a16:creationId xmlns:a16="http://schemas.microsoft.com/office/drawing/2014/main" id="{1F4EBCE6-FD93-48C9-B275-7589C5C8205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0072688" y="777876"/>
          <a:ext cx="4855004" cy="20157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527050</xdr:colOff>
      <xdr:row>26</xdr:row>
      <xdr:rowOff>19050</xdr:rowOff>
    </xdr:from>
    <xdr:to>
      <xdr:col>13</xdr:col>
      <xdr:colOff>279599</xdr:colOff>
      <xdr:row>29</xdr:row>
      <xdr:rowOff>157922</xdr:rowOff>
    </xdr:to>
    <xdr:pic>
      <xdr:nvPicPr>
        <xdr:cNvPr id="3" name="Picture 2">
          <a:extLst>
            <a:ext uri="{FF2B5EF4-FFF2-40B4-BE49-F238E27FC236}">
              <a16:creationId xmlns:a16="http://schemas.microsoft.com/office/drawing/2014/main" id="{371C052B-D41E-407F-A6BF-0F58D69581FC}"/>
            </a:ext>
          </a:extLst>
        </xdr:cNvPr>
        <xdr:cNvPicPr>
          <a:picLocks noChangeAspect="1"/>
        </xdr:cNvPicPr>
      </xdr:nvPicPr>
      <xdr:blipFill>
        <a:blip xmlns:r="http://schemas.openxmlformats.org/officeDocument/2006/relationships" r:embed="rId1"/>
        <a:stretch>
          <a:fillRect/>
        </a:stretch>
      </xdr:blipFill>
      <xdr:spPr>
        <a:xfrm>
          <a:off x="9010650" y="6210300"/>
          <a:ext cx="2864049" cy="691322"/>
        </a:xfrm>
        <a:prstGeom prst="rect">
          <a:avLst/>
        </a:prstGeom>
      </xdr:spPr>
    </xdr:pic>
    <xdr:clientData/>
  </xdr:twoCellAnchor>
  <xdr:twoCellAnchor editAs="oneCell">
    <xdr:from>
      <xdr:col>8</xdr:col>
      <xdr:colOff>611311</xdr:colOff>
      <xdr:row>2</xdr:row>
      <xdr:rowOff>13863</xdr:rowOff>
    </xdr:from>
    <xdr:to>
      <xdr:col>14</xdr:col>
      <xdr:colOff>543175</xdr:colOff>
      <xdr:row>10</xdr:row>
      <xdr:rowOff>163480</xdr:rowOff>
    </xdr:to>
    <xdr:pic>
      <xdr:nvPicPr>
        <xdr:cNvPr id="4" name="Picture 3">
          <a:extLst>
            <a:ext uri="{FF2B5EF4-FFF2-40B4-BE49-F238E27FC236}">
              <a16:creationId xmlns:a16="http://schemas.microsoft.com/office/drawing/2014/main" id="{A5520F74-CE58-4164-A154-C7BD002570CF}"/>
            </a:ext>
          </a:extLst>
        </xdr:cNvPr>
        <xdr:cNvPicPr>
          <a:picLocks noChangeAspect="1"/>
        </xdr:cNvPicPr>
      </xdr:nvPicPr>
      <xdr:blipFill>
        <a:blip xmlns:r="http://schemas.openxmlformats.org/officeDocument/2006/relationships" r:embed="rId2"/>
        <a:stretch>
          <a:fillRect/>
        </a:stretch>
      </xdr:blipFill>
      <xdr:spPr>
        <a:xfrm>
          <a:off x="10778367" y="394863"/>
          <a:ext cx="3657197" cy="2350950"/>
        </a:xfrm>
        <a:prstGeom prst="rect">
          <a:avLst/>
        </a:prstGeom>
      </xdr:spPr>
    </xdr:pic>
    <xdr:clientData/>
  </xdr:twoCellAnchor>
  <xdr:twoCellAnchor editAs="oneCell">
    <xdr:from>
      <xdr:col>13</xdr:col>
      <xdr:colOff>271557</xdr:colOff>
      <xdr:row>26</xdr:row>
      <xdr:rowOff>0</xdr:rowOff>
    </xdr:from>
    <xdr:to>
      <xdr:col>18</xdr:col>
      <xdr:colOff>298756</xdr:colOff>
      <xdr:row>36</xdr:row>
      <xdr:rowOff>12880</xdr:rowOff>
    </xdr:to>
    <xdr:pic>
      <xdr:nvPicPr>
        <xdr:cNvPr id="5" name="Picture 4">
          <a:extLst>
            <a:ext uri="{FF2B5EF4-FFF2-40B4-BE49-F238E27FC236}">
              <a16:creationId xmlns:a16="http://schemas.microsoft.com/office/drawing/2014/main" id="{6AF60E6F-CA97-461C-9E8D-CE673DB5E735}"/>
            </a:ext>
          </a:extLst>
        </xdr:cNvPr>
        <xdr:cNvPicPr>
          <a:picLocks noChangeAspect="1"/>
        </xdr:cNvPicPr>
      </xdr:nvPicPr>
      <xdr:blipFill>
        <a:blip xmlns:r="http://schemas.openxmlformats.org/officeDocument/2006/relationships" r:embed="rId3"/>
        <a:stretch>
          <a:fillRect/>
        </a:stretch>
      </xdr:blipFill>
      <xdr:spPr>
        <a:xfrm>
          <a:off x="11866657" y="6191250"/>
          <a:ext cx="3138698" cy="1854380"/>
        </a:xfrm>
        <a:prstGeom prst="rect">
          <a:avLst/>
        </a:prstGeom>
      </xdr:spPr>
    </xdr:pic>
    <xdr:clientData/>
  </xdr:twoCellAnchor>
  <xdr:twoCellAnchor editAs="oneCell">
    <xdr:from>
      <xdr:col>9</xdr:col>
      <xdr:colOff>0</xdr:colOff>
      <xdr:row>32</xdr:row>
      <xdr:rowOff>0</xdr:rowOff>
    </xdr:from>
    <xdr:to>
      <xdr:col>13</xdr:col>
      <xdr:colOff>260817</xdr:colOff>
      <xdr:row>35</xdr:row>
      <xdr:rowOff>69850</xdr:rowOff>
    </xdr:to>
    <xdr:pic>
      <xdr:nvPicPr>
        <xdr:cNvPr id="6" name="Picture 5">
          <a:extLst>
            <a:ext uri="{FF2B5EF4-FFF2-40B4-BE49-F238E27FC236}">
              <a16:creationId xmlns:a16="http://schemas.microsoft.com/office/drawing/2014/main" id="{E0561628-9F6E-48F3-96A1-7554485C01AC}"/>
            </a:ext>
          </a:extLst>
        </xdr:cNvPr>
        <xdr:cNvPicPr>
          <a:picLocks noChangeAspect="1"/>
        </xdr:cNvPicPr>
      </xdr:nvPicPr>
      <xdr:blipFill>
        <a:blip xmlns:r="http://schemas.openxmlformats.org/officeDocument/2006/relationships" r:embed="rId4"/>
        <a:stretch>
          <a:fillRect/>
        </a:stretch>
      </xdr:blipFill>
      <xdr:spPr>
        <a:xfrm>
          <a:off x="9105900" y="7296150"/>
          <a:ext cx="2750018" cy="622300"/>
        </a:xfrm>
        <a:prstGeom prst="rect">
          <a:avLst/>
        </a:prstGeom>
      </xdr:spPr>
    </xdr:pic>
    <xdr:clientData/>
  </xdr:twoCellAnchor>
  <xdr:twoCellAnchor editAs="oneCell">
    <xdr:from>
      <xdr:col>9</xdr:col>
      <xdr:colOff>0</xdr:colOff>
      <xdr:row>41</xdr:row>
      <xdr:rowOff>0</xdr:rowOff>
    </xdr:from>
    <xdr:to>
      <xdr:col>28</xdr:col>
      <xdr:colOff>222869</xdr:colOff>
      <xdr:row>63</xdr:row>
      <xdr:rowOff>70062</xdr:rowOff>
    </xdr:to>
    <xdr:pic>
      <xdr:nvPicPr>
        <xdr:cNvPr id="7" name="Picture 6">
          <a:extLst>
            <a:ext uri="{FF2B5EF4-FFF2-40B4-BE49-F238E27FC236}">
              <a16:creationId xmlns:a16="http://schemas.microsoft.com/office/drawing/2014/main" id="{36C47632-31D8-426B-886C-6050A7ED06F3}"/>
            </a:ext>
          </a:extLst>
        </xdr:cNvPr>
        <xdr:cNvPicPr>
          <a:picLocks noChangeAspect="1"/>
        </xdr:cNvPicPr>
      </xdr:nvPicPr>
      <xdr:blipFill>
        <a:blip xmlns:r="http://schemas.openxmlformats.org/officeDocument/2006/relationships" r:embed="rId5"/>
        <a:stretch>
          <a:fillRect/>
        </a:stretch>
      </xdr:blipFill>
      <xdr:spPr>
        <a:xfrm>
          <a:off x="9874250" y="8953500"/>
          <a:ext cx="12046569" cy="4121362"/>
        </a:xfrm>
        <a:prstGeom prst="rect">
          <a:avLst/>
        </a:prstGeom>
      </xdr:spPr>
    </xdr:pic>
    <xdr:clientData/>
  </xdr:twoCellAnchor>
  <xdr:twoCellAnchor editAs="oneCell">
    <xdr:from>
      <xdr:col>9</xdr:col>
      <xdr:colOff>0</xdr:colOff>
      <xdr:row>64</xdr:row>
      <xdr:rowOff>0</xdr:rowOff>
    </xdr:from>
    <xdr:to>
      <xdr:col>19</xdr:col>
      <xdr:colOff>103335</xdr:colOff>
      <xdr:row>83</xdr:row>
      <xdr:rowOff>83439</xdr:rowOff>
    </xdr:to>
    <xdr:pic>
      <xdr:nvPicPr>
        <xdr:cNvPr id="15" name="Picture 14">
          <a:extLst>
            <a:ext uri="{FF2B5EF4-FFF2-40B4-BE49-F238E27FC236}">
              <a16:creationId xmlns:a16="http://schemas.microsoft.com/office/drawing/2014/main" id="{9A50EA04-4431-4E06-B785-8D3CF48DE853}"/>
            </a:ext>
          </a:extLst>
        </xdr:cNvPr>
        <xdr:cNvPicPr>
          <a:picLocks noChangeAspect="1"/>
        </xdr:cNvPicPr>
      </xdr:nvPicPr>
      <xdr:blipFill>
        <a:blip xmlns:r="http://schemas.openxmlformats.org/officeDocument/2006/relationships" r:embed="rId6"/>
        <a:stretch>
          <a:fillRect/>
        </a:stretch>
      </xdr:blipFill>
      <xdr:spPr>
        <a:xfrm>
          <a:off x="9863667" y="13151556"/>
          <a:ext cx="6312224" cy="3568883"/>
        </a:xfrm>
        <a:prstGeom prst="rect">
          <a:avLst/>
        </a:prstGeom>
      </xdr:spPr>
    </xdr:pic>
    <xdr:clientData/>
  </xdr:twoCellAnchor>
  <xdr:oneCellAnchor>
    <xdr:from>
      <xdr:col>7</xdr:col>
      <xdr:colOff>50799</xdr:colOff>
      <xdr:row>68</xdr:row>
      <xdr:rowOff>4939</xdr:rowOff>
    </xdr:from>
    <xdr:ext cx="1345368" cy="172227"/>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DF0266C6-02D9-43A2-81B4-B8945005967E}"/>
                </a:ext>
              </a:extLst>
            </xdr:cNvPr>
            <xdr:cNvSpPr txBox="1"/>
          </xdr:nvSpPr>
          <xdr:spPr>
            <a:xfrm>
              <a:off x="9223021" y="13890272"/>
              <a:ext cx="13453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𝑃𝑉</m:t>
                    </m:r>
                    <m:r>
                      <a:rPr lang="en-US" sz="1100" b="0" i="1">
                        <a:latin typeface="Cambria Math" panose="02040503050406030204" pitchFamily="18" charset="0"/>
                      </a:rPr>
                      <m:t>=</m:t>
                    </m:r>
                    <m:r>
                      <a:rPr lang="en-US" sz="1100" b="0" i="1">
                        <a:latin typeface="Cambria Math" panose="02040503050406030204" pitchFamily="18" charset="0"/>
                      </a:rPr>
                      <m:t>𝑛𝑅𝑇</m:t>
                    </m:r>
                    <m:r>
                      <a:rPr lang="en-US" sz="1100" b="0" i="1">
                        <a:latin typeface="Cambria Math" panose="02040503050406030204" pitchFamily="18" charset="0"/>
                      </a:rPr>
                      <m:t>                (1)</m:t>
                    </m:r>
                  </m:oMath>
                </m:oMathPara>
              </a14:m>
              <a:endParaRPr lang="en-FI" sz="1100"/>
            </a:p>
          </xdr:txBody>
        </xdr:sp>
      </mc:Choice>
      <mc:Fallback xmlns="">
        <xdr:sp macro="" textlink="">
          <xdr:nvSpPr>
            <xdr:cNvPr id="16" name="TextBox 15">
              <a:extLst>
                <a:ext uri="{FF2B5EF4-FFF2-40B4-BE49-F238E27FC236}">
                  <a16:creationId xmlns:a16="http://schemas.microsoft.com/office/drawing/2014/main" id="{DF0266C6-02D9-43A2-81B4-B8945005967E}"/>
                </a:ext>
              </a:extLst>
            </xdr:cNvPr>
            <xdr:cNvSpPr txBox="1"/>
          </xdr:nvSpPr>
          <xdr:spPr>
            <a:xfrm>
              <a:off x="9223021" y="13890272"/>
              <a:ext cx="13453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𝑃𝑉=𝑛𝑅𝑇                (1)</a:t>
              </a:r>
              <a:endParaRPr lang="en-FI" sz="1100"/>
            </a:p>
          </xdr:txBody>
        </xdr:sp>
      </mc:Fallback>
    </mc:AlternateContent>
    <xdr:clientData/>
  </xdr:oneCellAnchor>
  <xdr:twoCellAnchor editAs="oneCell">
    <xdr:from>
      <xdr:col>0</xdr:col>
      <xdr:colOff>35277</xdr:colOff>
      <xdr:row>44</xdr:row>
      <xdr:rowOff>162277</xdr:rowOff>
    </xdr:from>
    <xdr:to>
      <xdr:col>1</xdr:col>
      <xdr:colOff>1230020</xdr:colOff>
      <xdr:row>58</xdr:row>
      <xdr:rowOff>172288</xdr:rowOff>
    </xdr:to>
    <xdr:pic>
      <xdr:nvPicPr>
        <xdr:cNvPr id="24" name="Picture 23">
          <a:extLst>
            <a:ext uri="{FF2B5EF4-FFF2-40B4-BE49-F238E27FC236}">
              <a16:creationId xmlns:a16="http://schemas.microsoft.com/office/drawing/2014/main" id="{1B114CCA-0EDC-4AE8-9787-D5ED58F33AC6}"/>
            </a:ext>
          </a:extLst>
        </xdr:cNvPr>
        <xdr:cNvPicPr>
          <a:picLocks noChangeAspect="1"/>
        </xdr:cNvPicPr>
      </xdr:nvPicPr>
      <xdr:blipFill>
        <a:blip xmlns:r="http://schemas.openxmlformats.org/officeDocument/2006/relationships" r:embed="rId7"/>
        <a:stretch>
          <a:fillRect/>
        </a:stretch>
      </xdr:blipFill>
      <xdr:spPr>
        <a:xfrm>
          <a:off x="35277" y="9644944"/>
          <a:ext cx="4616687" cy="257823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12700</xdr:colOff>
      <xdr:row>35</xdr:row>
      <xdr:rowOff>133350</xdr:rowOff>
    </xdr:from>
    <xdr:to>
      <xdr:col>1</xdr:col>
      <xdr:colOff>977900</xdr:colOff>
      <xdr:row>37</xdr:row>
      <xdr:rowOff>20270</xdr:rowOff>
    </xdr:to>
    <xdr:pic>
      <xdr:nvPicPr>
        <xdr:cNvPr id="2" name="Picture 1">
          <a:extLst>
            <a:ext uri="{FF2B5EF4-FFF2-40B4-BE49-F238E27FC236}">
              <a16:creationId xmlns:a16="http://schemas.microsoft.com/office/drawing/2014/main" id="{CD6581E5-92F1-47C2-BD72-E41F32BF7510}"/>
            </a:ext>
          </a:extLst>
        </xdr:cNvPr>
        <xdr:cNvPicPr>
          <a:picLocks noChangeAspect="1"/>
        </xdr:cNvPicPr>
      </xdr:nvPicPr>
      <xdr:blipFill>
        <a:blip xmlns:r="http://schemas.openxmlformats.org/officeDocument/2006/relationships" r:embed="rId1"/>
        <a:stretch>
          <a:fillRect/>
        </a:stretch>
      </xdr:blipFill>
      <xdr:spPr>
        <a:xfrm>
          <a:off x="12700" y="7861300"/>
          <a:ext cx="3517900" cy="255220"/>
        </a:xfrm>
        <a:prstGeom prst="rect">
          <a:avLst/>
        </a:prstGeom>
      </xdr:spPr>
    </xdr:pic>
    <xdr:clientData/>
  </xdr:twoCellAnchor>
  <xdr:twoCellAnchor editAs="oneCell">
    <xdr:from>
      <xdr:col>6</xdr:col>
      <xdr:colOff>25400</xdr:colOff>
      <xdr:row>70</xdr:row>
      <xdr:rowOff>152400</xdr:rowOff>
    </xdr:from>
    <xdr:to>
      <xdr:col>7</xdr:col>
      <xdr:colOff>420349</xdr:colOff>
      <xdr:row>73</xdr:row>
      <xdr:rowOff>127000</xdr:rowOff>
    </xdr:to>
    <xdr:pic>
      <xdr:nvPicPr>
        <xdr:cNvPr id="3" name="Picture 2">
          <a:extLst>
            <a:ext uri="{FF2B5EF4-FFF2-40B4-BE49-F238E27FC236}">
              <a16:creationId xmlns:a16="http://schemas.microsoft.com/office/drawing/2014/main" id="{F7F93D66-586C-43CD-AFB7-DAF6401A8413}"/>
            </a:ext>
          </a:extLst>
        </xdr:cNvPr>
        <xdr:cNvPicPr>
          <a:picLocks noChangeAspect="1"/>
        </xdr:cNvPicPr>
      </xdr:nvPicPr>
      <xdr:blipFill>
        <a:blip xmlns:r="http://schemas.openxmlformats.org/officeDocument/2006/relationships" r:embed="rId2"/>
        <a:stretch>
          <a:fillRect/>
        </a:stretch>
      </xdr:blipFill>
      <xdr:spPr>
        <a:xfrm>
          <a:off x="8940800" y="14325600"/>
          <a:ext cx="1004549" cy="527050"/>
        </a:xfrm>
        <a:prstGeom prst="rect">
          <a:avLst/>
        </a:prstGeom>
      </xdr:spPr>
    </xdr:pic>
    <xdr:clientData/>
  </xdr:twoCellAnchor>
  <xdr:twoCellAnchor editAs="oneCell">
    <xdr:from>
      <xdr:col>6</xdr:col>
      <xdr:colOff>336550</xdr:colOff>
      <xdr:row>80</xdr:row>
      <xdr:rowOff>165100</xdr:rowOff>
    </xdr:from>
    <xdr:to>
      <xdr:col>11</xdr:col>
      <xdr:colOff>362108</xdr:colOff>
      <xdr:row>84</xdr:row>
      <xdr:rowOff>6380</xdr:rowOff>
    </xdr:to>
    <xdr:pic>
      <xdr:nvPicPr>
        <xdr:cNvPr id="4" name="Picture 3">
          <a:extLst>
            <a:ext uri="{FF2B5EF4-FFF2-40B4-BE49-F238E27FC236}">
              <a16:creationId xmlns:a16="http://schemas.microsoft.com/office/drawing/2014/main" id="{3D7851E8-46B4-472C-8269-FC4F88D0117E}"/>
            </a:ext>
          </a:extLst>
        </xdr:cNvPr>
        <xdr:cNvPicPr>
          <a:picLocks noChangeAspect="1"/>
        </xdr:cNvPicPr>
      </xdr:nvPicPr>
      <xdr:blipFill>
        <a:blip xmlns:r="http://schemas.openxmlformats.org/officeDocument/2006/relationships" r:embed="rId3"/>
        <a:stretch>
          <a:fillRect/>
        </a:stretch>
      </xdr:blipFill>
      <xdr:spPr>
        <a:xfrm>
          <a:off x="9251950" y="16179800"/>
          <a:ext cx="3073558" cy="577880"/>
        </a:xfrm>
        <a:prstGeom prst="rect">
          <a:avLst/>
        </a:prstGeom>
      </xdr:spPr>
    </xdr:pic>
    <xdr:clientData/>
  </xdr:twoCellAnchor>
  <xdr:twoCellAnchor editAs="oneCell">
    <xdr:from>
      <xdr:col>6</xdr:col>
      <xdr:colOff>381000</xdr:colOff>
      <xdr:row>87</xdr:row>
      <xdr:rowOff>38100</xdr:rowOff>
    </xdr:from>
    <xdr:to>
      <xdr:col>12</xdr:col>
      <xdr:colOff>101774</xdr:colOff>
      <xdr:row>90</xdr:row>
      <xdr:rowOff>38128</xdr:rowOff>
    </xdr:to>
    <xdr:pic>
      <xdr:nvPicPr>
        <xdr:cNvPr id="5" name="Picture 4">
          <a:extLst>
            <a:ext uri="{FF2B5EF4-FFF2-40B4-BE49-F238E27FC236}">
              <a16:creationId xmlns:a16="http://schemas.microsoft.com/office/drawing/2014/main" id="{F364FDFA-91EE-4CB6-92C9-3B222E40087A}"/>
            </a:ext>
          </a:extLst>
        </xdr:cNvPr>
        <xdr:cNvPicPr>
          <a:picLocks noChangeAspect="1"/>
        </xdr:cNvPicPr>
      </xdr:nvPicPr>
      <xdr:blipFill>
        <a:blip xmlns:r="http://schemas.openxmlformats.org/officeDocument/2006/relationships" r:embed="rId4"/>
        <a:stretch>
          <a:fillRect/>
        </a:stretch>
      </xdr:blipFill>
      <xdr:spPr>
        <a:xfrm>
          <a:off x="9296400" y="17341850"/>
          <a:ext cx="3378374" cy="552478"/>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10</xdr:col>
      <xdr:colOff>19050</xdr:colOff>
      <xdr:row>23</xdr:row>
      <xdr:rowOff>38100</xdr:rowOff>
    </xdr:from>
    <xdr:to>
      <xdr:col>13</xdr:col>
      <xdr:colOff>178053</xdr:colOff>
      <xdr:row>29</xdr:row>
      <xdr:rowOff>29983</xdr:rowOff>
    </xdr:to>
    <xdr:pic>
      <xdr:nvPicPr>
        <xdr:cNvPr id="2" name="Picture 1">
          <a:extLst>
            <a:ext uri="{FF2B5EF4-FFF2-40B4-BE49-F238E27FC236}">
              <a16:creationId xmlns:a16="http://schemas.microsoft.com/office/drawing/2014/main" id="{0A6E0188-4777-4807-907C-F517477908EB}"/>
            </a:ext>
          </a:extLst>
        </xdr:cNvPr>
        <xdr:cNvPicPr>
          <a:picLocks noChangeAspect="1"/>
        </xdr:cNvPicPr>
      </xdr:nvPicPr>
      <xdr:blipFill>
        <a:blip xmlns:r="http://schemas.openxmlformats.org/officeDocument/2006/relationships" r:embed="rId1"/>
        <a:stretch>
          <a:fillRect/>
        </a:stretch>
      </xdr:blipFill>
      <xdr:spPr>
        <a:xfrm>
          <a:off x="9385300" y="6184900"/>
          <a:ext cx="2972053" cy="1096783"/>
        </a:xfrm>
        <a:prstGeom prst="rect">
          <a:avLst/>
        </a:prstGeom>
      </xdr:spPr>
    </xdr:pic>
    <xdr:clientData/>
  </xdr:twoCellAnchor>
  <xdr:twoCellAnchor editAs="oneCell">
    <xdr:from>
      <xdr:col>10</xdr:col>
      <xdr:colOff>0</xdr:colOff>
      <xdr:row>31</xdr:row>
      <xdr:rowOff>1</xdr:rowOff>
    </xdr:from>
    <xdr:to>
      <xdr:col>12</xdr:col>
      <xdr:colOff>171450</xdr:colOff>
      <xdr:row>38</xdr:row>
      <xdr:rowOff>169577</xdr:rowOff>
    </xdr:to>
    <xdr:pic>
      <xdr:nvPicPr>
        <xdr:cNvPr id="3" name="Picture 2">
          <a:extLst>
            <a:ext uri="{FF2B5EF4-FFF2-40B4-BE49-F238E27FC236}">
              <a16:creationId xmlns:a16="http://schemas.microsoft.com/office/drawing/2014/main" id="{1C446CBB-A3D3-46EF-B144-92A83CC40824}"/>
            </a:ext>
          </a:extLst>
        </xdr:cNvPr>
        <xdr:cNvPicPr>
          <a:picLocks noChangeAspect="1"/>
        </xdr:cNvPicPr>
      </xdr:nvPicPr>
      <xdr:blipFill>
        <a:blip xmlns:r="http://schemas.openxmlformats.org/officeDocument/2006/relationships" r:embed="rId2"/>
        <a:stretch>
          <a:fillRect/>
        </a:stretch>
      </xdr:blipFill>
      <xdr:spPr>
        <a:xfrm>
          <a:off x="9366250" y="7620001"/>
          <a:ext cx="2374900" cy="1458626"/>
        </a:xfrm>
        <a:prstGeom prst="rect">
          <a:avLst/>
        </a:prstGeom>
      </xdr:spPr>
    </xdr:pic>
    <xdr:clientData/>
  </xdr:twoCellAnchor>
  <xdr:twoCellAnchor editAs="oneCell">
    <xdr:from>
      <xdr:col>0</xdr:col>
      <xdr:colOff>0</xdr:colOff>
      <xdr:row>35</xdr:row>
      <xdr:rowOff>1</xdr:rowOff>
    </xdr:from>
    <xdr:to>
      <xdr:col>1</xdr:col>
      <xdr:colOff>850900</xdr:colOff>
      <xdr:row>48</xdr:row>
      <xdr:rowOff>12701</xdr:rowOff>
    </xdr:to>
    <xdr:pic>
      <xdr:nvPicPr>
        <xdr:cNvPr id="4" name="Picture 3">
          <a:extLst>
            <a:ext uri="{FF2B5EF4-FFF2-40B4-BE49-F238E27FC236}">
              <a16:creationId xmlns:a16="http://schemas.microsoft.com/office/drawing/2014/main" id="{5663DAB5-188F-428D-82C3-8B28A00042E7}"/>
            </a:ext>
          </a:extLst>
        </xdr:cNvPr>
        <xdr:cNvPicPr>
          <a:picLocks noChangeAspect="1"/>
        </xdr:cNvPicPr>
      </xdr:nvPicPr>
      <xdr:blipFill>
        <a:blip xmlns:r="http://schemas.openxmlformats.org/officeDocument/2006/relationships" r:embed="rId3"/>
        <a:stretch>
          <a:fillRect/>
        </a:stretch>
      </xdr:blipFill>
      <xdr:spPr>
        <a:xfrm>
          <a:off x="0" y="8356601"/>
          <a:ext cx="3181350" cy="240665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12</xdr:col>
      <xdr:colOff>11873</xdr:colOff>
      <xdr:row>22</xdr:row>
      <xdr:rowOff>25401</xdr:rowOff>
    </xdr:from>
    <xdr:to>
      <xdr:col>25</xdr:col>
      <xdr:colOff>553045</xdr:colOff>
      <xdr:row>43</xdr:row>
      <xdr:rowOff>38101</xdr:rowOff>
    </xdr:to>
    <xdr:pic>
      <xdr:nvPicPr>
        <xdr:cNvPr id="2" name="Picture 1">
          <a:extLst>
            <a:ext uri="{FF2B5EF4-FFF2-40B4-BE49-F238E27FC236}">
              <a16:creationId xmlns:a16="http://schemas.microsoft.com/office/drawing/2014/main" id="{DC59E3A5-E630-4040-AB0F-E76269046413}"/>
            </a:ext>
          </a:extLst>
        </xdr:cNvPr>
        <xdr:cNvPicPr>
          <a:picLocks noChangeAspect="1"/>
        </xdr:cNvPicPr>
      </xdr:nvPicPr>
      <xdr:blipFill>
        <a:blip xmlns:r="http://schemas.openxmlformats.org/officeDocument/2006/relationships" r:embed="rId1"/>
        <a:stretch>
          <a:fillRect/>
        </a:stretch>
      </xdr:blipFill>
      <xdr:spPr>
        <a:xfrm>
          <a:off x="10921173" y="4540251"/>
          <a:ext cx="8465972" cy="3879850"/>
        </a:xfrm>
        <a:prstGeom prst="rect">
          <a:avLst/>
        </a:prstGeom>
      </xdr:spPr>
    </xdr:pic>
    <xdr:clientData/>
  </xdr:twoCellAnchor>
  <xdr:twoCellAnchor editAs="oneCell">
    <xdr:from>
      <xdr:col>12</xdr:col>
      <xdr:colOff>22224</xdr:colOff>
      <xdr:row>44</xdr:row>
      <xdr:rowOff>19050</xdr:rowOff>
    </xdr:from>
    <xdr:to>
      <xdr:col>14</xdr:col>
      <xdr:colOff>36829</xdr:colOff>
      <xdr:row>54</xdr:row>
      <xdr:rowOff>19050</xdr:rowOff>
    </xdr:to>
    <xdr:pic>
      <xdr:nvPicPr>
        <xdr:cNvPr id="3" name="Picture 2" descr="Activated Carbon (Granular and Solid Block) - Drinking Water - Sedifilt  String-Wound Filter Cartridges">
          <a:extLst>
            <a:ext uri="{FF2B5EF4-FFF2-40B4-BE49-F238E27FC236}">
              <a16:creationId xmlns:a16="http://schemas.microsoft.com/office/drawing/2014/main" id="{C2F6897C-CE6F-41FF-86B2-8F49DB26D74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931524" y="8585200"/>
          <a:ext cx="1233805" cy="1841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7</xdr:col>
      <xdr:colOff>73426</xdr:colOff>
      <xdr:row>9</xdr:row>
      <xdr:rowOff>177800</xdr:rowOff>
    </xdr:from>
    <xdr:to>
      <xdr:col>14</xdr:col>
      <xdr:colOff>451175</xdr:colOff>
      <xdr:row>27</xdr:row>
      <xdr:rowOff>57374</xdr:rowOff>
    </xdr:to>
    <xdr:pic>
      <xdr:nvPicPr>
        <xdr:cNvPr id="2" name="Picture 1">
          <a:extLst>
            <a:ext uri="{FF2B5EF4-FFF2-40B4-BE49-F238E27FC236}">
              <a16:creationId xmlns:a16="http://schemas.microsoft.com/office/drawing/2014/main" id="{8FD524C9-27A9-438D-85B9-36F4609DBE11}"/>
            </a:ext>
          </a:extLst>
        </xdr:cNvPr>
        <xdr:cNvPicPr>
          <a:picLocks noChangeAspect="1"/>
        </xdr:cNvPicPr>
      </xdr:nvPicPr>
      <xdr:blipFill>
        <a:blip xmlns:r="http://schemas.openxmlformats.org/officeDocument/2006/relationships" r:embed="rId1"/>
        <a:stretch>
          <a:fillRect/>
        </a:stretch>
      </xdr:blipFill>
      <xdr:spPr>
        <a:xfrm>
          <a:off x="9014226" y="1885950"/>
          <a:ext cx="4644949" cy="3194274"/>
        </a:xfrm>
        <a:prstGeom prst="rect">
          <a:avLst/>
        </a:prstGeom>
      </xdr:spPr>
    </xdr:pic>
    <xdr:clientData/>
  </xdr:twoCellAnchor>
  <xdr:twoCellAnchor>
    <xdr:from>
      <xdr:col>7</xdr:col>
      <xdr:colOff>66675</xdr:colOff>
      <xdr:row>28</xdr:row>
      <xdr:rowOff>19050</xdr:rowOff>
    </xdr:from>
    <xdr:to>
      <xdr:col>14</xdr:col>
      <xdr:colOff>371475</xdr:colOff>
      <xdr:row>43</xdr:row>
      <xdr:rowOff>0</xdr:rowOff>
    </xdr:to>
    <xdr:graphicFrame macro="">
      <xdr:nvGraphicFramePr>
        <xdr:cNvPr id="4" name="Chart 3">
          <a:extLst>
            <a:ext uri="{FF2B5EF4-FFF2-40B4-BE49-F238E27FC236}">
              <a16:creationId xmlns:a16="http://schemas.microsoft.com/office/drawing/2014/main" id="{ADE0E4C3-E6FD-4218-9A60-0708516C48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66675</xdr:colOff>
      <xdr:row>44</xdr:row>
      <xdr:rowOff>25400</xdr:rowOff>
    </xdr:from>
    <xdr:to>
      <xdr:col>14</xdr:col>
      <xdr:colOff>371475</xdr:colOff>
      <xdr:row>59</xdr:row>
      <xdr:rowOff>6350</xdr:rowOff>
    </xdr:to>
    <xdr:graphicFrame macro="">
      <xdr:nvGraphicFramePr>
        <xdr:cNvPr id="5" name="Chart 4">
          <a:extLst>
            <a:ext uri="{FF2B5EF4-FFF2-40B4-BE49-F238E27FC236}">
              <a16:creationId xmlns:a16="http://schemas.microsoft.com/office/drawing/2014/main" id="{EE5FEA59-DEB1-40BB-8849-9D3AA63702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73025</xdr:colOff>
      <xdr:row>59</xdr:row>
      <xdr:rowOff>101600</xdr:rowOff>
    </xdr:from>
    <xdr:to>
      <xdr:col>14</xdr:col>
      <xdr:colOff>377825</xdr:colOff>
      <xdr:row>74</xdr:row>
      <xdr:rowOff>82550</xdr:rowOff>
    </xdr:to>
    <xdr:graphicFrame macro="">
      <xdr:nvGraphicFramePr>
        <xdr:cNvPr id="8" name="Chart 7">
          <a:extLst>
            <a:ext uri="{FF2B5EF4-FFF2-40B4-BE49-F238E27FC236}">
              <a16:creationId xmlns:a16="http://schemas.microsoft.com/office/drawing/2014/main" id="{8AF8EA55-EDC8-4F93-A46B-EA580DCE60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1180722</xdr:colOff>
      <xdr:row>32</xdr:row>
      <xdr:rowOff>177800</xdr:rowOff>
    </xdr:from>
    <xdr:to>
      <xdr:col>7</xdr:col>
      <xdr:colOff>12995</xdr:colOff>
      <xdr:row>36</xdr:row>
      <xdr:rowOff>57216</xdr:rowOff>
    </xdr:to>
    <xdr:pic>
      <xdr:nvPicPr>
        <xdr:cNvPr id="3" name="Picture 2">
          <a:extLst>
            <a:ext uri="{FF2B5EF4-FFF2-40B4-BE49-F238E27FC236}">
              <a16:creationId xmlns:a16="http://schemas.microsoft.com/office/drawing/2014/main" id="{89A793CD-3274-4D2F-BFBC-9F48B15C899B}"/>
            </a:ext>
          </a:extLst>
        </xdr:cNvPr>
        <xdr:cNvPicPr>
          <a:picLocks noChangeAspect="1"/>
        </xdr:cNvPicPr>
      </xdr:nvPicPr>
      <xdr:blipFill>
        <a:blip xmlns:r="http://schemas.openxmlformats.org/officeDocument/2006/relationships" r:embed="rId5"/>
        <a:stretch>
          <a:fillRect/>
        </a:stretch>
      </xdr:blipFill>
      <xdr:spPr>
        <a:xfrm>
          <a:off x="6190872" y="6121400"/>
          <a:ext cx="2762923" cy="616016"/>
        </a:xfrm>
        <a:prstGeom prst="rect">
          <a:avLst/>
        </a:prstGeom>
      </xdr:spPr>
    </xdr:pic>
    <xdr:clientData/>
  </xdr:twoCellAnchor>
  <xdr:twoCellAnchor editAs="oneCell">
    <xdr:from>
      <xdr:col>2</xdr:col>
      <xdr:colOff>667630</xdr:colOff>
      <xdr:row>37</xdr:row>
      <xdr:rowOff>44450</xdr:rowOff>
    </xdr:from>
    <xdr:to>
      <xdr:col>7</xdr:col>
      <xdr:colOff>25706</xdr:colOff>
      <xdr:row>47</xdr:row>
      <xdr:rowOff>101777</xdr:rowOff>
    </xdr:to>
    <xdr:pic>
      <xdr:nvPicPr>
        <xdr:cNvPr id="6" name="Picture 5">
          <a:extLst>
            <a:ext uri="{FF2B5EF4-FFF2-40B4-BE49-F238E27FC236}">
              <a16:creationId xmlns:a16="http://schemas.microsoft.com/office/drawing/2014/main" id="{B9E7388E-8B59-4FA0-A07A-A785026569C4}"/>
            </a:ext>
          </a:extLst>
        </xdr:cNvPr>
        <xdr:cNvPicPr>
          <a:picLocks noChangeAspect="1"/>
        </xdr:cNvPicPr>
      </xdr:nvPicPr>
      <xdr:blipFill>
        <a:blip xmlns:r="http://schemas.openxmlformats.org/officeDocument/2006/relationships" r:embed="rId6"/>
        <a:stretch>
          <a:fillRect/>
        </a:stretch>
      </xdr:blipFill>
      <xdr:spPr>
        <a:xfrm>
          <a:off x="5677780" y="6908800"/>
          <a:ext cx="3288726" cy="189882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D5:I16"/>
  <sheetViews>
    <sheetView topLeftCell="A36" workbookViewId="0">
      <selection activeCell="Q83" sqref="Q83"/>
    </sheetView>
  </sheetViews>
  <sheetFormatPr defaultRowHeight="14.5" x14ac:dyDescent="0.35"/>
  <sheetData>
    <row r="5" spans="4:9" x14ac:dyDescent="0.35">
      <c r="E5" s="3"/>
      <c r="F5" s="3"/>
      <c r="G5" s="3"/>
      <c r="H5" s="3"/>
      <c r="I5" s="3"/>
    </row>
    <row r="9" spans="4:9" x14ac:dyDescent="0.35">
      <c r="D9" s="3"/>
      <c r="F9" s="3"/>
    </row>
    <row r="10" spans="4:9" x14ac:dyDescent="0.35">
      <c r="D10" s="3"/>
      <c r="F10" s="3"/>
      <c r="G10" s="3"/>
    </row>
    <row r="11" spans="4:9" x14ac:dyDescent="0.35">
      <c r="G11" s="3"/>
      <c r="H11" s="3"/>
      <c r="I11" s="3"/>
    </row>
    <row r="12" spans="4:9" x14ac:dyDescent="0.35">
      <c r="E12" s="3"/>
      <c r="F12" s="3"/>
      <c r="G12" s="3"/>
    </row>
    <row r="13" spans="4:9" x14ac:dyDescent="0.35">
      <c r="D13" s="3"/>
      <c r="E13" s="3"/>
      <c r="F13" s="3"/>
      <c r="H13" s="3"/>
      <c r="I13" s="3"/>
    </row>
    <row r="14" spans="4:9" x14ac:dyDescent="0.35">
      <c r="D14" s="3"/>
      <c r="E14" s="3"/>
      <c r="F14" s="3"/>
      <c r="G14" s="3"/>
      <c r="H14" s="3"/>
    </row>
    <row r="15" spans="4:9" x14ac:dyDescent="0.35">
      <c r="D15" s="3"/>
    </row>
    <row r="16" spans="4:9" x14ac:dyDescent="0.35">
      <c r="F16" s="3"/>
      <c r="I16" s="3"/>
    </row>
  </sheetData>
  <pageMargins left="0.7" right="0.7" top="0.75" bottom="0.75" header="0.3" footer="0.3"/>
  <pageSetup orientation="portrait" horizontalDpi="300" verticalDpi="3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36"/>
  <sheetViews>
    <sheetView workbookViewId="0">
      <selection activeCell="B15" sqref="B15"/>
    </sheetView>
  </sheetViews>
  <sheetFormatPr defaultRowHeight="14.5" x14ac:dyDescent="0.35"/>
  <cols>
    <col min="1" max="1" width="41.36328125" customWidth="1"/>
    <col min="2" max="2" width="11.36328125" bestFit="1" customWidth="1"/>
    <col min="3" max="3" width="27.54296875" customWidth="1"/>
  </cols>
  <sheetData>
    <row r="1" spans="1:6" ht="15" thickBot="1" x14ac:dyDescent="0.4">
      <c r="A1" s="37" t="s">
        <v>86</v>
      </c>
      <c r="B1" s="7"/>
      <c r="C1" s="7"/>
    </row>
    <row r="2" spans="1:6" ht="29.5" thickBot="1" x14ac:dyDescent="0.4">
      <c r="A2" s="17"/>
      <c r="B2" s="17" t="s">
        <v>23</v>
      </c>
      <c r="C2" s="17" t="s">
        <v>71</v>
      </c>
    </row>
    <row r="3" spans="1:6" x14ac:dyDescent="0.35">
      <c r="A3" s="18" t="s">
        <v>72</v>
      </c>
      <c r="B3" s="18">
        <v>4</v>
      </c>
      <c r="C3" s="18" t="s">
        <v>506</v>
      </c>
    </row>
    <row r="4" spans="1:6" ht="16.5" x14ac:dyDescent="0.35">
      <c r="A4" s="18" t="s">
        <v>79</v>
      </c>
      <c r="B4" s="18">
        <f>B17</f>
        <v>733</v>
      </c>
      <c r="C4" s="18">
        <f>B15</f>
        <v>366.5</v>
      </c>
    </row>
    <row r="5" spans="1:6" x14ac:dyDescent="0.35">
      <c r="A5" s="18" t="s">
        <v>87</v>
      </c>
      <c r="B5" s="18">
        <f>C5</f>
        <v>20</v>
      </c>
      <c r="C5" s="18">
        <f>B22</f>
        <v>20</v>
      </c>
    </row>
    <row r="6" spans="1:6" x14ac:dyDescent="0.35">
      <c r="A6" s="18" t="s">
        <v>88</v>
      </c>
      <c r="B6" s="18">
        <f>C6</f>
        <v>9</v>
      </c>
      <c r="C6" s="18">
        <f>B25</f>
        <v>9</v>
      </c>
    </row>
    <row r="7" spans="1:6" x14ac:dyDescent="0.35">
      <c r="A7" s="18" t="s">
        <v>89</v>
      </c>
      <c r="B7" s="18">
        <f>C7</f>
        <v>3</v>
      </c>
      <c r="C7" s="18">
        <f>B24</f>
        <v>3</v>
      </c>
    </row>
    <row r="8" spans="1:6" ht="16.5" x14ac:dyDescent="0.35">
      <c r="A8" s="18" t="s">
        <v>91</v>
      </c>
      <c r="B8" s="104">
        <f>C8*4</f>
        <v>81.444444444444443</v>
      </c>
      <c r="C8" s="104">
        <f>B27</f>
        <v>20.361111111111111</v>
      </c>
    </row>
    <row r="9" spans="1:6" ht="16.5" x14ac:dyDescent="0.35">
      <c r="A9" s="18" t="s">
        <v>92</v>
      </c>
      <c r="B9" s="104">
        <f>C9*4</f>
        <v>244.33333333333331</v>
      </c>
      <c r="C9" s="104">
        <f>B28</f>
        <v>61.083333333333329</v>
      </c>
    </row>
    <row r="10" spans="1:6" ht="29.5" thickBot="1" x14ac:dyDescent="0.4">
      <c r="A10" s="19" t="s">
        <v>90</v>
      </c>
      <c r="B10" s="19"/>
      <c r="C10" s="19" t="s">
        <v>566</v>
      </c>
    </row>
    <row r="13" spans="1:6" x14ac:dyDescent="0.35">
      <c r="A13" s="77" t="s">
        <v>545</v>
      </c>
      <c r="B13">
        <f>5%*350</f>
        <v>17.5</v>
      </c>
      <c r="C13" t="s">
        <v>169</v>
      </c>
      <c r="F13" t="s">
        <v>546</v>
      </c>
    </row>
    <row r="14" spans="1:6" x14ac:dyDescent="0.35">
      <c r="A14" s="77" t="s">
        <v>547</v>
      </c>
      <c r="B14">
        <f>'3.4 Flotation'!C11</f>
        <v>38.5</v>
      </c>
      <c r="C14" t="s">
        <v>169</v>
      </c>
    </row>
    <row r="15" spans="1:6" x14ac:dyDescent="0.35">
      <c r="A15" s="107" t="s">
        <v>548</v>
      </c>
      <c r="B15" s="47">
        <f>'3.6 Sand filtration'!B21-'3.7 GAC filtration'!B13-'3.7 GAC filtration'!B14</f>
        <v>366.5</v>
      </c>
      <c r="C15" s="47" t="s">
        <v>169</v>
      </c>
      <c r="F15" t="s">
        <v>189</v>
      </c>
    </row>
    <row r="16" spans="1:6" x14ac:dyDescent="0.35">
      <c r="B16">
        <f>B15*20</f>
        <v>7330</v>
      </c>
      <c r="C16" t="s">
        <v>290</v>
      </c>
    </row>
    <row r="17" spans="1:6" x14ac:dyDescent="0.35">
      <c r="A17" t="s">
        <v>505</v>
      </c>
      <c r="B17">
        <f>B15*2</f>
        <v>733</v>
      </c>
      <c r="C17" t="s">
        <v>169</v>
      </c>
    </row>
    <row r="18" spans="1:6" x14ac:dyDescent="0.35">
      <c r="B18">
        <f>B17*20</f>
        <v>14660</v>
      </c>
      <c r="C18" t="s">
        <v>290</v>
      </c>
    </row>
    <row r="19" spans="1:6" x14ac:dyDescent="0.35">
      <c r="A19" t="s">
        <v>550</v>
      </c>
      <c r="B19">
        <v>4</v>
      </c>
      <c r="F19" t="s">
        <v>549</v>
      </c>
    </row>
    <row r="20" spans="1:6" x14ac:dyDescent="0.35">
      <c r="A20" t="s">
        <v>551</v>
      </c>
      <c r="B20">
        <v>2</v>
      </c>
      <c r="F20" t="s">
        <v>552</v>
      </c>
    </row>
    <row r="22" spans="1:6" x14ac:dyDescent="0.35">
      <c r="A22" t="s">
        <v>524</v>
      </c>
      <c r="B22">
        <v>20</v>
      </c>
      <c r="C22" t="s">
        <v>191</v>
      </c>
      <c r="F22" t="s">
        <v>553</v>
      </c>
    </row>
    <row r="23" spans="1:6" x14ac:dyDescent="0.35">
      <c r="B23" s="76">
        <f>B22/60</f>
        <v>0.33333333333333331</v>
      </c>
      <c r="C23" t="s">
        <v>192</v>
      </c>
    </row>
    <row r="24" spans="1:6" x14ac:dyDescent="0.35">
      <c r="A24" t="s">
        <v>554</v>
      </c>
      <c r="B24">
        <v>3</v>
      </c>
      <c r="C24" t="s">
        <v>202</v>
      </c>
      <c r="F24" t="s">
        <v>555</v>
      </c>
    </row>
    <row r="25" spans="1:6" x14ac:dyDescent="0.35">
      <c r="A25" s="47" t="s">
        <v>507</v>
      </c>
      <c r="B25" s="47">
        <f>B24/B23</f>
        <v>9</v>
      </c>
      <c r="C25" s="47" t="s">
        <v>313</v>
      </c>
      <c r="F25" t="s">
        <v>556</v>
      </c>
    </row>
    <row r="26" spans="1:6" x14ac:dyDescent="0.35">
      <c r="B26">
        <f>B25*20</f>
        <v>180</v>
      </c>
      <c r="C26" t="s">
        <v>557</v>
      </c>
    </row>
    <row r="27" spans="1:6" x14ac:dyDescent="0.35">
      <c r="A27" s="47" t="s">
        <v>558</v>
      </c>
      <c r="B27" s="84">
        <f>B18/(4*B26)</f>
        <v>20.361111111111111</v>
      </c>
      <c r="C27" s="47" t="s">
        <v>204</v>
      </c>
    </row>
    <row r="28" spans="1:6" x14ac:dyDescent="0.35">
      <c r="A28" s="47" t="s">
        <v>559</v>
      </c>
      <c r="B28" s="84">
        <f>B27*B24</f>
        <v>61.083333333333329</v>
      </c>
      <c r="C28" s="47" t="s">
        <v>196</v>
      </c>
    </row>
    <row r="29" spans="1:6" x14ac:dyDescent="0.35">
      <c r="A29" s="47" t="s">
        <v>560</v>
      </c>
      <c r="B29" s="84">
        <f>SQRT((B27*4)/PI())</f>
        <v>5.0916178019774003</v>
      </c>
      <c r="C29" s="47" t="s">
        <v>202</v>
      </c>
    </row>
    <row r="31" spans="1:6" x14ac:dyDescent="0.35">
      <c r="A31" s="47" t="s">
        <v>561</v>
      </c>
    </row>
    <row r="32" spans="1:6" x14ac:dyDescent="0.35">
      <c r="A32" s="47" t="s">
        <v>206</v>
      </c>
      <c r="B32" s="84">
        <f>B27/4</f>
        <v>5.0902777777777777</v>
      </c>
      <c r="C32" s="47" t="s">
        <v>202</v>
      </c>
      <c r="F32" t="s">
        <v>562</v>
      </c>
    </row>
    <row r="34" spans="1:1" x14ac:dyDescent="0.35">
      <c r="A34" t="s">
        <v>564</v>
      </c>
    </row>
    <row r="35" spans="1:1" x14ac:dyDescent="0.35">
      <c r="A35" t="s">
        <v>563</v>
      </c>
    </row>
    <row r="36" spans="1:1" x14ac:dyDescent="0.35">
      <c r="A36" t="s">
        <v>565</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E32"/>
  <sheetViews>
    <sheetView tabSelected="1" zoomScaleNormal="100" workbookViewId="0">
      <selection activeCell="B13" sqref="B13"/>
    </sheetView>
  </sheetViews>
  <sheetFormatPr defaultRowHeight="14.5" x14ac:dyDescent="0.35"/>
  <cols>
    <col min="1" max="1" width="42.54296875" customWidth="1"/>
    <col min="2" max="2" width="29.1796875" customWidth="1"/>
    <col min="3" max="3" width="21.36328125" customWidth="1"/>
  </cols>
  <sheetData>
    <row r="2" spans="1:5" x14ac:dyDescent="0.35">
      <c r="A2" t="s">
        <v>93</v>
      </c>
    </row>
    <row r="3" spans="1:5" s="46" customFormat="1" ht="15" thickBot="1" x14ac:dyDescent="0.4">
      <c r="A3" s="45" t="s">
        <v>107</v>
      </c>
    </row>
    <row r="4" spans="1:5" ht="16.5" thickBot="1" x14ac:dyDescent="0.4">
      <c r="A4" s="42"/>
      <c r="B4" s="42" t="s">
        <v>108</v>
      </c>
      <c r="C4" s="42" t="s">
        <v>109</v>
      </c>
    </row>
    <row r="5" spans="1:5" ht="15" thickBot="1" x14ac:dyDescent="0.4">
      <c r="A5" s="43" t="s">
        <v>110</v>
      </c>
      <c r="B5" s="96">
        <f>B26</f>
        <v>4.6923902343971671</v>
      </c>
      <c r="C5" s="96">
        <f>B31*100</f>
        <v>99.997969468338994</v>
      </c>
    </row>
    <row r="6" spans="1:5" ht="15" thickBot="1" x14ac:dyDescent="0.4">
      <c r="A6" s="43" t="s">
        <v>111</v>
      </c>
      <c r="B6" s="96">
        <f>B25</f>
        <v>4.6965140033117256</v>
      </c>
      <c r="C6" s="96">
        <f>B30*100</f>
        <v>99.997988657656194</v>
      </c>
    </row>
    <row r="7" spans="1:5" ht="15" thickBot="1" x14ac:dyDescent="0.4">
      <c r="A7" s="44" t="s">
        <v>112</v>
      </c>
      <c r="B7" s="97">
        <f>B27</f>
        <v>0.51770670262818186</v>
      </c>
      <c r="C7" s="97">
        <f>B32*100</f>
        <v>69.640592091768525</v>
      </c>
    </row>
    <row r="9" spans="1:5" x14ac:dyDescent="0.35">
      <c r="A9" t="s">
        <v>367</v>
      </c>
      <c r="B9">
        <v>400</v>
      </c>
      <c r="C9" t="s">
        <v>368</v>
      </c>
    </row>
    <row r="10" spans="1:5" x14ac:dyDescent="0.35">
      <c r="B10">
        <v>40</v>
      </c>
      <c r="C10" t="s">
        <v>369</v>
      </c>
    </row>
    <row r="12" spans="1:5" x14ac:dyDescent="0.35">
      <c r="A12" s="94" t="s">
        <v>370</v>
      </c>
      <c r="B12" s="94" t="s">
        <v>371</v>
      </c>
      <c r="C12" s="94" t="s">
        <v>111</v>
      </c>
      <c r="D12" s="94" t="s">
        <v>110</v>
      </c>
      <c r="E12" s="94" t="s">
        <v>112</v>
      </c>
    </row>
    <row r="13" spans="1:5" x14ac:dyDescent="0.35">
      <c r="A13" s="91">
        <v>0.5</v>
      </c>
      <c r="B13" s="91">
        <f>10^(-A13)</f>
        <v>0.31622776601683794</v>
      </c>
      <c r="C13" s="91">
        <v>1.6</v>
      </c>
      <c r="D13" s="91">
        <v>1.5</v>
      </c>
      <c r="E13" s="91">
        <v>39</v>
      </c>
    </row>
    <row r="14" spans="1:5" x14ac:dyDescent="0.35">
      <c r="A14" s="91">
        <v>1</v>
      </c>
      <c r="B14" s="91">
        <f t="shared" ref="B14:B20" si="0">10^(-A14)</f>
        <v>0.1</v>
      </c>
      <c r="C14" s="91">
        <v>2.5</v>
      </c>
      <c r="D14" s="91">
        <v>2.1</v>
      </c>
      <c r="E14" s="91">
        <v>58</v>
      </c>
    </row>
    <row r="15" spans="1:5" x14ac:dyDescent="0.35">
      <c r="A15" s="91">
        <v>1.5</v>
      </c>
      <c r="B15" s="91">
        <f t="shared" si="0"/>
        <v>3.1622776601683784E-2</v>
      </c>
      <c r="C15" s="91">
        <v>3.9</v>
      </c>
      <c r="D15" s="91">
        <v>3</v>
      </c>
      <c r="E15" s="91">
        <v>79</v>
      </c>
    </row>
    <row r="16" spans="1:5" x14ac:dyDescent="0.35">
      <c r="A16" s="91">
        <v>2</v>
      </c>
      <c r="B16" s="91">
        <f t="shared" si="0"/>
        <v>0.01</v>
      </c>
      <c r="C16" s="91">
        <v>5.8</v>
      </c>
      <c r="D16" s="91">
        <v>5.2</v>
      </c>
      <c r="E16" s="91">
        <v>100</v>
      </c>
    </row>
    <row r="17" spans="1:5" x14ac:dyDescent="0.35">
      <c r="A17" s="91">
        <v>2.5</v>
      </c>
      <c r="B17" s="91">
        <f t="shared" si="0"/>
        <v>3.1622776601683764E-3</v>
      </c>
      <c r="C17" s="91">
        <v>8.5</v>
      </c>
      <c r="D17" s="91">
        <v>7.7</v>
      </c>
      <c r="E17" s="91">
        <v>121</v>
      </c>
    </row>
    <row r="18" spans="1:5" x14ac:dyDescent="0.35">
      <c r="A18" s="91">
        <v>3</v>
      </c>
      <c r="B18" s="91">
        <f t="shared" si="0"/>
        <v>1E-3</v>
      </c>
      <c r="C18" s="91">
        <v>12</v>
      </c>
      <c r="D18" s="91">
        <v>11</v>
      </c>
      <c r="E18" s="91">
        <v>143</v>
      </c>
    </row>
    <row r="19" spans="1:5" x14ac:dyDescent="0.35">
      <c r="A19" s="91">
        <v>3.5</v>
      </c>
      <c r="B19" s="91">
        <f t="shared" si="0"/>
        <v>3.1622776601683783E-4</v>
      </c>
      <c r="C19" s="91">
        <v>15</v>
      </c>
      <c r="D19" s="91">
        <v>15</v>
      </c>
      <c r="E19" s="91">
        <v>163</v>
      </c>
    </row>
    <row r="20" spans="1:5" x14ac:dyDescent="0.35">
      <c r="A20" s="91">
        <v>4</v>
      </c>
      <c r="B20" s="91">
        <f t="shared" si="0"/>
        <v>1E-4</v>
      </c>
      <c r="C20" s="91">
        <v>22</v>
      </c>
      <c r="D20" s="91">
        <v>22</v>
      </c>
      <c r="E20" s="91">
        <v>186</v>
      </c>
    </row>
    <row r="23" spans="1:5" x14ac:dyDescent="0.35">
      <c r="A23" s="47" t="s">
        <v>372</v>
      </c>
    </row>
    <row r="25" spans="1:5" x14ac:dyDescent="0.35">
      <c r="A25" s="47" t="s">
        <v>111</v>
      </c>
      <c r="B25" s="95">
        <f>1.3422*LN(B10)-0.2547</f>
        <v>4.6965140033117256</v>
      </c>
      <c r="D25" t="s">
        <v>374</v>
      </c>
    </row>
    <row r="26" spans="1:5" x14ac:dyDescent="0.35">
      <c r="A26" s="47" t="s">
        <v>110</v>
      </c>
      <c r="B26" s="47">
        <f>1.2706*LN(B10)+0.0053</f>
        <v>4.6923902343971671</v>
      </c>
      <c r="D26" t="s">
        <v>374</v>
      </c>
    </row>
    <row r="27" spans="1:5" x14ac:dyDescent="0.35">
      <c r="A27" s="47" t="s">
        <v>112</v>
      </c>
      <c r="B27" s="47">
        <f>1.4094*LN(B10)-4.6814</f>
        <v>0.51770670262818186</v>
      </c>
      <c r="D27" t="s">
        <v>374</v>
      </c>
    </row>
    <row r="29" spans="1:5" x14ac:dyDescent="0.35">
      <c r="A29" s="47" t="s">
        <v>373</v>
      </c>
      <c r="B29" s="47"/>
    </row>
    <row r="30" spans="1:5" x14ac:dyDescent="0.35">
      <c r="A30" s="47" t="s">
        <v>111</v>
      </c>
      <c r="B30" s="95">
        <f>1-(10^(-B25))</f>
        <v>0.999979886576562</v>
      </c>
      <c r="D30" t="s">
        <v>582</v>
      </c>
    </row>
    <row r="31" spans="1:5" x14ac:dyDescent="0.35">
      <c r="A31" s="47" t="s">
        <v>110</v>
      </c>
      <c r="B31" s="47">
        <f>1-(10^(-B26))</f>
        <v>0.99997969468338999</v>
      </c>
      <c r="D31" s="74" t="s">
        <v>582</v>
      </c>
    </row>
    <row r="32" spans="1:5" x14ac:dyDescent="0.35">
      <c r="A32" s="47" t="s">
        <v>112</v>
      </c>
      <c r="B32" s="47">
        <f>1-(10^(-B27))</f>
        <v>0.69640592091768527</v>
      </c>
      <c r="D32" s="74" t="s">
        <v>582</v>
      </c>
    </row>
  </sheetData>
  <pageMargins left="0.7" right="0.7" top="0.75" bottom="0.75" header="0.3" footer="0.3"/>
  <pageSetup paperSize="9" orientation="portrait" horizontalDpi="300" verticalDpi="30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N102"/>
  <sheetViews>
    <sheetView topLeftCell="A55" workbookViewId="0">
      <selection activeCell="B78" sqref="B78"/>
    </sheetView>
  </sheetViews>
  <sheetFormatPr defaultRowHeight="14.5" x14ac:dyDescent="0.35"/>
  <cols>
    <col min="1" max="1" width="32.90625" customWidth="1"/>
    <col min="2" max="2" width="13.6328125" customWidth="1"/>
    <col min="3" max="3" width="29.6328125" customWidth="1"/>
    <col min="4" max="4" width="12.6328125" customWidth="1"/>
    <col min="5" max="5" width="12.81640625" customWidth="1"/>
    <col min="6" max="6" width="20.36328125" customWidth="1"/>
    <col min="7" max="7" width="9.90625" customWidth="1"/>
    <col min="11" max="11" width="11.81640625" bestFit="1" customWidth="1"/>
  </cols>
  <sheetData>
    <row r="1" spans="1:4" ht="15" thickBot="1" x14ac:dyDescent="0.4">
      <c r="A1" s="37" t="s">
        <v>97</v>
      </c>
      <c r="B1" s="7"/>
      <c r="C1" s="7"/>
      <c r="D1" s="7"/>
    </row>
    <row r="2" spans="1:4" x14ac:dyDescent="0.35">
      <c r="A2" s="146" t="s">
        <v>13</v>
      </c>
      <c r="B2" s="146" t="s">
        <v>14</v>
      </c>
      <c r="C2" s="28" t="s">
        <v>64</v>
      </c>
      <c r="D2" s="28"/>
    </row>
    <row r="3" spans="1:4" ht="33.5" thickBot="1" x14ac:dyDescent="0.4">
      <c r="A3" s="147"/>
      <c r="B3" s="147"/>
      <c r="C3" s="29" t="s">
        <v>714</v>
      </c>
      <c r="D3" s="29" t="s">
        <v>707</v>
      </c>
    </row>
    <row r="4" spans="1:4" ht="16.5" x14ac:dyDescent="0.35">
      <c r="A4" s="18" t="s">
        <v>98</v>
      </c>
      <c r="B4" s="18" t="s">
        <v>698</v>
      </c>
      <c r="C4" s="18" t="s">
        <v>699</v>
      </c>
      <c r="D4" s="18" t="s">
        <v>700</v>
      </c>
    </row>
    <row r="5" spans="1:4" ht="16.5" x14ac:dyDescent="0.35">
      <c r="A5" s="18" t="s">
        <v>99</v>
      </c>
      <c r="B5" s="18" t="s">
        <v>701</v>
      </c>
      <c r="C5" s="18" t="s">
        <v>702</v>
      </c>
      <c r="D5" s="18" t="s">
        <v>703</v>
      </c>
    </row>
    <row r="6" spans="1:4" ht="31.5" thickBot="1" x14ac:dyDescent="0.4">
      <c r="A6" s="19" t="s">
        <v>100</v>
      </c>
      <c r="B6" s="19" t="s">
        <v>704</v>
      </c>
      <c r="C6" s="19" t="s">
        <v>705</v>
      </c>
      <c r="D6" s="19" t="s">
        <v>706</v>
      </c>
    </row>
    <row r="8" spans="1:4" ht="15" thickBot="1" x14ac:dyDescent="0.4">
      <c r="A8" s="37" t="s">
        <v>101</v>
      </c>
      <c r="B8" s="7"/>
      <c r="C8" s="7"/>
      <c r="D8" s="7"/>
    </row>
    <row r="9" spans="1:4" x14ac:dyDescent="0.35">
      <c r="A9" s="146" t="s">
        <v>13</v>
      </c>
      <c r="B9" s="146" t="s">
        <v>14</v>
      </c>
      <c r="C9" s="28" t="s">
        <v>102</v>
      </c>
      <c r="D9" s="28"/>
    </row>
    <row r="10" spans="1:4" ht="33.5" thickBot="1" x14ac:dyDescent="0.4">
      <c r="A10" s="147"/>
      <c r="B10" s="147"/>
      <c r="C10" s="29" t="s">
        <v>714</v>
      </c>
      <c r="D10" s="29" t="s">
        <v>707</v>
      </c>
    </row>
    <row r="11" spans="1:4" ht="16.5" x14ac:dyDescent="0.35">
      <c r="A11" s="18" t="s">
        <v>99</v>
      </c>
      <c r="B11" s="18" t="s">
        <v>708</v>
      </c>
      <c r="C11" s="18" t="s">
        <v>709</v>
      </c>
      <c r="D11" s="18" t="s">
        <v>710</v>
      </c>
    </row>
    <row r="12" spans="1:4" ht="18" thickBot="1" x14ac:dyDescent="0.4">
      <c r="A12" s="19" t="s">
        <v>100</v>
      </c>
      <c r="B12" s="19" t="s">
        <v>711</v>
      </c>
      <c r="C12" s="19" t="s">
        <v>712</v>
      </c>
      <c r="D12" s="19" t="s">
        <v>713</v>
      </c>
    </row>
    <row r="14" spans="1:4" ht="15" thickBot="1" x14ac:dyDescent="0.4">
      <c r="A14" s="47" t="s">
        <v>113</v>
      </c>
    </row>
    <row r="15" spans="1:4" ht="15" thickBot="1" x14ac:dyDescent="0.4">
      <c r="A15" s="4"/>
      <c r="B15" s="4" t="s">
        <v>23</v>
      </c>
    </row>
    <row r="16" spans="1:4" ht="16.5" x14ac:dyDescent="0.35">
      <c r="A16" s="5" t="s">
        <v>114</v>
      </c>
      <c r="B16" s="5">
        <f>B101</f>
        <v>16</v>
      </c>
    </row>
    <row r="17" spans="1:12" ht="28.5" thickBot="1" x14ac:dyDescent="0.4">
      <c r="A17" s="6" t="s">
        <v>115</v>
      </c>
      <c r="B17" s="6">
        <f>B102</f>
        <v>20.5</v>
      </c>
    </row>
    <row r="19" spans="1:12" x14ac:dyDescent="0.35">
      <c r="A19" t="s">
        <v>193</v>
      </c>
      <c r="B19">
        <f>'3.7 GAC filtration'!B15</f>
        <v>366.5</v>
      </c>
      <c r="C19" t="s">
        <v>169</v>
      </c>
      <c r="D19" t="s">
        <v>189</v>
      </c>
    </row>
    <row r="20" spans="1:12" x14ac:dyDescent="0.35">
      <c r="B20">
        <f>B19*20</f>
        <v>7330</v>
      </c>
      <c r="C20" t="s">
        <v>290</v>
      </c>
      <c r="D20" t="s">
        <v>189</v>
      </c>
    </row>
    <row r="22" spans="1:12" x14ac:dyDescent="0.35">
      <c r="A22" s="47" t="s">
        <v>610</v>
      </c>
    </row>
    <row r="24" spans="1:12" x14ac:dyDescent="0.35">
      <c r="A24" s="129" t="s">
        <v>611</v>
      </c>
    </row>
    <row r="25" spans="1:12" x14ac:dyDescent="0.35">
      <c r="A25" t="s">
        <v>150</v>
      </c>
      <c r="B25" t="s">
        <v>612</v>
      </c>
    </row>
    <row r="26" spans="1:12" x14ac:dyDescent="0.35">
      <c r="A26" t="s">
        <v>152</v>
      </c>
      <c r="B26">
        <v>28</v>
      </c>
      <c r="C26" t="s">
        <v>617</v>
      </c>
    </row>
    <row r="27" spans="1:12" x14ac:dyDescent="0.35">
      <c r="A27" t="s">
        <v>155</v>
      </c>
      <c r="B27">
        <v>8.0000000000000004E-4</v>
      </c>
      <c r="C27" t="s">
        <v>614</v>
      </c>
    </row>
    <row r="29" spans="1:12" x14ac:dyDescent="0.35">
      <c r="A29" t="s">
        <v>615</v>
      </c>
      <c r="B29" t="s">
        <v>613</v>
      </c>
      <c r="C29" t="s">
        <v>616</v>
      </c>
    </row>
    <row r="30" spans="1:12" x14ac:dyDescent="0.35">
      <c r="A30" t="s">
        <v>618</v>
      </c>
      <c r="B30">
        <v>5</v>
      </c>
      <c r="C30" t="s">
        <v>334</v>
      </c>
    </row>
    <row r="31" spans="1:12" x14ac:dyDescent="0.35">
      <c r="A31" t="s">
        <v>619</v>
      </c>
      <c r="B31">
        <v>74.096000000000004</v>
      </c>
      <c r="C31" t="s">
        <v>330</v>
      </c>
    </row>
    <row r="32" spans="1:12" x14ac:dyDescent="0.35">
      <c r="A32" t="s">
        <v>620</v>
      </c>
      <c r="B32">
        <v>44.01</v>
      </c>
      <c r="C32" t="s">
        <v>330</v>
      </c>
      <c r="J32" s="131" t="s">
        <v>643</v>
      </c>
      <c r="K32" s="131"/>
      <c r="L32" s="131"/>
    </row>
    <row r="33" spans="1:14" x14ac:dyDescent="0.35">
      <c r="J33" s="131" t="s">
        <v>644</v>
      </c>
      <c r="K33" s="131"/>
      <c r="L33" s="131"/>
    </row>
    <row r="34" spans="1:14" x14ac:dyDescent="0.35">
      <c r="A34" s="47" t="s">
        <v>621</v>
      </c>
    </row>
    <row r="36" spans="1:14" x14ac:dyDescent="0.35">
      <c r="A36" s="130" t="s">
        <v>622</v>
      </c>
      <c r="C36" t="s">
        <v>623</v>
      </c>
      <c r="D36" t="s">
        <v>624</v>
      </c>
      <c r="E36" t="s">
        <v>625</v>
      </c>
      <c r="F36" t="s">
        <v>626</v>
      </c>
      <c r="G36" t="s">
        <v>627</v>
      </c>
      <c r="K36" t="s">
        <v>639</v>
      </c>
      <c r="L36" t="s">
        <v>640</v>
      </c>
      <c r="M36" t="s">
        <v>641</v>
      </c>
      <c r="N36" t="s">
        <v>642</v>
      </c>
    </row>
    <row r="37" spans="1:14" x14ac:dyDescent="0.35">
      <c r="C37" t="s">
        <v>627</v>
      </c>
      <c r="D37" t="s">
        <v>626</v>
      </c>
      <c r="E37" t="s">
        <v>628</v>
      </c>
      <c r="F37" t="s">
        <v>624</v>
      </c>
      <c r="G37" t="s">
        <v>629</v>
      </c>
      <c r="J37" t="s">
        <v>637</v>
      </c>
      <c r="K37">
        <v>6.52</v>
      </c>
      <c r="L37">
        <v>6.46</v>
      </c>
      <c r="M37">
        <v>6.42</v>
      </c>
      <c r="N37">
        <v>6.38</v>
      </c>
    </row>
    <row r="38" spans="1:14" x14ac:dyDescent="0.35">
      <c r="A38" t="s">
        <v>630</v>
      </c>
      <c r="J38" t="s">
        <v>638</v>
      </c>
      <c r="K38" s="132">
        <f>10^(-K37)</f>
        <v>3.0199517204020165E-7</v>
      </c>
      <c r="L38" s="74">
        <f t="shared" ref="L38:N38" si="0">10^(-L37)</f>
        <v>3.4673685045253148E-7</v>
      </c>
      <c r="M38" s="132">
        <f t="shared" si="0"/>
        <v>3.8018939632056089E-7</v>
      </c>
      <c r="N38" s="74">
        <f t="shared" si="0"/>
        <v>4.1686938347033493E-7</v>
      </c>
    </row>
    <row r="39" spans="1:14" x14ac:dyDescent="0.35">
      <c r="A39" t="s">
        <v>631</v>
      </c>
      <c r="B39" t="s">
        <v>614</v>
      </c>
      <c r="C39">
        <f>B27</f>
        <v>8.0000000000000004E-4</v>
      </c>
      <c r="E39">
        <v>0</v>
      </c>
      <c r="G39">
        <v>0</v>
      </c>
    </row>
    <row r="40" spans="1:14" x14ac:dyDescent="0.35">
      <c r="A40" t="s">
        <v>632</v>
      </c>
    </row>
    <row r="41" spans="1:14" x14ac:dyDescent="0.35">
      <c r="A41" t="s">
        <v>633</v>
      </c>
      <c r="B41" t="s">
        <v>614</v>
      </c>
      <c r="C41" t="s">
        <v>634</v>
      </c>
      <c r="E41" t="s">
        <v>635</v>
      </c>
      <c r="G41" t="s">
        <v>636</v>
      </c>
      <c r="J41" t="s">
        <v>645</v>
      </c>
    </row>
    <row r="43" spans="1:14" x14ac:dyDescent="0.35">
      <c r="A43" s="130" t="s">
        <v>646</v>
      </c>
      <c r="C43" t="s">
        <v>647</v>
      </c>
      <c r="D43" t="s">
        <v>626</v>
      </c>
      <c r="E43" t="s">
        <v>648</v>
      </c>
      <c r="F43" t="s">
        <v>624</v>
      </c>
      <c r="G43" t="s">
        <v>629</v>
      </c>
      <c r="K43" t="s">
        <v>639</v>
      </c>
      <c r="L43" t="s">
        <v>640</v>
      </c>
      <c r="M43" t="s">
        <v>641</v>
      </c>
      <c r="N43" t="s">
        <v>642</v>
      </c>
    </row>
    <row r="44" spans="1:14" x14ac:dyDescent="0.35">
      <c r="A44" t="s">
        <v>630</v>
      </c>
      <c r="J44" t="s">
        <v>650</v>
      </c>
      <c r="K44">
        <v>10.56</v>
      </c>
      <c r="L44">
        <v>10.49</v>
      </c>
      <c r="M44">
        <v>10.43</v>
      </c>
      <c r="N44">
        <v>10.38</v>
      </c>
    </row>
    <row r="45" spans="1:14" x14ac:dyDescent="0.35">
      <c r="A45" t="s">
        <v>631</v>
      </c>
      <c r="B45" t="s">
        <v>614</v>
      </c>
      <c r="C45">
        <v>0</v>
      </c>
      <c r="E45">
        <v>0</v>
      </c>
      <c r="G45">
        <v>0</v>
      </c>
      <c r="J45" t="s">
        <v>651</v>
      </c>
      <c r="K45" s="132">
        <f>10^(-K44)</f>
        <v>2.7542287033381602E-11</v>
      </c>
      <c r="L45" s="74">
        <f t="shared" ref="L45:N45" si="1">10^(-L44)</f>
        <v>3.2359365692962733E-11</v>
      </c>
      <c r="M45" s="74">
        <f t="shared" si="1"/>
        <v>3.7153522909717256E-11</v>
      </c>
      <c r="N45" s="74">
        <f t="shared" si="1"/>
        <v>4.168693834703338E-11</v>
      </c>
    </row>
    <row r="46" spans="1:14" x14ac:dyDescent="0.35">
      <c r="A46" t="s">
        <v>632</v>
      </c>
    </row>
    <row r="47" spans="1:14" x14ac:dyDescent="0.35">
      <c r="A47" t="s">
        <v>633</v>
      </c>
      <c r="B47" t="s">
        <v>614</v>
      </c>
      <c r="C47" t="s">
        <v>635</v>
      </c>
      <c r="E47" t="s">
        <v>649</v>
      </c>
      <c r="G47" t="s">
        <v>636</v>
      </c>
      <c r="J47" t="s">
        <v>652</v>
      </c>
    </row>
    <row r="49" spans="1:9" x14ac:dyDescent="0.35">
      <c r="A49" s="74" t="s">
        <v>653</v>
      </c>
    </row>
    <row r="50" spans="1:9" x14ac:dyDescent="0.35">
      <c r="A50" s="74" t="s">
        <v>654</v>
      </c>
    </row>
    <row r="52" spans="1:9" x14ac:dyDescent="0.35">
      <c r="A52" s="47" t="s">
        <v>655</v>
      </c>
      <c r="B52" s="133">
        <f>0.0000154</f>
        <v>1.5400000000000002E-5</v>
      </c>
      <c r="C52" s="47" t="s">
        <v>614</v>
      </c>
      <c r="D52" t="s">
        <v>656</v>
      </c>
    </row>
    <row r="53" spans="1:9" x14ac:dyDescent="0.35">
      <c r="A53" s="7" t="s">
        <v>657</v>
      </c>
    </row>
    <row r="54" spans="1:9" x14ac:dyDescent="0.35">
      <c r="A54" s="47" t="s">
        <v>649</v>
      </c>
      <c r="B54" s="133">
        <f>K45</f>
        <v>2.7542287033381602E-11</v>
      </c>
      <c r="C54" s="47" t="s">
        <v>614</v>
      </c>
    </row>
    <row r="56" spans="1:9" x14ac:dyDescent="0.35">
      <c r="A56" s="7" t="s">
        <v>658</v>
      </c>
    </row>
    <row r="57" spans="1:9" x14ac:dyDescent="0.35">
      <c r="A57" s="7" t="s">
        <v>274</v>
      </c>
      <c r="B57" t="s">
        <v>624</v>
      </c>
      <c r="C57" t="s">
        <v>659</v>
      </c>
      <c r="D57" t="s">
        <v>626</v>
      </c>
      <c r="E57" t="s">
        <v>660</v>
      </c>
      <c r="F57" t="s">
        <v>624</v>
      </c>
      <c r="G57" t="s">
        <v>661</v>
      </c>
      <c r="H57" t="s">
        <v>624</v>
      </c>
      <c r="I57" t="s">
        <v>662</v>
      </c>
    </row>
    <row r="59" spans="1:9" x14ac:dyDescent="0.35">
      <c r="A59" s="74" t="s">
        <v>663</v>
      </c>
    </row>
    <row r="61" spans="1:9" x14ac:dyDescent="0.35">
      <c r="A61" s="123" t="s">
        <v>664</v>
      </c>
      <c r="B61" s="137" t="s">
        <v>274</v>
      </c>
      <c r="C61" s="139"/>
      <c r="D61" s="150" t="s">
        <v>623</v>
      </c>
      <c r="E61" s="151"/>
      <c r="F61" s="152"/>
      <c r="G61" s="123" t="s">
        <v>150</v>
      </c>
    </row>
    <row r="62" spans="1:9" x14ac:dyDescent="0.35">
      <c r="A62" s="123" t="s">
        <v>665</v>
      </c>
      <c r="B62" s="123" t="s">
        <v>666</v>
      </c>
      <c r="C62" s="123" t="s">
        <v>614</v>
      </c>
      <c r="D62" s="123" t="s">
        <v>614</v>
      </c>
      <c r="E62" s="123" t="s">
        <v>667</v>
      </c>
      <c r="F62" s="123" t="s">
        <v>668</v>
      </c>
      <c r="G62" s="123"/>
    </row>
    <row r="63" spans="1:9" x14ac:dyDescent="0.35">
      <c r="A63" s="123">
        <v>6</v>
      </c>
      <c r="B63" s="123">
        <f>A63/1000</f>
        <v>6.0000000000000001E-3</v>
      </c>
      <c r="C63" s="123">
        <f>B63/$B$31</f>
        <v>8.0976031094795933E-5</v>
      </c>
      <c r="D63" s="134">
        <f>C63*2</f>
        <v>1.6195206218959187E-4</v>
      </c>
      <c r="E63" s="123">
        <f>D63/($B$27-D63)</f>
        <v>0.25382428590767558</v>
      </c>
      <c r="F63" s="123">
        <f>LOG10(E63)</f>
        <v>-0.59546682695724917</v>
      </c>
      <c r="G63" s="123">
        <f>$K$37+F63</f>
        <v>5.9245331730427502</v>
      </c>
    </row>
    <row r="64" spans="1:9" x14ac:dyDescent="0.35">
      <c r="A64" s="123">
        <v>8</v>
      </c>
      <c r="B64" s="123">
        <f t="shared" ref="B64:B75" si="2">A64/1000</f>
        <v>8.0000000000000002E-3</v>
      </c>
      <c r="C64" s="123">
        <f t="shared" ref="C64:C75" si="3">B64/$B$31</f>
        <v>1.0796804145972792E-4</v>
      </c>
      <c r="D64" s="134">
        <f t="shared" ref="D64:D75" si="4">C64*2</f>
        <v>2.1593608291945585E-4</v>
      </c>
      <c r="E64" s="123">
        <f t="shared" ref="E64:E75" si="5">D64/($B$27-D64)</f>
        <v>0.36971310263235729</v>
      </c>
      <c r="F64" s="123">
        <f t="shared" ref="F64:F75" si="6">LOG10(E64)</f>
        <v>-0.43213515775771255</v>
      </c>
      <c r="G64" s="123">
        <f t="shared" ref="G64:G75" si="7">$K$37+F64</f>
        <v>6.0878648422422872</v>
      </c>
    </row>
    <row r="65" spans="1:7" x14ac:dyDescent="0.35">
      <c r="A65" s="123">
        <v>10</v>
      </c>
      <c r="B65" s="123">
        <f t="shared" si="2"/>
        <v>0.01</v>
      </c>
      <c r="C65" s="123">
        <f t="shared" si="3"/>
        <v>1.349600518246599E-4</v>
      </c>
      <c r="D65" s="134">
        <f t="shared" si="4"/>
        <v>2.699201036493198E-4</v>
      </c>
      <c r="E65" s="123">
        <f t="shared" si="5"/>
        <v>0.50920645266416809</v>
      </c>
      <c r="F65" s="123">
        <f t="shared" si="6"/>
        <v>-0.29310610160383788</v>
      </c>
      <c r="G65" s="123">
        <f t="shared" si="7"/>
        <v>6.2268938983961615</v>
      </c>
    </row>
    <row r="66" spans="1:7" x14ac:dyDescent="0.35">
      <c r="A66" s="123">
        <v>12</v>
      </c>
      <c r="B66" s="123">
        <f t="shared" si="2"/>
        <v>1.2E-2</v>
      </c>
      <c r="C66" s="123">
        <f t="shared" si="3"/>
        <v>1.6195206218959187E-4</v>
      </c>
      <c r="D66" s="134">
        <f t="shared" si="4"/>
        <v>3.2390412437918373E-4</v>
      </c>
      <c r="E66" s="123">
        <f t="shared" si="5"/>
        <v>0.68033381712626984</v>
      </c>
      <c r="F66" s="123">
        <f t="shared" si="6"/>
        <v>-0.16727794117185063</v>
      </c>
      <c r="G66" s="123">
        <f t="shared" si="7"/>
        <v>6.3527220588281486</v>
      </c>
    </row>
    <row r="67" spans="1:7" x14ac:dyDescent="0.35">
      <c r="A67" s="123">
        <v>14</v>
      </c>
      <c r="B67" s="123">
        <f t="shared" si="2"/>
        <v>1.4E-2</v>
      </c>
      <c r="C67" s="123">
        <f t="shared" si="3"/>
        <v>1.8894407255452386E-4</v>
      </c>
      <c r="D67" s="134">
        <f t="shared" si="4"/>
        <v>3.7788814510904771E-4</v>
      </c>
      <c r="E67" s="123">
        <f t="shared" si="5"/>
        <v>0.8952322488234089</v>
      </c>
      <c r="F67" s="123">
        <f t="shared" si="6"/>
        <v>-4.8064281669839837E-2</v>
      </c>
      <c r="G67" s="123">
        <f t="shared" si="7"/>
        <v>6.47193571833016</v>
      </c>
    </row>
    <row r="68" spans="1:7" x14ac:dyDescent="0.35">
      <c r="A68" s="123">
        <v>16</v>
      </c>
      <c r="B68" s="123">
        <f t="shared" si="2"/>
        <v>1.6E-2</v>
      </c>
      <c r="C68" s="123">
        <f t="shared" si="3"/>
        <v>2.1593608291945585E-4</v>
      </c>
      <c r="D68" s="134">
        <f t="shared" si="4"/>
        <v>4.318721658389117E-4</v>
      </c>
      <c r="E68" s="123">
        <f t="shared" si="5"/>
        <v>1.1731581417175034</v>
      </c>
      <c r="F68" s="123">
        <f t="shared" si="6"/>
        <v>6.9356558957835601E-2</v>
      </c>
      <c r="G68" s="123">
        <f t="shared" si="7"/>
        <v>6.5893565589578351</v>
      </c>
    </row>
    <row r="69" spans="1:7" x14ac:dyDescent="0.35">
      <c r="A69" s="123">
        <v>18</v>
      </c>
      <c r="B69" s="123">
        <f t="shared" si="2"/>
        <v>1.7999999999999999E-2</v>
      </c>
      <c r="C69" s="123">
        <f t="shared" si="3"/>
        <v>2.4292809328438779E-4</v>
      </c>
      <c r="D69" s="134">
        <f t="shared" si="4"/>
        <v>4.8585618656877557E-4</v>
      </c>
      <c r="E69" s="123">
        <f t="shared" si="5"/>
        <v>1.5466043442397572</v>
      </c>
      <c r="F69" s="123">
        <f t="shared" si="6"/>
        <v>0.18937922572868796</v>
      </c>
      <c r="G69" s="123">
        <f t="shared" si="7"/>
        <v>6.7093792257286875</v>
      </c>
    </row>
    <row r="70" spans="1:7" x14ac:dyDescent="0.35">
      <c r="A70" s="123">
        <v>20</v>
      </c>
      <c r="B70" s="123">
        <f t="shared" si="2"/>
        <v>0.02</v>
      </c>
      <c r="C70" s="123">
        <f t="shared" si="3"/>
        <v>2.699201036493198E-4</v>
      </c>
      <c r="D70" s="134">
        <f t="shared" si="4"/>
        <v>5.3984020729863961E-4</v>
      </c>
      <c r="E70" s="123">
        <f t="shared" si="5"/>
        <v>2.0750332005312084</v>
      </c>
      <c r="F70" s="123">
        <f t="shared" si="6"/>
        <v>0.31702504981541224</v>
      </c>
      <c r="G70" s="123">
        <f t="shared" si="7"/>
        <v>6.8370250498154119</v>
      </c>
    </row>
    <row r="71" spans="1:7" x14ac:dyDescent="0.35">
      <c r="A71" s="123">
        <v>22</v>
      </c>
      <c r="B71" s="123">
        <f t="shared" si="2"/>
        <v>2.1999999999999999E-2</v>
      </c>
      <c r="C71" s="123">
        <f t="shared" si="3"/>
        <v>2.9691211401425174E-4</v>
      </c>
      <c r="D71" s="134">
        <f t="shared" si="4"/>
        <v>5.9382422802850348E-4</v>
      </c>
      <c r="E71" s="123">
        <f t="shared" si="5"/>
        <v>2.8801843317972331</v>
      </c>
      <c r="F71" s="123">
        <f t="shared" si="6"/>
        <v>0.45942028349554542</v>
      </c>
      <c r="G71" s="123">
        <f t="shared" si="7"/>
        <v>6.9794202834955446</v>
      </c>
    </row>
    <row r="72" spans="1:7" x14ac:dyDescent="0.35">
      <c r="A72" s="123">
        <v>24</v>
      </c>
      <c r="B72" s="123">
        <f t="shared" si="2"/>
        <v>2.4E-2</v>
      </c>
      <c r="C72" s="123">
        <f t="shared" si="3"/>
        <v>3.2390412437918373E-4</v>
      </c>
      <c r="D72" s="134">
        <f t="shared" si="4"/>
        <v>6.4780824875836746E-4</v>
      </c>
      <c r="E72" s="123">
        <f t="shared" si="5"/>
        <v>4.2565266742338217</v>
      </c>
      <c r="F72" s="123">
        <f t="shared" si="6"/>
        <v>0.62905535931567058</v>
      </c>
      <c r="G72" s="123">
        <f t="shared" si="7"/>
        <v>7.1490553593156703</v>
      </c>
    </row>
    <row r="73" spans="1:7" x14ac:dyDescent="0.35">
      <c r="A73" s="123">
        <v>25</v>
      </c>
      <c r="B73" s="123">
        <f t="shared" si="2"/>
        <v>2.5000000000000001E-2</v>
      </c>
      <c r="C73" s="123">
        <f t="shared" si="3"/>
        <v>3.3740012956164973E-4</v>
      </c>
      <c r="D73" s="134">
        <f t="shared" si="4"/>
        <v>6.7480025912329945E-4</v>
      </c>
      <c r="E73" s="123">
        <f t="shared" si="5"/>
        <v>5.3897895826146902</v>
      </c>
      <c r="F73" s="123">
        <f t="shared" si="6"/>
        <v>0.73157181066111499</v>
      </c>
      <c r="G73" s="123">
        <f t="shared" si="7"/>
        <v>7.2515718106611144</v>
      </c>
    </row>
    <row r="74" spans="1:7" x14ac:dyDescent="0.35">
      <c r="A74" s="123">
        <v>26</v>
      </c>
      <c r="B74" s="123">
        <f t="shared" si="2"/>
        <v>2.5999999999999999E-2</v>
      </c>
      <c r="C74" s="123">
        <f t="shared" si="3"/>
        <v>3.5089613474411572E-4</v>
      </c>
      <c r="D74" s="134">
        <f t="shared" si="4"/>
        <v>7.0179226948823145E-4</v>
      </c>
      <c r="E74" s="123">
        <f t="shared" si="5"/>
        <v>7.1459982409850422</v>
      </c>
      <c r="F74" s="123">
        <f t="shared" si="6"/>
        <v>0.85406290496317683</v>
      </c>
      <c r="G74" s="123">
        <f t="shared" si="7"/>
        <v>7.3740629049631767</v>
      </c>
    </row>
    <row r="75" spans="1:7" x14ac:dyDescent="0.35">
      <c r="A75" s="135">
        <v>27</v>
      </c>
      <c r="B75" s="135">
        <f t="shared" si="2"/>
        <v>2.7E-2</v>
      </c>
      <c r="C75" s="135">
        <f t="shared" si="3"/>
        <v>3.6439213992658172E-4</v>
      </c>
      <c r="D75" s="136">
        <f t="shared" si="4"/>
        <v>7.2878427985316344E-4</v>
      </c>
      <c r="E75" s="135">
        <f t="shared" si="5"/>
        <v>10.233474833232252</v>
      </c>
      <c r="F75" s="135">
        <f t="shared" si="6"/>
        <v>1.0100231258585433</v>
      </c>
      <c r="G75" s="135">
        <f t="shared" si="7"/>
        <v>7.5300231258585431</v>
      </c>
    </row>
    <row r="77" spans="1:7" x14ac:dyDescent="0.35">
      <c r="A77" s="47" t="s">
        <v>669</v>
      </c>
      <c r="B77" s="85">
        <f>D75*B32</f>
        <v>3.2073796156337722E-2</v>
      </c>
      <c r="C77" t="s">
        <v>378</v>
      </c>
    </row>
    <row r="78" spans="1:7" x14ac:dyDescent="0.35">
      <c r="B78" s="84">
        <f>B77/(10^-3)</f>
        <v>32.073796156337721</v>
      </c>
      <c r="C78" s="47" t="s">
        <v>172</v>
      </c>
    </row>
    <row r="79" spans="1:7" x14ac:dyDescent="0.35">
      <c r="A79" s="47" t="s">
        <v>670</v>
      </c>
      <c r="B79" s="76">
        <f>B78*B19</f>
        <v>11755.046291297775</v>
      </c>
      <c r="C79" t="s">
        <v>176</v>
      </c>
    </row>
    <row r="80" spans="1:7" x14ac:dyDescent="0.35">
      <c r="B80" s="84">
        <f>B79*10^-3</f>
        <v>11.755046291297775</v>
      </c>
      <c r="C80" s="47" t="s">
        <v>177</v>
      </c>
    </row>
    <row r="81" spans="1:11" x14ac:dyDescent="0.35">
      <c r="A81" s="47" t="s">
        <v>671</v>
      </c>
      <c r="B81" s="84">
        <f>B80*20</f>
        <v>235.1009258259555</v>
      </c>
      <c r="C81" s="47" t="s">
        <v>178</v>
      </c>
    </row>
    <row r="82" spans="1:11" x14ac:dyDescent="0.35">
      <c r="E82" s="47" t="s">
        <v>676</v>
      </c>
    </row>
    <row r="83" spans="1:11" x14ac:dyDescent="0.35">
      <c r="A83" s="47" t="s">
        <v>672</v>
      </c>
      <c r="B83" s="47">
        <f>A75</f>
        <v>27</v>
      </c>
      <c r="C83" s="47" t="s">
        <v>172</v>
      </c>
      <c r="E83" s="47" t="s">
        <v>677</v>
      </c>
      <c r="G83" s="84">
        <f>B83+'3.2 Chemical coagulation'!B32+'3.5 Chemical oxidation'!B90+'3.5 Chemical oxidation'!B83</f>
        <v>43.713889816945084</v>
      </c>
      <c r="H83" s="47" t="s">
        <v>172</v>
      </c>
    </row>
    <row r="84" spans="1:11" x14ac:dyDescent="0.35">
      <c r="A84" s="47" t="s">
        <v>464</v>
      </c>
      <c r="B84" s="128">
        <f>B83*B19</f>
        <v>9895.5</v>
      </c>
      <c r="C84" t="s">
        <v>176</v>
      </c>
      <c r="E84" s="47" t="s">
        <v>678</v>
      </c>
      <c r="G84" s="84">
        <f>B85+'3.5 Chemical oxidation'!B92+'3.5 Chemical oxidation'!B85+'3.2 Chemical coagulation'!B33</f>
        <v>16.33034757952386</v>
      </c>
      <c r="H84" s="47" t="s">
        <v>177</v>
      </c>
    </row>
    <row r="85" spans="1:11" x14ac:dyDescent="0.35">
      <c r="B85" s="84">
        <f>B84*10^-3</f>
        <v>9.8955000000000002</v>
      </c>
      <c r="C85" s="47" t="s">
        <v>177</v>
      </c>
      <c r="E85" s="47" t="s">
        <v>679</v>
      </c>
      <c r="G85" s="84">
        <f>B86+'3.5 Chemical oxidation'!B93+'3.5 Chemical oxidation'!B86+'3.2 Chemical coagulation'!B34</f>
        <v>326.60695159047714</v>
      </c>
      <c r="H85" s="47" t="s">
        <v>178</v>
      </c>
    </row>
    <row r="86" spans="1:11" x14ac:dyDescent="0.35">
      <c r="A86" s="47" t="s">
        <v>469</v>
      </c>
      <c r="B86" s="47">
        <f>B85*20</f>
        <v>197.91</v>
      </c>
      <c r="C86" s="47" t="s">
        <v>178</v>
      </c>
    </row>
    <row r="87" spans="1:11" x14ac:dyDescent="0.35">
      <c r="E87" s="47" t="s">
        <v>680</v>
      </c>
      <c r="G87" s="84">
        <f>B88+'3.5 Chemical oxidation'!B97+'3.5 Chemical oxidation'!B100+'3.2 Chemical coagulation'!B36</f>
        <v>39.739899833586435</v>
      </c>
      <c r="H87" s="47" t="s">
        <v>477</v>
      </c>
    </row>
    <row r="88" spans="1:11" x14ac:dyDescent="0.35">
      <c r="A88" s="47" t="s">
        <v>673</v>
      </c>
      <c r="B88" s="84">
        <f>B83/1.1</f>
        <v>24.545454545454543</v>
      </c>
      <c r="C88" s="47" t="s">
        <v>477</v>
      </c>
      <c r="E88" s="47" t="s">
        <v>681</v>
      </c>
      <c r="G88" s="84">
        <f>B89+'3.5 Chemical oxidation'!B98+'3.5 Chemical oxidation'!B101+'3.2 Chemical coagulation'!B37</f>
        <v>14.845770526839871</v>
      </c>
      <c r="H88" s="47" t="s">
        <v>169</v>
      </c>
    </row>
    <row r="89" spans="1:11" x14ac:dyDescent="0.35">
      <c r="A89" s="47" t="s">
        <v>674</v>
      </c>
      <c r="B89" s="84">
        <f>B88*B19*10^-3</f>
        <v>8.9959090909090911</v>
      </c>
      <c r="C89" s="47" t="s">
        <v>169</v>
      </c>
      <c r="E89" s="47" t="s">
        <v>682</v>
      </c>
      <c r="G89" s="84">
        <f>B90+'3.5 Chemical oxidation'!B99+'3.5 Chemical oxidation'!B102+'3.2 Chemical coagulation'!B38</f>
        <v>296.91541053679742</v>
      </c>
      <c r="H89" s="47" t="s">
        <v>290</v>
      </c>
    </row>
    <row r="90" spans="1:11" x14ac:dyDescent="0.35">
      <c r="A90" s="47" t="s">
        <v>675</v>
      </c>
      <c r="B90" s="84">
        <f>B89*20</f>
        <v>179.91818181818184</v>
      </c>
      <c r="C90" s="47" t="s">
        <v>290</v>
      </c>
    </row>
    <row r="93" spans="1:11" x14ac:dyDescent="0.35">
      <c r="A93" s="47" t="s">
        <v>683</v>
      </c>
    </row>
    <row r="94" spans="1:11" x14ac:dyDescent="0.35">
      <c r="A94" s="7" t="s">
        <v>684</v>
      </c>
      <c r="B94">
        <v>7</v>
      </c>
      <c r="C94" t="s">
        <v>685</v>
      </c>
      <c r="K94" s="74"/>
    </row>
    <row r="95" spans="1:11" x14ac:dyDescent="0.35">
      <c r="A95" s="7" t="s">
        <v>686</v>
      </c>
      <c r="B95">
        <v>500</v>
      </c>
      <c r="C95" t="s">
        <v>252</v>
      </c>
      <c r="D95" t="s">
        <v>687</v>
      </c>
    </row>
    <row r="96" spans="1:11" x14ac:dyDescent="0.35">
      <c r="A96" s="7" t="s">
        <v>688</v>
      </c>
      <c r="B96">
        <v>0.87</v>
      </c>
      <c r="D96" t="s">
        <v>689</v>
      </c>
    </row>
    <row r="97" spans="1:4" x14ac:dyDescent="0.35">
      <c r="A97" s="7" t="s">
        <v>690</v>
      </c>
      <c r="B97" s="76">
        <v>1.5</v>
      </c>
    </row>
    <row r="98" spans="1:4" x14ac:dyDescent="0.35">
      <c r="A98" s="7" t="s">
        <v>691</v>
      </c>
      <c r="B98" s="76">
        <f>G85/B96</f>
        <v>375.41028918445647</v>
      </c>
      <c r="C98" t="s">
        <v>178</v>
      </c>
    </row>
    <row r="99" spans="1:4" x14ac:dyDescent="0.35">
      <c r="A99" s="7" t="s">
        <v>692</v>
      </c>
      <c r="B99" s="76">
        <f>B98*(10+1.5*7)</f>
        <v>7695.9109282813579</v>
      </c>
      <c r="C99" t="s">
        <v>693</v>
      </c>
      <c r="D99" t="s">
        <v>694</v>
      </c>
    </row>
    <row r="100" spans="1:4" x14ac:dyDescent="0.35">
      <c r="A100" s="47" t="s">
        <v>695</v>
      </c>
      <c r="B100" s="84">
        <f>B99/B95</f>
        <v>15.391821856562716</v>
      </c>
      <c r="C100" s="47" t="s">
        <v>196</v>
      </c>
    </row>
    <row r="101" spans="1:4" x14ac:dyDescent="0.35">
      <c r="B101" s="47">
        <v>16</v>
      </c>
      <c r="C101" s="47" t="s">
        <v>196</v>
      </c>
      <c r="D101" t="s">
        <v>696</v>
      </c>
    </row>
    <row r="102" spans="1:4" x14ac:dyDescent="0.35">
      <c r="A102" s="47" t="s">
        <v>697</v>
      </c>
      <c r="B102" s="47">
        <f>10 + 1.5*7</f>
        <v>20.5</v>
      </c>
      <c r="C102" s="47" t="s">
        <v>685</v>
      </c>
      <c r="D102" s="74" t="s">
        <v>694</v>
      </c>
    </row>
  </sheetData>
  <mergeCells count="6">
    <mergeCell ref="A2:A3"/>
    <mergeCell ref="B2:B3"/>
    <mergeCell ref="A9:A10"/>
    <mergeCell ref="B9:B10"/>
    <mergeCell ref="D61:F61"/>
    <mergeCell ref="B61:C61"/>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25"/>
  <sheetViews>
    <sheetView topLeftCell="A10" workbookViewId="0"/>
  </sheetViews>
  <sheetFormatPr defaultRowHeight="14.5" x14ac:dyDescent="0.35"/>
  <sheetData>
    <row r="1" spans="1:12" x14ac:dyDescent="0.35">
      <c r="A1" s="11"/>
    </row>
    <row r="3" spans="1:12" x14ac:dyDescent="0.35">
      <c r="A3" s="74" t="s">
        <v>439</v>
      </c>
      <c r="L3" s="74" t="s">
        <v>461</v>
      </c>
    </row>
    <row r="4" spans="1:12" x14ac:dyDescent="0.35">
      <c r="A4" s="74" t="s">
        <v>440</v>
      </c>
    </row>
    <row r="5" spans="1:12" x14ac:dyDescent="0.35">
      <c r="A5" s="74" t="s">
        <v>441</v>
      </c>
    </row>
    <row r="6" spans="1:12" x14ac:dyDescent="0.35">
      <c r="A6" s="74" t="s">
        <v>442</v>
      </c>
    </row>
    <row r="7" spans="1:12" x14ac:dyDescent="0.35">
      <c r="A7" s="74" t="s">
        <v>443</v>
      </c>
    </row>
    <row r="8" spans="1:12" x14ac:dyDescent="0.35">
      <c r="A8" s="74" t="s">
        <v>444</v>
      </c>
    </row>
    <row r="9" spans="1:12" x14ac:dyDescent="0.35">
      <c r="A9" s="74" t="s">
        <v>445</v>
      </c>
    </row>
    <row r="10" spans="1:12" x14ac:dyDescent="0.35">
      <c r="A10" s="74" t="s">
        <v>446</v>
      </c>
    </row>
    <row r="11" spans="1:12" x14ac:dyDescent="0.35">
      <c r="A11" s="74" t="s">
        <v>447</v>
      </c>
    </row>
    <row r="12" spans="1:12" x14ac:dyDescent="0.35">
      <c r="A12" s="74"/>
    </row>
    <row r="13" spans="1:12" x14ac:dyDescent="0.35">
      <c r="A13" s="74" t="s">
        <v>448</v>
      </c>
    </row>
    <row r="14" spans="1:12" x14ac:dyDescent="0.35">
      <c r="A14" s="74" t="s">
        <v>449</v>
      </c>
    </row>
    <row r="15" spans="1:12" x14ac:dyDescent="0.35">
      <c r="A15" s="74" t="s">
        <v>450</v>
      </c>
    </row>
    <row r="16" spans="1:12" x14ac:dyDescent="0.35">
      <c r="A16" s="74" t="s">
        <v>451</v>
      </c>
    </row>
    <row r="17" spans="1:1" x14ac:dyDescent="0.35">
      <c r="A17" s="74" t="s">
        <v>452</v>
      </c>
    </row>
    <row r="18" spans="1:1" x14ac:dyDescent="0.35">
      <c r="A18" s="74" t="s">
        <v>453</v>
      </c>
    </row>
    <row r="19" spans="1:1" x14ac:dyDescent="0.35">
      <c r="A19" s="74" t="s">
        <v>454</v>
      </c>
    </row>
    <row r="20" spans="1:1" x14ac:dyDescent="0.35">
      <c r="A20" s="74" t="s">
        <v>455</v>
      </c>
    </row>
    <row r="21" spans="1:1" x14ac:dyDescent="0.35">
      <c r="A21" s="74" t="s">
        <v>456</v>
      </c>
    </row>
    <row r="22" spans="1:1" x14ac:dyDescent="0.35">
      <c r="A22" s="74" t="s">
        <v>457</v>
      </c>
    </row>
    <row r="23" spans="1:1" x14ac:dyDescent="0.35">
      <c r="A23" s="74" t="s">
        <v>458</v>
      </c>
    </row>
    <row r="24" spans="1:1" x14ac:dyDescent="0.35">
      <c r="A24" s="74" t="s">
        <v>459</v>
      </c>
    </row>
    <row r="25" spans="1:1" x14ac:dyDescent="0.35">
      <c r="A25" s="74" t="s">
        <v>460</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
  <sheetViews>
    <sheetView workbookViewId="0">
      <selection activeCell="A3" sqref="A3"/>
    </sheetView>
  </sheetViews>
  <sheetFormatPr defaultRowHeight="14.5" x14ac:dyDescent="0.35"/>
  <sheetData>
    <row r="1" spans="1:1" x14ac:dyDescent="0.35">
      <c r="A1" t="s">
        <v>96</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9"/>
  <sheetViews>
    <sheetView workbookViewId="0">
      <selection activeCell="A7" sqref="A7"/>
    </sheetView>
  </sheetViews>
  <sheetFormatPr defaultRowHeight="14.5" x14ac:dyDescent="0.35"/>
  <cols>
    <col min="1" max="1" width="40.36328125" customWidth="1"/>
    <col min="2" max="2" width="23.90625" customWidth="1"/>
    <col min="3" max="3" width="32.6328125" customWidth="1"/>
  </cols>
  <sheetData>
    <row r="1" spans="1:3" s="7" customFormat="1" ht="15" thickBot="1" x14ac:dyDescent="0.4">
      <c r="A1" s="15" t="s">
        <v>94</v>
      </c>
    </row>
    <row r="2" spans="1:3" ht="21.65" customHeight="1" thickBot="1" x14ac:dyDescent="0.4">
      <c r="A2" s="4" t="s">
        <v>7</v>
      </c>
      <c r="B2" s="4" t="s">
        <v>95</v>
      </c>
      <c r="C2" s="4" t="s">
        <v>9</v>
      </c>
    </row>
    <row r="3" spans="1:3" ht="75.5" thickBot="1" x14ac:dyDescent="0.4">
      <c r="A3" s="39" t="s">
        <v>567</v>
      </c>
      <c r="B3" s="39" t="s">
        <v>568</v>
      </c>
      <c r="C3" s="39" t="s">
        <v>569</v>
      </c>
    </row>
    <row r="4" spans="1:3" ht="75.5" thickBot="1" x14ac:dyDescent="0.4">
      <c r="A4" s="40" t="s">
        <v>570</v>
      </c>
      <c r="B4" s="40" t="s">
        <v>571</v>
      </c>
      <c r="C4" s="40" t="s">
        <v>572</v>
      </c>
    </row>
    <row r="5" spans="1:3" ht="75" x14ac:dyDescent="0.35">
      <c r="A5" s="109" t="s">
        <v>150</v>
      </c>
      <c r="B5" s="109" t="s">
        <v>573</v>
      </c>
      <c r="C5" s="109" t="s">
        <v>574</v>
      </c>
    </row>
    <row r="6" spans="1:3" ht="112.5" x14ac:dyDescent="0.35">
      <c r="A6" s="110" t="s">
        <v>347</v>
      </c>
      <c r="B6" s="110" t="s">
        <v>575</v>
      </c>
      <c r="C6" s="111" t="s">
        <v>576</v>
      </c>
    </row>
    <row r="7" spans="1:3" x14ac:dyDescent="0.35">
      <c r="A7" s="108"/>
      <c r="B7" s="108"/>
      <c r="C7" s="108"/>
    </row>
    <row r="8" spans="1:3" x14ac:dyDescent="0.35">
      <c r="A8" s="108"/>
      <c r="B8" s="108"/>
      <c r="C8" s="108"/>
    </row>
    <row r="9" spans="1:3" x14ac:dyDescent="0.35">
      <c r="A9" s="50"/>
      <c r="B9" s="50"/>
      <c r="C9" s="5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2"/>
  <sheetViews>
    <sheetView workbookViewId="0">
      <selection activeCell="E12" sqref="E12"/>
    </sheetView>
  </sheetViews>
  <sheetFormatPr defaultRowHeight="14.5" x14ac:dyDescent="0.35"/>
  <cols>
    <col min="1" max="1" width="46.08984375" customWidth="1"/>
    <col min="2" max="2" width="16.453125" customWidth="1"/>
    <col min="3" max="3" width="14.08984375" customWidth="1"/>
    <col min="5" max="5" width="32.54296875" customWidth="1"/>
  </cols>
  <sheetData>
    <row r="1" spans="1:5" x14ac:dyDescent="0.35">
      <c r="A1" s="47" t="s">
        <v>0</v>
      </c>
    </row>
    <row r="2" spans="1:5" ht="16" x14ac:dyDescent="0.35">
      <c r="A2" s="48"/>
      <c r="B2" s="48" t="s">
        <v>5</v>
      </c>
      <c r="C2" s="48" t="s">
        <v>6</v>
      </c>
    </row>
    <row r="3" spans="1:5" x14ac:dyDescent="0.35">
      <c r="A3" s="137" t="s">
        <v>1</v>
      </c>
      <c r="B3" s="138"/>
      <c r="C3" s="139"/>
      <c r="E3" t="s">
        <v>116</v>
      </c>
    </row>
    <row r="4" spans="1:5" x14ac:dyDescent="0.35">
      <c r="A4" s="41" t="s">
        <v>3</v>
      </c>
      <c r="B4" s="41">
        <f xml:space="preserve"> 9000 + 5*1000</f>
        <v>14000</v>
      </c>
      <c r="C4" s="41">
        <f>B4/20</f>
        <v>700</v>
      </c>
    </row>
    <row r="5" spans="1:5" x14ac:dyDescent="0.35">
      <c r="A5" s="41" t="s">
        <v>4</v>
      </c>
      <c r="B5" s="41">
        <v>7000</v>
      </c>
      <c r="C5" s="41">
        <f>B5/20</f>
        <v>350</v>
      </c>
    </row>
    <row r="6" spans="1:5" s="50" customFormat="1" x14ac:dyDescent="0.35">
      <c r="A6" s="137" t="s">
        <v>2</v>
      </c>
      <c r="B6" s="138"/>
      <c r="C6" s="139"/>
      <c r="E6" s="50" t="s">
        <v>117</v>
      </c>
    </row>
    <row r="7" spans="1:5" x14ac:dyDescent="0.35">
      <c r="A7" s="49" t="s">
        <v>3</v>
      </c>
      <c r="B7" s="49">
        <f xml:space="preserve"> 110% *B4</f>
        <v>15400.000000000002</v>
      </c>
      <c r="C7" s="49">
        <f>B7/20</f>
        <v>770.00000000000011</v>
      </c>
    </row>
    <row r="8" spans="1:5" x14ac:dyDescent="0.35">
      <c r="A8" s="41" t="s">
        <v>4</v>
      </c>
      <c r="B8" s="41">
        <f>B7/2</f>
        <v>7700.0000000000009</v>
      </c>
      <c r="C8" s="41">
        <f>B8/20</f>
        <v>385.00000000000006</v>
      </c>
    </row>
    <row r="10" spans="1:5" x14ac:dyDescent="0.35">
      <c r="A10" t="s">
        <v>118</v>
      </c>
    </row>
    <row r="11" spans="1:5" x14ac:dyDescent="0.35">
      <c r="A11" t="s">
        <v>119</v>
      </c>
    </row>
    <row r="12" spans="1:5" x14ac:dyDescent="0.35">
      <c r="A12" t="s">
        <v>120</v>
      </c>
    </row>
  </sheetData>
  <mergeCells count="2">
    <mergeCell ref="A3:C3"/>
    <mergeCell ref="A6:C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2"/>
  <sheetViews>
    <sheetView topLeftCell="A3" workbookViewId="0">
      <selection activeCell="C5" sqref="C5"/>
    </sheetView>
  </sheetViews>
  <sheetFormatPr defaultRowHeight="14.5" x14ac:dyDescent="0.35"/>
  <cols>
    <col min="1" max="1" width="40.08984375" customWidth="1"/>
    <col min="2" max="2" width="22.08984375" customWidth="1"/>
    <col min="3" max="3" width="161.453125" customWidth="1"/>
  </cols>
  <sheetData>
    <row r="1" spans="1:3" ht="15" thickBot="1" x14ac:dyDescent="0.4">
      <c r="A1" t="s">
        <v>10</v>
      </c>
    </row>
    <row r="2" spans="1:3" ht="37.25" customHeight="1" thickBot="1" x14ac:dyDescent="0.4">
      <c r="A2" s="52" t="s">
        <v>7</v>
      </c>
      <c r="B2" s="53" t="s">
        <v>8</v>
      </c>
      <c r="C2" s="54" t="s">
        <v>9</v>
      </c>
    </row>
    <row r="3" spans="1:3" ht="15" thickBot="1" x14ac:dyDescent="0.4">
      <c r="A3" s="55" t="s">
        <v>121</v>
      </c>
      <c r="B3" s="56" t="s">
        <v>122</v>
      </c>
      <c r="C3" s="57" t="s">
        <v>123</v>
      </c>
    </row>
    <row r="4" spans="1:3" ht="15" thickBot="1" x14ac:dyDescent="0.4">
      <c r="A4" s="58" t="s">
        <v>124</v>
      </c>
      <c r="B4" s="59" t="s">
        <v>125</v>
      </c>
      <c r="C4" s="57" t="s">
        <v>123</v>
      </c>
    </row>
    <row r="5" spans="1:3" ht="15" thickBot="1" x14ac:dyDescent="0.4">
      <c r="A5" s="55" t="s">
        <v>126</v>
      </c>
      <c r="B5" s="59" t="s">
        <v>127</v>
      </c>
      <c r="C5" s="60" t="s">
        <v>128</v>
      </c>
    </row>
    <row r="6" spans="1:3" ht="15" thickBot="1" x14ac:dyDescent="0.4">
      <c r="A6" s="55" t="s">
        <v>129</v>
      </c>
      <c r="B6" s="59" t="s">
        <v>127</v>
      </c>
      <c r="C6" s="60" t="s">
        <v>128</v>
      </c>
    </row>
    <row r="7" spans="1:3" ht="15" thickBot="1" x14ac:dyDescent="0.4">
      <c r="A7" s="55" t="s">
        <v>130</v>
      </c>
      <c r="B7" s="59" t="s">
        <v>131</v>
      </c>
      <c r="C7" s="60" t="s">
        <v>128</v>
      </c>
    </row>
    <row r="8" spans="1:3" ht="15" thickBot="1" x14ac:dyDescent="0.4">
      <c r="A8" s="61" t="s">
        <v>132</v>
      </c>
      <c r="B8" s="59" t="s">
        <v>133</v>
      </c>
      <c r="C8" s="62" t="s">
        <v>128</v>
      </c>
    </row>
    <row r="9" spans="1:3" ht="15" thickBot="1" x14ac:dyDescent="0.4">
      <c r="A9" s="63" t="s">
        <v>134</v>
      </c>
      <c r="B9" s="59" t="s">
        <v>135</v>
      </c>
      <c r="C9" s="60" t="s">
        <v>136</v>
      </c>
    </row>
    <row r="10" spans="1:3" ht="15" thickBot="1" x14ac:dyDescent="0.4">
      <c r="A10" s="63" t="s">
        <v>137</v>
      </c>
      <c r="B10" s="59" t="s">
        <v>135</v>
      </c>
      <c r="C10" s="60" t="s">
        <v>128</v>
      </c>
    </row>
    <row r="11" spans="1:3" ht="15" thickBot="1" x14ac:dyDescent="0.4">
      <c r="A11" s="64" t="s">
        <v>138</v>
      </c>
      <c r="B11" s="65"/>
      <c r="C11" s="66"/>
    </row>
    <row r="13" spans="1:3" ht="15" thickBot="1" x14ac:dyDescent="0.4">
      <c r="A13" s="112" t="s">
        <v>139</v>
      </c>
      <c r="B13" s="7"/>
      <c r="C13" s="7"/>
    </row>
    <row r="14" spans="1:3" ht="15" thickBot="1" x14ac:dyDescent="0.4">
      <c r="A14" s="113" t="s">
        <v>140</v>
      </c>
      <c r="B14" s="113" t="s">
        <v>141</v>
      </c>
      <c r="C14" s="114" t="s">
        <v>9</v>
      </c>
    </row>
    <row r="15" spans="1:3" ht="15" thickBot="1" x14ac:dyDescent="0.4">
      <c r="A15" s="115" t="s">
        <v>142</v>
      </c>
      <c r="B15" s="116" t="s">
        <v>143</v>
      </c>
      <c r="C15" s="117" t="s">
        <v>144</v>
      </c>
    </row>
    <row r="16" spans="1:3" ht="15" thickBot="1" x14ac:dyDescent="0.4">
      <c r="A16" s="118" t="s">
        <v>145</v>
      </c>
      <c r="B16" s="64" t="s">
        <v>146</v>
      </c>
      <c r="C16" s="119" t="s">
        <v>144</v>
      </c>
    </row>
    <row r="17" spans="1:3" ht="15" thickBot="1" x14ac:dyDescent="0.4">
      <c r="A17" s="118" t="s">
        <v>147</v>
      </c>
      <c r="B17" s="64" t="s">
        <v>148</v>
      </c>
      <c r="C17" s="119" t="s">
        <v>149</v>
      </c>
    </row>
    <row r="18" spans="1:3" ht="15" thickBot="1" x14ac:dyDescent="0.4">
      <c r="A18" s="118" t="s">
        <v>150</v>
      </c>
      <c r="B18" s="64" t="s">
        <v>151</v>
      </c>
      <c r="C18" s="119" t="s">
        <v>149</v>
      </c>
    </row>
    <row r="19" spans="1:3" ht="15" thickBot="1" x14ac:dyDescent="0.4">
      <c r="A19" s="120" t="s">
        <v>152</v>
      </c>
      <c r="B19" s="64" t="s">
        <v>153</v>
      </c>
      <c r="C19" s="119" t="s">
        <v>154</v>
      </c>
    </row>
    <row r="20" spans="1:3" ht="15" thickBot="1" x14ac:dyDescent="0.4">
      <c r="A20" s="121" t="s">
        <v>155</v>
      </c>
      <c r="B20" s="122" t="s">
        <v>156</v>
      </c>
      <c r="C20" s="119" t="s">
        <v>157</v>
      </c>
    </row>
    <row r="22" spans="1:3" ht="43.5" x14ac:dyDescent="0.35">
      <c r="C22" s="51" t="s">
        <v>158</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1"/>
  <sheetViews>
    <sheetView workbookViewId="0">
      <selection activeCell="A11" sqref="A11"/>
    </sheetView>
  </sheetViews>
  <sheetFormatPr defaultRowHeight="14.5" x14ac:dyDescent="0.35"/>
  <sheetData>
    <row r="1" spans="1:1" x14ac:dyDescent="0.35">
      <c r="A1" s="11" t="s">
        <v>11</v>
      </c>
    </row>
    <row r="3" spans="1:1" x14ac:dyDescent="0.35">
      <c r="A3" s="67" t="s">
        <v>159</v>
      </c>
    </row>
    <row r="4" spans="1:1" x14ac:dyDescent="0.35">
      <c r="A4" s="68" t="s">
        <v>160</v>
      </c>
    </row>
    <row r="5" spans="1:1" x14ac:dyDescent="0.35">
      <c r="A5" s="69" t="s">
        <v>161</v>
      </c>
    </row>
    <row r="6" spans="1:1" x14ac:dyDescent="0.35">
      <c r="A6" s="70" t="s">
        <v>162</v>
      </c>
    </row>
    <row r="7" spans="1:1" x14ac:dyDescent="0.35">
      <c r="A7" s="71" t="s">
        <v>163</v>
      </c>
    </row>
    <row r="8" spans="1:1" x14ac:dyDescent="0.35">
      <c r="A8" s="72" t="s">
        <v>164</v>
      </c>
    </row>
    <row r="9" spans="1:1" x14ac:dyDescent="0.35">
      <c r="A9" s="73" t="s">
        <v>165</v>
      </c>
    </row>
    <row r="11" spans="1:1" x14ac:dyDescent="0.35">
      <c r="A11" s="74" t="s">
        <v>166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75"/>
  <sheetViews>
    <sheetView topLeftCell="A28" zoomScaleNormal="100" workbookViewId="0">
      <selection activeCell="J73" sqref="J73"/>
    </sheetView>
  </sheetViews>
  <sheetFormatPr defaultRowHeight="14.5" x14ac:dyDescent="0.35"/>
  <cols>
    <col min="1" max="1" width="29.36328125" customWidth="1"/>
    <col min="2" max="2" width="18.81640625" customWidth="1"/>
    <col min="3" max="3" width="22.36328125" customWidth="1"/>
    <col min="4" max="4" width="21.54296875" customWidth="1"/>
    <col min="5" max="5" width="13.6328125" customWidth="1"/>
    <col min="6" max="6" width="22.26953125" customWidth="1"/>
    <col min="7" max="7" width="11.90625" customWidth="1"/>
    <col min="8" max="8" width="14.7265625" customWidth="1"/>
    <col min="9" max="9" width="15.08984375" customWidth="1"/>
    <col min="10" max="10" width="19.90625" customWidth="1"/>
  </cols>
  <sheetData>
    <row r="1" spans="1:4" ht="15" thickBot="1" x14ac:dyDescent="0.4">
      <c r="A1" t="s">
        <v>12</v>
      </c>
    </row>
    <row r="2" spans="1:4" x14ac:dyDescent="0.35">
      <c r="A2" s="12" t="s">
        <v>13</v>
      </c>
      <c r="B2" s="12" t="s">
        <v>14</v>
      </c>
      <c r="C2" s="12" t="s">
        <v>15</v>
      </c>
      <c r="D2" s="12"/>
    </row>
    <row r="3" spans="1:4" ht="15" thickBot="1" x14ac:dyDescent="0.4">
      <c r="A3" s="13"/>
      <c r="B3" s="14"/>
      <c r="C3" s="14" t="s">
        <v>18</v>
      </c>
      <c r="D3" s="14" t="s">
        <v>19</v>
      </c>
    </row>
    <row r="4" spans="1:4" ht="17" thickBot="1" x14ac:dyDescent="0.4">
      <c r="A4" s="8" t="s">
        <v>16</v>
      </c>
      <c r="B4" s="9" t="s">
        <v>266</v>
      </c>
      <c r="C4" s="9" t="s">
        <v>267</v>
      </c>
      <c r="D4" s="10" t="s">
        <v>268</v>
      </c>
    </row>
    <row r="5" spans="1:4" ht="17" thickBot="1" x14ac:dyDescent="0.4">
      <c r="A5" s="8" t="s">
        <v>21</v>
      </c>
      <c r="B5" s="9" t="s">
        <v>269</v>
      </c>
      <c r="C5" s="9" t="s">
        <v>270</v>
      </c>
      <c r="D5" s="10" t="s">
        <v>271</v>
      </c>
    </row>
    <row r="6" spans="1:4" ht="17" thickBot="1" x14ac:dyDescent="0.4">
      <c r="A6" s="8" t="s">
        <v>17</v>
      </c>
      <c r="B6" s="9" t="s">
        <v>296</v>
      </c>
      <c r="C6" s="9" t="s">
        <v>297</v>
      </c>
      <c r="D6" s="10" t="s">
        <v>298</v>
      </c>
    </row>
    <row r="7" spans="1:4" ht="18" thickBot="1" x14ac:dyDescent="0.5">
      <c r="A7" s="8" t="s">
        <v>20</v>
      </c>
      <c r="B7" s="9" t="s">
        <v>299</v>
      </c>
      <c r="C7" s="9" t="s">
        <v>300</v>
      </c>
      <c r="D7" s="10" t="s">
        <v>301</v>
      </c>
    </row>
    <row r="9" spans="1:4" x14ac:dyDescent="0.35">
      <c r="A9" t="s">
        <v>174</v>
      </c>
      <c r="B9">
        <v>385</v>
      </c>
      <c r="C9" t="s">
        <v>169</v>
      </c>
    </row>
    <row r="10" spans="1:4" x14ac:dyDescent="0.35">
      <c r="A10" t="s">
        <v>167</v>
      </c>
      <c r="B10" s="76">
        <v>6.3</v>
      </c>
      <c r="C10" t="s">
        <v>168</v>
      </c>
    </row>
    <row r="11" spans="1:4" x14ac:dyDescent="0.35">
      <c r="A11" t="s">
        <v>173</v>
      </c>
      <c r="B11">
        <f xml:space="preserve"> 10*B10</f>
        <v>63</v>
      </c>
      <c r="C11" t="s">
        <v>170</v>
      </c>
      <c r="D11" t="s">
        <v>171</v>
      </c>
    </row>
    <row r="12" spans="1:4" x14ac:dyDescent="0.35">
      <c r="A12" s="47" t="s">
        <v>173</v>
      </c>
      <c r="B12" s="47">
        <f xml:space="preserve"> B11*(10^-3)/(10^-3)</f>
        <v>63</v>
      </c>
      <c r="C12" s="47" t="s">
        <v>172</v>
      </c>
    </row>
    <row r="13" spans="1:4" x14ac:dyDescent="0.35">
      <c r="A13" t="s">
        <v>175</v>
      </c>
      <c r="B13">
        <f>B12*B9</f>
        <v>24255</v>
      </c>
      <c r="C13" t="s">
        <v>176</v>
      </c>
      <c r="D13" s="75"/>
    </row>
    <row r="14" spans="1:4" x14ac:dyDescent="0.35">
      <c r="A14" s="47" t="s">
        <v>183</v>
      </c>
      <c r="B14" s="84">
        <f>B13*10^-3</f>
        <v>24.254999999999999</v>
      </c>
      <c r="C14" s="47" t="s">
        <v>177</v>
      </c>
      <c r="D14" s="75"/>
    </row>
    <row r="15" spans="1:4" x14ac:dyDescent="0.35">
      <c r="A15" s="47" t="s">
        <v>184</v>
      </c>
      <c r="B15" s="84">
        <f>B14*20</f>
        <v>485.09999999999997</v>
      </c>
      <c r="C15" s="47" t="s">
        <v>178</v>
      </c>
      <c r="D15" s="75"/>
    </row>
    <row r="16" spans="1:4" x14ac:dyDescent="0.35">
      <c r="A16" s="47" t="s">
        <v>181</v>
      </c>
      <c r="B16" s="84">
        <f>(B12/1560)/(10^-3)</f>
        <v>40.384615384615387</v>
      </c>
      <c r="C16" s="47" t="s">
        <v>182</v>
      </c>
      <c r="D16" t="s">
        <v>185</v>
      </c>
    </row>
    <row r="17" spans="1:4" x14ac:dyDescent="0.35">
      <c r="A17" s="47" t="s">
        <v>186</v>
      </c>
      <c r="B17" s="84">
        <f>B16*B9*10^-3</f>
        <v>15.548076923076923</v>
      </c>
      <c r="C17" s="47" t="s">
        <v>263</v>
      </c>
    </row>
    <row r="18" spans="1:4" x14ac:dyDescent="0.35">
      <c r="A18" s="47" t="s">
        <v>264</v>
      </c>
      <c r="B18" s="84">
        <f>B17*20</f>
        <v>310.96153846153845</v>
      </c>
      <c r="C18" s="47" t="s">
        <v>265</v>
      </c>
    </row>
    <row r="21" spans="1:4" x14ac:dyDescent="0.35">
      <c r="A21" t="s">
        <v>179</v>
      </c>
      <c r="B21">
        <f>B12*45%</f>
        <v>28.35</v>
      </c>
      <c r="C21" t="s">
        <v>172</v>
      </c>
      <c r="D21" t="s">
        <v>180</v>
      </c>
    </row>
    <row r="22" spans="1:4" x14ac:dyDescent="0.35">
      <c r="A22" t="s">
        <v>272</v>
      </c>
    </row>
    <row r="23" spans="1:4" ht="16.5" x14ac:dyDescent="0.45">
      <c r="A23" t="s">
        <v>275</v>
      </c>
      <c r="B23">
        <v>399.88</v>
      </c>
    </row>
    <row r="24" spans="1:4" ht="16.5" x14ac:dyDescent="0.45">
      <c r="A24" t="s">
        <v>276</v>
      </c>
      <c r="B24">
        <v>74.096000000000004</v>
      </c>
    </row>
    <row r="25" spans="1:4" ht="16.5" x14ac:dyDescent="0.45">
      <c r="A25" t="s">
        <v>277</v>
      </c>
      <c r="B25">
        <v>106.874</v>
      </c>
    </row>
    <row r="26" spans="1:4" ht="16.5" x14ac:dyDescent="0.45">
      <c r="A26" t="s">
        <v>278</v>
      </c>
      <c r="B26">
        <v>136.13999999999999</v>
      </c>
    </row>
    <row r="28" spans="1:4" x14ac:dyDescent="0.35">
      <c r="A28" t="s">
        <v>279</v>
      </c>
    </row>
    <row r="29" spans="1:4" x14ac:dyDescent="0.35">
      <c r="A29" t="s">
        <v>273</v>
      </c>
      <c r="B29" s="85">
        <f>B21/B23</f>
        <v>7.0896268880664207E-2</v>
      </c>
      <c r="C29" t="s">
        <v>280</v>
      </c>
    </row>
    <row r="30" spans="1:4" x14ac:dyDescent="0.35">
      <c r="A30" t="s">
        <v>274</v>
      </c>
      <c r="B30" s="76">
        <f>3*B29</f>
        <v>0.21268880664199263</v>
      </c>
      <c r="C30" t="s">
        <v>280</v>
      </c>
      <c r="D30" t="s">
        <v>281</v>
      </c>
    </row>
    <row r="32" spans="1:4" x14ac:dyDescent="0.35">
      <c r="A32" s="47" t="s">
        <v>282</v>
      </c>
      <c r="B32" s="84">
        <f>B30*B24</f>
        <v>15.759389816945086</v>
      </c>
      <c r="C32" s="47" t="s">
        <v>172</v>
      </c>
    </row>
    <row r="33" spans="1:4" x14ac:dyDescent="0.35">
      <c r="A33" s="47" t="s">
        <v>283</v>
      </c>
      <c r="B33" s="84">
        <f>B32*B9*10^-3</f>
        <v>6.0673650795238583</v>
      </c>
      <c r="C33" s="47" t="s">
        <v>177</v>
      </c>
    </row>
    <row r="34" spans="1:4" x14ac:dyDescent="0.35">
      <c r="A34" s="47" t="s">
        <v>284</v>
      </c>
      <c r="B34" s="84">
        <f>B33*20</f>
        <v>121.34730159047717</v>
      </c>
      <c r="C34" s="47" t="s">
        <v>178</v>
      </c>
    </row>
    <row r="36" spans="1:4" x14ac:dyDescent="0.35">
      <c r="A36" s="47" t="s">
        <v>285</v>
      </c>
      <c r="B36" s="84">
        <f>B32/1.1</f>
        <v>14.326718015404623</v>
      </c>
      <c r="C36" s="47" t="s">
        <v>286</v>
      </c>
      <c r="D36" t="s">
        <v>287</v>
      </c>
    </row>
    <row r="37" spans="1:4" x14ac:dyDescent="0.35">
      <c r="A37" s="47" t="s">
        <v>288</v>
      </c>
      <c r="B37" s="84">
        <f>B36*B9*10^-3</f>
        <v>5.5157864359307798</v>
      </c>
      <c r="C37" s="47" t="s">
        <v>169</v>
      </c>
    </row>
    <row r="38" spans="1:4" x14ac:dyDescent="0.35">
      <c r="A38" s="47" t="s">
        <v>289</v>
      </c>
      <c r="B38" s="84">
        <f xml:space="preserve"> B37*20</f>
        <v>110.31572871861559</v>
      </c>
      <c r="C38" s="47" t="s">
        <v>290</v>
      </c>
    </row>
    <row r="40" spans="1:4" x14ac:dyDescent="0.35">
      <c r="A40" s="86" t="s">
        <v>291</v>
      </c>
    </row>
    <row r="41" spans="1:4" x14ac:dyDescent="0.35">
      <c r="A41" s="7" t="s">
        <v>292</v>
      </c>
      <c r="B41" s="76">
        <f>B12*2*42.5%</f>
        <v>53.55</v>
      </c>
      <c r="C41" s="7" t="s">
        <v>172</v>
      </c>
    </row>
    <row r="42" spans="1:4" x14ac:dyDescent="0.35">
      <c r="A42" t="s">
        <v>293</v>
      </c>
      <c r="B42" s="76">
        <f>((B41/B23)*3)*B24</f>
        <v>29.767736320896272</v>
      </c>
      <c r="C42" s="7" t="s">
        <v>172</v>
      </c>
    </row>
    <row r="43" spans="1:4" x14ac:dyDescent="0.35">
      <c r="A43" t="s">
        <v>294</v>
      </c>
      <c r="B43" s="76">
        <f>(B42/1.1)</f>
        <v>27.061578473542063</v>
      </c>
      <c r="C43" s="7" t="s">
        <v>286</v>
      </c>
    </row>
    <row r="44" spans="1:4" x14ac:dyDescent="0.35">
      <c r="A44" t="s">
        <v>295</v>
      </c>
      <c r="B44" s="76">
        <f>B43*B9*10^-3</f>
        <v>10.418707712313696</v>
      </c>
      <c r="C44" s="7" t="s">
        <v>169</v>
      </c>
    </row>
    <row r="47" spans="1:4" x14ac:dyDescent="0.35">
      <c r="A47" s="47" t="s">
        <v>577</v>
      </c>
    </row>
    <row r="48" spans="1:4" x14ac:dyDescent="0.35">
      <c r="A48" t="s">
        <v>333</v>
      </c>
      <c r="B48">
        <v>4</v>
      </c>
      <c r="C48" t="s">
        <v>334</v>
      </c>
    </row>
    <row r="49" spans="1:9" x14ac:dyDescent="0.35">
      <c r="A49" t="s">
        <v>578</v>
      </c>
      <c r="B49">
        <v>1.5</v>
      </c>
    </row>
    <row r="50" spans="1:9" x14ac:dyDescent="0.35">
      <c r="A50" t="s">
        <v>579</v>
      </c>
      <c r="B50">
        <v>1</v>
      </c>
      <c r="C50" t="s">
        <v>304</v>
      </c>
    </row>
    <row r="51" spans="1:9" x14ac:dyDescent="0.35">
      <c r="A51" t="s">
        <v>583</v>
      </c>
      <c r="B51">
        <v>1.7</v>
      </c>
      <c r="C51" t="s">
        <v>261</v>
      </c>
    </row>
    <row r="52" spans="1:9" x14ac:dyDescent="0.35">
      <c r="A52" t="s">
        <v>584</v>
      </c>
      <c r="B52">
        <v>2</v>
      </c>
      <c r="C52" t="s">
        <v>261</v>
      </c>
    </row>
    <row r="54" spans="1:9" x14ac:dyDescent="0.35">
      <c r="A54" s="86" t="s">
        <v>585</v>
      </c>
      <c r="F54" s="86" t="s">
        <v>587</v>
      </c>
    </row>
    <row r="55" spans="1:9" x14ac:dyDescent="0.35">
      <c r="A55" t="s">
        <v>586</v>
      </c>
      <c r="B55" s="85">
        <f>B9/(1.7/(1/3600))</f>
        <v>6.2908496732026142E-2</v>
      </c>
      <c r="C55" t="s">
        <v>204</v>
      </c>
      <c r="F55" t="s">
        <v>586</v>
      </c>
      <c r="G55" s="85">
        <f>B9/(B52/(1/3600))</f>
        <v>5.347222222222222E-2</v>
      </c>
      <c r="H55" t="s">
        <v>204</v>
      </c>
    </row>
    <row r="56" spans="1:9" x14ac:dyDescent="0.35">
      <c r="A56" t="s">
        <v>588</v>
      </c>
      <c r="B56" s="76">
        <f>SQRT(4*B55/PI())</f>
        <v>0.28301516874375909</v>
      </c>
      <c r="C56" t="s">
        <v>202</v>
      </c>
      <c r="F56" t="s">
        <v>560</v>
      </c>
      <c r="G56" s="76">
        <f>SQRT(4*G55/PI())</f>
        <v>0.26092709303213352</v>
      </c>
      <c r="H56" t="s">
        <v>202</v>
      </c>
    </row>
    <row r="57" spans="1:9" x14ac:dyDescent="0.35">
      <c r="B57" s="125">
        <f>B56*10^3</f>
        <v>283.01516874375909</v>
      </c>
      <c r="C57" t="s">
        <v>589</v>
      </c>
      <c r="G57" s="125">
        <f>G56*10^3</f>
        <v>260.92709303213354</v>
      </c>
      <c r="H57" t="s">
        <v>589</v>
      </c>
    </row>
    <row r="58" spans="1:9" x14ac:dyDescent="0.35">
      <c r="A58" t="s">
        <v>590</v>
      </c>
      <c r="B58" s="126">
        <v>300</v>
      </c>
      <c r="C58" t="s">
        <v>589</v>
      </c>
      <c r="F58" t="s">
        <v>590</v>
      </c>
      <c r="G58">
        <v>250</v>
      </c>
      <c r="H58" t="s">
        <v>589</v>
      </c>
    </row>
    <row r="59" spans="1:9" x14ac:dyDescent="0.35">
      <c r="A59" t="s">
        <v>591</v>
      </c>
      <c r="B59">
        <v>6</v>
      </c>
      <c r="F59" t="s">
        <v>591</v>
      </c>
      <c r="G59">
        <v>6</v>
      </c>
      <c r="I59" t="s">
        <v>592</v>
      </c>
    </row>
    <row r="60" spans="1:9" x14ac:dyDescent="0.35">
      <c r="A60" t="s">
        <v>593</v>
      </c>
      <c r="B60">
        <v>2.9</v>
      </c>
      <c r="C60" t="s">
        <v>580</v>
      </c>
      <c r="F60" t="s">
        <v>593</v>
      </c>
      <c r="G60">
        <f>6</f>
        <v>6</v>
      </c>
      <c r="H60" t="s">
        <v>580</v>
      </c>
    </row>
    <row r="61" spans="1:9" x14ac:dyDescent="0.35">
      <c r="A61" t="s">
        <v>594</v>
      </c>
      <c r="B61">
        <f>B59*B60</f>
        <v>17.399999999999999</v>
      </c>
      <c r="C61" t="s">
        <v>326</v>
      </c>
      <c r="F61" t="s">
        <v>594</v>
      </c>
      <c r="G61">
        <f>G60*G59</f>
        <v>36</v>
      </c>
      <c r="H61" t="s">
        <v>326</v>
      </c>
    </row>
    <row r="62" spans="1:9" x14ac:dyDescent="0.35">
      <c r="A62" t="s">
        <v>206</v>
      </c>
      <c r="B62">
        <f>B49*B58*B59*10^-3</f>
        <v>2.7</v>
      </c>
      <c r="C62" t="s">
        <v>202</v>
      </c>
      <c r="F62" t="s">
        <v>206</v>
      </c>
      <c r="G62" s="76">
        <f>G59*B49*G58*10^-3</f>
        <v>2.25</v>
      </c>
      <c r="H62" t="s">
        <v>202</v>
      </c>
    </row>
    <row r="63" spans="1:9" x14ac:dyDescent="0.35">
      <c r="A63" t="s">
        <v>595</v>
      </c>
      <c r="B63" s="76">
        <f>((PI()*B62*(B58*10^-3)^2)/4)</f>
        <v>0.19085175370557991</v>
      </c>
      <c r="C63" t="s">
        <v>196</v>
      </c>
      <c r="F63" t="s">
        <v>595</v>
      </c>
      <c r="G63" s="76">
        <f>(PI()*((G58*10^-3)^2)/4)*G62</f>
        <v>0.11044661672776616</v>
      </c>
      <c r="H63" t="s">
        <v>196</v>
      </c>
    </row>
    <row r="64" spans="1:9" x14ac:dyDescent="0.35">
      <c r="A64" t="s">
        <v>190</v>
      </c>
      <c r="B64" s="124">
        <f>B63/B9</f>
        <v>4.9571884079371408E-4</v>
      </c>
      <c r="C64" t="s">
        <v>192</v>
      </c>
      <c r="F64" t="s">
        <v>190</v>
      </c>
      <c r="G64" s="124">
        <f>G63/B9</f>
        <v>2.8687432916302898E-4</v>
      </c>
      <c r="H64" t="s">
        <v>192</v>
      </c>
    </row>
    <row r="65" spans="1:9" x14ac:dyDescent="0.35">
      <c r="B65" s="76">
        <f>B64*3600</f>
        <v>1.7845878268573707</v>
      </c>
      <c r="C65" t="s">
        <v>581</v>
      </c>
      <c r="G65" s="76">
        <f>G64*3600</f>
        <v>1.0327475849869043</v>
      </c>
      <c r="H65" t="s">
        <v>581</v>
      </c>
    </row>
    <row r="66" spans="1:9" x14ac:dyDescent="0.35">
      <c r="A66" t="s">
        <v>596</v>
      </c>
      <c r="B66">
        <v>9.8070000000000004</v>
      </c>
      <c r="C66" t="s">
        <v>597</v>
      </c>
      <c r="F66" s="74" t="s">
        <v>596</v>
      </c>
      <c r="G66" s="74">
        <v>9.8070000000000004</v>
      </c>
      <c r="H66" s="74" t="s">
        <v>597</v>
      </c>
      <c r="I66" s="74" t="s">
        <v>598</v>
      </c>
    </row>
    <row r="67" spans="1:9" x14ac:dyDescent="0.35">
      <c r="A67" s="74" t="s">
        <v>599</v>
      </c>
      <c r="B67" s="127">
        <f>1.567*10^-3</f>
        <v>1.567E-3</v>
      </c>
      <c r="C67" s="74" t="s">
        <v>210</v>
      </c>
      <c r="D67" s="74"/>
      <c r="F67" t="s">
        <v>599</v>
      </c>
      <c r="G67" s="127">
        <f>1.567*10^-3</f>
        <v>1.567E-3</v>
      </c>
      <c r="H67" t="s">
        <v>210</v>
      </c>
      <c r="I67" s="74" t="s">
        <v>598</v>
      </c>
    </row>
    <row r="68" spans="1:9" x14ac:dyDescent="0.35">
      <c r="A68" t="s">
        <v>600</v>
      </c>
      <c r="B68" s="76">
        <f>((B66*B9)/3600)*0.102*B61</f>
        <v>1.861417635</v>
      </c>
      <c r="C68" t="s">
        <v>601</v>
      </c>
      <c r="F68" t="s">
        <v>600</v>
      </c>
      <c r="G68" s="76">
        <f>((G66*B9)/3600)*0.102*G61</f>
        <v>3.8512089</v>
      </c>
      <c r="H68" t="s">
        <v>601</v>
      </c>
      <c r="I68" s="74" t="s">
        <v>602</v>
      </c>
    </row>
    <row r="69" spans="1:9" x14ac:dyDescent="0.35">
      <c r="I69" t="s">
        <v>604</v>
      </c>
    </row>
    <row r="70" spans="1:9" x14ac:dyDescent="0.35">
      <c r="A70" t="s">
        <v>603</v>
      </c>
      <c r="B70" s="76">
        <f>((B68*10^3)/(B67*B63))^0.5</f>
        <v>2494.82068568867</v>
      </c>
      <c r="C70" t="s">
        <v>605</v>
      </c>
      <c r="F70" t="s">
        <v>603</v>
      </c>
      <c r="G70" s="76">
        <f>((G68*10^3)/(G67*G63))^0.5</f>
        <v>4717.2384700189386</v>
      </c>
      <c r="H70" t="s">
        <v>605</v>
      </c>
      <c r="I70" t="s">
        <v>215</v>
      </c>
    </row>
    <row r="71" spans="1:9" x14ac:dyDescent="0.35">
      <c r="A71" t="s">
        <v>606</v>
      </c>
      <c r="B71" s="76">
        <f>B70*B65</f>
        <v>4452.2266258719592</v>
      </c>
      <c r="F71" t="s">
        <v>606</v>
      </c>
      <c r="G71" s="76">
        <f>G70*G65</f>
        <v>4871.716637719378</v>
      </c>
    </row>
    <row r="73" spans="1:9" x14ac:dyDescent="0.35">
      <c r="A73" t="s">
        <v>607</v>
      </c>
    </row>
    <row r="74" spans="1:9" x14ac:dyDescent="0.35">
      <c r="A74" t="s">
        <v>608</v>
      </c>
    </row>
    <row r="75" spans="1:9" x14ac:dyDescent="0.35">
      <c r="A75" t="s">
        <v>609</v>
      </c>
    </row>
  </sheetData>
  <pageMargins left="0.7" right="0.7" top="0.75" bottom="0.75" header="0.3" footer="0.3"/>
  <pageSetup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68"/>
  <sheetViews>
    <sheetView topLeftCell="A48" zoomScale="80" zoomScaleNormal="80" workbookViewId="0">
      <selection activeCell="D45" sqref="D45"/>
    </sheetView>
  </sheetViews>
  <sheetFormatPr defaultRowHeight="14.5" x14ac:dyDescent="0.35"/>
  <cols>
    <col min="1" max="1" width="45.08984375" customWidth="1"/>
    <col min="2" max="2" width="16.54296875" customWidth="1"/>
    <col min="3" max="3" width="19.81640625" customWidth="1"/>
  </cols>
  <sheetData>
    <row r="1" spans="1:5" ht="15" thickBot="1" x14ac:dyDescent="0.4">
      <c r="A1" s="16" t="s">
        <v>22</v>
      </c>
      <c r="B1" s="7"/>
      <c r="C1" s="7"/>
    </row>
    <row r="2" spans="1:5" ht="15" thickBot="1" x14ac:dyDescent="0.4">
      <c r="A2" s="17"/>
      <c r="B2" s="17" t="s">
        <v>23</v>
      </c>
      <c r="C2" s="17" t="s">
        <v>24</v>
      </c>
    </row>
    <row r="3" spans="1:5" ht="28.25" customHeight="1" thickBot="1" x14ac:dyDescent="0.4">
      <c r="A3" s="21" t="s">
        <v>30</v>
      </c>
      <c r="B3" s="22">
        <v>770</v>
      </c>
      <c r="C3" s="23">
        <v>385</v>
      </c>
    </row>
    <row r="4" spans="1:5" ht="24" customHeight="1" thickBot="1" x14ac:dyDescent="0.4">
      <c r="A4" s="21" t="s">
        <v>25</v>
      </c>
      <c r="B4" s="22">
        <v>35</v>
      </c>
      <c r="C4" s="23">
        <v>35</v>
      </c>
    </row>
    <row r="5" spans="1:5" ht="23" customHeight="1" thickBot="1" x14ac:dyDescent="0.4">
      <c r="A5" s="21" t="s">
        <v>31</v>
      </c>
      <c r="B5" s="22">
        <f>C5*2</f>
        <v>449.16</v>
      </c>
      <c r="C5" s="23">
        <v>224.58</v>
      </c>
    </row>
    <row r="6" spans="1:5" ht="15.65" customHeight="1" thickBot="1" x14ac:dyDescent="0.4">
      <c r="A6" s="21" t="s">
        <v>26</v>
      </c>
      <c r="B6" s="22">
        <v>2</v>
      </c>
      <c r="C6" s="23">
        <v>1</v>
      </c>
    </row>
    <row r="7" spans="1:5" ht="24.65" customHeight="1" thickBot="1" x14ac:dyDescent="0.4">
      <c r="A7" s="21" t="s">
        <v>106</v>
      </c>
      <c r="B7" s="22">
        <v>449.16</v>
      </c>
      <c r="C7" s="23">
        <v>224.58</v>
      </c>
    </row>
    <row r="8" spans="1:5" ht="32.25" customHeight="1" thickBot="1" x14ac:dyDescent="0.4">
      <c r="A8" s="21" t="s">
        <v>27</v>
      </c>
      <c r="B8" s="23" t="s">
        <v>262</v>
      </c>
      <c r="C8" s="23" t="s">
        <v>262</v>
      </c>
      <c r="E8" t="s">
        <v>302</v>
      </c>
    </row>
    <row r="9" spans="1:5" ht="26.4" customHeight="1" thickBot="1" x14ac:dyDescent="0.4">
      <c r="A9" s="21" t="s">
        <v>28</v>
      </c>
      <c r="B9" s="23" t="s">
        <v>187</v>
      </c>
      <c r="C9" s="23" t="s">
        <v>187</v>
      </c>
    </row>
    <row r="10" spans="1:5" ht="18" customHeight="1" thickBot="1" x14ac:dyDescent="0.4">
      <c r="A10" s="21" t="s">
        <v>103</v>
      </c>
      <c r="B10" s="23" t="s">
        <v>308</v>
      </c>
      <c r="C10" s="23" t="s">
        <v>309</v>
      </c>
    </row>
    <row r="11" spans="1:5" ht="22.25" customHeight="1" thickBot="1" x14ac:dyDescent="0.4">
      <c r="A11" s="21" t="s">
        <v>29</v>
      </c>
      <c r="B11" s="23" t="s">
        <v>310</v>
      </c>
      <c r="C11" s="23" t="s">
        <v>310</v>
      </c>
    </row>
    <row r="14" spans="1:5" x14ac:dyDescent="0.35">
      <c r="A14" s="77" t="s">
        <v>199</v>
      </c>
      <c r="B14">
        <v>770</v>
      </c>
      <c r="C14" t="s">
        <v>169</v>
      </c>
      <c r="E14" t="s">
        <v>188</v>
      </c>
    </row>
    <row r="15" spans="1:5" x14ac:dyDescent="0.35">
      <c r="B15">
        <v>385</v>
      </c>
      <c r="C15" t="s">
        <v>169</v>
      </c>
      <c r="E15" t="s">
        <v>189</v>
      </c>
    </row>
    <row r="16" spans="1:5" x14ac:dyDescent="0.35">
      <c r="A16" t="s">
        <v>190</v>
      </c>
      <c r="B16">
        <v>35</v>
      </c>
      <c r="C16" t="s">
        <v>191</v>
      </c>
    </row>
    <row r="17" spans="1:5" x14ac:dyDescent="0.35">
      <c r="B17" s="76">
        <f>B16/60</f>
        <v>0.58333333333333337</v>
      </c>
      <c r="C17" t="s">
        <v>192</v>
      </c>
    </row>
    <row r="18" spans="1:5" x14ac:dyDescent="0.35">
      <c r="A18" t="s">
        <v>194</v>
      </c>
    </row>
    <row r="19" spans="1:5" x14ac:dyDescent="0.35">
      <c r="A19" t="s">
        <v>193</v>
      </c>
      <c r="B19">
        <f>B15</f>
        <v>385</v>
      </c>
      <c r="C19" t="s">
        <v>169</v>
      </c>
    </row>
    <row r="20" spans="1:5" x14ac:dyDescent="0.35">
      <c r="A20" t="s">
        <v>195</v>
      </c>
      <c r="B20" s="76">
        <f>B19*B17</f>
        <v>224.58333333333334</v>
      </c>
      <c r="C20" t="s">
        <v>196</v>
      </c>
      <c r="E20" t="s">
        <v>216</v>
      </c>
    </row>
    <row r="21" spans="1:5" x14ac:dyDescent="0.35">
      <c r="A21" t="s">
        <v>197</v>
      </c>
    </row>
    <row r="22" spans="1:5" x14ac:dyDescent="0.35">
      <c r="A22" t="s">
        <v>198</v>
      </c>
      <c r="B22" s="76">
        <f>B20/3</f>
        <v>74.861111111111114</v>
      </c>
      <c r="C22" t="s">
        <v>196</v>
      </c>
    </row>
    <row r="23" spans="1:5" x14ac:dyDescent="0.35">
      <c r="A23" t="s">
        <v>200</v>
      </c>
    </row>
    <row r="24" spans="1:5" x14ac:dyDescent="0.35">
      <c r="A24" s="47" t="s">
        <v>201</v>
      </c>
      <c r="B24" s="47">
        <v>4</v>
      </c>
      <c r="C24" s="47" t="s">
        <v>202</v>
      </c>
    </row>
    <row r="25" spans="1:5" x14ac:dyDescent="0.35">
      <c r="A25" t="s">
        <v>203</v>
      </c>
      <c r="B25" s="76">
        <f>B22/B24</f>
        <v>18.715277777777779</v>
      </c>
      <c r="C25" t="s">
        <v>204</v>
      </c>
    </row>
    <row r="26" spans="1:5" x14ac:dyDescent="0.35">
      <c r="A26" t="s">
        <v>205</v>
      </c>
    </row>
    <row r="27" spans="1:5" x14ac:dyDescent="0.35">
      <c r="A27" s="47" t="s">
        <v>206</v>
      </c>
      <c r="B27" s="140">
        <f>SQRT(B25)</f>
        <v>4.3261157841391364</v>
      </c>
      <c r="C27" s="141" t="s">
        <v>202</v>
      </c>
    </row>
    <row r="28" spans="1:5" x14ac:dyDescent="0.35">
      <c r="A28" s="47" t="s">
        <v>207</v>
      </c>
      <c r="B28" s="140"/>
      <c r="C28" s="141"/>
    </row>
    <row r="30" spans="1:5" x14ac:dyDescent="0.35">
      <c r="A30" s="47" t="s">
        <v>208</v>
      </c>
    </row>
    <row r="31" spans="1:5" ht="16.5" x14ac:dyDescent="0.35">
      <c r="A31" t="s">
        <v>209</v>
      </c>
      <c r="B31" s="78">
        <f>1.567*10^-3</f>
        <v>1.567E-3</v>
      </c>
      <c r="C31" t="s">
        <v>210</v>
      </c>
      <c r="E31" t="s">
        <v>217</v>
      </c>
    </row>
    <row r="32" spans="1:5" x14ac:dyDescent="0.35">
      <c r="A32" s="47" t="s">
        <v>211</v>
      </c>
      <c r="B32" s="84">
        <f>(70^2)*B31*B22</f>
        <v>574.80606944444446</v>
      </c>
      <c r="C32" s="47" t="s">
        <v>212</v>
      </c>
      <c r="D32" s="79"/>
      <c r="E32" t="s">
        <v>215</v>
      </c>
    </row>
    <row r="33" spans="1:5" x14ac:dyDescent="0.35">
      <c r="A33" s="47" t="s">
        <v>213</v>
      </c>
      <c r="B33" s="84">
        <f>(45^2)*B31*B22</f>
        <v>237.54740625000002</v>
      </c>
      <c r="C33" s="47" t="s">
        <v>212</v>
      </c>
      <c r="D33" s="79"/>
    </row>
    <row r="34" spans="1:5" x14ac:dyDescent="0.35">
      <c r="A34" s="47" t="s">
        <v>214</v>
      </c>
      <c r="B34" s="84">
        <f>(20^2)*B31*B22</f>
        <v>46.922944444444447</v>
      </c>
      <c r="C34" s="47" t="s">
        <v>212</v>
      </c>
      <c r="D34" s="79"/>
    </row>
    <row r="36" spans="1:5" x14ac:dyDescent="0.35">
      <c r="A36" s="47" t="s">
        <v>220</v>
      </c>
    </row>
    <row r="37" spans="1:5" x14ac:dyDescent="0.35">
      <c r="A37" t="s">
        <v>218</v>
      </c>
    </row>
    <row r="38" spans="1:5" x14ac:dyDescent="0.35">
      <c r="A38" t="s">
        <v>219</v>
      </c>
      <c r="B38" s="76">
        <f>B24*1/3</f>
        <v>1.3333333333333333</v>
      </c>
      <c r="C38" t="s">
        <v>202</v>
      </c>
    </row>
    <row r="39" spans="1:5" x14ac:dyDescent="0.35">
      <c r="A39" t="s">
        <v>221</v>
      </c>
      <c r="B39" s="76">
        <f>SQRT((4*B25)/PI())</f>
        <v>4.8814989252656691</v>
      </c>
      <c r="C39" t="s">
        <v>202</v>
      </c>
    </row>
    <row r="40" spans="1:5" x14ac:dyDescent="0.35">
      <c r="A40" t="s">
        <v>222</v>
      </c>
    </row>
    <row r="42" spans="1:5" x14ac:dyDescent="0.35">
      <c r="A42" t="s">
        <v>223</v>
      </c>
    </row>
    <row r="43" spans="1:5" x14ac:dyDescent="0.35">
      <c r="A43" s="142" t="s">
        <v>224</v>
      </c>
      <c r="B43" s="142" t="s">
        <v>225</v>
      </c>
      <c r="C43" s="142" t="s">
        <v>229</v>
      </c>
      <c r="D43" s="142"/>
      <c r="E43" s="142"/>
    </row>
    <row r="44" spans="1:5" x14ac:dyDescent="0.35">
      <c r="A44" s="142"/>
      <c r="B44" s="142"/>
      <c r="C44" s="41" t="s">
        <v>226</v>
      </c>
      <c r="D44" s="41" t="s">
        <v>227</v>
      </c>
      <c r="E44" s="41" t="s">
        <v>228</v>
      </c>
    </row>
    <row r="45" spans="1:5" x14ac:dyDescent="0.35">
      <c r="A45" s="41" t="s">
        <v>230</v>
      </c>
      <c r="B45" s="41" t="s">
        <v>234</v>
      </c>
      <c r="C45" s="82">
        <f>0.8/B39</f>
        <v>0.1638840881146893</v>
      </c>
      <c r="D45" s="82">
        <f>1.4/B39</f>
        <v>0.28679715420070623</v>
      </c>
      <c r="E45" s="82">
        <f>2/B39</f>
        <v>0.40971022028672321</v>
      </c>
    </row>
    <row r="46" spans="1:5" x14ac:dyDescent="0.35">
      <c r="A46" s="41" t="s">
        <v>231</v>
      </c>
      <c r="B46" s="80" t="s">
        <v>235</v>
      </c>
      <c r="C46" s="41">
        <f>B24/0.8</f>
        <v>5</v>
      </c>
      <c r="D46" s="83">
        <f>B24/1.4</f>
        <v>2.8571428571428572</v>
      </c>
      <c r="E46" s="41">
        <f>B24/2</f>
        <v>2</v>
      </c>
    </row>
    <row r="47" spans="1:5" x14ac:dyDescent="0.35">
      <c r="A47" s="41" t="s">
        <v>232</v>
      </c>
      <c r="B47" s="41" t="s">
        <v>236</v>
      </c>
      <c r="C47" s="82">
        <f>$B$24/$B$39</f>
        <v>0.81942044057344643</v>
      </c>
      <c r="D47" s="82">
        <f t="shared" ref="D47:E47" si="0">$B$24/$B$39</f>
        <v>0.81942044057344643</v>
      </c>
      <c r="E47" s="82">
        <f t="shared" si="0"/>
        <v>0.81942044057344643</v>
      </c>
    </row>
    <row r="48" spans="1:5" x14ac:dyDescent="0.35">
      <c r="A48" s="41" t="s">
        <v>233</v>
      </c>
      <c r="B48" s="41" t="s">
        <v>237</v>
      </c>
      <c r="C48" s="82">
        <f>B38/0.8</f>
        <v>1.6666666666666665</v>
      </c>
      <c r="D48" s="82">
        <f>B38/1.4</f>
        <v>0.95238095238095244</v>
      </c>
      <c r="E48" s="81">
        <f>B38/2</f>
        <v>0.66666666666666663</v>
      </c>
    </row>
    <row r="49" spans="1:5" x14ac:dyDescent="0.35">
      <c r="D49" s="47" t="s">
        <v>243</v>
      </c>
    </row>
    <row r="50" spans="1:5" x14ac:dyDescent="0.35">
      <c r="A50" t="s">
        <v>238</v>
      </c>
      <c r="B50" s="47" t="s">
        <v>244</v>
      </c>
    </row>
    <row r="51" spans="1:5" x14ac:dyDescent="0.35">
      <c r="A51" t="s">
        <v>242</v>
      </c>
    </row>
    <row r="52" spans="1:5" x14ac:dyDescent="0.35">
      <c r="A52" t="s">
        <v>239</v>
      </c>
    </row>
    <row r="53" spans="1:5" x14ac:dyDescent="0.35">
      <c r="A53" t="s">
        <v>240</v>
      </c>
    </row>
    <row r="54" spans="1:5" x14ac:dyDescent="0.35">
      <c r="A54" t="s">
        <v>241</v>
      </c>
    </row>
    <row r="56" spans="1:5" x14ac:dyDescent="0.35">
      <c r="A56" s="47" t="s">
        <v>245</v>
      </c>
    </row>
    <row r="57" spans="1:5" x14ac:dyDescent="0.35">
      <c r="A57" t="s">
        <v>248</v>
      </c>
      <c r="B57" s="76">
        <v>0.31</v>
      </c>
      <c r="E57" t="s">
        <v>249</v>
      </c>
    </row>
    <row r="58" spans="1:5" x14ac:dyDescent="0.35">
      <c r="A58" t="s">
        <v>250</v>
      </c>
      <c r="B58">
        <v>1.4</v>
      </c>
      <c r="C58" t="s">
        <v>202</v>
      </c>
    </row>
    <row r="59" spans="1:5" x14ac:dyDescent="0.35">
      <c r="A59" t="s">
        <v>251</v>
      </c>
      <c r="B59">
        <v>1000</v>
      </c>
      <c r="C59" t="s">
        <v>252</v>
      </c>
    </row>
    <row r="60" spans="1:5" x14ac:dyDescent="0.35">
      <c r="A60" t="s">
        <v>254</v>
      </c>
      <c r="B60" s="76">
        <f xml:space="preserve"> ((B32)/((0.31)*(1.4^5)*1000))^(1/3)</f>
        <v>0.7011966367250243</v>
      </c>
      <c r="C60" t="s">
        <v>246</v>
      </c>
      <c r="E60" t="s">
        <v>247</v>
      </c>
    </row>
    <row r="61" spans="1:5" x14ac:dyDescent="0.35">
      <c r="A61" t="s">
        <v>255</v>
      </c>
      <c r="B61" s="76">
        <f t="shared" ref="B61:B62" si="1" xml:space="preserve"> ((B33)/((0.31)*(1.4^5)*1000))^(1/3)</f>
        <v>0.52229532697734626</v>
      </c>
      <c r="C61" t="s">
        <v>246</v>
      </c>
    </row>
    <row r="62" spans="1:5" x14ac:dyDescent="0.35">
      <c r="A62" t="s">
        <v>256</v>
      </c>
      <c r="B62" s="76">
        <f t="shared" si="1"/>
        <v>0.30417799631364489</v>
      </c>
      <c r="C62" t="s">
        <v>246</v>
      </c>
    </row>
    <row r="63" spans="1:5" x14ac:dyDescent="0.35">
      <c r="A63" s="47" t="s">
        <v>257</v>
      </c>
      <c r="B63" s="47"/>
    </row>
    <row r="64" spans="1:5" x14ac:dyDescent="0.35">
      <c r="A64" s="47" t="s">
        <v>253</v>
      </c>
      <c r="B64" s="84">
        <f>B60*PI()*1.4</f>
        <v>3.0840238837200902</v>
      </c>
      <c r="C64" s="47" t="s">
        <v>261</v>
      </c>
    </row>
    <row r="65" spans="1:3" x14ac:dyDescent="0.35">
      <c r="A65" s="47" t="s">
        <v>258</v>
      </c>
      <c r="B65" s="84">
        <f t="shared" ref="B65:B66" si="2">B61*PI()*1.4</f>
        <v>2.2971748271308337</v>
      </c>
      <c r="C65" s="47" t="s">
        <v>261</v>
      </c>
    </row>
    <row r="66" spans="1:3" x14ac:dyDescent="0.35">
      <c r="A66" s="47" t="s">
        <v>259</v>
      </c>
      <c r="B66" s="84">
        <f t="shared" si="2"/>
        <v>1.3378447020436539</v>
      </c>
      <c r="C66" s="47" t="s">
        <v>261</v>
      </c>
    </row>
    <row r="67" spans="1:3" x14ac:dyDescent="0.35">
      <c r="A67" t="s">
        <v>260</v>
      </c>
    </row>
    <row r="68" spans="1:3" x14ac:dyDescent="0.35">
      <c r="A68" t="s">
        <v>351</v>
      </c>
    </row>
  </sheetData>
  <mergeCells count="5">
    <mergeCell ref="B27:B28"/>
    <mergeCell ref="C27:C28"/>
    <mergeCell ref="C43:E43"/>
    <mergeCell ref="A43:A44"/>
    <mergeCell ref="B43:B44"/>
  </mergeCells>
  <conditionalFormatting sqref="C45:E45">
    <cfRule type="cellIs" dxfId="3" priority="4" operator="between">
      <formula>0.17</formula>
      <formula>0.4</formula>
    </cfRule>
  </conditionalFormatting>
  <conditionalFormatting sqref="C46:E46">
    <cfRule type="cellIs" dxfId="2" priority="3" operator="between">
      <formula>2</formula>
      <formula>4</formula>
    </cfRule>
  </conditionalFormatting>
  <conditionalFormatting sqref="C47:E47">
    <cfRule type="cellIs" dxfId="1" priority="2" operator="between">
      <formula>0.34</formula>
      <formula>1.6</formula>
    </cfRule>
  </conditionalFormatting>
  <conditionalFormatting sqref="C48:E48">
    <cfRule type="cellIs" dxfId="0" priority="1" operator="between">
      <formula>0.7</formula>
      <formula>1.6</formula>
    </cfRule>
  </conditionalFormatting>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93"/>
  <sheetViews>
    <sheetView topLeftCell="A79" zoomScale="90" zoomScaleNormal="90" workbookViewId="0">
      <selection activeCell="K15" sqref="K15"/>
    </sheetView>
  </sheetViews>
  <sheetFormatPr defaultColWidth="8.90625" defaultRowHeight="14.5" x14ac:dyDescent="0.35"/>
  <cols>
    <col min="1" max="1" width="49" style="7" customWidth="1"/>
    <col min="2" max="2" width="19" style="7" customWidth="1"/>
    <col min="3" max="3" width="22.08984375" style="7" customWidth="1"/>
    <col min="4" max="6" width="8.90625" style="7"/>
    <col min="7" max="7" width="14.54296875" style="7" customWidth="1"/>
    <col min="8" max="8" width="14.26953125" style="7" customWidth="1"/>
    <col min="9" max="16384" width="8.90625" style="7"/>
  </cols>
  <sheetData>
    <row r="1" spans="1:5" ht="15" thickBot="1" x14ac:dyDescent="0.4">
      <c r="A1" s="20" t="s">
        <v>33</v>
      </c>
    </row>
    <row r="2" spans="1:5" ht="15" thickBot="1" x14ac:dyDescent="0.4">
      <c r="A2" s="17"/>
      <c r="B2" s="17" t="s">
        <v>23</v>
      </c>
      <c r="C2" s="17" t="s">
        <v>24</v>
      </c>
    </row>
    <row r="3" spans="1:5" ht="23" customHeight="1" thickBot="1" x14ac:dyDescent="0.4">
      <c r="A3" s="21" t="s">
        <v>40</v>
      </c>
      <c r="B3" s="23">
        <v>770</v>
      </c>
      <c r="C3" s="21">
        <v>385</v>
      </c>
    </row>
    <row r="4" spans="1:5" ht="21" customHeight="1" thickBot="1" x14ac:dyDescent="0.4">
      <c r="A4" s="34" t="s">
        <v>34</v>
      </c>
      <c r="B4" s="35"/>
      <c r="C4" s="21">
        <v>15</v>
      </c>
    </row>
    <row r="5" spans="1:5" ht="21" customHeight="1" thickBot="1" x14ac:dyDescent="0.4">
      <c r="A5" s="34" t="s">
        <v>35</v>
      </c>
      <c r="B5" s="35"/>
      <c r="C5" s="21">
        <v>15</v>
      </c>
      <c r="E5" s="7" t="s">
        <v>342</v>
      </c>
    </row>
    <row r="6" spans="1:5" ht="26" customHeight="1" thickBot="1" x14ac:dyDescent="0.4">
      <c r="A6" s="34" t="s">
        <v>41</v>
      </c>
      <c r="B6" s="35"/>
      <c r="C6" s="88">
        <f>B38</f>
        <v>25.666666666666664</v>
      </c>
    </row>
    <row r="7" spans="1:5" ht="19.25" customHeight="1" thickBot="1" x14ac:dyDescent="0.4">
      <c r="A7" s="34" t="s">
        <v>42</v>
      </c>
      <c r="B7" s="35"/>
      <c r="C7" s="21">
        <f>C6*B42</f>
        <v>77</v>
      </c>
    </row>
    <row r="8" spans="1:5" ht="23" customHeight="1" thickBot="1" x14ac:dyDescent="0.4">
      <c r="A8" s="34" t="s">
        <v>26</v>
      </c>
      <c r="B8" s="35">
        <v>2</v>
      </c>
      <c r="C8" s="21">
        <v>1</v>
      </c>
    </row>
    <row r="9" spans="1:5" ht="18" customHeight="1" thickBot="1" x14ac:dyDescent="0.4">
      <c r="A9" s="34" t="s">
        <v>32</v>
      </c>
      <c r="B9" s="35"/>
      <c r="C9" s="21">
        <f>C7</f>
        <v>77</v>
      </c>
    </row>
    <row r="10" spans="1:5" ht="23" customHeight="1" thickBot="1" x14ac:dyDescent="0.4">
      <c r="A10" s="143" t="s">
        <v>27</v>
      </c>
      <c r="B10" s="144"/>
      <c r="C10" s="21" t="s">
        <v>343</v>
      </c>
    </row>
    <row r="11" spans="1:5" ht="21" customHeight="1" thickBot="1" x14ac:dyDescent="0.4">
      <c r="A11" s="34" t="s">
        <v>43</v>
      </c>
      <c r="B11" s="35">
        <f>C11*2</f>
        <v>77</v>
      </c>
      <c r="C11" s="21">
        <f>B28</f>
        <v>38.5</v>
      </c>
    </row>
    <row r="12" spans="1:5" ht="26" customHeight="1" thickBot="1" x14ac:dyDescent="0.4">
      <c r="A12" s="34" t="s">
        <v>36</v>
      </c>
      <c r="B12" s="35">
        <v>400</v>
      </c>
      <c r="C12" s="21">
        <v>400</v>
      </c>
    </row>
    <row r="13" spans="1:5" ht="20.399999999999999" customHeight="1" thickBot="1" x14ac:dyDescent="0.4">
      <c r="A13" s="34" t="s">
        <v>44</v>
      </c>
      <c r="B13" s="35">
        <v>22</v>
      </c>
      <c r="C13" s="21">
        <v>11</v>
      </c>
    </row>
    <row r="14" spans="1:5" ht="23" customHeight="1" thickBot="1" x14ac:dyDescent="0.4">
      <c r="A14" s="36" t="s">
        <v>45</v>
      </c>
      <c r="B14" s="89">
        <f>C14*2</f>
        <v>7.1398624955363328</v>
      </c>
      <c r="C14" s="88">
        <f>B70</f>
        <v>3.5699312477681664</v>
      </c>
    </row>
    <row r="17" spans="1:5" ht="15" thickBot="1" x14ac:dyDescent="0.4">
      <c r="A17" s="16" t="s">
        <v>37</v>
      </c>
    </row>
    <row r="18" spans="1:5" ht="15" thickBot="1" x14ac:dyDescent="0.4">
      <c r="A18" s="145" t="s">
        <v>48</v>
      </c>
      <c r="B18" s="145"/>
      <c r="C18" s="17" t="s">
        <v>23</v>
      </c>
    </row>
    <row r="19" spans="1:5" ht="16.25" customHeight="1" thickBot="1" x14ac:dyDescent="0.4">
      <c r="A19" s="143" t="s">
        <v>46</v>
      </c>
      <c r="B19" s="144"/>
      <c r="C19" s="93">
        <f>B83</f>
        <v>2.3358542112633791E-2</v>
      </c>
    </row>
    <row r="20" spans="1:5" ht="15" thickBot="1" x14ac:dyDescent="0.4">
      <c r="A20" s="143" t="s">
        <v>38</v>
      </c>
      <c r="B20" s="144"/>
      <c r="C20" s="93">
        <f>B84</f>
        <v>9.8923425847004101</v>
      </c>
    </row>
    <row r="21" spans="1:5" ht="15" thickBot="1" x14ac:dyDescent="0.4">
      <c r="A21" s="143" t="s">
        <v>39</v>
      </c>
      <c r="B21" s="144"/>
      <c r="C21" s="21">
        <v>2</v>
      </c>
    </row>
    <row r="22" spans="1:5" ht="16.25" customHeight="1" thickBot="1" x14ac:dyDescent="0.4">
      <c r="A22" s="143" t="s">
        <v>47</v>
      </c>
      <c r="B22" s="144"/>
      <c r="C22" s="93">
        <f>B90</f>
        <v>0.98923425847004109</v>
      </c>
    </row>
    <row r="25" spans="1:5" x14ac:dyDescent="0.35">
      <c r="A25" s="47" t="s">
        <v>303</v>
      </c>
    </row>
    <row r="26" spans="1:5" x14ac:dyDescent="0.35">
      <c r="A26" s="7" t="s">
        <v>306</v>
      </c>
      <c r="B26" s="7">
        <v>10</v>
      </c>
      <c r="C26" s="7" t="s">
        <v>304</v>
      </c>
      <c r="E26" s="7" t="s">
        <v>305</v>
      </c>
    </row>
    <row r="27" spans="1:5" x14ac:dyDescent="0.35">
      <c r="A27" s="7" t="s">
        <v>193</v>
      </c>
      <c r="B27" s="7">
        <v>385</v>
      </c>
      <c r="C27" s="7" t="s">
        <v>169</v>
      </c>
    </row>
    <row r="28" spans="1:5" x14ac:dyDescent="0.35">
      <c r="A28" s="7" t="s">
        <v>307</v>
      </c>
      <c r="B28" s="7">
        <f xml:space="preserve"> B27*10%</f>
        <v>38.5</v>
      </c>
      <c r="C28" s="7" t="s">
        <v>169</v>
      </c>
      <c r="E28" s="7" t="s">
        <v>311</v>
      </c>
    </row>
    <row r="29" spans="1:5" x14ac:dyDescent="0.35">
      <c r="A29" s="7" t="s">
        <v>312</v>
      </c>
      <c r="B29" s="7">
        <v>15</v>
      </c>
      <c r="C29" s="7" t="s">
        <v>313</v>
      </c>
    </row>
    <row r="30" spans="1:5" x14ac:dyDescent="0.35">
      <c r="A30" s="7" t="s">
        <v>315</v>
      </c>
    </row>
    <row r="31" spans="1:5" x14ac:dyDescent="0.35">
      <c r="A31" s="7" t="s">
        <v>316</v>
      </c>
    </row>
    <row r="32" spans="1:5" x14ac:dyDescent="0.35">
      <c r="A32" s="7" t="s">
        <v>324</v>
      </c>
    </row>
    <row r="33" spans="1:5" x14ac:dyDescent="0.35">
      <c r="A33" s="7" t="s">
        <v>314</v>
      </c>
      <c r="B33" s="87">
        <f>15*(1.1/0.9)</f>
        <v>18.333333333333336</v>
      </c>
      <c r="C33" s="7" t="s">
        <v>313</v>
      </c>
      <c r="E33" s="7" t="s">
        <v>317</v>
      </c>
    </row>
    <row r="34" spans="1:5" x14ac:dyDescent="0.35">
      <c r="A34" s="7" t="s">
        <v>318</v>
      </c>
      <c r="B34" s="7">
        <f>B29*(1.1/0.1)</f>
        <v>165</v>
      </c>
      <c r="C34" s="7" t="s">
        <v>313</v>
      </c>
      <c r="E34" s="7" t="s">
        <v>317</v>
      </c>
    </row>
    <row r="36" spans="1:5" x14ac:dyDescent="0.35">
      <c r="A36" s="7" t="s">
        <v>319</v>
      </c>
      <c r="B36" s="7">
        <f>(B27+B28)/B33</f>
        <v>23.099999999999998</v>
      </c>
      <c r="C36" s="7" t="s">
        <v>204</v>
      </c>
    </row>
    <row r="37" spans="1:5" x14ac:dyDescent="0.35">
      <c r="A37" s="7" t="s">
        <v>320</v>
      </c>
      <c r="B37" s="87">
        <f>(B27+B28)/B34</f>
        <v>2.5666666666666669</v>
      </c>
      <c r="C37" s="7" t="s">
        <v>204</v>
      </c>
    </row>
    <row r="38" spans="1:5" x14ac:dyDescent="0.35">
      <c r="A38" s="7" t="s">
        <v>321</v>
      </c>
      <c r="B38" s="87">
        <f>B36+B37</f>
        <v>25.666666666666664</v>
      </c>
      <c r="C38" s="7" t="s">
        <v>204</v>
      </c>
    </row>
    <row r="39" spans="1:5" x14ac:dyDescent="0.35">
      <c r="A39" s="7" t="s">
        <v>322</v>
      </c>
    </row>
    <row r="40" spans="1:5" x14ac:dyDescent="0.35">
      <c r="A40" s="47" t="s">
        <v>206</v>
      </c>
      <c r="B40" s="84">
        <f>2*B41</f>
        <v>7.1647284200682257</v>
      </c>
      <c r="C40" s="47" t="s">
        <v>202</v>
      </c>
    </row>
    <row r="41" spans="1:5" x14ac:dyDescent="0.35">
      <c r="A41" s="47" t="s">
        <v>207</v>
      </c>
      <c r="B41" s="84">
        <f>SQRT(B38/2)</f>
        <v>3.5823642100341129</v>
      </c>
      <c r="C41" s="47" t="s">
        <v>202</v>
      </c>
    </row>
    <row r="42" spans="1:5" x14ac:dyDescent="0.35">
      <c r="A42" s="47" t="s">
        <v>201</v>
      </c>
      <c r="B42" s="47">
        <v>3</v>
      </c>
      <c r="C42" s="47" t="s">
        <v>202</v>
      </c>
      <c r="E42" s="7" t="s">
        <v>323</v>
      </c>
    </row>
    <row r="44" spans="1:5" x14ac:dyDescent="0.35">
      <c r="A44" s="7" t="s">
        <v>325</v>
      </c>
      <c r="B44" s="7">
        <v>400</v>
      </c>
      <c r="C44" s="7" t="s">
        <v>326</v>
      </c>
    </row>
    <row r="62" spans="1:3" x14ac:dyDescent="0.35">
      <c r="A62" s="7" t="s">
        <v>327</v>
      </c>
      <c r="B62" s="7">
        <v>110</v>
      </c>
      <c r="C62" s="7" t="s">
        <v>170</v>
      </c>
    </row>
    <row r="63" spans="1:3" x14ac:dyDescent="0.35">
      <c r="A63" s="7" t="s">
        <v>329</v>
      </c>
      <c r="B63" s="7">
        <v>28.9</v>
      </c>
      <c r="C63" s="7" t="s">
        <v>330</v>
      </c>
    </row>
    <row r="64" spans="1:3" x14ac:dyDescent="0.35">
      <c r="A64" s="7" t="s">
        <v>331</v>
      </c>
      <c r="B64" s="7">
        <v>8.31451E-2</v>
      </c>
      <c r="C64" s="7" t="s">
        <v>332</v>
      </c>
    </row>
    <row r="65" spans="1:5" x14ac:dyDescent="0.35">
      <c r="A65" s="7" t="s">
        <v>333</v>
      </c>
      <c r="B65" s="7">
        <v>20</v>
      </c>
      <c r="C65" s="7" t="s">
        <v>334</v>
      </c>
    </row>
    <row r="66" spans="1:5" x14ac:dyDescent="0.35">
      <c r="B66" s="7">
        <f>B65+273</f>
        <v>293</v>
      </c>
      <c r="C66" s="7" t="s">
        <v>335</v>
      </c>
    </row>
    <row r="67" spans="1:5" x14ac:dyDescent="0.35">
      <c r="A67" s="7" t="s">
        <v>336</v>
      </c>
      <c r="B67" s="7">
        <v>1</v>
      </c>
      <c r="C67" s="7" t="s">
        <v>337</v>
      </c>
    </row>
    <row r="68" spans="1:5" x14ac:dyDescent="0.35">
      <c r="A68" s="7" t="s">
        <v>328</v>
      </c>
      <c r="B68" s="87">
        <f>B62/B63</f>
        <v>3.8062283737024223</v>
      </c>
      <c r="C68" s="7" t="s">
        <v>280</v>
      </c>
    </row>
    <row r="69" spans="1:5" x14ac:dyDescent="0.35">
      <c r="A69" s="7" t="s">
        <v>338</v>
      </c>
      <c r="B69" s="87">
        <f>(B68*B64*10^-3*293)/1</f>
        <v>9.2725486955017311E-2</v>
      </c>
      <c r="C69" s="7" t="s">
        <v>339</v>
      </c>
      <c r="E69" s="7" t="s">
        <v>340</v>
      </c>
    </row>
    <row r="70" spans="1:5" x14ac:dyDescent="0.35">
      <c r="A70" s="47" t="s">
        <v>341</v>
      </c>
      <c r="B70" s="84">
        <f>B69*B28</f>
        <v>3.5699312477681664</v>
      </c>
      <c r="C70" s="47" t="s">
        <v>169</v>
      </c>
    </row>
    <row r="73" spans="1:5" x14ac:dyDescent="0.35">
      <c r="A73" s="47" t="s">
        <v>344</v>
      </c>
    </row>
    <row r="74" spans="1:5" x14ac:dyDescent="0.35">
      <c r="A74" s="7" t="s">
        <v>345</v>
      </c>
      <c r="B74" s="7">
        <v>2.7</v>
      </c>
      <c r="C74" s="7" t="s">
        <v>170</v>
      </c>
      <c r="E74" s="7" t="s">
        <v>346</v>
      </c>
    </row>
    <row r="75" spans="1:5" x14ac:dyDescent="0.35">
      <c r="A75" s="7" t="s">
        <v>347</v>
      </c>
      <c r="B75" s="7">
        <v>6.3</v>
      </c>
      <c r="C75" s="7" t="s">
        <v>170</v>
      </c>
      <c r="E75" s="7" t="s">
        <v>348</v>
      </c>
    </row>
    <row r="76" spans="1:5" x14ac:dyDescent="0.35">
      <c r="A76" s="7" t="s">
        <v>349</v>
      </c>
      <c r="B76" s="7">
        <f>B75/50%</f>
        <v>12.6</v>
      </c>
      <c r="C76" s="7" t="s">
        <v>170</v>
      </c>
      <c r="E76" s="7" t="s">
        <v>350</v>
      </c>
    </row>
    <row r="77" spans="1:5" x14ac:dyDescent="0.35">
      <c r="A77" s="7" t="s">
        <v>352</v>
      </c>
      <c r="B77" s="87">
        <f>'3.2 Chemical coagulation'!B29*2*'3.2 Chemical coagulation'!B25</f>
        <v>15.153935680704212</v>
      </c>
      <c r="C77" s="7" t="s">
        <v>170</v>
      </c>
    </row>
    <row r="79" spans="1:5" x14ac:dyDescent="0.35">
      <c r="A79" s="7" t="s">
        <v>353</v>
      </c>
      <c r="B79" s="7">
        <f>0.8*B74</f>
        <v>2.16</v>
      </c>
      <c r="C79" s="7" t="s">
        <v>170</v>
      </c>
    </row>
    <row r="80" spans="1:5" x14ac:dyDescent="0.35">
      <c r="A80" s="7" t="s">
        <v>354</v>
      </c>
      <c r="B80" s="7">
        <f>0.6*B76</f>
        <v>7.56</v>
      </c>
      <c r="C80" s="7" t="s">
        <v>170</v>
      </c>
    </row>
    <row r="81" spans="1:3" x14ac:dyDescent="0.35">
      <c r="A81" s="7" t="s">
        <v>355</v>
      </c>
      <c r="B81" s="87">
        <f>0.9*B77</f>
        <v>13.638542112633791</v>
      </c>
      <c r="C81" s="7" t="s">
        <v>170</v>
      </c>
    </row>
    <row r="82" spans="1:3" x14ac:dyDescent="0.35">
      <c r="A82" s="47" t="s">
        <v>356</v>
      </c>
      <c r="B82" s="84">
        <f>SUM(B79:B81)</f>
        <v>23.358542112633792</v>
      </c>
      <c r="C82" s="47" t="s">
        <v>170</v>
      </c>
    </row>
    <row r="83" spans="1:3" x14ac:dyDescent="0.35">
      <c r="B83" s="90">
        <f>(B82*10^-6)/(10^-3)</f>
        <v>2.3358542112633791E-2</v>
      </c>
      <c r="C83" s="47" t="s">
        <v>357</v>
      </c>
    </row>
    <row r="84" spans="1:3" x14ac:dyDescent="0.35">
      <c r="A84" s="47" t="s">
        <v>358</v>
      </c>
      <c r="B84" s="84">
        <f>B83*(B27+B28)</f>
        <v>9.8923425847004101</v>
      </c>
      <c r="C84" s="47" t="s">
        <v>359</v>
      </c>
    </row>
    <row r="86" spans="1:3" x14ac:dyDescent="0.35">
      <c r="A86" s="47" t="s">
        <v>360</v>
      </c>
    </row>
    <row r="87" spans="1:3" x14ac:dyDescent="0.35">
      <c r="A87" s="47" t="s">
        <v>361</v>
      </c>
      <c r="B87" s="47">
        <v>2</v>
      </c>
      <c r="C87" s="47" t="s">
        <v>304</v>
      </c>
    </row>
    <row r="88" spans="1:3" x14ac:dyDescent="0.35">
      <c r="A88" s="7" t="s">
        <v>366</v>
      </c>
      <c r="B88" s="87">
        <f>B82/0.02</f>
        <v>1167.9271056316895</v>
      </c>
      <c r="C88" s="7" t="s">
        <v>364</v>
      </c>
    </row>
    <row r="89" spans="1:3" x14ac:dyDescent="0.35">
      <c r="A89" s="7" t="s">
        <v>363</v>
      </c>
      <c r="B89" s="92">
        <f>(B88*10^-3)/1000</f>
        <v>1.1679271056316896E-3</v>
      </c>
      <c r="C89" s="7" t="s">
        <v>365</v>
      </c>
    </row>
    <row r="90" spans="1:3" x14ac:dyDescent="0.35">
      <c r="A90" s="47" t="s">
        <v>362</v>
      </c>
      <c r="B90" s="84">
        <f>B89*(B27+B28)*2</f>
        <v>0.98923425847004109</v>
      </c>
      <c r="C90" s="47" t="s">
        <v>169</v>
      </c>
    </row>
    <row r="93" spans="1:3" x14ac:dyDescent="0.35">
      <c r="A93" s="98" t="s">
        <v>375</v>
      </c>
      <c r="B93" s="99">
        <f>(B27+B28)-B90</f>
        <v>422.51076574152995</v>
      </c>
      <c r="C93" s="98" t="s">
        <v>169</v>
      </c>
    </row>
  </sheetData>
  <mergeCells count="6">
    <mergeCell ref="A10:B10"/>
    <mergeCell ref="A18:B18"/>
    <mergeCell ref="A19:B19"/>
    <mergeCell ref="A20:B20"/>
    <mergeCell ref="A22:B22"/>
    <mergeCell ref="A21:B21"/>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02"/>
  <sheetViews>
    <sheetView topLeftCell="A65" workbookViewId="0">
      <selection activeCell="C105" sqref="C105"/>
    </sheetView>
  </sheetViews>
  <sheetFormatPr defaultRowHeight="14.5" x14ac:dyDescent="0.35"/>
  <cols>
    <col min="1" max="1" width="36.54296875" style="7" customWidth="1"/>
    <col min="2" max="2" width="17.08984375" style="7" customWidth="1"/>
    <col min="3" max="3" width="30.6328125" style="7" customWidth="1"/>
    <col min="4" max="4" width="25.90625" style="7" customWidth="1"/>
  </cols>
  <sheetData>
    <row r="1" spans="1:8" ht="15" thickBot="1" x14ac:dyDescent="0.4">
      <c r="A1" s="16" t="s">
        <v>436</v>
      </c>
    </row>
    <row r="2" spans="1:8" x14ac:dyDescent="0.35">
      <c r="A2" s="146" t="s">
        <v>13</v>
      </c>
      <c r="B2" s="146" t="s">
        <v>14</v>
      </c>
      <c r="C2" s="28" t="s">
        <v>49</v>
      </c>
      <c r="D2" s="28"/>
    </row>
    <row r="3" spans="1:8" ht="38.4" customHeight="1" thickBot="1" x14ac:dyDescent="0.4">
      <c r="A3" s="147"/>
      <c r="B3" s="147"/>
      <c r="C3" s="29" t="s">
        <v>394</v>
      </c>
      <c r="D3" s="29" t="s">
        <v>395</v>
      </c>
      <c r="F3" s="7" t="s">
        <v>380</v>
      </c>
      <c r="G3" s="7"/>
      <c r="H3" s="7"/>
    </row>
    <row r="4" spans="1:8" x14ac:dyDescent="0.35">
      <c r="A4" s="30" t="s">
        <v>50</v>
      </c>
      <c r="B4" s="18"/>
      <c r="C4" s="18"/>
      <c r="D4" s="18"/>
      <c r="F4" s="7" t="s">
        <v>381</v>
      </c>
      <c r="G4" s="7">
        <v>54.94</v>
      </c>
      <c r="H4" s="7" t="s">
        <v>330</v>
      </c>
    </row>
    <row r="5" spans="1:8" ht="16.5" x14ac:dyDescent="0.35">
      <c r="A5" s="18" t="s">
        <v>55</v>
      </c>
      <c r="B5" s="18" t="s">
        <v>407</v>
      </c>
      <c r="C5" s="18" t="s">
        <v>408</v>
      </c>
      <c r="D5" s="18" t="s">
        <v>409</v>
      </c>
      <c r="F5" s="7" t="s">
        <v>382</v>
      </c>
      <c r="G5" s="7">
        <v>15.99</v>
      </c>
      <c r="H5" s="7" t="s">
        <v>330</v>
      </c>
    </row>
    <row r="6" spans="1:8" ht="18" thickBot="1" x14ac:dyDescent="0.4">
      <c r="A6" s="18" t="s">
        <v>56</v>
      </c>
      <c r="B6" s="18" t="s">
        <v>57</v>
      </c>
      <c r="C6" s="18" t="s">
        <v>410</v>
      </c>
      <c r="D6" s="18" t="s">
        <v>411</v>
      </c>
      <c r="F6" s="7" t="s">
        <v>383</v>
      </c>
      <c r="G6" s="7">
        <v>1.0078400000000001</v>
      </c>
      <c r="H6" s="7" t="s">
        <v>330</v>
      </c>
    </row>
    <row r="7" spans="1:8" x14ac:dyDescent="0.35">
      <c r="A7" s="31" t="s">
        <v>51</v>
      </c>
      <c r="B7" s="32"/>
      <c r="C7" s="32"/>
      <c r="D7" s="32"/>
    </row>
    <row r="8" spans="1:8" ht="16.5" x14ac:dyDescent="0.35">
      <c r="A8" s="18" t="s">
        <v>55</v>
      </c>
      <c r="B8" s="18" t="s">
        <v>412</v>
      </c>
      <c r="C8" s="18" t="s">
        <v>413</v>
      </c>
      <c r="D8" s="18" t="s">
        <v>414</v>
      </c>
    </row>
    <row r="9" spans="1:8" ht="18" thickBot="1" x14ac:dyDescent="0.4">
      <c r="A9" s="19" t="s">
        <v>58</v>
      </c>
      <c r="B9" s="19" t="s">
        <v>57</v>
      </c>
      <c r="C9" s="19" t="s">
        <v>415</v>
      </c>
      <c r="D9" s="19" t="s">
        <v>416</v>
      </c>
    </row>
    <row r="10" spans="1:8" x14ac:dyDescent="0.35">
      <c r="A10" s="30" t="s">
        <v>52</v>
      </c>
      <c r="B10" s="18"/>
      <c r="C10" s="18"/>
      <c r="D10" s="18"/>
    </row>
    <row r="11" spans="1:8" ht="17" thickBot="1" x14ac:dyDescent="0.4">
      <c r="A11" s="19" t="s">
        <v>55</v>
      </c>
      <c r="B11" s="19" t="s">
        <v>417</v>
      </c>
      <c r="C11" s="19" t="s">
        <v>418</v>
      </c>
      <c r="D11" s="19" t="s">
        <v>419</v>
      </c>
    </row>
    <row r="12" spans="1:8" ht="18" thickBot="1" x14ac:dyDescent="0.4">
      <c r="A12" s="19" t="s">
        <v>56</v>
      </c>
      <c r="B12" s="19" t="s">
        <v>57</v>
      </c>
      <c r="C12" s="19" t="s">
        <v>420</v>
      </c>
      <c r="D12" s="19" t="s">
        <v>421</v>
      </c>
    </row>
    <row r="13" spans="1:8" ht="15" thickBot="1" x14ac:dyDescent="0.4">
      <c r="A13" s="19" t="s">
        <v>53</v>
      </c>
      <c r="B13" s="19" t="s">
        <v>54</v>
      </c>
      <c r="C13" s="19" t="s">
        <v>422</v>
      </c>
      <c r="D13" s="19" t="s">
        <v>423</v>
      </c>
    </row>
    <row r="14" spans="1:8" x14ac:dyDescent="0.35">
      <c r="A14" s="27"/>
    </row>
    <row r="16" spans="1:8" ht="15" thickBot="1" x14ac:dyDescent="0.4">
      <c r="A16" s="37" t="s">
        <v>59</v>
      </c>
    </row>
    <row r="17" spans="1:4" ht="15" thickBot="1" x14ac:dyDescent="0.4">
      <c r="A17" s="17"/>
      <c r="B17" s="17" t="s">
        <v>23</v>
      </c>
      <c r="C17" s="17" t="s">
        <v>24</v>
      </c>
    </row>
    <row r="18" spans="1:4" x14ac:dyDescent="0.35">
      <c r="A18" s="18" t="s">
        <v>60</v>
      </c>
      <c r="B18" s="18">
        <v>15</v>
      </c>
      <c r="C18" s="18">
        <v>15</v>
      </c>
    </row>
    <row r="19" spans="1:4" ht="16.5" x14ac:dyDescent="0.35">
      <c r="A19" s="18" t="s">
        <v>61</v>
      </c>
      <c r="B19" s="18">
        <f>C19*2</f>
        <v>192.5</v>
      </c>
      <c r="C19" s="18">
        <f>B73</f>
        <v>96.25</v>
      </c>
    </row>
    <row r="20" spans="1:4" ht="16.5" x14ac:dyDescent="0.35">
      <c r="A20" s="18" t="s">
        <v>62</v>
      </c>
      <c r="B20" s="104">
        <f>C20*2</f>
        <v>16.669548112918445</v>
      </c>
      <c r="C20" s="104">
        <f>B78*B77</f>
        <v>8.3347740564592225</v>
      </c>
    </row>
    <row r="21" spans="1:4" ht="29.5" thickBot="1" x14ac:dyDescent="0.4">
      <c r="A21" s="19" t="s">
        <v>27</v>
      </c>
      <c r="B21" s="19"/>
      <c r="C21" s="19" t="s">
        <v>468</v>
      </c>
    </row>
    <row r="23" spans="1:4" ht="40.25" customHeight="1" thickBot="1" x14ac:dyDescent="0.4">
      <c r="A23" s="16" t="s">
        <v>63</v>
      </c>
      <c r="B23" s="38"/>
      <c r="C23" s="38"/>
      <c r="D23" s="38"/>
    </row>
    <row r="24" spans="1:4" x14ac:dyDescent="0.35">
      <c r="A24" s="148" t="s">
        <v>13</v>
      </c>
      <c r="B24" s="148" t="s">
        <v>14</v>
      </c>
      <c r="C24" s="24" t="s">
        <v>64</v>
      </c>
      <c r="D24" s="24"/>
    </row>
    <row r="25" spans="1:4" ht="14" customHeight="1" thickBot="1" x14ac:dyDescent="0.4">
      <c r="A25" s="149"/>
      <c r="B25" s="149"/>
      <c r="C25" s="25" t="s">
        <v>437</v>
      </c>
      <c r="D25" s="25" t="s">
        <v>438</v>
      </c>
    </row>
    <row r="26" spans="1:4" x14ac:dyDescent="0.35">
      <c r="A26" s="26" t="s">
        <v>65</v>
      </c>
      <c r="B26" s="5"/>
      <c r="C26" s="5"/>
      <c r="D26" s="5"/>
    </row>
    <row r="27" spans="1:4" ht="16.5" x14ac:dyDescent="0.35">
      <c r="A27" s="5" t="s">
        <v>66</v>
      </c>
      <c r="B27" s="5" t="s">
        <v>482</v>
      </c>
      <c r="C27" s="5" t="s">
        <v>483</v>
      </c>
      <c r="D27" s="5" t="s">
        <v>484</v>
      </c>
    </row>
    <row r="28" spans="1:4" ht="17.5" x14ac:dyDescent="0.35">
      <c r="A28" s="5" t="s">
        <v>67</v>
      </c>
      <c r="B28" s="5" t="s">
        <v>488</v>
      </c>
      <c r="C28" s="5" t="s">
        <v>489</v>
      </c>
      <c r="D28" s="5" t="s">
        <v>490</v>
      </c>
    </row>
    <row r="29" spans="1:4" x14ac:dyDescent="0.35">
      <c r="A29" s="26" t="s">
        <v>68</v>
      </c>
      <c r="B29" s="5"/>
      <c r="C29" s="5"/>
      <c r="D29" s="5"/>
    </row>
    <row r="30" spans="1:4" ht="16.5" x14ac:dyDescent="0.35">
      <c r="A30" s="5" t="s">
        <v>66</v>
      </c>
      <c r="B30" s="5" t="s">
        <v>485</v>
      </c>
      <c r="C30" s="5" t="s">
        <v>486</v>
      </c>
      <c r="D30" s="5" t="s">
        <v>487</v>
      </c>
    </row>
    <row r="31" spans="1:4" ht="16.5" x14ac:dyDescent="0.35">
      <c r="A31" s="5" t="s">
        <v>69</v>
      </c>
      <c r="B31" s="5" t="s">
        <v>491</v>
      </c>
      <c r="C31" s="5" t="s">
        <v>492</v>
      </c>
      <c r="D31" s="5" t="s">
        <v>493</v>
      </c>
    </row>
    <row r="32" spans="1:4" x14ac:dyDescent="0.35">
      <c r="A32" s="26" t="s">
        <v>52</v>
      </c>
      <c r="B32" s="5"/>
      <c r="C32" s="5"/>
      <c r="D32" s="5"/>
    </row>
    <row r="33" spans="1:4" ht="16.5" x14ac:dyDescent="0.35">
      <c r="A33" s="5" t="s">
        <v>66</v>
      </c>
      <c r="B33" s="5" t="s">
        <v>494</v>
      </c>
      <c r="C33" s="5" t="s">
        <v>496</v>
      </c>
      <c r="D33" s="5" t="s">
        <v>498</v>
      </c>
    </row>
    <row r="34" spans="1:4" ht="18" thickBot="1" x14ac:dyDescent="0.4">
      <c r="A34" s="6" t="s">
        <v>67</v>
      </c>
      <c r="B34" s="6" t="s">
        <v>495</v>
      </c>
      <c r="C34" s="6" t="s">
        <v>497</v>
      </c>
      <c r="D34" s="6" t="s">
        <v>499</v>
      </c>
    </row>
    <row r="37" spans="1:4" x14ac:dyDescent="0.35">
      <c r="C37" s="101" t="s">
        <v>379</v>
      </c>
    </row>
    <row r="39" spans="1:4" x14ac:dyDescent="0.35">
      <c r="A39" s="47" t="s">
        <v>385</v>
      </c>
    </row>
    <row r="40" spans="1:4" x14ac:dyDescent="0.35">
      <c r="A40" s="7" t="s">
        <v>193</v>
      </c>
      <c r="B40" s="7">
        <v>385</v>
      </c>
      <c r="C40" s="7" t="s">
        <v>169</v>
      </c>
    </row>
    <row r="41" spans="1:4" x14ac:dyDescent="0.35">
      <c r="A41" s="7" t="s">
        <v>376</v>
      </c>
      <c r="B41" s="7">
        <v>510</v>
      </c>
      <c r="C41" s="100" t="s">
        <v>377</v>
      </c>
      <c r="D41" s="7" t="s">
        <v>384</v>
      </c>
    </row>
    <row r="42" spans="1:4" x14ac:dyDescent="0.35">
      <c r="B42" s="7">
        <f>B41*10^-6</f>
        <v>5.0999999999999993E-4</v>
      </c>
      <c r="C42" s="7" t="s">
        <v>378</v>
      </c>
    </row>
    <row r="43" spans="1:4" x14ac:dyDescent="0.35">
      <c r="A43" s="7" t="s">
        <v>389</v>
      </c>
    </row>
    <row r="44" spans="1:4" x14ac:dyDescent="0.35">
      <c r="A44" s="47" t="s">
        <v>390</v>
      </c>
      <c r="B44" s="92">
        <f>B42*0.87</f>
        <v>4.4369999999999994E-4</v>
      </c>
      <c r="C44" s="7" t="s">
        <v>378</v>
      </c>
    </row>
    <row r="45" spans="1:4" x14ac:dyDescent="0.35">
      <c r="B45" s="84">
        <f>B44/(10^-3)</f>
        <v>0.44369999999999993</v>
      </c>
      <c r="C45" s="47" t="s">
        <v>172</v>
      </c>
    </row>
    <row r="46" spans="1:4" x14ac:dyDescent="0.35">
      <c r="A46" s="47" t="s">
        <v>393</v>
      </c>
      <c r="B46" s="84">
        <f>B45*B40*10^-3</f>
        <v>0.17082449999999996</v>
      </c>
      <c r="C46" s="47" t="s">
        <v>177</v>
      </c>
      <c r="D46" s="47" t="s">
        <v>189</v>
      </c>
    </row>
    <row r="47" spans="1:4" x14ac:dyDescent="0.35">
      <c r="B47" s="87">
        <f>B46*2</f>
        <v>0.34164899999999992</v>
      </c>
      <c r="C47" s="7" t="s">
        <v>177</v>
      </c>
      <c r="D47" s="7" t="s">
        <v>391</v>
      </c>
    </row>
    <row r="48" spans="1:4" x14ac:dyDescent="0.35">
      <c r="A48" s="47" t="s">
        <v>392</v>
      </c>
      <c r="B48" s="84">
        <f>B46*20</f>
        <v>3.4164899999999991</v>
      </c>
      <c r="C48" s="47" t="s">
        <v>178</v>
      </c>
      <c r="D48" s="47" t="s">
        <v>189</v>
      </c>
    </row>
    <row r="49" spans="1:4" x14ac:dyDescent="0.35">
      <c r="B49" s="87">
        <f>B48*2</f>
        <v>6.8329799999999983</v>
      </c>
      <c r="C49" s="7" t="s">
        <v>178</v>
      </c>
      <c r="D49" s="7" t="s">
        <v>391</v>
      </c>
    </row>
    <row r="50" spans="1:4" x14ac:dyDescent="0.35">
      <c r="B50" s="102"/>
    </row>
    <row r="51" spans="1:4" x14ac:dyDescent="0.35">
      <c r="A51" s="47" t="s">
        <v>386</v>
      </c>
      <c r="B51" s="102"/>
    </row>
    <row r="52" spans="1:4" x14ac:dyDescent="0.35">
      <c r="A52" s="7" t="s">
        <v>387</v>
      </c>
      <c r="B52" s="7">
        <f>('3.4 Flotation'!B76-'3.4 Flotation'!B80)*0.5</f>
        <v>2.52</v>
      </c>
      <c r="C52" s="7" t="s">
        <v>170</v>
      </c>
      <c r="D52" s="7" t="s">
        <v>388</v>
      </c>
    </row>
    <row r="53" spans="1:4" x14ac:dyDescent="0.35">
      <c r="A53" s="7" t="s">
        <v>390</v>
      </c>
      <c r="B53" s="7">
        <f>1.1</f>
        <v>1.1000000000000001</v>
      </c>
      <c r="C53" s="7" t="s">
        <v>396</v>
      </c>
      <c r="D53" s="7" t="s">
        <v>397</v>
      </c>
    </row>
    <row r="54" spans="1:4" x14ac:dyDescent="0.35">
      <c r="A54" s="7" t="s">
        <v>393</v>
      </c>
      <c r="B54" s="87">
        <f>B53*B40*10^-3</f>
        <v>0.42350000000000004</v>
      </c>
      <c r="C54" s="7" t="s">
        <v>177</v>
      </c>
      <c r="D54" s="7" t="s">
        <v>189</v>
      </c>
    </row>
    <row r="55" spans="1:4" x14ac:dyDescent="0.35">
      <c r="A55" s="7" t="s">
        <v>392</v>
      </c>
      <c r="B55" s="7">
        <f>B54*20</f>
        <v>8.4700000000000006</v>
      </c>
      <c r="C55" s="7" t="s">
        <v>178</v>
      </c>
      <c r="D55" s="7" t="s">
        <v>189</v>
      </c>
    </row>
    <row r="57" spans="1:4" x14ac:dyDescent="0.35">
      <c r="A57" s="47" t="s">
        <v>398</v>
      </c>
    </row>
    <row r="58" spans="1:4" x14ac:dyDescent="0.35">
      <c r="A58" s="7" t="s">
        <v>399</v>
      </c>
      <c r="B58" s="87">
        <f>B45+B53</f>
        <v>1.5437000000000001</v>
      </c>
      <c r="C58" s="7" t="s">
        <v>172</v>
      </c>
    </row>
    <row r="59" spans="1:4" x14ac:dyDescent="0.35">
      <c r="B59" s="87">
        <f>B58</f>
        <v>1.5437000000000001</v>
      </c>
      <c r="C59" s="7" t="s">
        <v>170</v>
      </c>
    </row>
    <row r="60" spans="1:4" x14ac:dyDescent="0.35">
      <c r="A60" s="7" t="s">
        <v>400</v>
      </c>
    </row>
    <row r="61" spans="1:4" x14ac:dyDescent="0.35">
      <c r="A61" s="47" t="s">
        <v>401</v>
      </c>
      <c r="B61" s="84">
        <f>B54*7</f>
        <v>2.9645000000000001</v>
      </c>
      <c r="C61" s="47" t="s">
        <v>402</v>
      </c>
    </row>
    <row r="62" spans="1:4" x14ac:dyDescent="0.35">
      <c r="B62" s="7">
        <f>B55*7</f>
        <v>59.290000000000006</v>
      </c>
      <c r="C62" s="7" t="s">
        <v>403</v>
      </c>
    </row>
    <row r="63" spans="1:4" x14ac:dyDescent="0.35">
      <c r="A63" s="47" t="s">
        <v>404</v>
      </c>
      <c r="B63" s="84">
        <f>B46*7</f>
        <v>1.1957714999999998</v>
      </c>
      <c r="C63" s="47" t="s">
        <v>402</v>
      </c>
    </row>
    <row r="64" spans="1:4" x14ac:dyDescent="0.35">
      <c r="B64" s="87">
        <f>B48*7</f>
        <v>23.915429999999994</v>
      </c>
      <c r="C64" s="7" t="s">
        <v>403</v>
      </c>
    </row>
    <row r="65" spans="1:4" x14ac:dyDescent="0.35">
      <c r="A65" s="47" t="s">
        <v>405</v>
      </c>
      <c r="B65" s="84">
        <f>B61+B63</f>
        <v>4.1602715000000003</v>
      </c>
      <c r="C65" s="47" t="s">
        <v>402</v>
      </c>
    </row>
    <row r="66" spans="1:4" x14ac:dyDescent="0.35">
      <c r="B66" s="87">
        <f>B62+B64</f>
        <v>83.205430000000007</v>
      </c>
      <c r="C66" s="7" t="s">
        <v>403</v>
      </c>
    </row>
    <row r="67" spans="1:4" x14ac:dyDescent="0.35">
      <c r="A67" s="47" t="s">
        <v>406</v>
      </c>
      <c r="B67" s="84">
        <f>(B58*2)*B40*10^-3</f>
        <v>1.1886490000000001</v>
      </c>
      <c r="C67" s="47" t="s">
        <v>177</v>
      </c>
    </row>
    <row r="68" spans="1:4" x14ac:dyDescent="0.35">
      <c r="B68" s="87">
        <f>B67*20</f>
        <v>23.77298</v>
      </c>
      <c r="C68" s="7" t="s">
        <v>178</v>
      </c>
    </row>
    <row r="70" spans="1:4" x14ac:dyDescent="0.35">
      <c r="A70" s="47" t="s">
        <v>424</v>
      </c>
    </row>
    <row r="71" spans="1:4" x14ac:dyDescent="0.35">
      <c r="A71" s="7" t="s">
        <v>425</v>
      </c>
      <c r="B71" s="7">
        <v>15</v>
      </c>
      <c r="C71" s="7" t="s">
        <v>191</v>
      </c>
    </row>
    <row r="72" spans="1:4" x14ac:dyDescent="0.35">
      <c r="B72" s="7">
        <f>15/60</f>
        <v>0.25</v>
      </c>
      <c r="C72" s="7" t="s">
        <v>192</v>
      </c>
    </row>
    <row r="73" spans="1:4" x14ac:dyDescent="0.35">
      <c r="A73" s="7" t="s">
        <v>426</v>
      </c>
      <c r="B73" s="7">
        <f>B72*B40</f>
        <v>96.25</v>
      </c>
      <c r="C73" s="7" t="s">
        <v>196</v>
      </c>
      <c r="D73" s="7" t="s">
        <v>427</v>
      </c>
    </row>
    <row r="74" spans="1:4" x14ac:dyDescent="0.35">
      <c r="A74" s="7" t="s">
        <v>428</v>
      </c>
      <c r="B74" s="7" t="s">
        <v>429</v>
      </c>
      <c r="C74" s="7" t="s">
        <v>465</v>
      </c>
    </row>
    <row r="75" spans="1:4" x14ac:dyDescent="0.35">
      <c r="B75" s="7" t="s">
        <v>430</v>
      </c>
    </row>
    <row r="76" spans="1:4" x14ac:dyDescent="0.35">
      <c r="A76" s="7" t="s">
        <v>431</v>
      </c>
      <c r="B76" s="7" t="s">
        <v>432</v>
      </c>
    </row>
    <row r="77" spans="1:4" x14ac:dyDescent="0.35">
      <c r="A77" s="47" t="s">
        <v>212</v>
      </c>
      <c r="B77" s="84">
        <f>(B73/4)^(1/3)</f>
        <v>2.8870008757288632</v>
      </c>
      <c r="C77" s="47" t="s">
        <v>202</v>
      </c>
    </row>
    <row r="78" spans="1:4" x14ac:dyDescent="0.35">
      <c r="A78" s="7" t="s">
        <v>433</v>
      </c>
      <c r="B78" s="87">
        <f>B77</f>
        <v>2.8870008757288632</v>
      </c>
      <c r="C78" s="47" t="s">
        <v>202</v>
      </c>
      <c r="D78" s="7" t="s">
        <v>434</v>
      </c>
    </row>
    <row r="79" spans="1:4" x14ac:dyDescent="0.35">
      <c r="A79" s="47" t="s">
        <v>383</v>
      </c>
      <c r="B79" s="84">
        <f>4*B77</f>
        <v>11.548003502915453</v>
      </c>
      <c r="C79" s="47" t="s">
        <v>202</v>
      </c>
      <c r="D79" s="7" t="s">
        <v>435</v>
      </c>
    </row>
    <row r="80" spans="1:4" x14ac:dyDescent="0.35">
      <c r="A80" s="47" t="s">
        <v>466</v>
      </c>
      <c r="B80" s="84">
        <f>40*B78</f>
        <v>115.48003502915452</v>
      </c>
      <c r="C80" s="47" t="s">
        <v>202</v>
      </c>
      <c r="D80" s="7" t="s">
        <v>467</v>
      </c>
    </row>
    <row r="82" spans="1:4" x14ac:dyDescent="0.35">
      <c r="A82" s="47" t="s">
        <v>462</v>
      </c>
    </row>
    <row r="83" spans="1:4" x14ac:dyDescent="0.35">
      <c r="A83" s="47" t="s">
        <v>463</v>
      </c>
      <c r="B83" s="84">
        <f>(B42*1.35)/(10^-3)</f>
        <v>0.6885</v>
      </c>
      <c r="C83" s="47" t="s">
        <v>172</v>
      </c>
      <c r="D83" s="7" t="s">
        <v>472</v>
      </c>
    </row>
    <row r="84" spans="1:4" x14ac:dyDescent="0.35">
      <c r="A84" s="47" t="s">
        <v>464</v>
      </c>
      <c r="B84" s="84">
        <f>B83*B40</f>
        <v>265.07249999999999</v>
      </c>
      <c r="C84" s="47" t="s">
        <v>176</v>
      </c>
    </row>
    <row r="85" spans="1:4" x14ac:dyDescent="0.35">
      <c r="B85" s="84">
        <f>B84*10^-3</f>
        <v>0.26507249999999999</v>
      </c>
      <c r="C85" s="47" t="s">
        <v>177</v>
      </c>
    </row>
    <row r="86" spans="1:4" x14ac:dyDescent="0.35">
      <c r="A86" s="47" t="s">
        <v>469</v>
      </c>
      <c r="B86" s="84">
        <f>B85*20</f>
        <v>5.30145</v>
      </c>
      <c r="C86" s="47" t="s">
        <v>178</v>
      </c>
    </row>
    <row r="88" spans="1:4" x14ac:dyDescent="0.35">
      <c r="A88" s="47" t="s">
        <v>470</v>
      </c>
    </row>
    <row r="89" spans="1:4" x14ac:dyDescent="0.35">
      <c r="A89" s="7" t="s">
        <v>471</v>
      </c>
      <c r="B89" s="7">
        <v>0.2</v>
      </c>
      <c r="C89" s="7" t="s">
        <v>170</v>
      </c>
    </row>
    <row r="90" spans="1:4" x14ac:dyDescent="0.35">
      <c r="A90" s="47" t="s">
        <v>463</v>
      </c>
      <c r="B90" s="84">
        <f>B89*1.33</f>
        <v>0.26600000000000001</v>
      </c>
      <c r="C90" s="47" t="s">
        <v>172</v>
      </c>
      <c r="D90" s="7" t="s">
        <v>473</v>
      </c>
    </row>
    <row r="91" spans="1:4" x14ac:dyDescent="0.35">
      <c r="A91" s="47" t="s">
        <v>464</v>
      </c>
      <c r="B91" s="47">
        <f>B90*B40</f>
        <v>102.41000000000001</v>
      </c>
      <c r="C91" s="47" t="s">
        <v>176</v>
      </c>
    </row>
    <row r="92" spans="1:4" x14ac:dyDescent="0.35">
      <c r="B92" s="90">
        <f>B91*10^-3</f>
        <v>0.10241000000000001</v>
      </c>
      <c r="C92" s="47" t="s">
        <v>177</v>
      </c>
    </row>
    <row r="93" spans="1:4" x14ac:dyDescent="0.35">
      <c r="A93" s="47" t="s">
        <v>469</v>
      </c>
      <c r="B93" s="84">
        <f>B92*20</f>
        <v>2.0482000000000005</v>
      </c>
      <c r="C93" s="47" t="s">
        <v>178</v>
      </c>
    </row>
    <row r="95" spans="1:4" x14ac:dyDescent="0.35">
      <c r="A95" s="47" t="s">
        <v>474</v>
      </c>
    </row>
    <row r="96" spans="1:4" x14ac:dyDescent="0.35">
      <c r="A96" s="86" t="s">
        <v>475</v>
      </c>
      <c r="D96" s="86" t="s">
        <v>481</v>
      </c>
    </row>
    <row r="97" spans="1:5" x14ac:dyDescent="0.35">
      <c r="A97" s="47" t="s">
        <v>476</v>
      </c>
      <c r="B97" s="84">
        <f>B83/1.1</f>
        <v>0.62590909090909086</v>
      </c>
      <c r="C97" s="47" t="s">
        <v>477</v>
      </c>
      <c r="D97" s="87">
        <f>B97*2</f>
        <v>1.2518181818181817</v>
      </c>
      <c r="E97" t="s">
        <v>477</v>
      </c>
    </row>
    <row r="98" spans="1:5" x14ac:dyDescent="0.35">
      <c r="A98" s="47" t="s">
        <v>478</v>
      </c>
      <c r="B98" s="84">
        <f>B97*B40*10^-3</f>
        <v>0.24097499999999999</v>
      </c>
      <c r="C98" s="47" t="s">
        <v>169</v>
      </c>
      <c r="D98" s="87">
        <f>D97*B40*10^-3</f>
        <v>0.48194999999999999</v>
      </c>
      <c r="E98" t="s">
        <v>169</v>
      </c>
    </row>
    <row r="99" spans="1:5" x14ac:dyDescent="0.35">
      <c r="B99" s="84">
        <f>B98*20</f>
        <v>4.8194999999999997</v>
      </c>
      <c r="C99" s="47" t="s">
        <v>290</v>
      </c>
      <c r="D99" s="87">
        <f>D98*20</f>
        <v>9.6389999999999993</v>
      </c>
      <c r="E99" t="s">
        <v>290</v>
      </c>
    </row>
    <row r="100" spans="1:5" x14ac:dyDescent="0.35">
      <c r="A100" s="47" t="s">
        <v>479</v>
      </c>
      <c r="B100" s="84">
        <f>B90/1.1</f>
        <v>0.24181818181818182</v>
      </c>
      <c r="C100" s="47" t="s">
        <v>477</v>
      </c>
      <c r="D100" s="87">
        <f>B100*2</f>
        <v>0.48363636363636364</v>
      </c>
      <c r="E100" t="s">
        <v>477</v>
      </c>
    </row>
    <row r="101" spans="1:5" x14ac:dyDescent="0.35">
      <c r="A101" s="47" t="s">
        <v>480</v>
      </c>
      <c r="B101" s="90">
        <f>B100*B40*10^-3</f>
        <v>9.3100000000000002E-2</v>
      </c>
      <c r="C101" s="47" t="s">
        <v>169</v>
      </c>
      <c r="D101" s="103">
        <f>B101*2</f>
        <v>0.1862</v>
      </c>
      <c r="E101" t="s">
        <v>169</v>
      </c>
    </row>
    <row r="102" spans="1:5" x14ac:dyDescent="0.35">
      <c r="B102" s="84">
        <f>B101*20</f>
        <v>1.8620000000000001</v>
      </c>
      <c r="C102" s="47" t="s">
        <v>290</v>
      </c>
      <c r="D102" s="87">
        <f>B102*2</f>
        <v>3.7240000000000002</v>
      </c>
      <c r="E102" t="s">
        <v>290</v>
      </c>
    </row>
  </sheetData>
  <mergeCells count="4">
    <mergeCell ref="A2:A3"/>
    <mergeCell ref="B2:B3"/>
    <mergeCell ref="A24:A25"/>
    <mergeCell ref="B24:B25"/>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71"/>
  <sheetViews>
    <sheetView zoomScaleNormal="100" workbookViewId="0">
      <selection activeCell="B67" sqref="B67"/>
    </sheetView>
  </sheetViews>
  <sheetFormatPr defaultRowHeight="14.5" x14ac:dyDescent="0.35"/>
  <cols>
    <col min="1" max="1" width="33.36328125" customWidth="1"/>
    <col min="2" max="2" width="12.36328125" bestFit="1" customWidth="1"/>
    <col min="3" max="3" width="30.90625" customWidth="1"/>
    <col min="10" max="10" width="20.08984375" customWidth="1"/>
    <col min="11" max="11" width="22.81640625" customWidth="1"/>
  </cols>
  <sheetData>
    <row r="1" spans="1:3" ht="15" thickBot="1" x14ac:dyDescent="0.4">
      <c r="A1" s="37" t="s">
        <v>70</v>
      </c>
      <c r="B1" s="7"/>
      <c r="C1" s="7"/>
    </row>
    <row r="2" spans="1:3" ht="43.75" customHeight="1" thickBot="1" x14ac:dyDescent="0.4">
      <c r="A2" s="17"/>
      <c r="B2" s="17" t="s">
        <v>23</v>
      </c>
      <c r="C2" s="17" t="s">
        <v>71</v>
      </c>
    </row>
    <row r="3" spans="1:3" ht="15" thickBot="1" x14ac:dyDescent="0.4">
      <c r="A3" s="2" t="s">
        <v>72</v>
      </c>
      <c r="B3" s="1">
        <v>4</v>
      </c>
      <c r="C3" s="33" t="s">
        <v>506</v>
      </c>
    </row>
    <row r="4" spans="1:3" ht="17" thickBot="1" x14ac:dyDescent="0.4">
      <c r="A4" s="2" t="s">
        <v>79</v>
      </c>
      <c r="B4" s="1">
        <v>845</v>
      </c>
      <c r="C4" s="33">
        <v>422.5</v>
      </c>
    </row>
    <row r="5" spans="1:3" ht="15" thickBot="1" x14ac:dyDescent="0.4">
      <c r="A5" s="2" t="s">
        <v>73</v>
      </c>
      <c r="B5" s="1">
        <v>7.5</v>
      </c>
      <c r="C5" s="33">
        <v>7.5</v>
      </c>
    </row>
    <row r="6" spans="1:3" ht="15" thickBot="1" x14ac:dyDescent="0.4">
      <c r="A6" s="2" t="s">
        <v>74</v>
      </c>
      <c r="B6" s="1">
        <v>9.6</v>
      </c>
      <c r="C6" s="33">
        <v>9.6</v>
      </c>
    </row>
    <row r="7" spans="1:3" ht="15" thickBot="1" x14ac:dyDescent="0.4">
      <c r="A7" s="2" t="s">
        <v>75</v>
      </c>
      <c r="B7" s="1">
        <v>1.2</v>
      </c>
      <c r="C7" s="33">
        <v>1.2</v>
      </c>
    </row>
    <row r="8" spans="1:3" ht="17" thickBot="1" x14ac:dyDescent="0.4">
      <c r="A8" s="2" t="s">
        <v>80</v>
      </c>
      <c r="B8" s="106">
        <f>C8*4</f>
        <v>112.66666666666667</v>
      </c>
      <c r="C8" s="105">
        <f>B32</f>
        <v>28.166666666666668</v>
      </c>
    </row>
    <row r="9" spans="1:3" ht="17" thickBot="1" x14ac:dyDescent="0.4">
      <c r="A9" s="2" t="s">
        <v>81</v>
      </c>
      <c r="B9" s="1">
        <f>C9*4</f>
        <v>135.12</v>
      </c>
      <c r="C9" s="33">
        <f>C7*5*5.63</f>
        <v>33.78</v>
      </c>
    </row>
    <row r="10" spans="1:3" ht="15" thickBot="1" x14ac:dyDescent="0.4">
      <c r="A10" s="2" t="s">
        <v>76</v>
      </c>
      <c r="B10" s="1">
        <v>4</v>
      </c>
      <c r="C10" s="33">
        <v>4</v>
      </c>
    </row>
    <row r="11" spans="1:3" ht="17" thickBot="1" x14ac:dyDescent="0.4">
      <c r="A11" s="2" t="s">
        <v>32</v>
      </c>
      <c r="B11" s="1"/>
      <c r="C11" s="33">
        <f>B53</f>
        <v>112.6</v>
      </c>
    </row>
    <row r="12" spans="1:3" ht="28.5" thickBot="1" x14ac:dyDescent="0.4">
      <c r="A12" s="2" t="s">
        <v>77</v>
      </c>
      <c r="B12" s="1"/>
      <c r="C12" s="33" t="s">
        <v>522</v>
      </c>
    </row>
    <row r="13" spans="1:3" ht="31" thickBot="1" x14ac:dyDescent="0.4">
      <c r="A13" s="2" t="s">
        <v>82</v>
      </c>
      <c r="B13" s="1" t="s">
        <v>54</v>
      </c>
      <c r="C13" s="105">
        <f>B67*B32</f>
        <v>205.24111111111114</v>
      </c>
    </row>
    <row r="14" spans="1:3" ht="28.5" thickBot="1" x14ac:dyDescent="0.4">
      <c r="A14" s="2" t="s">
        <v>104</v>
      </c>
      <c r="B14" s="1" t="s">
        <v>54</v>
      </c>
      <c r="C14" s="33">
        <f>B64</f>
        <v>7</v>
      </c>
    </row>
    <row r="15" spans="1:3" ht="28.5" thickBot="1" x14ac:dyDescent="0.4">
      <c r="A15" s="2" t="s">
        <v>105</v>
      </c>
      <c r="B15" s="1" t="s">
        <v>54</v>
      </c>
      <c r="C15" s="33">
        <f>K62</f>
        <v>36</v>
      </c>
    </row>
    <row r="16" spans="1:3" ht="15" thickBot="1" x14ac:dyDescent="0.4">
      <c r="A16" s="2" t="s">
        <v>78</v>
      </c>
      <c r="B16" s="1" t="s">
        <v>54</v>
      </c>
      <c r="C16" s="33">
        <v>20</v>
      </c>
    </row>
    <row r="17" spans="1:5" ht="31" thickBot="1" x14ac:dyDescent="0.4">
      <c r="A17" s="2" t="s">
        <v>83</v>
      </c>
      <c r="B17" s="1" t="s">
        <v>54</v>
      </c>
      <c r="C17" s="105">
        <f>B63</f>
        <v>1</v>
      </c>
    </row>
    <row r="18" spans="1:5" ht="31" thickBot="1" x14ac:dyDescent="0.4">
      <c r="A18" s="2" t="s">
        <v>84</v>
      </c>
      <c r="B18" s="1" t="s">
        <v>54</v>
      </c>
      <c r="C18" s="105">
        <f>B65</f>
        <v>1690</v>
      </c>
    </row>
    <row r="19" spans="1:5" ht="31" thickBot="1" x14ac:dyDescent="0.4">
      <c r="A19" s="2" t="s">
        <v>85</v>
      </c>
      <c r="B19" s="1">
        <f>B71</f>
        <v>50.67</v>
      </c>
      <c r="C19" s="33" t="s">
        <v>54</v>
      </c>
    </row>
    <row r="21" spans="1:5" x14ac:dyDescent="0.35">
      <c r="A21" s="77" t="s">
        <v>544</v>
      </c>
      <c r="B21">
        <v>422.5</v>
      </c>
      <c r="C21" t="s">
        <v>169</v>
      </c>
      <c r="E21" t="s">
        <v>500</v>
      </c>
    </row>
    <row r="22" spans="1:5" x14ac:dyDescent="0.35">
      <c r="B22">
        <f>B21*20</f>
        <v>8450</v>
      </c>
      <c r="C22" t="s">
        <v>290</v>
      </c>
    </row>
    <row r="23" spans="1:5" x14ac:dyDescent="0.35">
      <c r="A23" s="77" t="s">
        <v>505</v>
      </c>
      <c r="B23">
        <f>B21*2</f>
        <v>845</v>
      </c>
      <c r="C23" t="s">
        <v>169</v>
      </c>
    </row>
    <row r="24" spans="1:5" x14ac:dyDescent="0.35">
      <c r="B24">
        <f>B23*20</f>
        <v>16900</v>
      </c>
      <c r="C24" t="s">
        <v>290</v>
      </c>
    </row>
    <row r="26" spans="1:5" x14ac:dyDescent="0.35">
      <c r="A26" t="s">
        <v>501</v>
      </c>
      <c r="B26" s="76">
        <f>0.0195*(B24)^0.5</f>
        <v>2.5350000000000001</v>
      </c>
      <c r="E26" t="s">
        <v>502</v>
      </c>
    </row>
    <row r="27" spans="1:5" x14ac:dyDescent="0.35">
      <c r="A27" t="s">
        <v>503</v>
      </c>
    </row>
    <row r="28" spans="1:5" x14ac:dyDescent="0.35">
      <c r="A28" t="s">
        <v>504</v>
      </c>
    </row>
    <row r="30" spans="1:5" x14ac:dyDescent="0.35">
      <c r="A30" t="s">
        <v>507</v>
      </c>
      <c r="B30">
        <f>7.5</f>
        <v>7.5</v>
      </c>
      <c r="C30" t="s">
        <v>313</v>
      </c>
    </row>
    <row r="31" spans="1:5" x14ac:dyDescent="0.35">
      <c r="B31">
        <f>7.5*20</f>
        <v>150</v>
      </c>
      <c r="C31" t="s">
        <v>508</v>
      </c>
    </row>
    <row r="32" spans="1:5" x14ac:dyDescent="0.35">
      <c r="A32" s="47" t="s">
        <v>523</v>
      </c>
      <c r="B32" s="84">
        <f>B24/(4*B31)</f>
        <v>28.166666666666668</v>
      </c>
      <c r="C32" s="47" t="s">
        <v>509</v>
      </c>
      <c r="E32" t="s">
        <v>510</v>
      </c>
    </row>
    <row r="33" spans="1:5" x14ac:dyDescent="0.35">
      <c r="A33" s="47" t="s">
        <v>514</v>
      </c>
    </row>
    <row r="34" spans="1:5" x14ac:dyDescent="0.35">
      <c r="A34" s="47" t="s">
        <v>511</v>
      </c>
      <c r="B34" s="84">
        <f>B32/5</f>
        <v>5.6333333333333337</v>
      </c>
      <c r="C34" s="47" t="s">
        <v>202</v>
      </c>
      <c r="E34" t="s">
        <v>512</v>
      </c>
    </row>
    <row r="35" spans="1:5" x14ac:dyDescent="0.35">
      <c r="E35" t="s">
        <v>513</v>
      </c>
    </row>
    <row r="50" spans="1:14" x14ac:dyDescent="0.35">
      <c r="A50" t="s">
        <v>515</v>
      </c>
      <c r="B50">
        <f>1.2</f>
        <v>1.2</v>
      </c>
      <c r="C50" t="s">
        <v>202</v>
      </c>
      <c r="E50" t="s">
        <v>516</v>
      </c>
    </row>
    <row r="51" spans="1:14" x14ac:dyDescent="0.35">
      <c r="A51" t="s">
        <v>517</v>
      </c>
      <c r="B51">
        <f>B50+2+0.5</f>
        <v>3.7</v>
      </c>
      <c r="C51" t="s">
        <v>202</v>
      </c>
      <c r="E51" t="s">
        <v>518</v>
      </c>
    </row>
    <row r="52" spans="1:14" x14ac:dyDescent="0.35">
      <c r="A52" s="47" t="s">
        <v>521</v>
      </c>
      <c r="B52" s="47">
        <v>4</v>
      </c>
      <c r="C52" s="47" t="s">
        <v>202</v>
      </c>
      <c r="E52" t="s">
        <v>519</v>
      </c>
    </row>
    <row r="53" spans="1:14" x14ac:dyDescent="0.35">
      <c r="A53" s="47" t="s">
        <v>426</v>
      </c>
      <c r="B53" s="84">
        <f>5*5.63*4</f>
        <v>112.6</v>
      </c>
      <c r="C53" s="47" t="s">
        <v>196</v>
      </c>
      <c r="E53" t="s">
        <v>520</v>
      </c>
    </row>
    <row r="54" spans="1:14" x14ac:dyDescent="0.35">
      <c r="A54" s="47" t="s">
        <v>524</v>
      </c>
      <c r="B54">
        <f>B50/B30</f>
        <v>0.16</v>
      </c>
      <c r="C54" t="s">
        <v>192</v>
      </c>
    </row>
    <row r="55" spans="1:14" x14ac:dyDescent="0.35">
      <c r="B55" s="47">
        <f>B54*60</f>
        <v>9.6</v>
      </c>
      <c r="C55" s="47" t="s">
        <v>191</v>
      </c>
    </row>
    <row r="57" spans="1:14" x14ac:dyDescent="0.35">
      <c r="A57" s="47" t="s">
        <v>525</v>
      </c>
    </row>
    <row r="59" spans="1:14" x14ac:dyDescent="0.35">
      <c r="A59" s="86" t="s">
        <v>526</v>
      </c>
      <c r="J59" s="86" t="s">
        <v>534</v>
      </c>
    </row>
    <row r="60" spans="1:14" x14ac:dyDescent="0.35">
      <c r="A60" t="s">
        <v>527</v>
      </c>
      <c r="B60">
        <v>10</v>
      </c>
      <c r="C60" t="s">
        <v>191</v>
      </c>
      <c r="J60" t="s">
        <v>527</v>
      </c>
      <c r="K60">
        <v>10</v>
      </c>
      <c r="L60" t="s">
        <v>191</v>
      </c>
    </row>
    <row r="61" spans="1:14" x14ac:dyDescent="0.35">
      <c r="B61" s="76">
        <f>B60/60</f>
        <v>0.16666666666666666</v>
      </c>
      <c r="C61" t="s">
        <v>192</v>
      </c>
      <c r="K61">
        <f>0.17</f>
        <v>0.17</v>
      </c>
      <c r="L61" t="s">
        <v>192</v>
      </c>
    </row>
    <row r="62" spans="1:14" x14ac:dyDescent="0.35">
      <c r="A62" s="47" t="s">
        <v>528</v>
      </c>
      <c r="B62" s="47">
        <v>60</v>
      </c>
      <c r="C62" s="47" t="s">
        <v>529</v>
      </c>
      <c r="E62" t="s">
        <v>531</v>
      </c>
      <c r="J62" s="47" t="s">
        <v>530</v>
      </c>
      <c r="K62" s="47">
        <v>36</v>
      </c>
      <c r="L62" s="47" t="s">
        <v>313</v>
      </c>
      <c r="N62" t="s">
        <v>540</v>
      </c>
    </row>
    <row r="63" spans="1:14" x14ac:dyDescent="0.35">
      <c r="B63" s="76">
        <f>B62/60</f>
        <v>1</v>
      </c>
      <c r="C63" t="s">
        <v>535</v>
      </c>
      <c r="E63" t="s">
        <v>536</v>
      </c>
      <c r="J63" t="s">
        <v>537</v>
      </c>
      <c r="K63">
        <f>K62*K61</f>
        <v>6.12</v>
      </c>
      <c r="L63" t="s">
        <v>538</v>
      </c>
    </row>
    <row r="64" spans="1:14" x14ac:dyDescent="0.35">
      <c r="A64" s="47" t="s">
        <v>530</v>
      </c>
      <c r="B64" s="47">
        <v>7</v>
      </c>
      <c r="C64" s="47" t="s">
        <v>313</v>
      </c>
      <c r="E64" t="s">
        <v>532</v>
      </c>
    </row>
    <row r="65" spans="1:3" x14ac:dyDescent="0.35">
      <c r="A65" s="47" t="s">
        <v>533</v>
      </c>
      <c r="B65" s="84">
        <f>B62*B32</f>
        <v>1690</v>
      </c>
      <c r="C65" s="47" t="s">
        <v>169</v>
      </c>
    </row>
    <row r="66" spans="1:3" x14ac:dyDescent="0.35">
      <c r="A66" s="7" t="s">
        <v>537</v>
      </c>
      <c r="B66" s="87">
        <f>B64*B61</f>
        <v>1.1666666666666665</v>
      </c>
      <c r="C66" s="7" t="s">
        <v>538</v>
      </c>
    </row>
    <row r="67" spans="1:3" x14ac:dyDescent="0.35">
      <c r="A67" s="47" t="s">
        <v>539</v>
      </c>
      <c r="B67" s="84">
        <f>B66+K63</f>
        <v>7.2866666666666671</v>
      </c>
      <c r="C67" s="47" t="s">
        <v>538</v>
      </c>
    </row>
    <row r="68" spans="1:3" x14ac:dyDescent="0.35">
      <c r="A68" s="7" t="s">
        <v>541</v>
      </c>
    </row>
    <row r="70" spans="1:3" x14ac:dyDescent="0.35">
      <c r="A70" s="47" t="s">
        <v>542</v>
      </c>
    </row>
    <row r="71" spans="1:3" x14ac:dyDescent="0.35">
      <c r="A71" s="47" t="s">
        <v>543</v>
      </c>
      <c r="B71" s="47">
        <f>1.5*C9</f>
        <v>50.67</v>
      </c>
      <c r="C71" s="47" t="s">
        <v>196</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Asiakirja" ma:contentTypeID="0x0101003075F6C6460E0A4080D8B65D35FF50C6" ma:contentTypeVersion="8" ma:contentTypeDescription="Luo uusi asiakirja." ma:contentTypeScope="" ma:versionID="7c7ea22583b72a84325890b1fcb29669">
  <xsd:schema xmlns:xsd="http://www.w3.org/2001/XMLSchema" xmlns:xs="http://www.w3.org/2001/XMLSchema" xmlns:p="http://schemas.microsoft.com/office/2006/metadata/properties" xmlns:ns2="d64c3315-3754-4145-927b-4a244c774b7d" targetNamespace="http://schemas.microsoft.com/office/2006/metadata/properties" ma:root="true" ma:fieldsID="7277b79cba67f4a6c84f31e06577fc68" ns2:_="">
    <xsd:import namespace="d64c3315-3754-4145-927b-4a244c774b7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64c3315-3754-4145-927b-4a244c774b7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Sisältölaji"/>
        <xsd:element ref="dc:title" minOccurs="0" maxOccurs="1" ma:index="4" ma:displayName="Otsikk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FEF6BE7-440F-4C0E-B099-285C658EE94E}">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d64c3315-3754-4145-927b-4a244c774b7d"/>
    <ds:schemaRef ds:uri="http://www.w3.org/XML/1998/namespace"/>
    <ds:schemaRef ds:uri="http://purl.org/dc/dcmitype/"/>
  </ds:schemaRefs>
</ds:datastoreItem>
</file>

<file path=customXml/itemProps2.xml><?xml version="1.0" encoding="utf-8"?>
<ds:datastoreItem xmlns:ds="http://schemas.openxmlformats.org/officeDocument/2006/customXml" ds:itemID="{64D49A28-50EA-461B-94AA-4DF02BF23D69}">
  <ds:schemaRefs>
    <ds:schemaRef ds:uri="http://schemas.microsoft.com/sharepoint/v3/contenttype/forms"/>
  </ds:schemaRefs>
</ds:datastoreItem>
</file>

<file path=customXml/itemProps3.xml><?xml version="1.0" encoding="utf-8"?>
<ds:datastoreItem xmlns:ds="http://schemas.openxmlformats.org/officeDocument/2006/customXml" ds:itemID="{4CA05965-BA57-44C5-A262-6D79B538174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64c3315-3754-4145-927b-4a244c774b7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1 Raw water characteristics</vt:lpstr>
      <vt:lpstr>2.1 Design capacity</vt:lpstr>
      <vt:lpstr>2.2 Product water requirements</vt:lpstr>
      <vt:lpstr>3.1 Pump station</vt:lpstr>
      <vt:lpstr>3.2 Chemical coagulation</vt:lpstr>
      <vt:lpstr>3.3 Flocculation</vt:lpstr>
      <vt:lpstr>3.4 Flotation</vt:lpstr>
      <vt:lpstr>3.5 Chemical oxidation</vt:lpstr>
      <vt:lpstr>3.6 Sand filtration</vt:lpstr>
      <vt:lpstr>3.7 GAC filtration</vt:lpstr>
      <vt:lpstr>3.8 UV disinfection</vt:lpstr>
      <vt:lpstr>3.9 Alkalinity, hardness and pH</vt:lpstr>
      <vt:lpstr>3.12 Sampling</vt:lpstr>
      <vt:lpstr>4 Summary</vt:lpstr>
      <vt:lpstr>5 Treatment options</vt:lpstr>
    </vt:vector>
  </TitlesOfParts>
  <Company>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Marja Palmroth</dc:creator>
  <cp:lastModifiedBy>Owner</cp:lastModifiedBy>
  <dcterms:created xsi:type="dcterms:W3CDTF">2019-07-12T07:13:46Z</dcterms:created>
  <dcterms:modified xsi:type="dcterms:W3CDTF">2022-02-15T11:25:02Z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0x0101003075F6C6460E0A4080D8B65D35FF50C6</vt:lpwstr>
  </property>
</Properties>
</file>