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Owner\Downloads\Design of Water Treatment Process-20210915T113819Z-001\"/>
    </mc:Choice>
  </mc:AlternateContent>
  <xr:revisionPtr revIDLastSave="0" documentId="13_ncr:1_{667C75FC-0794-419F-B161-EF0EA84E574B}" xr6:coauthVersionLast="47" xr6:coauthVersionMax="47" xr10:uidLastSave="{00000000-0000-0000-0000-000000000000}"/>
  <bookViews>
    <workbookView xWindow="-110" yWindow="-110" windowWidth="19420" windowHeight="10300" firstSheet="9" activeTab="9" xr2:uid="{36AE770B-C55A-4C62-943B-E5C4ACEA361E}"/>
  </bookViews>
  <sheets>
    <sheet name="1.1 Wastewater source" sheetId="1" r:id="rId1"/>
    <sheet name="1.2 Wastewater flowrate" sheetId="2" r:id="rId2"/>
    <sheet name="1.3 Quality and loading rate" sheetId="3" r:id="rId3"/>
    <sheet name="2 Discharge limit" sheetId="4" r:id="rId4"/>
    <sheet name="3 WWT process" sheetId="5" r:id="rId5"/>
    <sheet name="4.1 Pumping station" sheetId="6" r:id="rId6"/>
    <sheet name="4.2 Bar rack" sheetId="7" r:id="rId7"/>
    <sheet name="4.3 Grit removal" sheetId="8" r:id="rId8"/>
    <sheet name="4.4 Primary Settling" sheetId="9" r:id="rId9"/>
    <sheet name="4.6 Activated sludge process" sheetId="10" r:id="rId10"/>
    <sheet name="4.6.1 Aerobic stage" sheetId="11" r:id="rId11"/>
    <sheet name="4.6.2 Anoxic stage" sheetId="12" r:id="rId12"/>
    <sheet name="4.7 Secondary settling" sheetId="13" r:id="rId13"/>
    <sheet name="4.8 Chemical precipitation of P" sheetId="14" r:id="rId14"/>
    <sheet name="5.1 Sampling and measurement" sheetId="15" r:id="rId15"/>
    <sheet name="5.2 Bypassing water" sheetId="16" r:id="rId16"/>
    <sheet name="6 Process flowchart" sheetId="17" r:id="rId17"/>
  </sheets>
  <definedNames>
    <definedName name="solver_adj" localSheetId="6" hidden="1">'4.2 Bar rack'!$K$36</definedName>
    <definedName name="solver_adj" localSheetId="7" hidden="1">'4.3 Grit removal'!#REF!,'4.3 Grit removal'!$B$41</definedName>
    <definedName name="solver_cvg" localSheetId="6" hidden="1">0.0001</definedName>
    <definedName name="solver_cvg" localSheetId="7" hidden="1">0.0001</definedName>
    <definedName name="solver_drv" localSheetId="6" hidden="1">1</definedName>
    <definedName name="solver_drv" localSheetId="7" hidden="1">1</definedName>
    <definedName name="solver_eng" localSheetId="6" hidden="1">1</definedName>
    <definedName name="solver_eng" localSheetId="7" hidden="1">1</definedName>
    <definedName name="solver_est" localSheetId="6" hidden="1">1</definedName>
    <definedName name="solver_est" localSheetId="7" hidden="1">1</definedName>
    <definedName name="solver_itr" localSheetId="6" hidden="1">2147483647</definedName>
    <definedName name="solver_itr" localSheetId="7" hidden="1">2147483647</definedName>
    <definedName name="solver_lhs1" localSheetId="6" hidden="1">'4.2 Bar rack'!$K$41</definedName>
    <definedName name="solver_lhs1" localSheetId="7" hidden="1">'4.3 Grit removal'!$B$40</definedName>
    <definedName name="solver_lhs2" localSheetId="6" hidden="1">'4.2 Bar rack'!$K$45</definedName>
    <definedName name="solver_mip" localSheetId="6" hidden="1">2147483647</definedName>
    <definedName name="solver_mip" localSheetId="7" hidden="1">2147483647</definedName>
    <definedName name="solver_mni" localSheetId="6" hidden="1">30</definedName>
    <definedName name="solver_mni" localSheetId="7" hidden="1">30</definedName>
    <definedName name="solver_mrt" localSheetId="6" hidden="1">0.075</definedName>
    <definedName name="solver_mrt" localSheetId="7" hidden="1">0.075</definedName>
    <definedName name="solver_msl" localSheetId="6" hidden="1">2</definedName>
    <definedName name="solver_msl" localSheetId="7" hidden="1">2</definedName>
    <definedName name="solver_neg" localSheetId="6" hidden="1">1</definedName>
    <definedName name="solver_neg" localSheetId="7" hidden="1">1</definedName>
    <definedName name="solver_nod" localSheetId="6" hidden="1">2147483647</definedName>
    <definedName name="solver_nod" localSheetId="7" hidden="1">2147483647</definedName>
    <definedName name="solver_num" localSheetId="6" hidden="1">2</definedName>
    <definedName name="solver_num" localSheetId="7" hidden="1">1</definedName>
    <definedName name="solver_nwt" localSheetId="6" hidden="1">1</definedName>
    <definedName name="solver_nwt" localSheetId="7" hidden="1">1</definedName>
    <definedName name="solver_opt" localSheetId="6" hidden="1">'4.2 Bar rack'!$K$45</definedName>
    <definedName name="solver_opt" localSheetId="7" hidden="1">'4.3 Grit removal'!$B$40</definedName>
    <definedName name="solver_pre" localSheetId="6" hidden="1">0.000001</definedName>
    <definedName name="solver_pre" localSheetId="7" hidden="1">0.000001</definedName>
    <definedName name="solver_rbv" localSheetId="6" hidden="1">1</definedName>
    <definedName name="solver_rbv" localSheetId="7" hidden="1">1</definedName>
    <definedName name="solver_rel1" localSheetId="6" hidden="1">2</definedName>
    <definedName name="solver_rel1" localSheetId="7" hidden="1">1</definedName>
    <definedName name="solver_rel2" localSheetId="6" hidden="1">3</definedName>
    <definedName name="solver_rhs1" localSheetId="6" hidden="1">'4.2 Bar rack'!$K$47</definedName>
    <definedName name="solver_rhs1" localSheetId="7" hidden="1">0.15</definedName>
    <definedName name="solver_rhs2" localSheetId="6" hidden="1">0.4</definedName>
    <definedName name="solver_rlx" localSheetId="6" hidden="1">2</definedName>
    <definedName name="solver_rlx" localSheetId="7" hidden="1">2</definedName>
    <definedName name="solver_rsd" localSheetId="6" hidden="1">0</definedName>
    <definedName name="solver_rsd" localSheetId="7" hidden="1">0</definedName>
    <definedName name="solver_scl" localSheetId="6" hidden="1">1</definedName>
    <definedName name="solver_scl" localSheetId="7" hidden="1">1</definedName>
    <definedName name="solver_sho" localSheetId="6" hidden="1">2</definedName>
    <definedName name="solver_sho" localSheetId="7" hidden="1">2</definedName>
    <definedName name="solver_ssz" localSheetId="6" hidden="1">100</definedName>
    <definedName name="solver_ssz" localSheetId="7" hidden="1">100</definedName>
    <definedName name="solver_tim" localSheetId="6" hidden="1">2147483647</definedName>
    <definedName name="solver_tim" localSheetId="7" hidden="1">2147483647</definedName>
    <definedName name="solver_tol" localSheetId="6" hidden="1">0.01</definedName>
    <definedName name="solver_tol" localSheetId="7" hidden="1">0.01</definedName>
    <definedName name="solver_typ" localSheetId="6" hidden="1">2</definedName>
    <definedName name="solver_typ" localSheetId="7" hidden="1">2</definedName>
    <definedName name="solver_val" localSheetId="6" hidden="1">0</definedName>
    <definedName name="solver_val" localSheetId="7" hidden="1">0</definedName>
    <definedName name="solver_ver" localSheetId="6" hidden="1">3</definedName>
    <definedName name="solver_ver" localSheetId="7"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5" i="12" l="1"/>
  <c r="B99" i="10"/>
  <c r="B98" i="10"/>
  <c r="B5" i="16" l="1"/>
  <c r="B26" i="13"/>
  <c r="B6" i="13"/>
  <c r="B5" i="13"/>
  <c r="B50" i="13"/>
  <c r="I12" i="13" s="1"/>
  <c r="B37" i="13"/>
  <c r="I4" i="13" s="1"/>
  <c r="B36" i="13"/>
  <c r="B44" i="13" s="1"/>
  <c r="B30" i="13"/>
  <c r="B29" i="13"/>
  <c r="B23" i="13"/>
  <c r="B20" i="13"/>
  <c r="B19" i="13"/>
  <c r="B51" i="13" l="1"/>
  <c r="I11" i="13" s="1"/>
  <c r="I3" i="13"/>
  <c r="B27" i="13"/>
  <c r="B41" i="13"/>
  <c r="B42" i="13" s="1"/>
  <c r="I10" i="13" s="1"/>
  <c r="B47" i="13"/>
  <c r="B48" i="13" s="1"/>
  <c r="I9" i="13" s="1"/>
  <c r="B46" i="13"/>
  <c r="I5" i="13" s="1"/>
  <c r="B45" i="13"/>
  <c r="I7" i="13" s="1"/>
  <c r="B38" i="13"/>
  <c r="B40" i="13" l="1"/>
  <c r="I6" i="13" s="1"/>
  <c r="B39" i="13"/>
  <c r="I8" i="13" s="1"/>
  <c r="B31" i="14" l="1"/>
  <c r="B8" i="16"/>
  <c r="B7" i="16"/>
  <c r="B6" i="16"/>
  <c r="B29" i="16"/>
  <c r="B10" i="16" s="1"/>
  <c r="B28" i="16"/>
  <c r="B9" i="16" s="1"/>
  <c r="B15" i="16"/>
  <c r="B14" i="16"/>
  <c r="B4" i="14" l="1"/>
  <c r="B3" i="14"/>
  <c r="B39" i="14"/>
  <c r="B38" i="14"/>
  <c r="B36" i="14"/>
  <c r="B40" i="14" s="1"/>
  <c r="B43" i="14" l="1"/>
  <c r="B44" i="14" s="1"/>
  <c r="B45" i="14" s="1"/>
  <c r="B7" i="14" s="1"/>
  <c r="B41" i="14"/>
  <c r="B6" i="14" s="1"/>
  <c r="B5" i="14"/>
  <c r="B47" i="12"/>
  <c r="B46" i="12"/>
  <c r="B43" i="12"/>
  <c r="B18" i="13" l="1"/>
  <c r="B17" i="13"/>
  <c r="B18" i="12"/>
  <c r="B17" i="12"/>
  <c r="B36" i="11"/>
  <c r="B22" i="12"/>
  <c r="B42" i="12"/>
  <c r="B69" i="11"/>
  <c r="B40" i="12"/>
  <c r="B39" i="12"/>
  <c r="B23" i="12"/>
  <c r="B36" i="12" s="1"/>
  <c r="B68" i="12" s="1"/>
  <c r="B19" i="12" s="1"/>
  <c r="J28" i="11" l="1"/>
  <c r="J22" i="11"/>
  <c r="J5" i="11"/>
  <c r="J4" i="11"/>
  <c r="J3" i="11"/>
  <c r="B148" i="11"/>
  <c r="B145" i="11" l="1"/>
  <c r="B144" i="11"/>
  <c r="B135" i="11"/>
  <c r="B126" i="11" l="1"/>
  <c r="B113" i="11"/>
  <c r="B107" i="11"/>
  <c r="B123" i="11" s="1"/>
  <c r="B124" i="11" s="1"/>
  <c r="B125" i="11" s="1"/>
  <c r="B94" i="11"/>
  <c r="B72" i="11"/>
  <c r="B83" i="11"/>
  <c r="B78" i="11"/>
  <c r="B77" i="11"/>
  <c r="B68" i="11"/>
  <c r="B67" i="11"/>
  <c r="B66" i="11"/>
  <c r="B62" i="11"/>
  <c r="B60" i="11"/>
  <c r="B57" i="11"/>
  <c r="B50" i="11"/>
  <c r="B49" i="11"/>
  <c r="B48" i="11"/>
  <c r="B44" i="11"/>
  <c r="B71" i="11" l="1"/>
  <c r="B73" i="11"/>
  <c r="B74" i="11" l="1"/>
  <c r="J6" i="11" l="1"/>
  <c r="B79" i="11"/>
  <c r="J7" i="11" s="1"/>
  <c r="B27" i="12" s="1"/>
  <c r="B84" i="11"/>
  <c r="B43" i="11"/>
  <c r="B42" i="11"/>
  <c r="B40" i="11"/>
  <c r="B37" i="11"/>
  <c r="B103" i="10"/>
  <c r="B104" i="10" s="1"/>
  <c r="B100" i="10"/>
  <c r="B92" i="10"/>
  <c r="B72" i="10"/>
  <c r="C70" i="10"/>
  <c r="C69" i="10"/>
  <c r="C68" i="10"/>
  <c r="C67" i="10"/>
  <c r="C66" i="10"/>
  <c r="C65" i="10"/>
  <c r="B30" i="12" l="1"/>
  <c r="B31" i="12" s="1"/>
  <c r="B15" i="12"/>
  <c r="B85" i="11"/>
  <c r="J8" i="11"/>
  <c r="B102" i="11"/>
  <c r="B103" i="11" s="1"/>
  <c r="B60" i="10"/>
  <c r="K58" i="10"/>
  <c r="B58" i="10"/>
  <c r="K57" i="10"/>
  <c r="K55" i="10"/>
  <c r="K51" i="10"/>
  <c r="B57" i="10"/>
  <c r="B55" i="10"/>
  <c r="B54" i="10"/>
  <c r="B32" i="12" l="1"/>
  <c r="B16" i="12" s="1"/>
  <c r="J19" i="11"/>
  <c r="B132" i="11"/>
  <c r="B127" i="11"/>
  <c r="J20" i="11" s="1"/>
  <c r="B88" i="11"/>
  <c r="J9" i="11"/>
  <c r="F20" i="9"/>
  <c r="F19" i="9"/>
  <c r="F18" i="9"/>
  <c r="F17" i="9"/>
  <c r="F16" i="9"/>
  <c r="F15" i="9"/>
  <c r="F14" i="9"/>
  <c r="B15" i="9"/>
  <c r="B14" i="9"/>
  <c r="B43" i="9"/>
  <c r="B42" i="9"/>
  <c r="B40" i="9"/>
  <c r="B39" i="9"/>
  <c r="B37" i="9"/>
  <c r="B36" i="9"/>
  <c r="B34" i="9"/>
  <c r="B35" i="9"/>
  <c r="B33" i="9"/>
  <c r="B32" i="9"/>
  <c r="B28" i="9"/>
  <c r="B10" i="9"/>
  <c r="F5" i="9" s="1"/>
  <c r="B27" i="9"/>
  <c r="B25" i="9"/>
  <c r="B26" i="9" s="1"/>
  <c r="B24" i="9"/>
  <c r="B8" i="9"/>
  <c r="E5" i="9"/>
  <c r="E6" i="9"/>
  <c r="E7" i="9"/>
  <c r="E8" i="9"/>
  <c r="E4" i="9"/>
  <c r="D8" i="9"/>
  <c r="D5" i="9"/>
  <c r="D6" i="9"/>
  <c r="D7" i="9"/>
  <c r="D4" i="9"/>
  <c r="B7" i="9"/>
  <c r="B6" i="9"/>
  <c r="B5" i="9"/>
  <c r="B4" i="9"/>
  <c r="B22" i="8"/>
  <c r="B21" i="8"/>
  <c r="B20" i="8"/>
  <c r="B19" i="8"/>
  <c r="B18" i="8"/>
  <c r="B17" i="8"/>
  <c r="B15" i="8"/>
  <c r="B9" i="8"/>
  <c r="B8" i="8"/>
  <c r="B7" i="8"/>
  <c r="B6" i="8"/>
  <c r="B5" i="8"/>
  <c r="B4" i="8"/>
  <c r="B55" i="8"/>
  <c r="B54" i="8"/>
  <c r="B51" i="8"/>
  <c r="B49" i="8"/>
  <c r="B47" i="8"/>
  <c r="B46" i="8"/>
  <c r="B45" i="8"/>
  <c r="B39" i="8"/>
  <c r="B40" i="8" s="1"/>
  <c r="B30" i="8"/>
  <c r="B33" i="8"/>
  <c r="B34" i="8" s="1"/>
  <c r="B35" i="8" s="1"/>
  <c r="B28" i="8"/>
  <c r="B27" i="8"/>
  <c r="B41" i="12" l="1"/>
  <c r="B89" i="11"/>
  <c r="B90" i="11" s="1"/>
  <c r="J11" i="11" s="1"/>
  <c r="B96" i="11"/>
  <c r="B97" i="11" s="1"/>
  <c r="B98" i="11" s="1"/>
  <c r="J21" i="11"/>
  <c r="B134" i="11"/>
  <c r="F4" i="9"/>
  <c r="F7" i="9"/>
  <c r="F6" i="9"/>
  <c r="F8" i="9"/>
  <c r="B20" i="7"/>
  <c r="B19" i="7"/>
  <c r="B18" i="7"/>
  <c r="B17" i="7"/>
  <c r="B16" i="7"/>
  <c r="B15" i="7"/>
  <c r="B14" i="7"/>
  <c r="B17" i="6"/>
  <c r="B16" i="6"/>
  <c r="B15" i="6"/>
  <c r="B78" i="7"/>
  <c r="B76" i="7"/>
  <c r="B74" i="7"/>
  <c r="B73" i="7"/>
  <c r="B66" i="7"/>
  <c r="B64" i="7"/>
  <c r="B62" i="7"/>
  <c r="B61" i="7"/>
  <c r="B60" i="7"/>
  <c r="B59" i="7"/>
  <c r="B58" i="7"/>
  <c r="B53" i="7"/>
  <c r="B52" i="7"/>
  <c r="B51" i="7"/>
  <c r="K42" i="7" l="1"/>
  <c r="K41" i="7"/>
  <c r="K38" i="7"/>
  <c r="K37" i="7"/>
  <c r="C47" i="7"/>
  <c r="C40" i="7"/>
  <c r="C42" i="7"/>
  <c r="C41" i="7"/>
  <c r="C36" i="7"/>
  <c r="C38" i="7"/>
  <c r="C37" i="7"/>
  <c r="K25" i="7"/>
  <c r="C25" i="7"/>
  <c r="G25" i="7"/>
  <c r="G42" i="7"/>
  <c r="G41" i="7"/>
  <c r="K40" i="7" l="1"/>
  <c r="K45" i="7" s="1"/>
  <c r="K47" i="7" s="1"/>
  <c r="G40" i="7"/>
  <c r="G45" i="7" s="1"/>
  <c r="K26" i="7"/>
  <c r="K27" i="7" s="1"/>
  <c r="G26" i="7"/>
  <c r="G27" i="7" s="1"/>
  <c r="C26" i="7"/>
  <c r="C27" i="7" s="1"/>
  <c r="B5" i="6"/>
  <c r="B4" i="6"/>
  <c r="B3" i="6"/>
  <c r="B32" i="6"/>
  <c r="B33" i="6" s="1"/>
  <c r="B7" i="6" s="1"/>
  <c r="B28" i="6"/>
  <c r="B24" i="6"/>
  <c r="B13" i="6"/>
  <c r="G47" i="7" l="1"/>
  <c r="G37" i="7"/>
  <c r="G38" i="7" s="1"/>
  <c r="I9" i="3"/>
  <c r="I8" i="3"/>
  <c r="I7" i="3"/>
  <c r="I6" i="3"/>
  <c r="I5" i="3"/>
  <c r="I4" i="3"/>
  <c r="I3" i="3"/>
  <c r="B21" i="3"/>
  <c r="B20" i="3"/>
  <c r="B19" i="3"/>
  <c r="B18" i="3"/>
  <c r="B17" i="3"/>
  <c r="B16" i="3"/>
  <c r="B15" i="3"/>
  <c r="B13" i="3"/>
  <c r="B12" i="3"/>
  <c r="B11" i="2"/>
  <c r="B10" i="2"/>
  <c r="B9" i="2"/>
  <c r="B8" i="2"/>
  <c r="B7" i="2"/>
  <c r="B6" i="2"/>
  <c r="B5" i="2"/>
  <c r="B4" i="2"/>
  <c r="B3" i="2"/>
  <c r="B29" i="2"/>
  <c r="B28" i="2"/>
  <c r="B24" i="2"/>
  <c r="B26" i="2" l="1"/>
  <c r="B16" i="2"/>
  <c r="B15" i="2"/>
</calcChain>
</file>

<file path=xl/sharedStrings.xml><?xml version="1.0" encoding="utf-8"?>
<sst xmlns="http://schemas.openxmlformats.org/spreadsheetml/2006/main" count="1061" uniqueCount="732">
  <si>
    <t>Table 1. Flowrates to the wastewater treatment plant</t>
  </si>
  <si>
    <t>Average daily flowrate, QdA (m3/d)</t>
  </si>
  <si>
    <t>Daily design flowrate, Qd (m3/d)</t>
  </si>
  <si>
    <t>Hourly design flowrate, Qh (m3/h)</t>
  </si>
  <si>
    <t>Peak flowrate, QhMAX (m3/h)</t>
  </si>
  <si>
    <t>Minimum flowrate, QhMIN (m3/h)</t>
  </si>
  <si>
    <t>Ratio Qd/QdA</t>
  </si>
  <si>
    <t>Ratio QhMAX/QhA</t>
  </si>
  <si>
    <t>Ration QhMIN/QhA</t>
  </si>
  <si>
    <t>Average hourly flowrate, QhA (m3/h)</t>
  </si>
  <si>
    <t>Value</t>
  </si>
  <si>
    <t>m3/d</t>
  </si>
  <si>
    <t>(Selection between 10 000 - 60 000 m3/d as average daily flowrate)</t>
  </si>
  <si>
    <t>Average daily flowrate (QdA)</t>
  </si>
  <si>
    <t>Average hourly flowrate (QhA)</t>
  </si>
  <si>
    <t>m3/h</t>
  </si>
  <si>
    <t>From figure 18-1 (Davis 2010), the ratio can be obtained as:</t>
  </si>
  <si>
    <t>QhMAX / QhA</t>
  </si>
  <si>
    <t>QhMIN / QhA</t>
  </si>
  <si>
    <t>Peak flowrate (QhMAX)</t>
  </si>
  <si>
    <t>Daily design flowrate (Qd)</t>
  </si>
  <si>
    <t>Qd / QdA</t>
  </si>
  <si>
    <t>Qd</t>
  </si>
  <si>
    <t>(Aligned with 'Peak hour on max.day')</t>
  </si>
  <si>
    <t>(Aligned with 'Minimum hour on min.day')</t>
  </si>
  <si>
    <t>(Aligned with 'Maximum day')</t>
  </si>
  <si>
    <t>Hourly design flowrate (Qh)</t>
  </si>
  <si>
    <t>Mimum hour on min day (QhMIN)</t>
  </si>
  <si>
    <t>(This is the chosen flowrate for the design of the wastewater treatment plant)</t>
  </si>
  <si>
    <t>Table 2. The influent water quality</t>
  </si>
  <si>
    <t>Suspended solid</t>
  </si>
  <si>
    <t>Suspended solid (SS) (mg/L)</t>
  </si>
  <si>
    <t>Organic matter as CODCr (mg/L)</t>
  </si>
  <si>
    <t>Biologically degradable organic matter BOD7-atu (mg/L)</t>
  </si>
  <si>
    <t>P-tot (mg/L)</t>
  </si>
  <si>
    <t>N-tot (mg/L)</t>
  </si>
  <si>
    <t>NH4-N (mg/L)</t>
  </si>
  <si>
    <t>Temperature (oC)</t>
  </si>
  <si>
    <t>Average</t>
  </si>
  <si>
    <t>310 - 620</t>
  </si>
  <si>
    <t>490 - 1300</t>
  </si>
  <si>
    <t>180 - 440</t>
  </si>
  <si>
    <t>7.3 - 11</t>
  </si>
  <si>
    <t>49 - 77</t>
  </si>
  <si>
    <t>29 - 46</t>
  </si>
  <si>
    <t>7 - 16</t>
  </si>
  <si>
    <t>Table 3. Loading rate at design flowrate and inhabitant equivalent</t>
  </si>
  <si>
    <t>Suspended solid (kg/d)</t>
  </si>
  <si>
    <t>Organic matter CODCr (kg/d)</t>
  </si>
  <si>
    <t>Biologically degradable organic matter BOD7-atu (kg/d)</t>
  </si>
  <si>
    <t>P-tot (kg/d)</t>
  </si>
  <si>
    <t>N-tot (kg/d)</t>
  </si>
  <si>
    <t>NH4-N (kg/d)</t>
  </si>
  <si>
    <t>Population equivalent (PE)</t>
  </si>
  <si>
    <t>Qh</t>
  </si>
  <si>
    <t>PE</t>
  </si>
  <si>
    <t>kg/d</t>
  </si>
  <si>
    <t>CODCr</t>
  </si>
  <si>
    <t>BOD7-atu</t>
  </si>
  <si>
    <t>P-tot</t>
  </si>
  <si>
    <t>N-tot</t>
  </si>
  <si>
    <t>NH4-N</t>
  </si>
  <si>
    <t>inhabitants</t>
  </si>
  <si>
    <t>(Conversion: 1 PE = 70g BOD7/inhabitants/d)</t>
  </si>
  <si>
    <t>2 treatment lines are designed for the wastewater plant system</t>
  </si>
  <si>
    <t>so that in case of process maintainance or sudden break-down of line,</t>
  </si>
  <si>
    <t>there is a possibility to cross-run the lines to keep the process continuing without completely shutting down of the plant operation.</t>
  </si>
  <si>
    <t>The wastewater treatment plant consists of the following units</t>
  </si>
  <si>
    <t>- Pumping station and flowrate measurement</t>
  </si>
  <si>
    <t>- Bar rack</t>
  </si>
  <si>
    <t>- Grit removal</t>
  </si>
  <si>
    <t>- Primary settling</t>
  </si>
  <si>
    <t>- Biological activated sludge process with nitrogen removal</t>
  </si>
  <si>
    <t>- Chemical precipitation of phosphorus</t>
  </si>
  <si>
    <t>- Sampling, flowrate measurement and discharge to the surface water</t>
  </si>
  <si>
    <t>The sludge is treated by thickening, chemical conditioning, and anaerobic digestion.</t>
  </si>
  <si>
    <t>Table 5. Designing of pumping station</t>
  </si>
  <si>
    <t>Lift height required (m)</t>
  </si>
  <si>
    <t>The optimal capacity based on minimum flowrate (m3/h)</t>
  </si>
  <si>
    <t>The type of pump selected</t>
  </si>
  <si>
    <t>Number of pumps</t>
  </si>
  <si>
    <t>The capacity at average flowrate (%)</t>
  </si>
  <si>
    <t>Minimum sewage elevation</t>
  </si>
  <si>
    <t>m</t>
  </si>
  <si>
    <t>Maximum sewage elevation</t>
  </si>
  <si>
    <t>Discharge elevation</t>
  </si>
  <si>
    <t>Maximum required lift height</t>
  </si>
  <si>
    <t>Minimum flowrate</t>
  </si>
  <si>
    <t>Maximum flowrate</t>
  </si>
  <si>
    <t>Average flowrate</t>
  </si>
  <si>
    <t>This type of pump meets the requirement of lift height, plus, the maximum capacity is over the average flowrate.</t>
  </si>
  <si>
    <t>Therefore, it is the most suitable pump in this case.</t>
  </si>
  <si>
    <t>When considering the capacity of 30% and a reduced efficiency of 60%</t>
  </si>
  <si>
    <t>The selection of the pump is the same as mentioned above when considering the capacity and efficiency.</t>
  </si>
  <si>
    <t>Maximum capacity of pump</t>
  </si>
  <si>
    <t>Number of pump at peak flowrate</t>
  </si>
  <si>
    <t>pumps</t>
  </si>
  <si>
    <t xml:space="preserve">approx. 2 </t>
  </si>
  <si>
    <t>The number of the pumps in the plant should be 3 for backup pumps or maintenance</t>
  </si>
  <si>
    <t>Operation of 2 pumps at average flowrate</t>
  </si>
  <si>
    <t>Capacity at average flowrate</t>
  </si>
  <si>
    <t>%</t>
  </si>
  <si>
    <t>Optimal capacity</t>
  </si>
  <si>
    <t>2 pumps running at peak hour and 1 backup pump</t>
  </si>
  <si>
    <t>Table 6. Input data to design a bar rack</t>
  </si>
  <si>
    <t>Velocity in the channel (m/s)</t>
  </si>
  <si>
    <t>Slope of the channel (m/m)</t>
  </si>
  <si>
    <t>Coefficient of roughness for concrete</t>
  </si>
  <si>
    <t>Channel width (m)</t>
  </si>
  <si>
    <t>Freeboard above water level (m)</t>
  </si>
  <si>
    <t>Number of channels</t>
  </si>
  <si>
    <t>Notice</t>
  </si>
  <si>
    <t>0.4 - 0.9</t>
  </si>
  <si>
    <t>0.0001 - 0.0005</t>
  </si>
  <si>
    <t>0.4 - 3</t>
  </si>
  <si>
    <t>Select suitable</t>
  </si>
  <si>
    <t>Manning equation</t>
  </si>
  <si>
    <t>Table 7. Designing of bar rack</t>
  </si>
  <si>
    <t>Number of bar racks</t>
  </si>
  <si>
    <t>Length (m)</t>
  </si>
  <si>
    <t>Width (m)</t>
  </si>
  <si>
    <t>Depth (m)</t>
  </si>
  <si>
    <t>Water level at average flowrate (m)</t>
  </si>
  <si>
    <t>Headloss with 50% clogged bar rack at average flowrate (m)</t>
  </si>
  <si>
    <t>Amount of waste (kg/d)</t>
  </si>
  <si>
    <t>Amount of waste (m3/d)</t>
  </si>
  <si>
    <t>Number and volume of containers and emptying interval</t>
  </si>
  <si>
    <t>Flowrate (1 line)</t>
  </si>
  <si>
    <t>Peak</t>
  </si>
  <si>
    <t>Minimum</t>
  </si>
  <si>
    <t>m3/s</t>
  </si>
  <si>
    <t>Input data</t>
  </si>
  <si>
    <t>Rougness coeffiecient (n)</t>
  </si>
  <si>
    <t>Slope (S)</t>
  </si>
  <si>
    <t>Roughness coefficient (n)</t>
  </si>
  <si>
    <t>m/m</t>
  </si>
  <si>
    <t>Geometric</t>
  </si>
  <si>
    <t>W</t>
  </si>
  <si>
    <t>D</t>
  </si>
  <si>
    <t>A (initial estimate)</t>
  </si>
  <si>
    <t>D (initial estimate)</t>
  </si>
  <si>
    <t>Geometrics</t>
  </si>
  <si>
    <t>m2</t>
  </si>
  <si>
    <t>R</t>
  </si>
  <si>
    <t>A</t>
  </si>
  <si>
    <t>Wet perimeter</t>
  </si>
  <si>
    <t>(0.4 is the minimum velocity for the design of the bar rack)</t>
  </si>
  <si>
    <t>v</t>
  </si>
  <si>
    <t xml:space="preserve">(With the minimum flowrate, the velocity is smaller than 0.4 m/2. Therefore, there is only 1 bar rack needed in the case </t>
  </si>
  <si>
    <t>of minimum velocity)</t>
  </si>
  <si>
    <t>* Calculating the headloss of bar rack</t>
  </si>
  <si>
    <t>Channel width</t>
  </si>
  <si>
    <t>mm</t>
  </si>
  <si>
    <t>Bar width</t>
  </si>
  <si>
    <t>Bar spacing</t>
  </si>
  <si>
    <t>Slope</t>
  </si>
  <si>
    <t>k_clean</t>
  </si>
  <si>
    <t>k_clogged</t>
  </si>
  <si>
    <t>(Discharge coefficient)</t>
  </si>
  <si>
    <t>Number of bars</t>
  </si>
  <si>
    <t>bars</t>
  </si>
  <si>
    <t>(Equation 20-6 in Davis 2010)</t>
  </si>
  <si>
    <t>Number of bar space</t>
  </si>
  <si>
    <t>spaces</t>
  </si>
  <si>
    <t>(Number of space = Number of bars + 1)</t>
  </si>
  <si>
    <t>Effective screening area</t>
  </si>
  <si>
    <t>v_through</t>
  </si>
  <si>
    <t>m/s</t>
  </si>
  <si>
    <t>v_approach</t>
  </si>
  <si>
    <t>Headloss (clean bar rack)</t>
  </si>
  <si>
    <t>Gravitational acceleration (g)</t>
  </si>
  <si>
    <t>m/s2</t>
  </si>
  <si>
    <t>(Equation 20-5 in Davis 2010)</t>
  </si>
  <si>
    <t>Headloss (50% clogged bar rack)</t>
  </si>
  <si>
    <t>(When the bar rack is 50% clogged, the area of flow is reduced</t>
  </si>
  <si>
    <t>to 50 %. Hence, the v_through is doubled)</t>
  </si>
  <si>
    <t>* Estimating the amount of waste in bar rack</t>
  </si>
  <si>
    <t>The headloss of clean bar rack is fine, but the headloss of clogged bar rack exceed the limitation by operational control. As stated in Davis 2010, the headloss is limited to 150mm</t>
  </si>
  <si>
    <t>Screen quantity</t>
  </si>
  <si>
    <t>m3 waste/10^6 m3 wastewater</t>
  </si>
  <si>
    <t>Q_avg</t>
  </si>
  <si>
    <t>Amount of waste</t>
  </si>
  <si>
    <t>(Selection from figure 27-2 in Davis 2010)</t>
  </si>
  <si>
    <t>m3 waste/d</t>
  </si>
  <si>
    <t>Bulk density</t>
  </si>
  <si>
    <t>kg/m3</t>
  </si>
  <si>
    <t>(Selection from table 27-1 in Davis 2010)</t>
  </si>
  <si>
    <t>V_container</t>
  </si>
  <si>
    <t>m3</t>
  </si>
  <si>
    <t>(Selection from the instruction)</t>
  </si>
  <si>
    <t>Empty interval</t>
  </si>
  <si>
    <t>day</t>
  </si>
  <si>
    <t>The reason for choosing 1 m3 container is because the waste produced is 0.75 m3/d, and the container should be bigger than that amount of waste.</t>
  </si>
  <si>
    <t>In addition, too big container will results in cost increasing. Therefore, the most suitable one is the 1 m3 container.</t>
  </si>
  <si>
    <t xml:space="preserve">The empty interval is calculate by dividing the volume of the container to the amount of waste (m3/d). It is obvious that the waste accounts for 75% </t>
  </si>
  <si>
    <t>of the container's volume everyday. Hence, it is necessary to empty the waste for next day usage.</t>
  </si>
  <si>
    <t>(2 bar racks in main line, and 1 for back-up)</t>
  </si>
  <si>
    <t>Based on table 20-1 (Davis 2010), the type of pump should be used is the 2-flight pump with screw diameter 1.52m</t>
  </si>
  <si>
    <t>(Flowrate in 1 line)</t>
  </si>
  <si>
    <t>(According to figure 20-6 in Davis 2010, the lenth of the channel is 10*depth of bar rack)</t>
  </si>
  <si>
    <t>(The depth of the channel is the water level at peak flowrate plus 0.6m as free board)</t>
  </si>
  <si>
    <t>Velocity across bottom of chamber v_b (m/s)</t>
  </si>
  <si>
    <t>Submergence (m)</t>
  </si>
  <si>
    <t>Air flow rate A_f (m3/(s*m))</t>
  </si>
  <si>
    <t>Openning slot under the baffle d_b (m)</t>
  </si>
  <si>
    <t>Width of the grit channel (m)</t>
  </si>
  <si>
    <t>≤ 0.15</t>
  </si>
  <si>
    <t>Number of tanks</t>
  </si>
  <si>
    <t>Volume (m3)</t>
  </si>
  <si>
    <t>Geometry: L x W x D</t>
  </si>
  <si>
    <t>Ratio Length/Width</t>
  </si>
  <si>
    <t>Ratio Length/Depth</t>
  </si>
  <si>
    <t>Retention time (min)</t>
  </si>
  <si>
    <t>Achieved velocity across bottom of chamber v_b (m/s)</t>
  </si>
  <si>
    <t>Grit volume (m3/d)</t>
  </si>
  <si>
    <t>Mass of grit (kg/d)</t>
  </si>
  <si>
    <t>Table 9. Designing of the grit removal</t>
  </si>
  <si>
    <t>Table 8. Input data to design grit removal</t>
  </si>
  <si>
    <t>* Design of grit removal</t>
  </si>
  <si>
    <t>Q_peak flow</t>
  </si>
  <si>
    <t>Detention time</t>
  </si>
  <si>
    <t>s</t>
  </si>
  <si>
    <t>(From table 20-11 in Davis 2010)</t>
  </si>
  <si>
    <t>(1 treatment line)</t>
  </si>
  <si>
    <t>W/D</t>
  </si>
  <si>
    <t>Water depth (D)</t>
  </si>
  <si>
    <t>(Acceptable value (Davis 2010))</t>
  </si>
  <si>
    <t>V_grit chamber (estimated)</t>
  </si>
  <si>
    <t>Length (L)</t>
  </si>
  <si>
    <t>(Acceptable since 7.5 &lt; L &lt; 27.5 (Davis 2010))</t>
  </si>
  <si>
    <t>L/W</t>
  </si>
  <si>
    <t>Water width (W)</t>
  </si>
  <si>
    <t>(Acceptable since L/W = 2.5:1 - 5:1)</t>
  </si>
  <si>
    <t>K</t>
  </si>
  <si>
    <t>m.s</t>
  </si>
  <si>
    <t>(Dimensional coefficient)</t>
  </si>
  <si>
    <t>A_f</t>
  </si>
  <si>
    <t>(m3/s)*m</t>
  </si>
  <si>
    <t>d_b</t>
  </si>
  <si>
    <t>S</t>
  </si>
  <si>
    <t>v_b</t>
  </si>
  <si>
    <t>(Equation 20-11 in Davis 2010)</t>
  </si>
  <si>
    <t>d_b was selected in the range of 0.6 - 1m (Davis 2010). The value which were iterated was A_f</t>
  </si>
  <si>
    <t>After iteration, A_f was 0.004 (m3/s)*s, which was in the typical range 0.0019-0.0125 (m3/s)*m</t>
  </si>
  <si>
    <t>(Typical range 0.6-1 -&gt; OK)</t>
  </si>
  <si>
    <t>(Typical range 0.0019-0.0125 -&gt; OK)</t>
  </si>
  <si>
    <t>Grit loading</t>
  </si>
  <si>
    <t>m3/m3 flow</t>
  </si>
  <si>
    <t>V_grit</t>
  </si>
  <si>
    <t>Width of grit channel</t>
  </si>
  <si>
    <t>Depth of grit channel</t>
  </si>
  <si>
    <t>Density</t>
  </si>
  <si>
    <t>Grit mass</t>
  </si>
  <si>
    <t>Number of containers</t>
  </si>
  <si>
    <t>(From instruction)</t>
  </si>
  <si>
    <t>Total V_container</t>
  </si>
  <si>
    <t>Emptying interval</t>
  </si>
  <si>
    <t>days</t>
  </si>
  <si>
    <t>the grit in 2 days)</t>
  </si>
  <si>
    <t>(Approximately, the emptying interval is 1 day because there is insufficient volume for accumulating</t>
  </si>
  <si>
    <t>(1 tank per treatment line)</t>
  </si>
  <si>
    <t>11.19 x 4.5 x 3</t>
  </si>
  <si>
    <t>Two 10m3 containers per line
Emptying interval: 1 day</t>
  </si>
  <si>
    <t>1 container with V=1 m3 per line. 
Emptying interval: 1 day</t>
  </si>
  <si>
    <t>Table 10. Concentration and loading of wastewater pollutants to activated sludge process</t>
  </si>
  <si>
    <t>Parameter</t>
  </si>
  <si>
    <t>Loading to the wastewater treatment plant at design flowrate (kg/d)</t>
  </si>
  <si>
    <t>Reduction in primary settling (%)</t>
  </si>
  <si>
    <t>Reduction in primary settling (kg/d)</t>
  </si>
  <si>
    <t>Loading in activated sludge process at design flowrate (L_as)(kg/d)</t>
  </si>
  <si>
    <t>Concentration in activated sludge process at design flowrate (C_as)(mg/L)</t>
  </si>
  <si>
    <t>COD_Cr</t>
  </si>
  <si>
    <t>Table 11. Input data for the design of primary settling</t>
  </si>
  <si>
    <t>Surface loading rate at peak flowrate (m3/d/m2)</t>
  </si>
  <si>
    <t>Retention time in the feedwell (min)</t>
  </si>
  <si>
    <t>Table 12. The designing of the primary settling</t>
  </si>
  <si>
    <t>Surface area (m2)</t>
  </si>
  <si>
    <t>Diameter (m)</t>
  </si>
  <si>
    <t>Water depth (m)</t>
  </si>
  <si>
    <t>Diameter of feedwell (m)</t>
  </si>
  <si>
    <t>Weir loading rate (m3/h.m)</t>
  </si>
  <si>
    <t>Length of weirs (m)</t>
  </si>
  <si>
    <t>* Designing of primary settling</t>
  </si>
  <si>
    <t>Overflow rate (peak flow)</t>
  </si>
  <si>
    <t>m3/(m2*d)</t>
  </si>
  <si>
    <t>(Selection from table 21-1 in Davis 2010)</t>
  </si>
  <si>
    <t>Peak flow rate</t>
  </si>
  <si>
    <t>Surface area</t>
  </si>
  <si>
    <t>Tank's diameter</t>
  </si>
  <si>
    <t>(As in table 21-1, the value is in typical range 12-45m)</t>
  </si>
  <si>
    <t>Retention time</t>
  </si>
  <si>
    <t>min</t>
  </si>
  <si>
    <t>(As in the instruction)</t>
  </si>
  <si>
    <t>Tank's depth</t>
  </si>
  <si>
    <t>Volume of feedwell</t>
  </si>
  <si>
    <t>The depth of feedwell</t>
  </si>
  <si>
    <t>(The depth of feedwell is 30-75% of tank depth (Davis 2010))</t>
  </si>
  <si>
    <t>Surface area feedwell</t>
  </si>
  <si>
    <t>Diamter of feedwell</t>
  </si>
  <si>
    <t>(The value is smaller than 50% of tank's diameter -&gt; OK)</t>
  </si>
  <si>
    <t>Length of weir</t>
  </si>
  <si>
    <t>(Length of weir = perimeter of the bottom of tank)</t>
  </si>
  <si>
    <t>Weir loading rate</t>
  </si>
  <si>
    <t>Length of double edged weir</t>
  </si>
  <si>
    <t>(It is recommended to use this type of weir</t>
  </si>
  <si>
    <t>to reduce the weir loading)</t>
  </si>
  <si>
    <t>(m3/d.m)</t>
  </si>
  <si>
    <t>(m3/h.m)</t>
  </si>
  <si>
    <t>(1 tank per line)</t>
  </si>
  <si>
    <t>1)</t>
  </si>
  <si>
    <t>The activated sludge is a biological process which occurs after the primary settling in a wastewater treatment plant.</t>
  </si>
  <si>
    <t>The basic components of the activated sludge process are aeration tank, settling tank, and return activated sludge equipment.</t>
  </si>
  <si>
    <t>After the primary settling, the wastewater is transferred to the aeration tank, where air is pumped to combine with microorganism in the fluent to form biological flocs.</t>
  </si>
  <si>
    <t xml:space="preserve">This biological floc is called "Activated Sludge". The mixture of raw sewage and biological mass is known as "Mixed Liquor". </t>
  </si>
  <si>
    <t>After the aeration process, the mixed liquor will go to the secondary clarifier. In this tank, the activated sludge is settled out, and the treated water will move on to further treatment process.</t>
  </si>
  <si>
    <t>The settled out sludge in the secondary clarifier (normally known as "Return Activated Sludge") will be returned to the aeration tank to maintain the population of microbes as well as permits rapid breakdown of organic compounds.</t>
  </si>
  <si>
    <t xml:space="preserve">Since activated sludge is often produced more than desire, some of the returned activated sludge will not be returned to the aeration tank. Instead of that, it will undergo another disposal or sludge treatment process. This type of sludge is known as "Waste Activated Sludge" </t>
  </si>
  <si>
    <t xml:space="preserve">Here are some terms that are familiar within the activated sludge process. </t>
  </si>
  <si>
    <t>- Mixed Liquor Suspended Solid (MLSS)</t>
  </si>
  <si>
    <t>- Mixed Liquor Volatile Suspended Solid (MLVSS)</t>
  </si>
  <si>
    <t>The graph illustrates the microbial activity during the activated sludge process.</t>
  </si>
  <si>
    <t>Phase A illustrate the duration of young sludge age. Here, we have a low floc 
formation and low population of floc form bacteria but high concentration of free 
bacteria. In this phase, the effluent will be appeared as cloudy because there is not 
much settling in the effluent. Having low population of floc formation also means that 
the F/M ratio, which represent for BOD or food, is high.</t>
  </si>
  <si>
    <t>Phase B shows the healthy of sludge age. In this phase, floc formation bacteria begin to grow up and secrete an agent that form flocs, therefore, the effluent appears to be clearer as more flocs are able to settle. The F/M ratio in this phase begins to reduce since bacteria are able to reduce the BOD in the effluent.</t>
  </si>
  <si>
    <t>Phase C shows the duration of old sludge age. In this phase, the F/M ratio begin to drop. This cause a problem of lacking food for bacteria. Thus, the bacteria start eating the flocculating chemical which helps the flocs to stick together. By doing so, the flocs begin to dispatch</t>
  </si>
  <si>
    <t>References</t>
  </si>
  <si>
    <t>Lenntech. N.d. MLVSS - Mixed liquor volatile suspended solid. Website. Available: https://www.lenntech.com/wwtp/mlvss.htm#:~:text=MVLSS%20is%20generally%20defined%20as,sludge%20biological%20wastewater%20treatment%20plant.</t>
  </si>
  <si>
    <t>Davis, M. L. 2010. Water and Wastewater Engineering: Design Principles and Practice. McGraw-Hill Education. Ch23</t>
  </si>
  <si>
    <t>The International Water Association. N.d. Activated Sludge Process. Website. Available: https://www.iwapublishing.com/news/activated-sludge-process</t>
  </si>
  <si>
    <t>2)</t>
  </si>
  <si>
    <t>a)</t>
  </si>
  <si>
    <t>M_C2H4O2</t>
  </si>
  <si>
    <t>g/mol</t>
  </si>
  <si>
    <t>M_O2</t>
  </si>
  <si>
    <t>CH3COOH + 2O2 -&gt; 2CO2 + 2H2O   (1)</t>
  </si>
  <si>
    <t>C2H5NO2 + 1.5O2 -&gt; NH3 + 2CO2 + H2O     (2)</t>
  </si>
  <si>
    <t>n_C2H4O2</t>
  </si>
  <si>
    <t>m_C2H4O2</t>
  </si>
  <si>
    <t>mg/L</t>
  </si>
  <si>
    <t>mol/L</t>
  </si>
  <si>
    <t>According to equation (1), 1 mol CH3COOH will consume 2 mol O2</t>
  </si>
  <si>
    <t>n_O2</t>
  </si>
  <si>
    <t>M_C2H5NO2</t>
  </si>
  <si>
    <t>m_C2H5NO2</t>
  </si>
  <si>
    <t>n_C2H5NO2</t>
  </si>
  <si>
    <t>According to equation (2), 1 mol of C2H5NO2 will need 1.5 mol O2</t>
  </si>
  <si>
    <t>m_O2(1)</t>
  </si>
  <si>
    <t>g/L</t>
  </si>
  <si>
    <t>m_O2(2)</t>
  </si>
  <si>
    <t>Total amount COD</t>
  </si>
  <si>
    <t>b)</t>
  </si>
  <si>
    <t>NH3 + 3/2 O2 -&gt; HNO2 + H2O      (3)</t>
  </si>
  <si>
    <t>HNO2 + 1/2 O2 -&gt; HNO3               (4)</t>
  </si>
  <si>
    <t>From (2)</t>
  </si>
  <si>
    <t>n_NH3</t>
  </si>
  <si>
    <t>(n_NH3 = n_C2H5NO2)</t>
  </si>
  <si>
    <t>From (3)</t>
  </si>
  <si>
    <t>n_O2(3)</t>
  </si>
  <si>
    <t>(n_O2(3) = 1.5*n_NH3)</t>
  </si>
  <si>
    <t>m_O2(3)</t>
  </si>
  <si>
    <t>n_HNO2</t>
  </si>
  <si>
    <t>From (4)</t>
  </si>
  <si>
    <t>n_O2(4)</t>
  </si>
  <si>
    <t>(n_O2(4) = 0.5*n_HNO2)</t>
  </si>
  <si>
    <t>m_O2(4)</t>
  </si>
  <si>
    <t>ThOD</t>
  </si>
  <si>
    <t xml:space="preserve">3) </t>
  </si>
  <si>
    <t xml:space="preserve">COD is the defined as Chemical Oxygen Demand. It is used to measure the water and wastewater quality. </t>
  </si>
  <si>
    <t xml:space="preserve">The COD is the amount of oxygen consumed to chemically oxidize organic water contaminants to Inorganic end products. </t>
  </si>
  <si>
    <t xml:space="preserve">The COD is measured by using a strong oxidant (e.g. K2Cr2O7, KI, or KMnO4) under acidic condition. </t>
  </si>
  <si>
    <t xml:space="preserve">A known excess amount of oxidant is added to the sample. Once oxidation is complete, the concentration of organics in the sample is calculated by measuring the amount of oxidant remaining in the solution. This is usually done by titration, using an indicator solution. </t>
  </si>
  <si>
    <t xml:space="preserve">The COD test takes 2-3 hours. It can measure all organic contaminants, including those that are not biodegradable. </t>
  </si>
  <si>
    <t xml:space="preserve">In my opinion, the reason COD test is not include nitrification is because it will affect the accuracy of the COD test.  </t>
  </si>
  <si>
    <t>Nitrification bacteria are microoragnism that consumes oxygen to oxidize the organic matter in the wastewater, whilst COD is used to measure oxygen that are consumed chemically to oxidize organic matter.</t>
  </si>
  <si>
    <t>References:</t>
  </si>
  <si>
    <t>Water for COD-Chemical Oxygen Demand. Merck, website, available (accessed on 18.02.2022): https://www.merckmillipore.com/FI/en/water-purification/learning-centers/applications/environment-water-analysis/cod/CLqb.qB.BIMAAAFAZwsQWTdi,nav?ReferrerURL=https%3A%2F%2Fwww.google.com%2F&amp;bd=1</t>
  </si>
  <si>
    <t>4)</t>
  </si>
  <si>
    <t>k_20oC</t>
  </si>
  <si>
    <t>d^-1</t>
  </si>
  <si>
    <t>theta</t>
  </si>
  <si>
    <t>k_30oC</t>
  </si>
  <si>
    <t>* At T = 20oC</t>
  </si>
  <si>
    <t>BOD5</t>
  </si>
  <si>
    <t>BOD_total</t>
  </si>
  <si>
    <t>Let BOD_total = x, then we have x - 210 =x*e^(-kt)</t>
  </si>
  <si>
    <t>BOD_10</t>
  </si>
  <si>
    <t>BOD_10_left</t>
  </si>
  <si>
    <t>* At T = 30oC</t>
  </si>
  <si>
    <t>BOD5_left</t>
  </si>
  <si>
    <t>Meaning of parameter</t>
  </si>
  <si>
    <t>Heterotroph</t>
  </si>
  <si>
    <t>Unit</t>
  </si>
  <si>
    <t>Φ</t>
  </si>
  <si>
    <t>Value at 12oC</t>
  </si>
  <si>
    <t>μm</t>
  </si>
  <si>
    <t>K_d</t>
  </si>
  <si>
    <t>K_s</t>
  </si>
  <si>
    <t>Y</t>
  </si>
  <si>
    <t>f_d</t>
  </si>
  <si>
    <t>Nitrifying bacteria</t>
  </si>
  <si>
    <t>μn_max</t>
  </si>
  <si>
    <t>K_n</t>
  </si>
  <si>
    <t>K_dn</t>
  </si>
  <si>
    <t>K_0</t>
  </si>
  <si>
    <t>Y_n</t>
  </si>
  <si>
    <t xml:space="preserve">(g VSS/g bCOD) </t>
  </si>
  <si>
    <t>(g/g)</t>
  </si>
  <si>
    <t>(g/m3)</t>
  </si>
  <si>
    <t>(g VSS/g NH4-N)</t>
  </si>
  <si>
    <t>Table 13. Biokinetic parameters for heterotrophs and nitrying bacteria</t>
  </si>
  <si>
    <t>Table 14. Designing of activated sludge process</t>
  </si>
  <si>
    <t>μn (1/d)</t>
  </si>
  <si>
    <t>θc,min (d)</t>
  </si>
  <si>
    <t>θc (d)</t>
  </si>
  <si>
    <t>Px (kg/d)</t>
  </si>
  <si>
    <t>Nitrogen oxidized Nox (mg/L)</t>
  </si>
  <si>
    <t>m_MLVSS (mg/L)</t>
  </si>
  <si>
    <t>m_MLSS (mg/L)</t>
  </si>
  <si>
    <t>Volume and geometry (L x W x D)</t>
  </si>
  <si>
    <t>HRT (h)</t>
  </si>
  <si>
    <t>Table 16. Data for aeration</t>
  </si>
  <si>
    <t>M_O2 = OTR = AOTR (kg/d)</t>
  </si>
  <si>
    <t>SOTR</t>
  </si>
  <si>
    <t>Air flow rate in std conditions (m3/h)</t>
  </si>
  <si>
    <t>Number of compressor (+extra)</t>
  </si>
  <si>
    <t>Air flowrate per compressor (m3/h)</t>
  </si>
  <si>
    <t>Table 17. The amount of CaCO3 needed to be added in the aeration tank to compensate for alkalinity loss for nitrification</t>
  </si>
  <si>
    <t>To be added CaCO3</t>
  </si>
  <si>
    <t>*Calculation of biokinetic parameter</t>
  </si>
  <si>
    <t>For heterotroph</t>
  </si>
  <si>
    <t>g VSS/(g VSS*d)</t>
  </si>
  <si>
    <t>μm (12oC)</t>
  </si>
  <si>
    <t>K_s (12oC)</t>
  </si>
  <si>
    <t>(μm is selected from table 23-13 in Davis 2010)</t>
  </si>
  <si>
    <t>(The formula for temperature correction is shown in the same table)</t>
  </si>
  <si>
    <t>g bCOD/m3</t>
  </si>
  <si>
    <t>K_d (12oC)</t>
  </si>
  <si>
    <t>Y (12oC)</t>
  </si>
  <si>
    <t>Yield</t>
  </si>
  <si>
    <t>Decay rate</t>
  </si>
  <si>
    <t>Fraction of cell mass that remains as cell debris</t>
  </si>
  <si>
    <t>g VSS/g bCOD</t>
  </si>
  <si>
    <t>g/g</t>
  </si>
  <si>
    <t>For nitrifier</t>
  </si>
  <si>
    <t>g NH4-N/m3</t>
  </si>
  <si>
    <t>g/m3</t>
  </si>
  <si>
    <t>g VSS/g NH4-N</t>
  </si>
  <si>
    <t>μn_max (12oC)</t>
  </si>
  <si>
    <t>f_d (12oC)</t>
  </si>
  <si>
    <t>K_n (12oC)</t>
  </si>
  <si>
    <t>K_dn (12oC)</t>
  </si>
  <si>
    <t>K_0 (12oC)</t>
  </si>
  <si>
    <t>Y_n (12oC)</t>
  </si>
  <si>
    <t>Dissolved oxygen (DO)</t>
  </si>
  <si>
    <t xml:space="preserve">Nitrogen concentration </t>
  </si>
  <si>
    <t xml:space="preserve">Specific growth rate (μn) </t>
  </si>
  <si>
    <t>Maximum specific growth rate</t>
  </si>
  <si>
    <t>Endogenous decay coefficient</t>
  </si>
  <si>
    <t xml:space="preserve">Half velocity constant </t>
  </si>
  <si>
    <t>Half saturation constant for DO</t>
  </si>
  <si>
    <t>(Equation 22-28 in Davis 2010)</t>
  </si>
  <si>
    <t>θc_min</t>
  </si>
  <si>
    <t>* Calculating critical cell retention time and actual cell retention time</t>
  </si>
  <si>
    <t>Safety factor</t>
  </si>
  <si>
    <t>(From figure 23-18 in Davis 2010)</t>
  </si>
  <si>
    <t>θc</t>
  </si>
  <si>
    <t>(Typical range for BPR: 5-25 days (for A2/O process)</t>
  </si>
  <si>
    <t>(The value is within the SRT guidelines for biological phosphorus removal)</t>
  </si>
  <si>
    <t>N_tot</t>
  </si>
  <si>
    <t>TKN</t>
  </si>
  <si>
    <r>
      <t xml:space="preserve">(TKN </t>
    </r>
    <r>
      <rPr>
        <sz val="11"/>
        <color theme="1"/>
        <rFont val="Calibri"/>
        <family val="2"/>
      </rPr>
      <t>≈ N_total)</t>
    </r>
  </si>
  <si>
    <t>NOx</t>
  </si>
  <si>
    <t>(NOx = 0.8*N_total)</t>
  </si>
  <si>
    <t>S_0 (bCOD)</t>
  </si>
  <si>
    <t>(bCOD = 1.5*BOD7)</t>
  </si>
  <si>
    <t>Part A</t>
  </si>
  <si>
    <t>Based on the equation 23-40 in Davis 2010, part A, B, C are calculated as follow</t>
  </si>
  <si>
    <t>Part B</t>
  </si>
  <si>
    <t>kg VSS/d</t>
  </si>
  <si>
    <t>Part C</t>
  </si>
  <si>
    <t>*Estimating biomas production (Px)</t>
  </si>
  <si>
    <t>Px</t>
  </si>
  <si>
    <t>* Calculating amount of NH4-N to NOx</t>
  </si>
  <si>
    <t>Effluent NH4-N (Ne)</t>
  </si>
  <si>
    <t>(As estimated when calculating the specific growth rate μn)</t>
  </si>
  <si>
    <t>TKN0</t>
  </si>
  <si>
    <t>Actual NOx</t>
  </si>
  <si>
    <t>(Equation 23-45 in Davis 2010)</t>
  </si>
  <si>
    <t>* Calculating mass of MLVSS</t>
  </si>
  <si>
    <t>MLSS_concentration</t>
  </si>
  <si>
    <t>MLVSS_concentration</t>
  </si>
  <si>
    <t>Mass of MLVSS</t>
  </si>
  <si>
    <t>kg</t>
  </si>
  <si>
    <t>(Mass generated each days * SRT)</t>
  </si>
  <si>
    <t>Mass of MLSS</t>
  </si>
  <si>
    <t>(Since MLVSS = 0.8*MLSS -&gt; MLSS = MLVSS/0.8)</t>
  </si>
  <si>
    <t>*Calculating volume and HRT of aeration tank</t>
  </si>
  <si>
    <t>Volume</t>
  </si>
  <si>
    <t>Hydraulic retention time (θ)</t>
  </si>
  <si>
    <t>d</t>
  </si>
  <si>
    <t>h</t>
  </si>
  <si>
    <t>(According to table 23-9 in Davis 2010, the value is in the range of HRT for A2/O process)</t>
  </si>
  <si>
    <t>* Designing the aeration tank</t>
  </si>
  <si>
    <t>Freeboard</t>
  </si>
  <si>
    <t>(Typical freeboard size is 1-1.5m (Davis 2010))</t>
  </si>
  <si>
    <t>Total depth</t>
  </si>
  <si>
    <t>(Based on table 23-18 (Davis 2010), the chosen aerator size is 75 kW with depth = 6m)</t>
  </si>
  <si>
    <t>Width</t>
  </si>
  <si>
    <t>(Corresponding to the depth)</t>
  </si>
  <si>
    <t>Area of tank</t>
  </si>
  <si>
    <t>Length</t>
  </si>
  <si>
    <t>(This is within the range. The recommended ratio is L:W &lt; 3:1)</t>
  </si>
  <si>
    <t>*Calculating the oxygen transfer rate (OTR)</t>
  </si>
  <si>
    <t>Mass of oxygen (M_O2)</t>
  </si>
  <si>
    <t>kgO2/d</t>
  </si>
  <si>
    <t>(Equation 23-44 in Davis 2010)</t>
  </si>
  <si>
    <t>OTR</t>
  </si>
  <si>
    <t>*Calculating the standard oxygen transfer rate (SOTR)</t>
  </si>
  <si>
    <t>Temperature of water in the summer (T)</t>
  </si>
  <si>
    <t>C</t>
  </si>
  <si>
    <r>
      <t>Clean water correction (</t>
    </r>
    <r>
      <rPr>
        <sz val="11"/>
        <color theme="1"/>
        <rFont val="Calibri"/>
        <family val="2"/>
      </rPr>
      <t>α)</t>
    </r>
  </si>
  <si>
    <r>
      <t>Salinity correction (</t>
    </r>
    <r>
      <rPr>
        <sz val="11"/>
        <color theme="1"/>
        <rFont val="Calibri"/>
        <family val="2"/>
      </rPr>
      <t>β)</t>
    </r>
  </si>
  <si>
    <t>Fouling factor</t>
  </si>
  <si>
    <t xml:space="preserve">Atmospheric pressure at sea level </t>
  </si>
  <si>
    <t>kPa</t>
  </si>
  <si>
    <t>Elevation of wwtp from sea level</t>
  </si>
  <si>
    <t>Depth of aerators from water surface</t>
  </si>
  <si>
    <t>DO in aeration tank</t>
  </si>
  <si>
    <t>% O2 leaving aeration tank</t>
  </si>
  <si>
    <t>Air density in standard conditions</t>
  </si>
  <si>
    <t>SOTE of the chosen membrane aerator in actual conditions</t>
  </si>
  <si>
    <t>(Table A-2, appendix A, Davis 2010)</t>
  </si>
  <si>
    <t>Dry air molar mass</t>
  </si>
  <si>
    <t>kg/mol</t>
  </si>
  <si>
    <t>J/(mol*K)</t>
  </si>
  <si>
    <t>Pressure at height 86 m</t>
  </si>
  <si>
    <t>Pa</t>
  </si>
  <si>
    <t>P_atm_h</t>
  </si>
  <si>
    <t>(The result includes the oxygen credit of 2.86 gO2/g NO3-N for denitrification)</t>
  </si>
  <si>
    <t>P_d</t>
  </si>
  <si>
    <t>(This is the pressure from the depth of aerator)</t>
  </si>
  <si>
    <t>(Specific weight of air is 9.8 kN/m3. The pressure is converted to meter of water)</t>
  </si>
  <si>
    <t>(The formula is as follow:</t>
  </si>
  <si>
    <t>Averaged DO saturation concentration (C_avg)</t>
  </si>
  <si>
    <t>(Equation below equation 23-50)</t>
  </si>
  <si>
    <t>Cs,20,H</t>
  </si>
  <si>
    <t>Cs,18,H</t>
  </si>
  <si>
    <t>SOTR required</t>
  </si>
  <si>
    <t>(Derived from equation 23-50 in Davis 2010)</t>
  </si>
  <si>
    <t>%mass of O2 in air</t>
  </si>
  <si>
    <t>Required air flowrate</t>
  </si>
  <si>
    <t>(The relationship between SOTR and air flowrate is shown in example 23-5 Davis 2010)</t>
  </si>
  <si>
    <t>* Choosing the number of aerators</t>
  </si>
  <si>
    <t>m3/d provides the most aeration efficiency. Also, when comparing the energy consumption, the more efficiency the aeration is,</t>
  </si>
  <si>
    <t>the less energy is consumed. For example, the energy consumed by jet, side header is 548.6 kW, whereas, the energy consumption</t>
  </si>
  <si>
    <t>of nonporous, single spiral roll is 1010 kW.</t>
  </si>
  <si>
    <t>Chosen compressor</t>
  </si>
  <si>
    <t>Number of aerators</t>
  </si>
  <si>
    <t>aerators</t>
  </si>
  <si>
    <t>The chosen aerator is 2000 m3/h because, based on table 23-6 in Davis 2010, air flowrate in the range of 2000-12000</t>
  </si>
  <si>
    <t>* Calculating amount of CaCO3</t>
  </si>
  <si>
    <t>Alkalinity_influent</t>
  </si>
  <si>
    <t>g/m3 CaCO3</t>
  </si>
  <si>
    <t>Amount of nitrogen converted to NO3-</t>
  </si>
  <si>
    <t>Alkalinity used in nitrification</t>
  </si>
  <si>
    <t>(For each gram of NH4-N is converted, 7.14g alkalinity as CaCO3 is required)</t>
  </si>
  <si>
    <t>Assuming that 80mg/L of CaCO3 is required to maintain the pH, then we have the balance equation</t>
  </si>
  <si>
    <t>80 g/m3 = 90 g/m3 - 264.18 g/m3 + alkalinity to add</t>
  </si>
  <si>
    <t>Adding alkalinity</t>
  </si>
  <si>
    <r>
      <t xml:space="preserve">* Estimating </t>
    </r>
    <r>
      <rPr>
        <b/>
        <sz val="11"/>
        <color theme="1"/>
        <rFont val="Calibri"/>
        <family val="2"/>
      </rPr>
      <t>μ</t>
    </r>
    <r>
      <rPr>
        <b/>
        <sz val="11"/>
        <color theme="1"/>
        <rFont val="Calibri"/>
        <family val="2"/>
        <scheme val="minor"/>
      </rPr>
      <t>n</t>
    </r>
  </si>
  <si>
    <t>66.81 x 27 x 7.5</t>
  </si>
  <si>
    <t>*Pretask</t>
  </si>
  <si>
    <t>Denitrification is applied when the concentration of N-total in the influent exceed the limit value, which is stated in specific guideline or regulation.</t>
  </si>
  <si>
    <t>In the denitrification process, heterotroph organisms, such  as Pseudomonas, Alcaligenes, and Paracoccus, breaks down nitrate (NO3) to metabolize oxygen</t>
  </si>
  <si>
    <t>and release nitrogen gas.</t>
  </si>
  <si>
    <t xml:space="preserve">The reason that wastewater flow to anoxic then aerobic zone is because of the efficiency of the process. Denitrifiers are heterotroph, therefore, they will swallow </t>
  </si>
  <si>
    <t>the oxygen and autotroph in the aerobic zone if the liquid flow to aerobic then to anoxic. Hence, the efficiency of oxidizing NO3- to N2 will be reduced. There</t>
  </si>
  <si>
    <t>is also process of aerobic-anoxic, but the rate of reaction is much slower comparing to anoxic-aerobic process. Plus, chemicals must be provided</t>
  </si>
  <si>
    <t>to enhance the rate of denitrification. Thus, it will cost more budget.</t>
  </si>
  <si>
    <t>Table 18. Design parameters of the anoxic stage of the activated sludge process</t>
  </si>
  <si>
    <t>IR</t>
  </si>
  <si>
    <t>NO3-N coming in (kg/d)</t>
  </si>
  <si>
    <t>Volume of the anoxic section (m3)</t>
  </si>
  <si>
    <t>F/M (kg BOD7/(kg sludge*d)</t>
  </si>
  <si>
    <t>NO3-N that can be reduced (kg/d)</t>
  </si>
  <si>
    <t>* Calculating internal recycling</t>
  </si>
  <si>
    <t>NO3-N concentration</t>
  </si>
  <si>
    <t>(Nitrogen oxidized to NOx)</t>
  </si>
  <si>
    <t>Internal recycling (IR)</t>
  </si>
  <si>
    <t>* Calculating mass of NO3-N fed to anoxic tank</t>
  </si>
  <si>
    <t>Flowrate to anoxic tank</t>
  </si>
  <si>
    <t>NOx_feed</t>
  </si>
  <si>
    <t>g/d</t>
  </si>
  <si>
    <t>* Calculating the anoxic stage volume</t>
  </si>
  <si>
    <t>HRT</t>
  </si>
  <si>
    <t>* Calculating the F/M</t>
  </si>
  <si>
    <t>MLSS</t>
  </si>
  <si>
    <t>MLVSS</t>
  </si>
  <si>
    <t>(MLVSS = 0.8*MLSS)</t>
  </si>
  <si>
    <t>(From 'Aerobic stage')</t>
  </si>
  <si>
    <t>V_aeration_tank</t>
  </si>
  <si>
    <t>S_0</t>
  </si>
  <si>
    <t>(Assuming that rbsCOD = BOD7)</t>
  </si>
  <si>
    <t>F/M</t>
  </si>
  <si>
    <t>mg/(mg*d)</t>
  </si>
  <si>
    <t>* Calculating mass of NO3-N that can be reduced</t>
  </si>
  <si>
    <t>(The value is in the typical range of F/M: 0.04 - 2 mg/(mg*d))</t>
  </si>
  <si>
    <t>From figure 23-12 (Davis 2010), the specific denitrification rate is:</t>
  </si>
  <si>
    <t>SDNR</t>
  </si>
  <si>
    <t>g NO3-N/(g biomass*d)</t>
  </si>
  <si>
    <t>NOr</t>
  </si>
  <si>
    <t>(Nitrate removed. Equation 23-52 in Davis 2010)</t>
  </si>
  <si>
    <t>V_anoxic</t>
  </si>
  <si>
    <t>((IR*Q)+(R*Q))</t>
  </si>
  <si>
    <t>The amount of NO3-N can be adjusted to lower value to reduce the big gap in excess capacity (e.g NO3-N = 3 mg/L).</t>
  </si>
  <si>
    <t>Table 19. The input data to design secondary settling.</t>
  </si>
  <si>
    <t>Number of settling tanks</t>
  </si>
  <si>
    <t>Solid concentration (g MLSS/L)</t>
  </si>
  <si>
    <t>Recycling ratio for sludge (%)</t>
  </si>
  <si>
    <t>≥4</t>
  </si>
  <si>
    <t>25-100</t>
  </si>
  <si>
    <t>Pumps are chosen for 200%</t>
  </si>
  <si>
    <t>* Designing the settling tank</t>
  </si>
  <si>
    <t>bCOD</t>
  </si>
  <si>
    <t>Fraction of rbCOD/bCOD</t>
  </si>
  <si>
    <t>Table 20. Design of secondary settler</t>
  </si>
  <si>
    <t>Surface loading rate at Qd (m3/m2*d)</t>
  </si>
  <si>
    <t>Solids loading rate Qd (kg/m2*h)</t>
  </si>
  <si>
    <t>HRT at Qd (h)</t>
  </si>
  <si>
    <t>Weir loading rate (m3/h*m)</t>
  </si>
  <si>
    <t>Length of the weir (m)</t>
  </si>
  <si>
    <t>QdA</t>
  </si>
  <si>
    <t>HRT at QdA (h)</t>
  </si>
  <si>
    <t>Surface loading rate at QdA (m3/(m2*d)</t>
  </si>
  <si>
    <t>Solids loading rate at QdA (kg/m2*h)</t>
  </si>
  <si>
    <t>QhA</t>
  </si>
  <si>
    <t>Table 21. Chemical precipitation of Phosphorus</t>
  </si>
  <si>
    <t>Influent P-tot (mg/L)</t>
  </si>
  <si>
    <t>Effluent P-tot (mg/L)</t>
  </si>
  <si>
    <t>Ferric chloride dosage (mg/L)</t>
  </si>
  <si>
    <t>Ferric chloride consumption in 24h (kg/d)</t>
  </si>
  <si>
    <t>Ferric chloride solution (37%) consumption in 24h (L/d)</t>
  </si>
  <si>
    <t>Based on the figure above, the ratio of Fe/P is 2.2 when C(P,remain) is 0.3 mg/L</t>
  </si>
  <si>
    <t>Influent P-tot</t>
  </si>
  <si>
    <t>Fe/P</t>
  </si>
  <si>
    <t>Effluent P-tot</t>
  </si>
  <si>
    <t>Molar mass Fe</t>
  </si>
  <si>
    <t>Molar mass P</t>
  </si>
  <si>
    <t>Fe3+ dosage</t>
  </si>
  <si>
    <t>(Based on the equation in the instruction)</t>
  </si>
  <si>
    <t>Molar mass FeCl3</t>
  </si>
  <si>
    <t>FeCl3 dosage</t>
  </si>
  <si>
    <t>FeCl3 consumption</t>
  </si>
  <si>
    <t>Density of FeCl3 solution</t>
  </si>
  <si>
    <t>kg/L</t>
  </si>
  <si>
    <t>FeCl3 solution consumption</t>
  </si>
  <si>
    <t>FeCl3 solution dosage</t>
  </si>
  <si>
    <t>(Because FeCl3 is account for 37%-w in the solution)</t>
  </si>
  <si>
    <t>FeCl3 solution concentration</t>
  </si>
  <si>
    <t>L/m3</t>
  </si>
  <si>
    <t>L/d</t>
  </si>
  <si>
    <t>Table 22. Bypassing water data</t>
  </si>
  <si>
    <t>P_effluent (g/m3)</t>
  </si>
  <si>
    <t>P_permitted (g/m3)</t>
  </si>
  <si>
    <t>P_influent (g/m3)</t>
  </si>
  <si>
    <t>Qd (m3/d)</t>
  </si>
  <si>
    <t>Annual design flowrate (m3/a)</t>
  </si>
  <si>
    <t>Q_bypass</t>
  </si>
  <si>
    <t>Q effluent water</t>
  </si>
  <si>
    <t>Bypass volume %</t>
  </si>
  <si>
    <t xml:space="preserve">Annual flowrate </t>
  </si>
  <si>
    <t>m3/a</t>
  </si>
  <si>
    <t>Set x = Q_bypass (m3/a)</t>
  </si>
  <si>
    <t xml:space="preserve">We have </t>
  </si>
  <si>
    <t>Q_effluent</t>
  </si>
  <si>
    <t>(Flowrate of 1 line)</t>
  </si>
  <si>
    <t>(Annual flow of 1 line)</t>
  </si>
  <si>
    <t>(According to table 19 in the instruction)</t>
  </si>
  <si>
    <t>(From 4.6.2)</t>
  </si>
  <si>
    <t>Assuming that there are 2 settling tanks per line</t>
  </si>
  <si>
    <t>Qd in 1 tank</t>
  </si>
  <si>
    <t>Qh in 1 tank</t>
  </si>
  <si>
    <t>SLR_Qd</t>
  </si>
  <si>
    <t>QdA in 1 tank</t>
  </si>
  <si>
    <t>QhA in 1 tank</t>
  </si>
  <si>
    <t>Assuming geometry for iteration</t>
  </si>
  <si>
    <t>Depth (D)</t>
  </si>
  <si>
    <t xml:space="preserve">m </t>
  </si>
  <si>
    <t>Width (W)</t>
  </si>
  <si>
    <t>(According to Davis 2010, the width should be in range 6-24 m)</t>
  </si>
  <si>
    <t>(According to Davis 2010, the depth is in the range of 4-5 m)</t>
  </si>
  <si>
    <t>(According to Davis 2010, the typical length is in the range of 30-60 m)</t>
  </si>
  <si>
    <t>Area</t>
  </si>
  <si>
    <t>V</t>
  </si>
  <si>
    <t>kg/(m2*d)</t>
  </si>
  <si>
    <t>kg/(m2*h)</t>
  </si>
  <si>
    <t>L_HYD_Qd</t>
  </si>
  <si>
    <t>(Calculated based on the equation in the instruction)</t>
  </si>
  <si>
    <t>HRT_Qd</t>
  </si>
  <si>
    <t>SLR_QdA</t>
  </si>
  <si>
    <t>L_HYD_QdA</t>
  </si>
  <si>
    <t>(Qualified by L_HYD ≤ 12 m3/(m2*d) for QdA as in the instruction)</t>
  </si>
  <si>
    <r>
      <t xml:space="preserve">(Qualified by L_HYD </t>
    </r>
    <r>
      <rPr>
        <sz val="11"/>
        <color theme="1"/>
        <rFont val="Calibri"/>
        <family val="2"/>
      </rPr>
      <t>≤ 24 m3/(m2*d) for Qd as in the instruction)</t>
    </r>
  </si>
  <si>
    <t>HRT_QdA</t>
  </si>
  <si>
    <t>(Calculated similarly as SLR_Qd)</t>
  </si>
  <si>
    <t>Weir length</t>
  </si>
  <si>
    <t>(There are 2 weirs and each weir has 2 sides for secondary settling tank)</t>
  </si>
  <si>
    <t>m3/(m*d)</t>
  </si>
  <si>
    <t>2 tanks per line</t>
  </si>
  <si>
    <t>Typical range 6 - 24 m</t>
  </si>
  <si>
    <t>Typical range 30 - 60 m</t>
  </si>
  <si>
    <t xml:space="preserve">For the HRT, the dimension of the settling can be adjusted iteratively to reach the desirable value. However, by changing these </t>
  </si>
  <si>
    <t>value, the surface loading rate and solid loading rate will also be out of the typical range. Therefore, this is believed to be one of</t>
  </si>
  <si>
    <t>a reasonable solution for the design.</t>
  </si>
  <si>
    <t>(From section 4.4'Primary Settling')</t>
  </si>
  <si>
    <t xml:space="preserve">Combined sewer system is a system which collects rainwater runoff, domestic sewage, and industrial wastewater into one pipe. </t>
  </si>
  <si>
    <t>Under normal conditions, the system transports all the wastewater to wastewater treatment plant.</t>
  </si>
  <si>
    <t>However, in the conditon of heavy rainfall or snowmelt, the flowrate of the wastewater might exceed the capacity of the wastewater treatment plant.</t>
  </si>
  <si>
    <t>Also the water is more dilute at heavy rainfall and colder, which may impact the biological process</t>
  </si>
  <si>
    <t>Then, there are more sand and gravel especially during snowmelt</t>
  </si>
  <si>
    <t xml:space="preserve">Therefore, the combined sewer system cause the difficulty in estimating the design capacity of the treatment plant. Additionally, the energy consumption will be </t>
  </si>
  <si>
    <t>increased due to more solid is loaded at the plant.</t>
  </si>
  <si>
    <t>United States Environmental Protection Agency. N.d. Combined Sewer Overflows (CSOs). Website. Available: https://www.epa.gov/npdes/combined-sewer-overflows-csos</t>
  </si>
  <si>
    <t>Davis, M. L. 2010. Water and Wastewater Engineering: Design Principle and Practice. McGraw-Hill Education. Ch18.</t>
  </si>
  <si>
    <t>(In the recommended range 0.4 - 0.9)</t>
  </si>
  <si>
    <t>(v_approach = v_peak flow as described in Davis example 20-3 and 20-4)</t>
  </si>
  <si>
    <t>Half saturation constant</t>
  </si>
  <si>
    <t>(OK. The typical value as shown in the lecture slide (125-250 m3/(m*d))</t>
  </si>
  <si>
    <t xml:space="preserve">In this design, the HRT is exceeds the typical range. </t>
  </si>
  <si>
    <t>(Ntot_max - N-NH4_max = 20-6 = 14 mg/L)</t>
  </si>
  <si>
    <t>(Returned activated sludge ratio. The value is from the instruction RAS = 1*Q)</t>
  </si>
  <si>
    <t>It seems that the capacity for nitrate removal is exceeded since the NOx feed is only 1923 kg/d but the NOr is 2100 kg/d.</t>
  </si>
  <si>
    <t>By using 'Goal Seek' (Data -&gt; What If Analysis -&gt; Goal Seek), the iteration for v_b can be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</si>
</sst>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9" x14ac:knownFonts="1">
    <font>
      <sz val="11"/>
      <color theme="1"/>
      <name val="Calibri"/>
      <family val="2"/>
      <scheme val="minor"/>
    </font>
    <font>
      <b/>
      <sz val="11"/>
      <color theme="1"/>
      <name val="Calibri"/>
      <family val="2"/>
      <scheme val="minor"/>
    </font>
    <font>
      <sz val="11"/>
      <name val="Calibri"/>
      <family val="2"/>
      <scheme val="minor"/>
    </font>
    <font>
      <b/>
      <i/>
      <sz val="11"/>
      <color theme="1"/>
      <name val="Calibri"/>
      <family val="2"/>
      <scheme val="minor"/>
    </font>
    <font>
      <sz val="11"/>
      <color theme="1"/>
      <name val="Calibri"/>
      <family val="2"/>
    </font>
    <font>
      <u/>
      <sz val="11"/>
      <color theme="10"/>
      <name val="Calibri"/>
      <family val="2"/>
      <scheme val="minor"/>
    </font>
    <font>
      <b/>
      <sz val="11"/>
      <color theme="1"/>
      <name val="Calibri"/>
      <family val="2"/>
    </font>
    <font>
      <i/>
      <sz val="11"/>
      <color rgb="FF00B050"/>
      <name val="Calibri"/>
      <family val="2"/>
      <scheme val="minor"/>
    </font>
    <font>
      <b/>
      <sz val="11"/>
      <name val="Calibri"/>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rgb="FFFF00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2">
    <xf numFmtId="0" fontId="0" fillId="0" borderId="0"/>
    <xf numFmtId="0" fontId="5" fillId="0" borderId="0" applyNumberFormat="0" applyFill="0" applyBorder="0" applyAlignment="0" applyProtection="0"/>
  </cellStyleXfs>
  <cellXfs count="65">
    <xf numFmtId="0" fontId="0" fillId="0" borderId="0" xfId="0"/>
    <xf numFmtId="0" fontId="1" fillId="0" borderId="0" xfId="0" applyFont="1"/>
    <xf numFmtId="0" fontId="0" fillId="0" borderId="1" xfId="0" applyBorder="1"/>
    <xf numFmtId="0" fontId="0" fillId="0" borderId="2" xfId="0" applyBorder="1"/>
    <xf numFmtId="0" fontId="0" fillId="0" borderId="4" xfId="0" applyBorder="1"/>
    <xf numFmtId="0" fontId="0" fillId="0" borderId="5" xfId="0" applyBorder="1"/>
    <xf numFmtId="0" fontId="0" fillId="0" borderId="6" xfId="0" applyBorder="1"/>
    <xf numFmtId="0" fontId="0" fillId="0" borderId="7" xfId="0" applyBorder="1"/>
    <xf numFmtId="2" fontId="0" fillId="0" borderId="0" xfId="0" applyNumberFormat="1"/>
    <xf numFmtId="1" fontId="0" fillId="0" borderId="0" xfId="0" applyNumberFormat="1"/>
    <xf numFmtId="2" fontId="0" fillId="0" borderId="5" xfId="0" applyNumberFormat="1" applyBorder="1"/>
    <xf numFmtId="1" fontId="0" fillId="0" borderId="5" xfId="0" applyNumberFormat="1" applyBorder="1"/>
    <xf numFmtId="0" fontId="2" fillId="2" borderId="5" xfId="0" applyFont="1" applyFill="1" applyBorder="1"/>
    <xf numFmtId="49" fontId="0" fillId="0" borderId="0" xfId="0" applyNumberFormat="1"/>
    <xf numFmtId="0" fontId="0" fillId="0" borderId="4" xfId="0" applyBorder="1" applyAlignment="1">
      <alignment wrapText="1"/>
    </xf>
    <xf numFmtId="49" fontId="0" fillId="0" borderId="9" xfId="0" applyNumberFormat="1" applyBorder="1"/>
    <xf numFmtId="1" fontId="0" fillId="0" borderId="7" xfId="0" applyNumberFormat="1" applyBorder="1"/>
    <xf numFmtId="1" fontId="1" fillId="0" borderId="0" xfId="0" applyNumberFormat="1" applyFont="1"/>
    <xf numFmtId="2" fontId="1" fillId="0" borderId="0" xfId="0" applyNumberFormat="1" applyFont="1"/>
    <xf numFmtId="0" fontId="0" fillId="0" borderId="5" xfId="0" applyBorder="1" applyAlignment="1">
      <alignment wrapText="1"/>
    </xf>
    <xf numFmtId="0" fontId="0" fillId="0" borderId="1" xfId="0" applyBorder="1" applyAlignment="1">
      <alignment horizontal="center"/>
    </xf>
    <xf numFmtId="0" fontId="0" fillId="0" borderId="9" xfId="0" applyBorder="1" applyAlignment="1">
      <alignment horizontal="center"/>
    </xf>
    <xf numFmtId="164" fontId="0" fillId="0" borderId="0" xfId="0" applyNumberFormat="1"/>
    <xf numFmtId="0" fontId="1" fillId="0" borderId="3" xfId="0" applyFont="1" applyBorder="1"/>
    <xf numFmtId="0" fontId="1" fillId="0" borderId="8" xfId="0" applyFont="1" applyBorder="1"/>
    <xf numFmtId="0" fontId="0" fillId="2" borderId="0" xfId="0" applyFill="1"/>
    <xf numFmtId="2" fontId="0" fillId="2" borderId="0" xfId="0" applyNumberFormat="1" applyFill="1"/>
    <xf numFmtId="2" fontId="0" fillId="3" borderId="0" xfId="0" applyNumberFormat="1" applyFill="1"/>
    <xf numFmtId="0" fontId="3" fillId="0" borderId="0" xfId="0" applyFont="1"/>
    <xf numFmtId="0" fontId="0" fillId="0" borderId="7" xfId="0" applyBorder="1" applyAlignment="1">
      <alignment wrapText="1"/>
    </xf>
    <xf numFmtId="0" fontId="4" fillId="0" borderId="5" xfId="0" applyFont="1" applyBorder="1"/>
    <xf numFmtId="165" fontId="0" fillId="0" borderId="0" xfId="0" applyNumberFormat="1"/>
    <xf numFmtId="164" fontId="1" fillId="0" borderId="0" xfId="0" applyNumberFormat="1" applyFont="1"/>
    <xf numFmtId="164" fontId="0" fillId="0" borderId="5" xfId="0" applyNumberFormat="1" applyBorder="1"/>
    <xf numFmtId="165" fontId="0" fillId="0" borderId="5" xfId="0" applyNumberFormat="1" applyBorder="1"/>
    <xf numFmtId="0" fontId="0" fillId="0" borderId="9" xfId="0" applyBorder="1"/>
    <xf numFmtId="0" fontId="1" fillId="0" borderId="2" xfId="0" applyFont="1" applyBorder="1"/>
    <xf numFmtId="0" fontId="1" fillId="0" borderId="8" xfId="0" applyFont="1" applyBorder="1" applyAlignment="1">
      <alignment wrapText="1"/>
    </xf>
    <xf numFmtId="0" fontId="1" fillId="0" borderId="3" xfId="0" applyFont="1" applyBorder="1" applyAlignment="1">
      <alignment wrapText="1"/>
    </xf>
    <xf numFmtId="0" fontId="0" fillId="0" borderId="0" xfId="0" applyAlignment="1"/>
    <xf numFmtId="2" fontId="0" fillId="0" borderId="7" xfId="0" applyNumberFormat="1" applyBorder="1"/>
    <xf numFmtId="0" fontId="2" fillId="0" borderId="0" xfId="1" applyFont="1"/>
    <xf numFmtId="0" fontId="4" fillId="0" borderId="1" xfId="0" applyFont="1" applyBorder="1"/>
    <xf numFmtId="0" fontId="4" fillId="0" borderId="9" xfId="0" applyFont="1" applyBorder="1"/>
    <xf numFmtId="0" fontId="6" fillId="0" borderId="8" xfId="0" applyFont="1" applyBorder="1"/>
    <xf numFmtId="0" fontId="6" fillId="0" borderId="3" xfId="0" applyFont="1" applyBorder="1"/>
    <xf numFmtId="0" fontId="4" fillId="0" borderId="0" xfId="0" applyFont="1" applyBorder="1"/>
    <xf numFmtId="0" fontId="4" fillId="0" borderId="0" xfId="0" applyFont="1" applyFill="1" applyBorder="1"/>
    <xf numFmtId="0" fontId="4" fillId="0" borderId="0" xfId="0" applyFont="1"/>
    <xf numFmtId="0" fontId="0" fillId="0" borderId="0" xfId="0" applyFont="1"/>
    <xf numFmtId="0" fontId="7" fillId="0" borderId="0" xfId="0" applyFont="1"/>
    <xf numFmtId="0" fontId="6" fillId="0" borderId="0" xfId="0" applyFont="1"/>
    <xf numFmtId="0" fontId="1" fillId="0" borderId="4" xfId="0" applyFont="1" applyBorder="1"/>
    <xf numFmtId="0" fontId="1" fillId="0" borderId="6" xfId="0" applyFont="1" applyBorder="1"/>
    <xf numFmtId="0" fontId="1" fillId="0" borderId="0" xfId="0" applyFont="1" applyFill="1" applyBorder="1"/>
    <xf numFmtId="0" fontId="0" fillId="0" borderId="0" xfId="0" applyFont="1" applyFill="1" applyBorder="1"/>
    <xf numFmtId="0" fontId="1" fillId="0" borderId="4" xfId="0" applyFont="1" applyBorder="1"/>
    <xf numFmtId="0" fontId="6" fillId="0" borderId="4" xfId="0" applyFont="1" applyBorder="1"/>
    <xf numFmtId="0" fontId="6" fillId="0" borderId="6" xfId="0" applyFont="1" applyBorder="1"/>
    <xf numFmtId="0" fontId="1" fillId="0" borderId="4" xfId="0" applyFont="1" applyBorder="1" applyAlignment="1">
      <alignment wrapText="1"/>
    </xf>
    <xf numFmtId="0" fontId="8" fillId="2" borderId="4" xfId="0" applyFont="1" applyFill="1" applyBorder="1"/>
    <xf numFmtId="0" fontId="1" fillId="0" borderId="4" xfId="0" applyFont="1" applyBorder="1"/>
    <xf numFmtId="0" fontId="1" fillId="0" borderId="1" xfId="0" applyFont="1" applyBorder="1"/>
    <xf numFmtId="0" fontId="6" fillId="0" borderId="1" xfId="0" applyFont="1" applyBorder="1"/>
    <xf numFmtId="0" fontId="6" fillId="0" borderId="5"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40.png"/><Relationship Id="rId2" Type="http://schemas.openxmlformats.org/officeDocument/2006/relationships/image" Target="../media/image39.png"/><Relationship Id="rId1" Type="http://schemas.openxmlformats.org/officeDocument/2006/relationships/image" Target="../media/image38.png"/></Relationships>
</file>

<file path=xl/drawings/_rels/drawing11.xml.rels><?xml version="1.0" encoding="UTF-8" standalone="yes"?>
<Relationships xmlns="http://schemas.openxmlformats.org/package/2006/relationships"><Relationship Id="rId3" Type="http://schemas.openxmlformats.org/officeDocument/2006/relationships/image" Target="../media/image43.png"/><Relationship Id="rId2" Type="http://schemas.openxmlformats.org/officeDocument/2006/relationships/image" Target="../media/image42.png"/><Relationship Id="rId1" Type="http://schemas.openxmlformats.org/officeDocument/2006/relationships/image" Target="../media/image41.png"/><Relationship Id="rId4" Type="http://schemas.openxmlformats.org/officeDocument/2006/relationships/image" Target="../media/image44.png"/></Relationships>
</file>

<file path=xl/drawings/_rels/drawing14.xml.rels><?xml version="1.0" encoding="UTF-8" standalone="yes"?>
<Relationships xmlns="http://schemas.openxmlformats.org/package/2006/relationships"><Relationship Id="rId2" Type="http://schemas.openxmlformats.org/officeDocument/2006/relationships/image" Target="../media/image46.png"/><Relationship Id="rId1" Type="http://schemas.openxmlformats.org/officeDocument/2006/relationships/image" Target="../media/image45.jp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7" Type="http://schemas.openxmlformats.org/officeDocument/2006/relationships/image" Target="../media/image10.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_rels/drawing5.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s>
</file>

<file path=xl/drawings/_rels/drawing6.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14.png"/></Relationships>
</file>

<file path=xl/drawings/_rels/drawing7.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image" Target="../media/image16.png"/></Relationships>
</file>

<file path=xl/drawings/_rels/drawing8.xml.rels><?xml version="1.0" encoding="UTF-8" standalone="yes"?>
<Relationships xmlns="http://schemas.openxmlformats.org/package/2006/relationships"><Relationship Id="rId8" Type="http://schemas.openxmlformats.org/officeDocument/2006/relationships/image" Target="../media/image26.png"/><Relationship Id="rId13" Type="http://schemas.openxmlformats.org/officeDocument/2006/relationships/image" Target="../media/image31.png"/><Relationship Id="rId3" Type="http://schemas.openxmlformats.org/officeDocument/2006/relationships/image" Target="../media/image21.png"/><Relationship Id="rId7" Type="http://schemas.openxmlformats.org/officeDocument/2006/relationships/image" Target="../media/image25.png"/><Relationship Id="rId12" Type="http://schemas.openxmlformats.org/officeDocument/2006/relationships/image" Target="../media/image30.png"/><Relationship Id="rId2" Type="http://schemas.openxmlformats.org/officeDocument/2006/relationships/image" Target="../media/image20.png"/><Relationship Id="rId1" Type="http://schemas.openxmlformats.org/officeDocument/2006/relationships/image" Target="../media/image19.png"/><Relationship Id="rId6" Type="http://schemas.openxmlformats.org/officeDocument/2006/relationships/image" Target="../media/image24.png"/><Relationship Id="rId11" Type="http://schemas.openxmlformats.org/officeDocument/2006/relationships/image" Target="../media/image29.png"/><Relationship Id="rId5" Type="http://schemas.openxmlformats.org/officeDocument/2006/relationships/image" Target="../media/image23.png"/><Relationship Id="rId15" Type="http://schemas.openxmlformats.org/officeDocument/2006/relationships/image" Target="../media/image33.png"/><Relationship Id="rId10" Type="http://schemas.openxmlformats.org/officeDocument/2006/relationships/image" Target="../media/image28.png"/><Relationship Id="rId4" Type="http://schemas.openxmlformats.org/officeDocument/2006/relationships/image" Target="../media/image22.png"/><Relationship Id="rId9" Type="http://schemas.openxmlformats.org/officeDocument/2006/relationships/image" Target="../media/image27.png"/><Relationship Id="rId14" Type="http://schemas.openxmlformats.org/officeDocument/2006/relationships/image" Target="../media/image32.png"/></Relationships>
</file>

<file path=xl/drawings/_rels/drawing9.xml.rels><?xml version="1.0" encoding="UTF-8" standalone="yes"?>
<Relationships xmlns="http://schemas.openxmlformats.org/package/2006/relationships"><Relationship Id="rId3" Type="http://schemas.openxmlformats.org/officeDocument/2006/relationships/image" Target="../media/image36.png"/><Relationship Id="rId2" Type="http://schemas.openxmlformats.org/officeDocument/2006/relationships/image" Target="../media/image35.png"/><Relationship Id="rId1" Type="http://schemas.openxmlformats.org/officeDocument/2006/relationships/image" Target="../media/image34.png"/><Relationship Id="rId4" Type="http://schemas.openxmlformats.org/officeDocument/2006/relationships/image" Target="../media/image37.png"/></Relationships>
</file>

<file path=xl/drawings/drawing1.xml><?xml version="1.0" encoding="utf-8"?>
<xdr:wsDr xmlns:xdr="http://schemas.openxmlformats.org/drawingml/2006/spreadsheetDrawing" xmlns:a="http://schemas.openxmlformats.org/drawingml/2006/main">
  <xdr:twoCellAnchor>
    <xdr:from>
      <xdr:col>3</xdr:col>
      <xdr:colOff>381000</xdr:colOff>
      <xdr:row>0</xdr:row>
      <xdr:rowOff>0</xdr:rowOff>
    </xdr:from>
    <xdr:to>
      <xdr:col>10</xdr:col>
      <xdr:colOff>95249</xdr:colOff>
      <xdr:row>12</xdr:row>
      <xdr:rowOff>19050</xdr:rowOff>
    </xdr:to>
    <xdr:grpSp>
      <xdr:nvGrpSpPr>
        <xdr:cNvPr id="15" name="Group 14">
          <a:extLst>
            <a:ext uri="{FF2B5EF4-FFF2-40B4-BE49-F238E27FC236}">
              <a16:creationId xmlns:a16="http://schemas.microsoft.com/office/drawing/2014/main" id="{37930D1B-0ECD-4509-B54C-45E1C34A9866}"/>
            </a:ext>
          </a:extLst>
        </xdr:cNvPr>
        <xdr:cNvGrpSpPr/>
      </xdr:nvGrpSpPr>
      <xdr:grpSpPr>
        <a:xfrm>
          <a:off x="5379357" y="0"/>
          <a:ext cx="5066392" cy="2214336"/>
          <a:chOff x="0" y="2984500"/>
          <a:chExt cx="5587999" cy="2895749"/>
        </a:xfrm>
      </xdr:grpSpPr>
      <xdr:grpSp>
        <xdr:nvGrpSpPr>
          <xdr:cNvPr id="6" name="Group 5">
            <a:extLst>
              <a:ext uri="{FF2B5EF4-FFF2-40B4-BE49-F238E27FC236}">
                <a16:creationId xmlns:a16="http://schemas.microsoft.com/office/drawing/2014/main" id="{B07387FD-A15A-4215-82D9-C8AE93C4353B}"/>
              </a:ext>
            </a:extLst>
          </xdr:cNvPr>
          <xdr:cNvGrpSpPr/>
        </xdr:nvGrpSpPr>
        <xdr:grpSpPr>
          <a:xfrm>
            <a:off x="0" y="2984500"/>
            <a:ext cx="5587999" cy="2895749"/>
            <a:chOff x="0" y="2984500"/>
            <a:chExt cx="5587999" cy="2895749"/>
          </a:xfrm>
        </xdr:grpSpPr>
        <xdr:pic>
          <xdr:nvPicPr>
            <xdr:cNvPr id="3" name="Picture 2">
              <a:extLst>
                <a:ext uri="{FF2B5EF4-FFF2-40B4-BE49-F238E27FC236}">
                  <a16:creationId xmlns:a16="http://schemas.microsoft.com/office/drawing/2014/main" id="{4218F982-3CAE-47CD-AD73-23453C1B1F36}"/>
                </a:ext>
              </a:extLst>
            </xdr:cNvPr>
            <xdr:cNvPicPr>
              <a:picLocks noChangeAspect="1"/>
            </xdr:cNvPicPr>
          </xdr:nvPicPr>
          <xdr:blipFill>
            <a:blip xmlns:r="http://schemas.openxmlformats.org/officeDocument/2006/relationships" r:embed="rId1"/>
            <a:stretch>
              <a:fillRect/>
            </a:stretch>
          </xdr:blipFill>
          <xdr:spPr>
            <a:xfrm>
              <a:off x="0" y="2984500"/>
              <a:ext cx="5587999" cy="2895749"/>
            </a:xfrm>
            <a:prstGeom prst="rect">
              <a:avLst/>
            </a:prstGeom>
          </xdr:spPr>
        </xdr:pic>
        <xdr:cxnSp macro="">
          <xdr:nvCxnSpPr>
            <xdr:cNvPr id="5" name="Straight Connector 4">
              <a:extLst>
                <a:ext uri="{FF2B5EF4-FFF2-40B4-BE49-F238E27FC236}">
                  <a16:creationId xmlns:a16="http://schemas.microsoft.com/office/drawing/2014/main" id="{A0D9AEE1-892B-4F68-996B-C9DF60A14E76}"/>
                </a:ext>
              </a:extLst>
            </xdr:cNvPr>
            <xdr:cNvCxnSpPr/>
          </xdr:nvCxnSpPr>
          <xdr:spPr>
            <a:xfrm flipV="1">
              <a:off x="2527300" y="3632200"/>
              <a:ext cx="0" cy="1739900"/>
            </a:xfrm>
            <a:prstGeom prst="line">
              <a:avLst/>
            </a:prstGeom>
            <a:ln w="9525" cap="flat" cmpd="sng" algn="ctr">
              <a:solidFill>
                <a:schemeClr val="accent2"/>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grpSp>
      <xdr:cxnSp macro="">
        <xdr:nvCxnSpPr>
          <xdr:cNvPr id="8" name="Straight Connector 7">
            <a:extLst>
              <a:ext uri="{FF2B5EF4-FFF2-40B4-BE49-F238E27FC236}">
                <a16:creationId xmlns:a16="http://schemas.microsoft.com/office/drawing/2014/main" id="{567ABBB7-6DBF-41AB-9412-6096DA463F33}"/>
              </a:ext>
            </a:extLst>
          </xdr:cNvPr>
          <xdr:cNvCxnSpPr/>
        </xdr:nvCxnSpPr>
        <xdr:spPr>
          <a:xfrm flipH="1">
            <a:off x="850900" y="4114800"/>
            <a:ext cx="1676400"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a:extLst>
              <a:ext uri="{FF2B5EF4-FFF2-40B4-BE49-F238E27FC236}">
                <a16:creationId xmlns:a16="http://schemas.microsoft.com/office/drawing/2014/main" id="{5AB09D77-7B0F-49E3-ABE3-AF60ACD54E5E}"/>
              </a:ext>
            </a:extLst>
          </xdr:cNvPr>
          <xdr:cNvCxnSpPr/>
        </xdr:nvCxnSpPr>
        <xdr:spPr>
          <a:xfrm flipH="1">
            <a:off x="850900" y="4292600"/>
            <a:ext cx="1670050"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2" name="Straight Connector 11">
            <a:extLst>
              <a:ext uri="{FF2B5EF4-FFF2-40B4-BE49-F238E27FC236}">
                <a16:creationId xmlns:a16="http://schemas.microsoft.com/office/drawing/2014/main" id="{0C77F07A-358F-4163-BBC9-A3F794286B22}"/>
              </a:ext>
            </a:extLst>
          </xdr:cNvPr>
          <xdr:cNvCxnSpPr/>
        </xdr:nvCxnSpPr>
        <xdr:spPr>
          <a:xfrm flipH="1">
            <a:off x="857250" y="4705350"/>
            <a:ext cx="1670050"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4" name="Straight Connector 13">
            <a:extLst>
              <a:ext uri="{FF2B5EF4-FFF2-40B4-BE49-F238E27FC236}">
                <a16:creationId xmlns:a16="http://schemas.microsoft.com/office/drawing/2014/main" id="{14BC0ADA-EF43-4F04-9616-D885DBAE7650}"/>
              </a:ext>
            </a:extLst>
          </xdr:cNvPr>
          <xdr:cNvCxnSpPr/>
        </xdr:nvCxnSpPr>
        <xdr:spPr>
          <a:xfrm flipH="1">
            <a:off x="869950" y="4927600"/>
            <a:ext cx="1651000" cy="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0.xml><?xml version="1.0" encoding="utf-8"?>
<xdr:wsDr xmlns:xdr="http://schemas.openxmlformats.org/drawingml/2006/spreadsheetDrawing" xmlns:a="http://schemas.openxmlformats.org/drawingml/2006/main">
  <xdr:twoCellAnchor editAs="oneCell">
    <xdr:from>
      <xdr:col>8</xdr:col>
      <xdr:colOff>31751</xdr:colOff>
      <xdr:row>20</xdr:row>
      <xdr:rowOff>25400</xdr:rowOff>
    </xdr:from>
    <xdr:to>
      <xdr:col>16</xdr:col>
      <xdr:colOff>203201</xdr:colOff>
      <xdr:row>33</xdr:row>
      <xdr:rowOff>79178</xdr:rowOff>
    </xdr:to>
    <xdr:pic>
      <xdr:nvPicPr>
        <xdr:cNvPr id="2" name="Picture 1">
          <a:extLst>
            <a:ext uri="{FF2B5EF4-FFF2-40B4-BE49-F238E27FC236}">
              <a16:creationId xmlns:a16="http://schemas.microsoft.com/office/drawing/2014/main" id="{EE404271-C6F0-45E0-8436-EB339A223216}"/>
            </a:ext>
          </a:extLst>
        </xdr:cNvPr>
        <xdr:cNvPicPr>
          <a:picLocks noChangeAspect="1"/>
        </xdr:cNvPicPr>
      </xdr:nvPicPr>
      <xdr:blipFill>
        <a:blip xmlns:r="http://schemas.openxmlformats.org/officeDocument/2006/relationships" r:embed="rId1"/>
        <a:stretch>
          <a:fillRect/>
        </a:stretch>
      </xdr:blipFill>
      <xdr:spPr>
        <a:xfrm>
          <a:off x="9848851" y="3727450"/>
          <a:ext cx="6229350" cy="2447728"/>
        </a:xfrm>
        <a:prstGeom prst="rect">
          <a:avLst/>
        </a:prstGeom>
      </xdr:spPr>
    </xdr:pic>
    <xdr:clientData/>
  </xdr:twoCellAnchor>
  <xdr:twoCellAnchor editAs="oneCell">
    <xdr:from>
      <xdr:col>8</xdr:col>
      <xdr:colOff>1</xdr:colOff>
      <xdr:row>37</xdr:row>
      <xdr:rowOff>0</xdr:rowOff>
    </xdr:from>
    <xdr:to>
      <xdr:col>11</xdr:col>
      <xdr:colOff>596901</xdr:colOff>
      <xdr:row>41</xdr:row>
      <xdr:rowOff>26227</xdr:rowOff>
    </xdr:to>
    <xdr:pic>
      <xdr:nvPicPr>
        <xdr:cNvPr id="3" name="Picture 2">
          <a:extLst>
            <a:ext uri="{FF2B5EF4-FFF2-40B4-BE49-F238E27FC236}">
              <a16:creationId xmlns:a16="http://schemas.microsoft.com/office/drawing/2014/main" id="{A354D562-B22F-4154-9BB0-8A72CEFFAB69}"/>
            </a:ext>
          </a:extLst>
        </xdr:cNvPr>
        <xdr:cNvPicPr>
          <a:picLocks noChangeAspect="1"/>
        </xdr:cNvPicPr>
      </xdr:nvPicPr>
      <xdr:blipFill>
        <a:blip xmlns:r="http://schemas.openxmlformats.org/officeDocument/2006/relationships" r:embed="rId2"/>
        <a:stretch>
          <a:fillRect/>
        </a:stretch>
      </xdr:blipFill>
      <xdr:spPr>
        <a:xfrm>
          <a:off x="9817101" y="6832600"/>
          <a:ext cx="3606800" cy="762827"/>
        </a:xfrm>
        <a:prstGeom prst="rect">
          <a:avLst/>
        </a:prstGeom>
      </xdr:spPr>
    </xdr:pic>
    <xdr:clientData/>
  </xdr:twoCellAnchor>
  <xdr:twoCellAnchor editAs="oneCell">
    <xdr:from>
      <xdr:col>8</xdr:col>
      <xdr:colOff>12700</xdr:colOff>
      <xdr:row>43</xdr:row>
      <xdr:rowOff>0</xdr:rowOff>
    </xdr:from>
    <xdr:to>
      <xdr:col>12</xdr:col>
      <xdr:colOff>567114</xdr:colOff>
      <xdr:row>49</xdr:row>
      <xdr:rowOff>178671</xdr:rowOff>
    </xdr:to>
    <xdr:pic>
      <xdr:nvPicPr>
        <xdr:cNvPr id="4" name="Picture 2">
          <a:extLst>
            <a:ext uri="{FF2B5EF4-FFF2-40B4-BE49-F238E27FC236}">
              <a16:creationId xmlns:a16="http://schemas.microsoft.com/office/drawing/2014/main" id="{55903186-84A3-4AF7-AE65-E77FDF8FE532}"/>
            </a:ext>
          </a:extLst>
        </xdr:cNvPr>
        <xdr:cNvPicPr>
          <a:picLocks noChangeAspect="1"/>
        </xdr:cNvPicPr>
      </xdr:nvPicPr>
      <xdr:blipFill>
        <a:blip xmlns:r="http://schemas.openxmlformats.org/officeDocument/2006/relationships" r:embed="rId3"/>
        <a:stretch>
          <a:fillRect/>
        </a:stretch>
      </xdr:blipFill>
      <xdr:spPr>
        <a:xfrm>
          <a:off x="9829800" y="7937500"/>
          <a:ext cx="4173914" cy="128357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10</xdr:row>
      <xdr:rowOff>0</xdr:rowOff>
    </xdr:from>
    <xdr:to>
      <xdr:col>2</xdr:col>
      <xdr:colOff>19050</xdr:colOff>
      <xdr:row>27</xdr:row>
      <xdr:rowOff>24432</xdr:rowOff>
    </xdr:to>
    <xdr:grpSp>
      <xdr:nvGrpSpPr>
        <xdr:cNvPr id="8" name="Group 7">
          <a:extLst>
            <a:ext uri="{FF2B5EF4-FFF2-40B4-BE49-F238E27FC236}">
              <a16:creationId xmlns:a16="http://schemas.microsoft.com/office/drawing/2014/main" id="{457DFC4F-DE64-44D5-BB84-A094AC7E3114}"/>
            </a:ext>
          </a:extLst>
        </xdr:cNvPr>
        <xdr:cNvGrpSpPr/>
      </xdr:nvGrpSpPr>
      <xdr:grpSpPr>
        <a:xfrm>
          <a:off x="0" y="1841500"/>
          <a:ext cx="4575175" cy="3127995"/>
          <a:chOff x="0" y="1854200"/>
          <a:chExt cx="4578350" cy="3154982"/>
        </a:xfrm>
      </xdr:grpSpPr>
      <xdr:pic>
        <xdr:nvPicPr>
          <xdr:cNvPr id="3" name="Picture 2">
            <a:extLst>
              <a:ext uri="{FF2B5EF4-FFF2-40B4-BE49-F238E27FC236}">
                <a16:creationId xmlns:a16="http://schemas.microsoft.com/office/drawing/2014/main" id="{AEF7C7B0-A7A4-469D-87BE-4125D9A1FC6E}"/>
              </a:ext>
            </a:extLst>
          </xdr:cNvPr>
          <xdr:cNvPicPr>
            <a:picLocks noChangeAspect="1"/>
          </xdr:cNvPicPr>
        </xdr:nvPicPr>
        <xdr:blipFill>
          <a:blip xmlns:r="http://schemas.openxmlformats.org/officeDocument/2006/relationships" r:embed="rId1"/>
          <a:stretch>
            <a:fillRect/>
          </a:stretch>
        </xdr:blipFill>
        <xdr:spPr>
          <a:xfrm>
            <a:off x="0" y="1854200"/>
            <a:ext cx="4578350" cy="3154982"/>
          </a:xfrm>
          <a:prstGeom prst="rect">
            <a:avLst/>
          </a:prstGeom>
        </xdr:spPr>
      </xdr:pic>
      <xdr:cxnSp macro="">
        <xdr:nvCxnSpPr>
          <xdr:cNvPr id="5" name="Straight Connector 4">
            <a:extLst>
              <a:ext uri="{FF2B5EF4-FFF2-40B4-BE49-F238E27FC236}">
                <a16:creationId xmlns:a16="http://schemas.microsoft.com/office/drawing/2014/main" id="{A71BC984-DB26-4224-8EB9-E67236897E30}"/>
              </a:ext>
            </a:extLst>
          </xdr:cNvPr>
          <xdr:cNvCxnSpPr/>
        </xdr:nvCxnSpPr>
        <xdr:spPr>
          <a:xfrm flipV="1">
            <a:off x="2305050" y="3765550"/>
            <a:ext cx="6350" cy="539750"/>
          </a:xfrm>
          <a:prstGeom prst="line">
            <a:avLst/>
          </a:prstGeom>
          <a:ln w="9525" cap="flat" cmpd="sng" algn="ctr">
            <a:solidFill>
              <a:schemeClr val="accent2"/>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xnSp macro="">
        <xdr:nvCxnSpPr>
          <xdr:cNvPr id="7" name="Straight Connector 6">
            <a:extLst>
              <a:ext uri="{FF2B5EF4-FFF2-40B4-BE49-F238E27FC236}">
                <a16:creationId xmlns:a16="http://schemas.microsoft.com/office/drawing/2014/main" id="{5E15E15E-2C57-441F-91ED-40C4E691D9B4}"/>
              </a:ext>
            </a:extLst>
          </xdr:cNvPr>
          <xdr:cNvCxnSpPr/>
        </xdr:nvCxnSpPr>
        <xdr:spPr>
          <a:xfrm flipH="1" flipV="1">
            <a:off x="933450" y="3752850"/>
            <a:ext cx="1371600" cy="12700"/>
          </a:xfrm>
          <a:prstGeom prst="line">
            <a:avLst/>
          </a:prstGeom>
          <a:ln w="9525" cap="flat" cmpd="sng" algn="ctr">
            <a:solidFill>
              <a:schemeClr val="accent2"/>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grpSp>
    <xdr:clientData/>
  </xdr:twoCellAnchor>
  <xdr:twoCellAnchor editAs="oneCell">
    <xdr:from>
      <xdr:col>9</xdr:col>
      <xdr:colOff>19050</xdr:colOff>
      <xdr:row>34</xdr:row>
      <xdr:rowOff>171450</xdr:rowOff>
    </xdr:from>
    <xdr:to>
      <xdr:col>13</xdr:col>
      <xdr:colOff>419100</xdr:colOff>
      <xdr:row>39</xdr:row>
      <xdr:rowOff>36134</xdr:rowOff>
    </xdr:to>
    <xdr:pic>
      <xdr:nvPicPr>
        <xdr:cNvPr id="2" name="Picture 1">
          <a:extLst>
            <a:ext uri="{FF2B5EF4-FFF2-40B4-BE49-F238E27FC236}">
              <a16:creationId xmlns:a16="http://schemas.microsoft.com/office/drawing/2014/main" id="{9EA8209A-8BAC-4024-8844-D5CAE48F833F}"/>
            </a:ext>
          </a:extLst>
        </xdr:cNvPr>
        <xdr:cNvPicPr>
          <a:picLocks noChangeAspect="1"/>
        </xdr:cNvPicPr>
      </xdr:nvPicPr>
      <xdr:blipFill>
        <a:blip xmlns:r="http://schemas.openxmlformats.org/officeDocument/2006/relationships" r:embed="rId2"/>
        <a:stretch>
          <a:fillRect/>
        </a:stretch>
      </xdr:blipFill>
      <xdr:spPr>
        <a:xfrm>
          <a:off x="8845550" y="6445250"/>
          <a:ext cx="2838450" cy="785434"/>
        </a:xfrm>
        <a:prstGeom prst="rect">
          <a:avLst/>
        </a:prstGeom>
      </xdr:spPr>
    </xdr:pic>
    <xdr:clientData/>
  </xdr:twoCellAnchor>
  <xdr:twoCellAnchor editAs="oneCell">
    <xdr:from>
      <xdr:col>4</xdr:col>
      <xdr:colOff>0</xdr:colOff>
      <xdr:row>11</xdr:row>
      <xdr:rowOff>0</xdr:rowOff>
    </xdr:from>
    <xdr:to>
      <xdr:col>9</xdr:col>
      <xdr:colOff>247819</xdr:colOff>
      <xdr:row>12</xdr:row>
      <xdr:rowOff>69863</xdr:rowOff>
    </xdr:to>
    <xdr:pic>
      <xdr:nvPicPr>
        <xdr:cNvPr id="4" name="Picture 3">
          <a:extLst>
            <a:ext uri="{FF2B5EF4-FFF2-40B4-BE49-F238E27FC236}">
              <a16:creationId xmlns:a16="http://schemas.microsoft.com/office/drawing/2014/main" id="{72926D8C-ED20-4AB7-A6CB-8E88CB22A424}"/>
            </a:ext>
          </a:extLst>
        </xdr:cNvPr>
        <xdr:cNvPicPr>
          <a:picLocks noChangeAspect="1"/>
        </xdr:cNvPicPr>
      </xdr:nvPicPr>
      <xdr:blipFill>
        <a:blip xmlns:r="http://schemas.openxmlformats.org/officeDocument/2006/relationships" r:embed="rId3"/>
        <a:stretch>
          <a:fillRect/>
        </a:stretch>
      </xdr:blipFill>
      <xdr:spPr>
        <a:xfrm>
          <a:off x="5778500" y="2038350"/>
          <a:ext cx="3295819" cy="254013"/>
        </a:xfrm>
        <a:prstGeom prst="rect">
          <a:avLst/>
        </a:prstGeom>
      </xdr:spPr>
    </xdr:pic>
    <xdr:clientData/>
  </xdr:twoCellAnchor>
  <xdr:twoCellAnchor editAs="oneCell">
    <xdr:from>
      <xdr:col>4</xdr:col>
      <xdr:colOff>0</xdr:colOff>
      <xdr:row>9</xdr:row>
      <xdr:rowOff>0</xdr:rowOff>
    </xdr:from>
    <xdr:to>
      <xdr:col>8</xdr:col>
      <xdr:colOff>63629</xdr:colOff>
      <xdr:row>10</xdr:row>
      <xdr:rowOff>88914</xdr:rowOff>
    </xdr:to>
    <xdr:pic>
      <xdr:nvPicPr>
        <xdr:cNvPr id="6" name="Picture 5">
          <a:extLst>
            <a:ext uri="{FF2B5EF4-FFF2-40B4-BE49-F238E27FC236}">
              <a16:creationId xmlns:a16="http://schemas.microsoft.com/office/drawing/2014/main" id="{EC02FC50-A49A-4E12-B35D-2DE8D9CC404E}"/>
            </a:ext>
          </a:extLst>
        </xdr:cNvPr>
        <xdr:cNvPicPr>
          <a:picLocks noChangeAspect="1"/>
        </xdr:cNvPicPr>
      </xdr:nvPicPr>
      <xdr:blipFill>
        <a:blip xmlns:r="http://schemas.openxmlformats.org/officeDocument/2006/relationships" r:embed="rId4"/>
        <a:stretch>
          <a:fillRect/>
        </a:stretch>
      </xdr:blipFill>
      <xdr:spPr>
        <a:xfrm>
          <a:off x="5778500" y="1670050"/>
          <a:ext cx="2502029" cy="273064"/>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2</xdr:row>
      <xdr:rowOff>0</xdr:rowOff>
    </xdr:from>
    <xdr:to>
      <xdr:col>12</xdr:col>
      <xdr:colOff>584200</xdr:colOff>
      <xdr:row>23</xdr:row>
      <xdr:rowOff>101600</xdr:rowOff>
    </xdr:to>
    <xdr:sp macro="" textlink="">
      <xdr:nvSpPr>
        <xdr:cNvPr id="2" name="TextBox 1">
          <a:extLst>
            <a:ext uri="{FF2B5EF4-FFF2-40B4-BE49-F238E27FC236}">
              <a16:creationId xmlns:a16="http://schemas.microsoft.com/office/drawing/2014/main" id="{FB01B0EE-7DAC-430F-B8FB-AC9B7E753FAA}"/>
            </a:ext>
          </a:extLst>
        </xdr:cNvPr>
        <xdr:cNvSpPr txBox="1"/>
      </xdr:nvSpPr>
      <xdr:spPr>
        <a:xfrm>
          <a:off x="609600" y="368300"/>
          <a:ext cx="7289800" cy="3968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For sampling flowrate and measurement, the water sample should be collected at several</a:t>
          </a:r>
          <a:r>
            <a:rPr lang="en-US"/>
            <a:t> points in the treatment</a:t>
          </a:r>
          <a:r>
            <a:rPr lang="en-US" baseline="0"/>
            <a:t> plant.</a:t>
          </a:r>
          <a:r>
            <a:rPr lang="en-US" sz="1100" baseline="0"/>
            <a:t> In this section, I will list out all possible location for sampling:</a:t>
          </a:r>
        </a:p>
        <a:p>
          <a:r>
            <a:rPr lang="en-US" sz="1100" baseline="0"/>
            <a:t>- The first point to take sample is before the stream enter the bar screen. The water sample from this point will be analyzed based on pH, Dissolved Oxygen, and temperature. Also, it is used for BOD and Total Suspended Solid (TSS) test </a:t>
          </a:r>
        </a:p>
        <a:p>
          <a:r>
            <a:rPr lang="en-US" sz="1100" baseline="0"/>
            <a:t>- The next sampling point will be after the preliminary treatment. This is to make sure all the units in the primary treatment are working well.</a:t>
          </a:r>
        </a:p>
        <a:p>
          <a:r>
            <a:rPr lang="en-US" sz="1100" baseline="0"/>
            <a:t>- Next, the sample will be taken from anoxic basin, and aerobic basin. The parameter that are needed from the sample are pH, temperature, total and volatile suspended solid. This information is used to assess the quality of the biomas in the system and determine the amount of waste sludge. </a:t>
          </a:r>
        </a:p>
        <a:p>
          <a:r>
            <a:rPr lang="en-US" sz="1100" baseline="0"/>
            <a:t>- Lastly, the sample should be taken at the discharge line, after the secondary settling. This is to guarantee the quality of the treated water before discharging it to the environment. Parameters that need to be considered are pH, DO, and temperature. </a:t>
          </a:r>
        </a:p>
        <a:p>
          <a:endParaRPr lang="en-US" sz="1100" baseline="0"/>
        </a:p>
        <a:p>
          <a:r>
            <a:rPr lang="en-US" sz="1100" baseline="0"/>
            <a:t>In addition, the waste solid from the aeration basin should be collected for sample. </a:t>
          </a:r>
        </a:p>
        <a:p>
          <a:endParaRPr lang="en-US" sz="1100" baseline="0"/>
        </a:p>
        <a:p>
          <a:r>
            <a:rPr lang="en-US" sz="1100" baseline="0"/>
            <a:t>To sum up, those are the general location for taking sample from the wastewater treatment plant.</a:t>
          </a:r>
        </a:p>
        <a:p>
          <a:endParaRPr lang="en-US" sz="1100" baseline="0"/>
        </a:p>
        <a:p>
          <a:r>
            <a:rPr lang="en-US" sz="1100" baseline="0"/>
            <a:t>References:</a:t>
          </a:r>
        </a:p>
        <a:p>
          <a:r>
            <a:rPr lang="en-US" sz="1100" baseline="0"/>
            <a:t>- City Of La Center. 2017. Wastewater Treatment Plant Sampling and Analysis Plan. Available: https://ci.lacenter.wa.us/city_departments/pdfs/WWTP_RFP/SamplingPlan_2016.pdf</a:t>
          </a:r>
        </a:p>
        <a:p>
          <a:r>
            <a:rPr lang="en-US" baseline="0"/>
            <a:t>- Simpson, B. 2013. Wastewater Sampling. Available: https://www.epa.gov/sites/production/files/2015-06/documents/Wastewater-Sampling.pdf</a:t>
          </a:r>
        </a:p>
        <a:p>
          <a:endParaRPr lang="en-US" baseline="0"/>
        </a:p>
      </xdr:txBody>
    </xdr:sp>
    <xdr:clientData/>
  </xdr:twoCellAnchor>
</xdr:wsDr>
</file>

<file path=xl/drawings/drawing13.xml><?xml version="1.0" encoding="utf-8"?>
<xdr:wsDr xmlns:xdr="http://schemas.openxmlformats.org/drawingml/2006/spreadsheetDrawing" xmlns:a="http://schemas.openxmlformats.org/drawingml/2006/main">
  <xdr:oneCellAnchor>
    <xdr:from>
      <xdr:col>0</xdr:col>
      <xdr:colOff>0</xdr:colOff>
      <xdr:row>18</xdr:row>
      <xdr:rowOff>19050</xdr:rowOff>
    </xdr:from>
    <xdr:ext cx="3901196" cy="183127"/>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6E0DB03D-D94D-4923-95D5-CA2A267D3392}"/>
                </a:ext>
              </a:extLst>
            </xdr:cNvPr>
            <xdr:cNvSpPr txBox="1"/>
          </xdr:nvSpPr>
          <xdr:spPr>
            <a:xfrm>
              <a:off x="0" y="3346450"/>
              <a:ext cx="3901196" cy="1831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r>
                      <a:rPr lang="en-US" sz="1100" b="0" i="1">
                        <a:latin typeface="Cambria Math" panose="02040503050406030204" pitchFamily="18" charset="0"/>
                        <a:ea typeface="Cambria Math" panose="02040503050406030204" pitchFamily="18" charset="0"/>
                      </a:rPr>
                      <m:t>×</m:t>
                    </m:r>
                    <m:sSub>
                      <m:sSubPr>
                        <m:ctrlPr>
                          <a:rPr lang="en-US" sz="1100" b="0" i="1">
                            <a:latin typeface="Cambria Math" panose="02040503050406030204" pitchFamily="18" charset="0"/>
                            <a:ea typeface="Cambria Math" panose="02040503050406030204" pitchFamily="18" charset="0"/>
                          </a:rPr>
                        </m:ctrlPr>
                      </m:sSubPr>
                      <m:e>
                        <m:r>
                          <a:rPr lang="en-US" sz="1100" b="0" i="1">
                            <a:latin typeface="Cambria Math" panose="02040503050406030204" pitchFamily="18" charset="0"/>
                            <a:ea typeface="Cambria Math" panose="02040503050406030204" pitchFamily="18" charset="0"/>
                          </a:rPr>
                          <m:t>𝑃</m:t>
                        </m:r>
                      </m:e>
                      <m:sub>
                        <m:r>
                          <a:rPr lang="en-US" sz="1100" b="0" i="1">
                            <a:latin typeface="Cambria Math" panose="02040503050406030204" pitchFamily="18" charset="0"/>
                            <a:ea typeface="Cambria Math" panose="02040503050406030204" pitchFamily="18" charset="0"/>
                          </a:rPr>
                          <m:t>𝑖𝑛𝑓𝑙𝑢𝑒𝑛𝑡</m:t>
                        </m:r>
                      </m:sub>
                    </m:sSub>
                    <m:r>
                      <a:rPr lang="en-US" sz="1100" b="0" i="1">
                        <a:latin typeface="Cambria Math" panose="02040503050406030204" pitchFamily="18" charset="0"/>
                        <a:ea typeface="Cambria Math" panose="02040503050406030204" pitchFamily="18" charset="0"/>
                      </a:rPr>
                      <m:t>+</m:t>
                    </m:r>
                    <m:d>
                      <m:dPr>
                        <m:ctrlPr>
                          <a:rPr lang="en-US" sz="1100" b="0" i="1">
                            <a:latin typeface="Cambria Math" panose="02040503050406030204" pitchFamily="18" charset="0"/>
                            <a:ea typeface="Cambria Math" panose="02040503050406030204" pitchFamily="18" charset="0"/>
                          </a:rPr>
                        </m:ctrlPr>
                      </m:dPr>
                      <m:e>
                        <m:sSub>
                          <m:sSubPr>
                            <m:ctrlPr>
                              <a:rPr lang="en-US" sz="1100" b="0" i="1">
                                <a:latin typeface="Cambria Math" panose="02040503050406030204" pitchFamily="18" charset="0"/>
                                <a:ea typeface="Cambria Math" panose="02040503050406030204" pitchFamily="18" charset="0"/>
                              </a:rPr>
                            </m:ctrlPr>
                          </m:sSubPr>
                          <m:e>
                            <m:r>
                              <a:rPr lang="en-US" sz="1100" b="0" i="1">
                                <a:latin typeface="Cambria Math" panose="02040503050406030204" pitchFamily="18" charset="0"/>
                                <a:ea typeface="Cambria Math" panose="02040503050406030204" pitchFamily="18" charset="0"/>
                              </a:rPr>
                              <m:t>𝑄</m:t>
                            </m:r>
                          </m:e>
                          <m:sub>
                            <m:r>
                              <a:rPr lang="en-US" sz="1100" b="0" i="1">
                                <a:latin typeface="Cambria Math" panose="02040503050406030204" pitchFamily="18" charset="0"/>
                                <a:ea typeface="Cambria Math" panose="02040503050406030204" pitchFamily="18" charset="0"/>
                              </a:rPr>
                              <m:t>𝑎𝑛𝑛𝑢𝑎𝑙</m:t>
                            </m:r>
                          </m:sub>
                        </m:sSub>
                        <m:r>
                          <a:rPr lang="en-US" sz="1100" b="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𝑥</m:t>
                        </m:r>
                      </m:e>
                    </m:d>
                    <m:r>
                      <a:rPr lang="en-US" sz="1100" b="0" i="1">
                        <a:latin typeface="Cambria Math" panose="02040503050406030204" pitchFamily="18" charset="0"/>
                        <a:ea typeface="Cambria Math" panose="02040503050406030204" pitchFamily="18" charset="0"/>
                      </a:rPr>
                      <m:t>×</m:t>
                    </m:r>
                    <m:sSub>
                      <m:sSubPr>
                        <m:ctrlPr>
                          <a:rPr lang="en-US" sz="1100" b="0" i="1">
                            <a:latin typeface="Cambria Math" panose="02040503050406030204" pitchFamily="18" charset="0"/>
                            <a:ea typeface="Cambria Math" panose="02040503050406030204" pitchFamily="18" charset="0"/>
                          </a:rPr>
                        </m:ctrlPr>
                      </m:sSubPr>
                      <m:e>
                        <m:r>
                          <a:rPr lang="en-US" sz="1100" b="0" i="1">
                            <a:latin typeface="Cambria Math" panose="02040503050406030204" pitchFamily="18" charset="0"/>
                            <a:ea typeface="Cambria Math" panose="02040503050406030204" pitchFamily="18" charset="0"/>
                          </a:rPr>
                          <m:t>𝑃</m:t>
                        </m:r>
                      </m:e>
                      <m:sub>
                        <m:r>
                          <a:rPr lang="en-US" sz="1100" b="0" i="1">
                            <a:latin typeface="Cambria Math" panose="02040503050406030204" pitchFamily="18" charset="0"/>
                            <a:ea typeface="Cambria Math" panose="02040503050406030204" pitchFamily="18" charset="0"/>
                          </a:rPr>
                          <m:t>𝑒𝑓𝑓𝑙𝑢𝑒𝑛𝑡</m:t>
                        </m:r>
                      </m:sub>
                    </m:sSub>
                    <m:r>
                      <a:rPr lang="en-US" sz="1100" b="0" i="1">
                        <a:latin typeface="Cambria Math" panose="02040503050406030204" pitchFamily="18" charset="0"/>
                        <a:ea typeface="Cambria Math" panose="02040503050406030204" pitchFamily="18" charset="0"/>
                      </a:rPr>
                      <m:t>=</m:t>
                    </m:r>
                    <m:sSub>
                      <m:sSubPr>
                        <m:ctrlPr>
                          <a:rPr lang="en-US" sz="1100" b="0" i="1">
                            <a:latin typeface="Cambria Math" panose="02040503050406030204" pitchFamily="18" charset="0"/>
                            <a:ea typeface="Cambria Math" panose="02040503050406030204" pitchFamily="18" charset="0"/>
                          </a:rPr>
                        </m:ctrlPr>
                      </m:sSubPr>
                      <m:e>
                        <m:r>
                          <a:rPr lang="en-US" sz="1100" b="0" i="1">
                            <a:latin typeface="Cambria Math" panose="02040503050406030204" pitchFamily="18" charset="0"/>
                            <a:ea typeface="Cambria Math" panose="02040503050406030204" pitchFamily="18" charset="0"/>
                          </a:rPr>
                          <m:t>𝑄</m:t>
                        </m:r>
                      </m:e>
                      <m:sub>
                        <m:r>
                          <a:rPr lang="en-US" sz="1100" b="0" i="1">
                            <a:latin typeface="Cambria Math" panose="02040503050406030204" pitchFamily="18" charset="0"/>
                            <a:ea typeface="Cambria Math" panose="02040503050406030204" pitchFamily="18" charset="0"/>
                          </a:rPr>
                          <m:t>𝑎𝑛𝑛𝑢𝑎𝑙</m:t>
                        </m:r>
                      </m:sub>
                    </m:sSub>
                    <m:r>
                      <a:rPr lang="en-US" sz="1100" b="0" i="1">
                        <a:latin typeface="Cambria Math" panose="02040503050406030204" pitchFamily="18" charset="0"/>
                        <a:ea typeface="Cambria Math" panose="02040503050406030204" pitchFamily="18" charset="0"/>
                      </a:rPr>
                      <m:t>×</m:t>
                    </m:r>
                    <m:sSub>
                      <m:sSubPr>
                        <m:ctrlPr>
                          <a:rPr lang="en-US" sz="1100" b="0" i="1">
                            <a:latin typeface="Cambria Math" panose="02040503050406030204" pitchFamily="18" charset="0"/>
                            <a:ea typeface="Cambria Math" panose="02040503050406030204" pitchFamily="18" charset="0"/>
                          </a:rPr>
                        </m:ctrlPr>
                      </m:sSubPr>
                      <m:e>
                        <m:r>
                          <a:rPr lang="en-US" sz="1100" b="0" i="1">
                            <a:latin typeface="Cambria Math" panose="02040503050406030204" pitchFamily="18" charset="0"/>
                            <a:ea typeface="Cambria Math" panose="02040503050406030204" pitchFamily="18" charset="0"/>
                          </a:rPr>
                          <m:t>𝑃</m:t>
                        </m:r>
                      </m:e>
                      <m:sub>
                        <m:r>
                          <a:rPr lang="en-US" sz="1100" b="0" i="1">
                            <a:latin typeface="Cambria Math" panose="02040503050406030204" pitchFamily="18" charset="0"/>
                            <a:ea typeface="Cambria Math" panose="02040503050406030204" pitchFamily="18" charset="0"/>
                          </a:rPr>
                          <m:t>𝑝𝑒𝑟𝑚𝑖𝑡𝑡𝑒𝑑</m:t>
                        </m:r>
                      </m:sub>
                    </m:sSub>
                  </m:oMath>
                </m:oMathPara>
              </a14:m>
              <a:endParaRPr lang="en-FI" sz="1100"/>
            </a:p>
          </xdr:txBody>
        </xdr:sp>
      </mc:Choice>
      <mc:Fallback xmlns="">
        <xdr:sp macro="" textlink="">
          <xdr:nvSpPr>
            <xdr:cNvPr id="2" name="TextBox 1">
              <a:extLst>
                <a:ext uri="{FF2B5EF4-FFF2-40B4-BE49-F238E27FC236}">
                  <a16:creationId xmlns:a16="http://schemas.microsoft.com/office/drawing/2014/main" id="{6E0DB03D-D94D-4923-95D5-CA2A267D3392}"/>
                </a:ext>
              </a:extLst>
            </xdr:cNvPr>
            <xdr:cNvSpPr txBox="1"/>
          </xdr:nvSpPr>
          <xdr:spPr>
            <a:xfrm>
              <a:off x="0" y="3346450"/>
              <a:ext cx="3901196" cy="1831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𝑥</a:t>
              </a:r>
              <a:r>
                <a:rPr lang="en-US" sz="1100" b="0" i="0">
                  <a:latin typeface="Cambria Math" panose="02040503050406030204" pitchFamily="18" charset="0"/>
                  <a:ea typeface="Cambria Math" panose="02040503050406030204" pitchFamily="18" charset="0"/>
                </a:rPr>
                <a:t>×𝑃_𝑖𝑛𝑓𝑙𝑢𝑒𝑛𝑡+(𝑄_𝑎𝑛𝑛𝑢𝑎𝑙−𝑥)×𝑃_𝑒𝑓𝑓𝑙𝑢𝑒𝑛𝑡=𝑄_𝑎𝑛𝑛𝑢𝑎𝑙×𝑃_𝑝𝑒𝑟𝑚𝑖𝑡𝑡𝑒𝑑</a:t>
              </a:r>
              <a:endParaRPr lang="en-FI" sz="1100"/>
            </a:p>
          </xdr:txBody>
        </xdr:sp>
      </mc:Fallback>
    </mc:AlternateContent>
    <xdr:clientData/>
  </xdr:oneCellAnchor>
  <xdr:oneCellAnchor>
    <xdr:from>
      <xdr:col>0</xdr:col>
      <xdr:colOff>0</xdr:colOff>
      <xdr:row>20</xdr:row>
      <xdr:rowOff>0</xdr:rowOff>
    </xdr:from>
    <xdr:ext cx="3406766" cy="172227"/>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95430B2E-B223-4BC3-9B51-0D357BCB6501}"/>
                </a:ext>
              </a:extLst>
            </xdr:cNvPr>
            <xdr:cNvSpPr txBox="1"/>
          </xdr:nvSpPr>
          <xdr:spPr>
            <a:xfrm>
              <a:off x="0" y="3695700"/>
              <a:ext cx="340676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FI"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𝑥</m:t>
                    </m:r>
                    <m:r>
                      <a:rPr lang="en-US" sz="1100" b="0" i="1">
                        <a:latin typeface="Cambria Math" panose="02040503050406030204" pitchFamily="18" charset="0"/>
                        <a:ea typeface="Cambria Math" panose="02040503050406030204" pitchFamily="18" charset="0"/>
                      </a:rPr>
                      <m:t>×6.58+</m:t>
                    </m:r>
                    <m:d>
                      <m:dPr>
                        <m:ctrlPr>
                          <a:rPr lang="en-US" sz="1100" b="0" i="1">
                            <a:latin typeface="Cambria Math" panose="02040503050406030204" pitchFamily="18" charset="0"/>
                            <a:ea typeface="Cambria Math" panose="02040503050406030204" pitchFamily="18" charset="0"/>
                          </a:rPr>
                        </m:ctrlPr>
                      </m:dPr>
                      <m:e>
                        <m:r>
                          <a:rPr lang="en-US" sz="1100" b="0" i="1">
                            <a:latin typeface="Cambria Math" panose="02040503050406030204" pitchFamily="18" charset="0"/>
                            <a:ea typeface="Cambria Math" panose="02040503050406030204" pitchFamily="18" charset="0"/>
                          </a:rPr>
                          <m:t>16425000−</m:t>
                        </m:r>
                        <m:r>
                          <a:rPr lang="en-US" sz="1100" b="0" i="1">
                            <a:latin typeface="Cambria Math" panose="02040503050406030204" pitchFamily="18" charset="0"/>
                            <a:ea typeface="Cambria Math" panose="02040503050406030204" pitchFamily="18" charset="0"/>
                          </a:rPr>
                          <m:t>𝑥</m:t>
                        </m:r>
                      </m:e>
                    </m:d>
                    <m:r>
                      <a:rPr lang="en-US" sz="1100" b="0" i="1">
                        <a:latin typeface="Cambria Math" panose="02040503050406030204" pitchFamily="18" charset="0"/>
                        <a:ea typeface="Cambria Math" panose="02040503050406030204" pitchFamily="18" charset="0"/>
                      </a:rPr>
                      <m:t>×0.3=16425000×0.4</m:t>
                    </m:r>
                  </m:oMath>
                </m:oMathPara>
              </a14:m>
              <a:endParaRPr lang="en-FI" sz="1100"/>
            </a:p>
          </xdr:txBody>
        </xdr:sp>
      </mc:Choice>
      <mc:Fallback xmlns="">
        <xdr:sp macro="" textlink="">
          <xdr:nvSpPr>
            <xdr:cNvPr id="3" name="TextBox 2">
              <a:extLst>
                <a:ext uri="{FF2B5EF4-FFF2-40B4-BE49-F238E27FC236}">
                  <a16:creationId xmlns:a16="http://schemas.microsoft.com/office/drawing/2014/main" id="{95430B2E-B223-4BC3-9B51-0D357BCB6501}"/>
                </a:ext>
              </a:extLst>
            </xdr:cNvPr>
            <xdr:cNvSpPr txBox="1"/>
          </xdr:nvSpPr>
          <xdr:spPr>
            <a:xfrm>
              <a:off x="0" y="3695700"/>
              <a:ext cx="340676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FI"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𝑥×6.58+(16425000−𝑥)×0.3=16425000×0.4</a:t>
              </a:r>
              <a:endParaRPr lang="en-FI" sz="1100"/>
            </a:p>
          </xdr:txBody>
        </xdr:sp>
      </mc:Fallback>
    </mc:AlternateContent>
    <xdr:clientData/>
  </xdr:oneCellAnchor>
  <xdr:oneCellAnchor>
    <xdr:from>
      <xdr:col>0</xdr:col>
      <xdr:colOff>22225</xdr:colOff>
      <xdr:row>22</xdr:row>
      <xdr:rowOff>0</xdr:rowOff>
    </xdr:from>
    <xdr:ext cx="1310423" cy="172227"/>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4A0DA267-2C90-4400-BD98-8D09A5F65659}"/>
                </a:ext>
              </a:extLst>
            </xdr:cNvPr>
            <xdr:cNvSpPr txBox="1"/>
          </xdr:nvSpPr>
          <xdr:spPr>
            <a:xfrm>
              <a:off x="22225" y="4064000"/>
              <a:ext cx="131042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FI"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6.28</m:t>
                    </m:r>
                    <m:r>
                      <a:rPr lang="en-US" sz="1100" b="0" i="1">
                        <a:latin typeface="Cambria Math" panose="02040503050406030204" pitchFamily="18" charset="0"/>
                        <a:ea typeface="Cambria Math" panose="02040503050406030204" pitchFamily="18" charset="0"/>
                      </a:rPr>
                      <m:t>𝑥</m:t>
                    </m:r>
                    <m:r>
                      <a:rPr lang="en-US" sz="1100" b="0" i="1">
                        <a:latin typeface="Cambria Math" panose="02040503050406030204" pitchFamily="18" charset="0"/>
                        <a:ea typeface="Cambria Math" panose="02040503050406030204" pitchFamily="18" charset="0"/>
                      </a:rPr>
                      <m:t>=1642500</m:t>
                    </m:r>
                  </m:oMath>
                </m:oMathPara>
              </a14:m>
              <a:endParaRPr lang="en-FI" sz="1100"/>
            </a:p>
          </xdr:txBody>
        </xdr:sp>
      </mc:Choice>
      <mc:Fallback xmlns="">
        <xdr:sp macro="" textlink="">
          <xdr:nvSpPr>
            <xdr:cNvPr id="4" name="TextBox 3">
              <a:extLst>
                <a:ext uri="{FF2B5EF4-FFF2-40B4-BE49-F238E27FC236}">
                  <a16:creationId xmlns:a16="http://schemas.microsoft.com/office/drawing/2014/main" id="{4A0DA267-2C90-4400-BD98-8D09A5F65659}"/>
                </a:ext>
              </a:extLst>
            </xdr:cNvPr>
            <xdr:cNvSpPr txBox="1"/>
          </xdr:nvSpPr>
          <xdr:spPr>
            <a:xfrm>
              <a:off x="22225" y="4064000"/>
              <a:ext cx="131042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FI"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6.28𝑥=1642500</a:t>
              </a:r>
              <a:endParaRPr lang="en-FI" sz="1100"/>
            </a:p>
          </xdr:txBody>
        </xdr:sp>
      </mc:Fallback>
    </mc:AlternateContent>
    <xdr:clientData/>
  </xdr:oneCellAnchor>
  <xdr:oneCellAnchor>
    <xdr:from>
      <xdr:col>0</xdr:col>
      <xdr:colOff>22225</xdr:colOff>
      <xdr:row>23</xdr:row>
      <xdr:rowOff>82550</xdr:rowOff>
    </xdr:from>
    <xdr:ext cx="1488421" cy="339708"/>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7EB67A03-E9BC-4A7E-81C1-1447DF34A3A9}"/>
                </a:ext>
              </a:extLst>
            </xdr:cNvPr>
            <xdr:cNvSpPr txBox="1"/>
          </xdr:nvSpPr>
          <xdr:spPr>
            <a:xfrm>
              <a:off x="22225" y="4330700"/>
              <a:ext cx="1488421" cy="3397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rPr>
                      <m:t>𝑥</m:t>
                    </m:r>
                    <m:r>
                      <a:rPr lang="en-US" sz="1100" b="0" i="1">
                        <a:latin typeface="Cambria Math" panose="02040503050406030204" pitchFamily="18" charset="0"/>
                      </a:rPr>
                      <m:t>=261544.59 (</m:t>
                    </m:r>
                    <m:f>
                      <m:fPr>
                        <m:ctrlPr>
                          <a:rPr lang="en-US" sz="1100" b="0" i="1">
                            <a:latin typeface="Cambria Math" panose="02040503050406030204" pitchFamily="18" charset="0"/>
                          </a:rPr>
                        </m:ctrlPr>
                      </m:fPr>
                      <m:num>
                        <m:sSup>
                          <m:sSupPr>
                            <m:ctrlPr>
                              <a:rPr lang="en-US" sz="1100" b="0" i="1">
                                <a:latin typeface="Cambria Math" panose="02040503050406030204" pitchFamily="18" charset="0"/>
                              </a:rPr>
                            </m:ctrlPr>
                          </m:sSupPr>
                          <m:e>
                            <m:r>
                              <a:rPr lang="en-US" sz="1100" b="0" i="1">
                                <a:latin typeface="Cambria Math" panose="02040503050406030204" pitchFamily="18" charset="0"/>
                              </a:rPr>
                              <m:t>𝑚</m:t>
                            </m:r>
                          </m:e>
                          <m:sup>
                            <m:r>
                              <a:rPr lang="en-US" sz="1100" b="0" i="1">
                                <a:latin typeface="Cambria Math" panose="02040503050406030204" pitchFamily="18" charset="0"/>
                              </a:rPr>
                              <m:t>3</m:t>
                            </m:r>
                          </m:sup>
                        </m:sSup>
                      </m:num>
                      <m:den>
                        <m:r>
                          <a:rPr lang="en-US" sz="1100" b="0" i="1">
                            <a:latin typeface="Cambria Math" panose="02040503050406030204" pitchFamily="18" charset="0"/>
                          </a:rPr>
                          <m:t>𝑎</m:t>
                        </m:r>
                      </m:den>
                    </m:f>
                    <m:r>
                      <a:rPr lang="en-US" sz="1100" b="0" i="1">
                        <a:latin typeface="Cambria Math" panose="02040503050406030204" pitchFamily="18" charset="0"/>
                      </a:rPr>
                      <m:t>)</m:t>
                    </m:r>
                  </m:oMath>
                </m:oMathPara>
              </a14:m>
              <a:endParaRPr lang="en-FI" sz="1100"/>
            </a:p>
          </xdr:txBody>
        </xdr:sp>
      </mc:Choice>
      <mc:Fallback xmlns="">
        <xdr:sp macro="" textlink="">
          <xdr:nvSpPr>
            <xdr:cNvPr id="5" name="TextBox 4">
              <a:extLst>
                <a:ext uri="{FF2B5EF4-FFF2-40B4-BE49-F238E27FC236}">
                  <a16:creationId xmlns:a16="http://schemas.microsoft.com/office/drawing/2014/main" id="{7EB67A03-E9BC-4A7E-81C1-1447DF34A3A9}"/>
                </a:ext>
              </a:extLst>
            </xdr:cNvPr>
            <xdr:cNvSpPr txBox="1"/>
          </xdr:nvSpPr>
          <xdr:spPr>
            <a:xfrm>
              <a:off x="22225" y="4330700"/>
              <a:ext cx="1488421" cy="3397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rPr>
                <a:t>𝑥=261544.59 (𝑚^3/𝑎)</a:t>
              </a:r>
              <a:endParaRPr lang="en-FI" sz="1100"/>
            </a:p>
          </xdr:txBody>
        </xdr:sp>
      </mc:Fallback>
    </mc:AlternateContent>
    <xdr:clientData/>
  </xdr:oneCellAnchor>
</xdr:wsDr>
</file>

<file path=xl/drawings/drawing14.xml><?xml version="1.0" encoding="utf-8"?>
<xdr:wsDr xmlns:xdr="http://schemas.openxmlformats.org/drawingml/2006/spreadsheetDrawing" xmlns:a="http://schemas.openxmlformats.org/drawingml/2006/main">
  <xdr:twoCellAnchor>
    <xdr:from>
      <xdr:col>0</xdr:col>
      <xdr:colOff>19051</xdr:colOff>
      <xdr:row>0</xdr:row>
      <xdr:rowOff>0</xdr:rowOff>
    </xdr:from>
    <xdr:to>
      <xdr:col>24</xdr:col>
      <xdr:colOff>88900</xdr:colOff>
      <xdr:row>26</xdr:row>
      <xdr:rowOff>76200</xdr:rowOff>
    </xdr:to>
    <xdr:grpSp>
      <xdr:nvGrpSpPr>
        <xdr:cNvPr id="5" name="Group 4">
          <a:extLst>
            <a:ext uri="{FF2B5EF4-FFF2-40B4-BE49-F238E27FC236}">
              <a16:creationId xmlns:a16="http://schemas.microsoft.com/office/drawing/2014/main" id="{029672DC-8AFD-440C-BA84-A48CC3054158}"/>
            </a:ext>
          </a:extLst>
        </xdr:cNvPr>
        <xdr:cNvGrpSpPr/>
      </xdr:nvGrpSpPr>
      <xdr:grpSpPr>
        <a:xfrm>
          <a:off x="19051" y="0"/>
          <a:ext cx="14771967" cy="4932082"/>
          <a:chOff x="19051" y="0"/>
          <a:chExt cx="14700249" cy="4864100"/>
        </a:xfrm>
      </xdr:grpSpPr>
      <xdr:pic>
        <xdr:nvPicPr>
          <xdr:cNvPr id="3" name="Picture 2">
            <a:extLst>
              <a:ext uri="{FF2B5EF4-FFF2-40B4-BE49-F238E27FC236}">
                <a16:creationId xmlns:a16="http://schemas.microsoft.com/office/drawing/2014/main" id="{EF0F2D9A-CBF5-46DB-91F7-461299CCCE6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400" y="0"/>
            <a:ext cx="14693900" cy="4864100"/>
          </a:xfrm>
          <a:prstGeom prst="rect">
            <a:avLst/>
          </a:prstGeom>
        </xdr:spPr>
      </xdr:pic>
      <xdr:pic>
        <xdr:nvPicPr>
          <xdr:cNvPr id="4" name="Picture 3">
            <a:extLst>
              <a:ext uri="{FF2B5EF4-FFF2-40B4-BE49-F238E27FC236}">
                <a16:creationId xmlns:a16="http://schemas.microsoft.com/office/drawing/2014/main" id="{33B40668-428B-4A7C-96FD-74C7130B2448}"/>
              </a:ext>
            </a:extLst>
          </xdr:cNvPr>
          <xdr:cNvPicPr>
            <a:picLocks noChangeAspect="1"/>
          </xdr:cNvPicPr>
        </xdr:nvPicPr>
        <xdr:blipFill>
          <a:blip xmlns:r="http://schemas.openxmlformats.org/officeDocument/2006/relationships" r:embed="rId2"/>
          <a:stretch>
            <a:fillRect/>
          </a:stretch>
        </xdr:blipFill>
        <xdr:spPr>
          <a:xfrm>
            <a:off x="19051" y="3854450"/>
            <a:ext cx="1218972" cy="527050"/>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25400</xdr:colOff>
      <xdr:row>1</xdr:row>
      <xdr:rowOff>38100</xdr:rowOff>
    </xdr:from>
    <xdr:to>
      <xdr:col>9</xdr:col>
      <xdr:colOff>336848</xdr:colOff>
      <xdr:row>11</xdr:row>
      <xdr:rowOff>165201</xdr:rowOff>
    </xdr:to>
    <xdr:pic>
      <xdr:nvPicPr>
        <xdr:cNvPr id="2" name="Picture 1">
          <a:extLst>
            <a:ext uri="{FF2B5EF4-FFF2-40B4-BE49-F238E27FC236}">
              <a16:creationId xmlns:a16="http://schemas.microsoft.com/office/drawing/2014/main" id="{7D3656C2-5A8A-4425-AD22-DBC196600C06}"/>
            </a:ext>
          </a:extLst>
        </xdr:cNvPr>
        <xdr:cNvPicPr>
          <a:picLocks noChangeAspect="1"/>
        </xdr:cNvPicPr>
      </xdr:nvPicPr>
      <xdr:blipFill>
        <a:blip xmlns:r="http://schemas.openxmlformats.org/officeDocument/2006/relationships" r:embed="rId1"/>
        <a:stretch>
          <a:fillRect/>
        </a:stretch>
      </xdr:blipFill>
      <xdr:spPr>
        <a:xfrm>
          <a:off x="25400" y="222250"/>
          <a:ext cx="5797848" cy="19686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44450</xdr:colOff>
      <xdr:row>19</xdr:row>
      <xdr:rowOff>171450</xdr:rowOff>
    </xdr:from>
    <xdr:to>
      <xdr:col>27</xdr:col>
      <xdr:colOff>70447</xdr:colOff>
      <xdr:row>48</xdr:row>
      <xdr:rowOff>146323</xdr:rowOff>
    </xdr:to>
    <xdr:grpSp>
      <xdr:nvGrpSpPr>
        <xdr:cNvPr id="6" name="Group 5">
          <a:extLst>
            <a:ext uri="{FF2B5EF4-FFF2-40B4-BE49-F238E27FC236}">
              <a16:creationId xmlns:a16="http://schemas.microsoft.com/office/drawing/2014/main" id="{373D8467-DD8F-4236-975F-B6FCE2CE0B9F}"/>
            </a:ext>
          </a:extLst>
        </xdr:cNvPr>
        <xdr:cNvGrpSpPr/>
      </xdr:nvGrpSpPr>
      <xdr:grpSpPr>
        <a:xfrm>
          <a:off x="8299450" y="4008664"/>
          <a:ext cx="11573926" cy="5236302"/>
          <a:chOff x="8261350" y="3702050"/>
          <a:chExt cx="11608397" cy="5315223"/>
        </a:xfrm>
      </xdr:grpSpPr>
      <xdr:pic>
        <xdr:nvPicPr>
          <xdr:cNvPr id="3" name="Picture 2">
            <a:extLst>
              <a:ext uri="{FF2B5EF4-FFF2-40B4-BE49-F238E27FC236}">
                <a16:creationId xmlns:a16="http://schemas.microsoft.com/office/drawing/2014/main" id="{511C1C08-C41A-46E7-91B8-64A7E5A00488}"/>
              </a:ext>
            </a:extLst>
          </xdr:cNvPr>
          <xdr:cNvPicPr>
            <a:picLocks noChangeAspect="1"/>
          </xdr:cNvPicPr>
        </xdr:nvPicPr>
        <xdr:blipFill>
          <a:blip xmlns:r="http://schemas.openxmlformats.org/officeDocument/2006/relationships" r:embed="rId1"/>
          <a:stretch>
            <a:fillRect/>
          </a:stretch>
        </xdr:blipFill>
        <xdr:spPr>
          <a:xfrm>
            <a:off x="8261350" y="3702050"/>
            <a:ext cx="11608397" cy="5315223"/>
          </a:xfrm>
          <a:prstGeom prst="rect">
            <a:avLst/>
          </a:prstGeom>
        </xdr:spPr>
      </xdr:pic>
      <xdr:sp macro="" textlink="">
        <xdr:nvSpPr>
          <xdr:cNvPr id="4" name="Rectangle 3">
            <a:extLst>
              <a:ext uri="{FF2B5EF4-FFF2-40B4-BE49-F238E27FC236}">
                <a16:creationId xmlns:a16="http://schemas.microsoft.com/office/drawing/2014/main" id="{D25C6522-ABA2-4E47-8E3F-F5B72D956245}"/>
              </a:ext>
            </a:extLst>
          </xdr:cNvPr>
          <xdr:cNvSpPr/>
        </xdr:nvSpPr>
        <xdr:spPr>
          <a:xfrm>
            <a:off x="13557250" y="7442200"/>
            <a:ext cx="1403350" cy="3238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FI" sz="1100"/>
          </a:p>
        </xdr:txBody>
      </xdr:sp>
      <xdr:sp macro="" textlink="">
        <xdr:nvSpPr>
          <xdr:cNvPr id="5" name="Rectangle 4">
            <a:extLst>
              <a:ext uri="{FF2B5EF4-FFF2-40B4-BE49-F238E27FC236}">
                <a16:creationId xmlns:a16="http://schemas.microsoft.com/office/drawing/2014/main" id="{E960CB10-6C1C-474F-9DCD-F5D881770D8A}"/>
              </a:ext>
            </a:extLst>
          </xdr:cNvPr>
          <xdr:cNvSpPr/>
        </xdr:nvSpPr>
        <xdr:spPr>
          <a:xfrm>
            <a:off x="17456150" y="7442200"/>
            <a:ext cx="1193800" cy="3238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FI" sz="1100"/>
          </a:p>
        </xdr:txBody>
      </xdr:sp>
      <xdr:sp macro="" textlink="">
        <xdr:nvSpPr>
          <xdr:cNvPr id="7" name="Rectangle 6">
            <a:extLst>
              <a:ext uri="{FF2B5EF4-FFF2-40B4-BE49-F238E27FC236}">
                <a16:creationId xmlns:a16="http://schemas.microsoft.com/office/drawing/2014/main" id="{BB20FC7F-3702-4D3C-8F9A-409F2E979449}"/>
              </a:ext>
            </a:extLst>
          </xdr:cNvPr>
          <xdr:cNvSpPr/>
        </xdr:nvSpPr>
        <xdr:spPr>
          <a:xfrm>
            <a:off x="8280400" y="7423150"/>
            <a:ext cx="2178050" cy="3238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FI" sz="1100"/>
          </a:p>
        </xdr:txBody>
      </xdr:sp>
    </xdr:grpSp>
    <xdr:clientData/>
  </xdr:twoCellAnchor>
</xdr:wsDr>
</file>

<file path=xl/drawings/drawing4.xml><?xml version="1.0" encoding="utf-8"?>
<xdr:wsDr xmlns:xdr="http://schemas.openxmlformats.org/drawingml/2006/spreadsheetDrawing" xmlns:a="http://schemas.openxmlformats.org/drawingml/2006/main">
  <xdr:oneCellAnchor>
    <xdr:from>
      <xdr:col>13</xdr:col>
      <xdr:colOff>92075</xdr:colOff>
      <xdr:row>39</xdr:row>
      <xdr:rowOff>114300</xdr:rowOff>
    </xdr:from>
    <xdr:ext cx="2622513" cy="317972"/>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58F4EF1A-1982-4EC7-9D63-363CA5804A5D}"/>
                </a:ext>
              </a:extLst>
            </xdr:cNvPr>
            <xdr:cNvSpPr txBox="1"/>
          </xdr:nvSpPr>
          <xdr:spPr>
            <a:xfrm>
              <a:off x="16094075" y="7321550"/>
              <a:ext cx="2622513" cy="317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𝑣</m:t>
                    </m:r>
                    <m:r>
                      <a:rPr lang="en-US" sz="1100" b="0" i="1">
                        <a:latin typeface="Cambria Math" panose="02040503050406030204" pitchFamily="18" charset="0"/>
                      </a:rPr>
                      <m:t>= </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𝑛</m:t>
                        </m:r>
                      </m:den>
                    </m:f>
                    <m:sSup>
                      <m:sSupPr>
                        <m:ctrlPr>
                          <a:rPr lang="en-US" sz="1100" b="0" i="1">
                            <a:latin typeface="Cambria Math" panose="02040503050406030204" pitchFamily="18" charset="0"/>
                          </a:rPr>
                        </m:ctrlPr>
                      </m:sSupPr>
                      <m:e>
                        <m:r>
                          <a:rPr lang="en-US" sz="1100" b="0" i="1">
                            <a:latin typeface="Cambria Math" panose="02040503050406030204" pitchFamily="18" charset="0"/>
                          </a:rPr>
                          <m:t>𝑅</m:t>
                        </m:r>
                      </m:e>
                      <m:sup>
                        <m:r>
                          <a:rPr lang="en-US" sz="1100" b="0" i="1">
                            <a:latin typeface="Cambria Math" panose="02040503050406030204" pitchFamily="18" charset="0"/>
                          </a:rPr>
                          <m:t>2/3</m:t>
                        </m:r>
                      </m:sup>
                    </m:sSup>
                    <m:sSup>
                      <m:sSupPr>
                        <m:ctrlPr>
                          <a:rPr lang="en-US" sz="1100" b="0" i="1">
                            <a:latin typeface="Cambria Math" panose="02040503050406030204" pitchFamily="18" charset="0"/>
                          </a:rPr>
                        </m:ctrlPr>
                      </m:sSupPr>
                      <m:e>
                        <m:r>
                          <a:rPr lang="en-US" sz="1100" b="0" i="1">
                            <a:latin typeface="Cambria Math" panose="02040503050406030204" pitchFamily="18" charset="0"/>
                          </a:rPr>
                          <m:t>𝑆</m:t>
                        </m:r>
                      </m:e>
                      <m:sup>
                        <m:r>
                          <a:rPr lang="en-US" sz="1100" b="0" i="1">
                            <a:latin typeface="Cambria Math" panose="02040503050406030204" pitchFamily="18" charset="0"/>
                          </a:rPr>
                          <m:t>0.5</m:t>
                        </m:r>
                      </m:sup>
                    </m:sSup>
                    <m:r>
                      <a:rPr lang="en-US" sz="1100" b="0" i="1">
                        <a:latin typeface="Cambria Math" panose="02040503050406030204" pitchFamily="18" charset="0"/>
                      </a:rPr>
                      <m:t>             (</m:t>
                    </m:r>
                    <m:r>
                      <a:rPr lang="en-US" sz="1100" b="0" i="1">
                        <a:latin typeface="Cambria Math" panose="02040503050406030204" pitchFamily="18" charset="0"/>
                      </a:rPr>
                      <m:t>𝑀𝑎𝑛𝑛𝑖𝑛𝑔</m:t>
                    </m:r>
                    <m:r>
                      <a:rPr lang="en-US" sz="1100" b="0" i="1">
                        <a:latin typeface="Cambria Math" panose="02040503050406030204" pitchFamily="18" charset="0"/>
                      </a:rPr>
                      <m:t> </m:t>
                    </m:r>
                    <m:r>
                      <a:rPr lang="en-US" sz="1100" b="0" i="1">
                        <a:latin typeface="Cambria Math" panose="02040503050406030204" pitchFamily="18" charset="0"/>
                      </a:rPr>
                      <m:t>𝑒𝑞𝑢𝑎𝑡𝑖𝑜𝑛</m:t>
                    </m:r>
                    <m:r>
                      <a:rPr lang="en-US" sz="1100" b="0" i="1">
                        <a:latin typeface="Cambria Math" panose="02040503050406030204" pitchFamily="18" charset="0"/>
                      </a:rPr>
                      <m:t>)</m:t>
                    </m:r>
                  </m:oMath>
                </m:oMathPara>
              </a14:m>
              <a:endParaRPr lang="en-FI" sz="1100"/>
            </a:p>
          </xdr:txBody>
        </xdr:sp>
      </mc:Choice>
      <mc:Fallback xmlns="">
        <xdr:sp macro="" textlink="">
          <xdr:nvSpPr>
            <xdr:cNvPr id="2" name="TextBox 1">
              <a:extLst>
                <a:ext uri="{FF2B5EF4-FFF2-40B4-BE49-F238E27FC236}">
                  <a16:creationId xmlns:a16="http://schemas.microsoft.com/office/drawing/2014/main" id="{58F4EF1A-1982-4EC7-9D63-363CA5804A5D}"/>
                </a:ext>
              </a:extLst>
            </xdr:cNvPr>
            <xdr:cNvSpPr txBox="1"/>
          </xdr:nvSpPr>
          <xdr:spPr>
            <a:xfrm>
              <a:off x="16094075" y="7321550"/>
              <a:ext cx="2622513" cy="317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𝑣=  1/𝑛 𝑅^(2/3) 𝑆^0.5              (𝑀𝑎𝑛𝑛𝑖𝑛𝑔 𝑒𝑞𝑢𝑎𝑡𝑖𝑜𝑛)</a:t>
              </a:r>
              <a:endParaRPr lang="en-FI" sz="1100"/>
            </a:p>
          </xdr:txBody>
        </xdr:sp>
      </mc:Fallback>
    </mc:AlternateContent>
    <xdr:clientData/>
  </xdr:oneCellAnchor>
  <xdr:twoCellAnchor editAs="oneCell">
    <xdr:from>
      <xdr:col>13</xdr:col>
      <xdr:colOff>209550</xdr:colOff>
      <xdr:row>30</xdr:row>
      <xdr:rowOff>107950</xdr:rowOff>
    </xdr:from>
    <xdr:to>
      <xdr:col>17</xdr:col>
      <xdr:colOff>335320</xdr:colOff>
      <xdr:row>34</xdr:row>
      <xdr:rowOff>170501</xdr:rowOff>
    </xdr:to>
    <xdr:pic>
      <xdr:nvPicPr>
        <xdr:cNvPr id="3" name="Picture 5">
          <a:extLst>
            <a:ext uri="{FF2B5EF4-FFF2-40B4-BE49-F238E27FC236}">
              <a16:creationId xmlns:a16="http://schemas.microsoft.com/office/drawing/2014/main" id="{E4F7B2DD-2794-443B-987B-676991496A48}"/>
            </a:ext>
          </a:extLst>
        </xdr:cNvPr>
        <xdr:cNvPicPr>
          <a:picLocks noChangeAspect="1"/>
        </xdr:cNvPicPr>
      </xdr:nvPicPr>
      <xdr:blipFill>
        <a:blip xmlns:r="http://schemas.openxmlformats.org/officeDocument/2006/relationships" r:embed="rId1"/>
        <a:stretch>
          <a:fillRect/>
        </a:stretch>
      </xdr:blipFill>
      <xdr:spPr>
        <a:xfrm>
          <a:off x="16211550" y="5657850"/>
          <a:ext cx="2564170" cy="799152"/>
        </a:xfrm>
        <a:prstGeom prst="rect">
          <a:avLst/>
        </a:prstGeom>
      </xdr:spPr>
    </xdr:pic>
    <xdr:clientData/>
  </xdr:twoCellAnchor>
  <xdr:twoCellAnchor editAs="oneCell">
    <xdr:from>
      <xdr:col>13</xdr:col>
      <xdr:colOff>50712</xdr:colOff>
      <xdr:row>51</xdr:row>
      <xdr:rowOff>12700</xdr:rowOff>
    </xdr:from>
    <xdr:to>
      <xdr:col>19</xdr:col>
      <xdr:colOff>330521</xdr:colOff>
      <xdr:row>62</xdr:row>
      <xdr:rowOff>25567</xdr:rowOff>
    </xdr:to>
    <xdr:pic>
      <xdr:nvPicPr>
        <xdr:cNvPr id="4" name="Picture 3">
          <a:extLst>
            <a:ext uri="{FF2B5EF4-FFF2-40B4-BE49-F238E27FC236}">
              <a16:creationId xmlns:a16="http://schemas.microsoft.com/office/drawing/2014/main" id="{B5D8EE3F-8D05-4D43-83E1-D594C6810A85}"/>
            </a:ext>
          </a:extLst>
        </xdr:cNvPr>
        <xdr:cNvPicPr>
          <a:picLocks noChangeAspect="1"/>
        </xdr:cNvPicPr>
      </xdr:nvPicPr>
      <xdr:blipFill>
        <a:blip xmlns:r="http://schemas.openxmlformats.org/officeDocument/2006/relationships" r:embed="rId2"/>
        <a:stretch>
          <a:fillRect/>
        </a:stretch>
      </xdr:blipFill>
      <xdr:spPr>
        <a:xfrm>
          <a:off x="16052712" y="9429750"/>
          <a:ext cx="3937409" cy="2038517"/>
        </a:xfrm>
        <a:prstGeom prst="rect">
          <a:avLst/>
        </a:prstGeom>
      </xdr:spPr>
    </xdr:pic>
    <xdr:clientData/>
  </xdr:twoCellAnchor>
  <xdr:twoCellAnchor editAs="oneCell">
    <xdr:from>
      <xdr:col>8</xdr:col>
      <xdr:colOff>425450</xdr:colOff>
      <xdr:row>56</xdr:row>
      <xdr:rowOff>44451</xdr:rowOff>
    </xdr:from>
    <xdr:to>
      <xdr:col>10</xdr:col>
      <xdr:colOff>990600</xdr:colOff>
      <xdr:row>60</xdr:row>
      <xdr:rowOff>28273</xdr:rowOff>
    </xdr:to>
    <xdr:pic>
      <xdr:nvPicPr>
        <xdr:cNvPr id="5" name="Picture 4">
          <a:extLst>
            <a:ext uri="{FF2B5EF4-FFF2-40B4-BE49-F238E27FC236}">
              <a16:creationId xmlns:a16="http://schemas.microsoft.com/office/drawing/2014/main" id="{E9C08DCD-6BB7-4483-ADD0-EA3EAA798336}"/>
            </a:ext>
          </a:extLst>
        </xdr:cNvPr>
        <xdr:cNvPicPr>
          <a:picLocks noChangeAspect="1"/>
        </xdr:cNvPicPr>
      </xdr:nvPicPr>
      <xdr:blipFill>
        <a:blip xmlns:r="http://schemas.openxmlformats.org/officeDocument/2006/relationships" r:embed="rId3"/>
        <a:stretch>
          <a:fillRect/>
        </a:stretch>
      </xdr:blipFill>
      <xdr:spPr>
        <a:xfrm>
          <a:off x="12560300" y="10750551"/>
          <a:ext cx="2717800" cy="720422"/>
        </a:xfrm>
        <a:prstGeom prst="rect">
          <a:avLst/>
        </a:prstGeom>
      </xdr:spPr>
    </xdr:pic>
    <xdr:clientData/>
  </xdr:twoCellAnchor>
  <xdr:twoCellAnchor editAs="oneCell">
    <xdr:from>
      <xdr:col>8</xdr:col>
      <xdr:colOff>425450</xdr:colOff>
      <xdr:row>61</xdr:row>
      <xdr:rowOff>158750</xdr:rowOff>
    </xdr:from>
    <xdr:to>
      <xdr:col>10</xdr:col>
      <xdr:colOff>949535</xdr:colOff>
      <xdr:row>70</xdr:row>
      <xdr:rowOff>69851</xdr:rowOff>
    </xdr:to>
    <xdr:pic>
      <xdr:nvPicPr>
        <xdr:cNvPr id="6" name="Picture 5">
          <a:extLst>
            <a:ext uri="{FF2B5EF4-FFF2-40B4-BE49-F238E27FC236}">
              <a16:creationId xmlns:a16="http://schemas.microsoft.com/office/drawing/2014/main" id="{01D3E907-E6D6-4908-888E-C758D7403E7C}"/>
            </a:ext>
          </a:extLst>
        </xdr:cNvPr>
        <xdr:cNvPicPr>
          <a:picLocks noChangeAspect="1"/>
        </xdr:cNvPicPr>
      </xdr:nvPicPr>
      <xdr:blipFill>
        <a:blip xmlns:r="http://schemas.openxmlformats.org/officeDocument/2006/relationships" r:embed="rId4"/>
        <a:stretch>
          <a:fillRect/>
        </a:stretch>
      </xdr:blipFill>
      <xdr:spPr>
        <a:xfrm>
          <a:off x="12560300" y="11785600"/>
          <a:ext cx="2676735" cy="1568451"/>
        </a:xfrm>
        <a:prstGeom prst="rect">
          <a:avLst/>
        </a:prstGeom>
      </xdr:spPr>
    </xdr:pic>
    <xdr:clientData/>
  </xdr:twoCellAnchor>
  <xdr:twoCellAnchor editAs="oneCell">
    <xdr:from>
      <xdr:col>8</xdr:col>
      <xdr:colOff>0</xdr:colOff>
      <xdr:row>88</xdr:row>
      <xdr:rowOff>35279</xdr:rowOff>
    </xdr:from>
    <xdr:to>
      <xdr:col>17</xdr:col>
      <xdr:colOff>3575</xdr:colOff>
      <xdr:row>104</xdr:row>
      <xdr:rowOff>92428</xdr:rowOff>
    </xdr:to>
    <xdr:pic>
      <xdr:nvPicPr>
        <xdr:cNvPr id="8" name="Picture 7">
          <a:extLst>
            <a:ext uri="{FF2B5EF4-FFF2-40B4-BE49-F238E27FC236}">
              <a16:creationId xmlns:a16="http://schemas.microsoft.com/office/drawing/2014/main" id="{438B8418-6FEE-45E0-B685-DCEB84B47DE5}"/>
            </a:ext>
          </a:extLst>
        </xdr:cNvPr>
        <xdr:cNvPicPr>
          <a:picLocks noChangeAspect="1"/>
        </xdr:cNvPicPr>
      </xdr:nvPicPr>
      <xdr:blipFill>
        <a:blip xmlns:r="http://schemas.openxmlformats.org/officeDocument/2006/relationships" r:embed="rId5"/>
        <a:stretch>
          <a:fillRect/>
        </a:stretch>
      </xdr:blipFill>
      <xdr:spPr>
        <a:xfrm>
          <a:off x="12036778" y="16206612"/>
          <a:ext cx="6918019" cy="2992260"/>
        </a:xfrm>
        <a:prstGeom prst="rect">
          <a:avLst/>
        </a:prstGeom>
      </xdr:spPr>
    </xdr:pic>
    <xdr:clientData/>
  </xdr:twoCellAnchor>
  <xdr:twoCellAnchor>
    <xdr:from>
      <xdr:col>8</xdr:col>
      <xdr:colOff>33338</xdr:colOff>
      <xdr:row>71</xdr:row>
      <xdr:rowOff>27782</xdr:rowOff>
    </xdr:from>
    <xdr:to>
      <xdr:col>14</xdr:col>
      <xdr:colOff>160338</xdr:colOff>
      <xdr:row>86</xdr:row>
      <xdr:rowOff>58610</xdr:rowOff>
    </xdr:to>
    <xdr:grpSp>
      <xdr:nvGrpSpPr>
        <xdr:cNvPr id="13" name="Group 12">
          <a:extLst>
            <a:ext uri="{FF2B5EF4-FFF2-40B4-BE49-F238E27FC236}">
              <a16:creationId xmlns:a16="http://schemas.microsoft.com/office/drawing/2014/main" id="{742E153B-075D-4582-B5BC-09BAC934793A}"/>
            </a:ext>
          </a:extLst>
        </xdr:cNvPr>
        <xdr:cNvGrpSpPr/>
      </xdr:nvGrpSpPr>
      <xdr:grpSpPr>
        <a:xfrm>
          <a:off x="12161838" y="13317425"/>
          <a:ext cx="5225143" cy="2752256"/>
          <a:chOff x="11531600" y="13328651"/>
          <a:chExt cx="5232400" cy="2793078"/>
        </a:xfrm>
      </xdr:grpSpPr>
      <xdr:pic>
        <xdr:nvPicPr>
          <xdr:cNvPr id="7" name="Picture 6">
            <a:extLst>
              <a:ext uri="{FF2B5EF4-FFF2-40B4-BE49-F238E27FC236}">
                <a16:creationId xmlns:a16="http://schemas.microsoft.com/office/drawing/2014/main" id="{EEC3ABB9-1878-4697-A20B-282611C59A0F}"/>
              </a:ext>
            </a:extLst>
          </xdr:cNvPr>
          <xdr:cNvPicPr>
            <a:picLocks noChangeAspect="1"/>
          </xdr:cNvPicPr>
        </xdr:nvPicPr>
        <xdr:blipFill>
          <a:blip xmlns:r="http://schemas.openxmlformats.org/officeDocument/2006/relationships" r:embed="rId6"/>
          <a:stretch>
            <a:fillRect/>
          </a:stretch>
        </xdr:blipFill>
        <xdr:spPr>
          <a:xfrm>
            <a:off x="11531600" y="13328651"/>
            <a:ext cx="5232400" cy="2793078"/>
          </a:xfrm>
          <a:prstGeom prst="rect">
            <a:avLst/>
          </a:prstGeom>
        </xdr:spPr>
      </xdr:pic>
      <xdr:cxnSp macro="">
        <xdr:nvCxnSpPr>
          <xdr:cNvPr id="10" name="Straight Connector 9">
            <a:extLst>
              <a:ext uri="{FF2B5EF4-FFF2-40B4-BE49-F238E27FC236}">
                <a16:creationId xmlns:a16="http://schemas.microsoft.com/office/drawing/2014/main" id="{BCA54105-A2DD-41B4-B623-88874D493B2E}"/>
              </a:ext>
            </a:extLst>
          </xdr:cNvPr>
          <xdr:cNvCxnSpPr/>
        </xdr:nvCxnSpPr>
        <xdr:spPr>
          <a:xfrm flipV="1">
            <a:off x="14020800" y="15240000"/>
            <a:ext cx="0" cy="527050"/>
          </a:xfrm>
          <a:prstGeom prst="line">
            <a:avLst/>
          </a:prstGeom>
          <a:ln w="9525" cap="flat" cmpd="sng" algn="ctr">
            <a:solidFill>
              <a:schemeClr val="accent2"/>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xnSp macro="">
        <xdr:nvCxnSpPr>
          <xdr:cNvPr id="12" name="Straight Connector 11">
            <a:extLst>
              <a:ext uri="{FF2B5EF4-FFF2-40B4-BE49-F238E27FC236}">
                <a16:creationId xmlns:a16="http://schemas.microsoft.com/office/drawing/2014/main" id="{DE97E8A0-5B79-41B0-9F09-B9BB5CE599F2}"/>
              </a:ext>
            </a:extLst>
          </xdr:cNvPr>
          <xdr:cNvCxnSpPr/>
        </xdr:nvCxnSpPr>
        <xdr:spPr>
          <a:xfrm flipH="1">
            <a:off x="13339773" y="15249661"/>
            <a:ext cx="679450" cy="0"/>
          </a:xfrm>
          <a:prstGeom prst="line">
            <a:avLst/>
          </a:prstGeom>
          <a:ln w="9525" cap="flat" cmpd="sng" algn="ctr">
            <a:solidFill>
              <a:schemeClr val="accent2"/>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grpSp>
    <xdr:clientData/>
  </xdr:twoCellAnchor>
  <xdr:twoCellAnchor editAs="oneCell">
    <xdr:from>
      <xdr:col>13</xdr:col>
      <xdr:colOff>14112</xdr:colOff>
      <xdr:row>12</xdr:row>
      <xdr:rowOff>176389</xdr:rowOff>
    </xdr:from>
    <xdr:to>
      <xdr:col>19</xdr:col>
      <xdr:colOff>368554</xdr:colOff>
      <xdr:row>20</xdr:row>
      <xdr:rowOff>424039</xdr:rowOff>
    </xdr:to>
    <xdr:pic>
      <xdr:nvPicPr>
        <xdr:cNvPr id="14" name="Picture 13">
          <a:extLst>
            <a:ext uri="{FF2B5EF4-FFF2-40B4-BE49-F238E27FC236}">
              <a16:creationId xmlns:a16="http://schemas.microsoft.com/office/drawing/2014/main" id="{D0C01717-0689-49F5-A389-8242FB908622}"/>
            </a:ext>
          </a:extLst>
        </xdr:cNvPr>
        <xdr:cNvPicPr>
          <a:picLocks noChangeAspect="1"/>
        </xdr:cNvPicPr>
      </xdr:nvPicPr>
      <xdr:blipFill>
        <a:blip xmlns:r="http://schemas.openxmlformats.org/officeDocument/2006/relationships" r:embed="rId7"/>
        <a:stretch>
          <a:fillRect/>
        </a:stretch>
      </xdr:blipFill>
      <xdr:spPr>
        <a:xfrm>
          <a:off x="16538223" y="2398889"/>
          <a:ext cx="3995109" cy="17145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12700</xdr:colOff>
      <xdr:row>25</xdr:row>
      <xdr:rowOff>183083</xdr:rowOff>
    </xdr:from>
    <xdr:to>
      <xdr:col>27</xdr:col>
      <xdr:colOff>612</xdr:colOff>
      <xdr:row>47</xdr:row>
      <xdr:rowOff>165325</xdr:rowOff>
    </xdr:to>
    <xdr:pic>
      <xdr:nvPicPr>
        <xdr:cNvPr id="2" name="Picture 1">
          <a:extLst>
            <a:ext uri="{FF2B5EF4-FFF2-40B4-BE49-F238E27FC236}">
              <a16:creationId xmlns:a16="http://schemas.microsoft.com/office/drawing/2014/main" id="{831B044C-B0D5-48F8-9C64-F3968FB48596}"/>
            </a:ext>
          </a:extLst>
        </xdr:cNvPr>
        <xdr:cNvPicPr>
          <a:picLocks noChangeAspect="1"/>
        </xdr:cNvPicPr>
      </xdr:nvPicPr>
      <xdr:blipFill>
        <a:blip xmlns:r="http://schemas.openxmlformats.org/officeDocument/2006/relationships" r:embed="rId1"/>
        <a:stretch>
          <a:fillRect/>
        </a:stretch>
      </xdr:blipFill>
      <xdr:spPr>
        <a:xfrm>
          <a:off x="8851900" y="4812233"/>
          <a:ext cx="10960712" cy="4033542"/>
        </a:xfrm>
        <a:prstGeom prst="rect">
          <a:avLst/>
        </a:prstGeom>
      </xdr:spPr>
    </xdr:pic>
    <xdr:clientData/>
  </xdr:twoCellAnchor>
  <xdr:twoCellAnchor editAs="oneCell">
    <xdr:from>
      <xdr:col>9</xdr:col>
      <xdr:colOff>38100</xdr:colOff>
      <xdr:row>56</xdr:row>
      <xdr:rowOff>12700</xdr:rowOff>
    </xdr:from>
    <xdr:to>
      <xdr:col>17</xdr:col>
      <xdr:colOff>20128</xdr:colOff>
      <xdr:row>74</xdr:row>
      <xdr:rowOff>36229</xdr:rowOff>
    </xdr:to>
    <xdr:pic>
      <xdr:nvPicPr>
        <xdr:cNvPr id="3" name="Picture 13">
          <a:extLst>
            <a:ext uri="{FF2B5EF4-FFF2-40B4-BE49-F238E27FC236}">
              <a16:creationId xmlns:a16="http://schemas.microsoft.com/office/drawing/2014/main" id="{6E9193E1-A6EB-4941-8843-FD4B9D0DEB1D}"/>
            </a:ext>
          </a:extLst>
        </xdr:cNvPr>
        <xdr:cNvPicPr>
          <a:picLocks noChangeAspect="1"/>
        </xdr:cNvPicPr>
      </xdr:nvPicPr>
      <xdr:blipFill>
        <a:blip xmlns:r="http://schemas.openxmlformats.org/officeDocument/2006/relationships" r:embed="rId2"/>
        <a:stretch>
          <a:fillRect/>
        </a:stretch>
      </xdr:blipFill>
      <xdr:spPr>
        <a:xfrm>
          <a:off x="9150350" y="11087100"/>
          <a:ext cx="4858828" cy="3338229"/>
        </a:xfrm>
        <a:prstGeom prst="rect">
          <a:avLst/>
        </a:prstGeom>
      </xdr:spPr>
    </xdr:pic>
    <xdr:clientData/>
  </xdr:twoCellAnchor>
  <xdr:twoCellAnchor editAs="oneCell">
    <xdr:from>
      <xdr:col>9</xdr:col>
      <xdr:colOff>39689</xdr:colOff>
      <xdr:row>49</xdr:row>
      <xdr:rowOff>55563</xdr:rowOff>
    </xdr:from>
    <xdr:to>
      <xdr:col>13</xdr:col>
      <xdr:colOff>7939</xdr:colOff>
      <xdr:row>53</xdr:row>
      <xdr:rowOff>36642</xdr:rowOff>
    </xdr:to>
    <xdr:pic>
      <xdr:nvPicPr>
        <xdr:cNvPr id="4" name="Picture 3">
          <a:extLst>
            <a:ext uri="{FF2B5EF4-FFF2-40B4-BE49-F238E27FC236}">
              <a16:creationId xmlns:a16="http://schemas.microsoft.com/office/drawing/2014/main" id="{FDF924FD-02CB-445E-BD54-69E899416684}"/>
            </a:ext>
          </a:extLst>
        </xdr:cNvPr>
        <xdr:cNvPicPr>
          <a:picLocks noChangeAspect="1"/>
        </xdr:cNvPicPr>
      </xdr:nvPicPr>
      <xdr:blipFill>
        <a:blip xmlns:r="http://schemas.openxmlformats.org/officeDocument/2006/relationships" r:embed="rId3"/>
        <a:stretch>
          <a:fillRect/>
        </a:stretch>
      </xdr:blipFill>
      <xdr:spPr>
        <a:xfrm>
          <a:off x="9159877" y="9771063"/>
          <a:ext cx="2413000" cy="71132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489656</xdr:colOff>
      <xdr:row>22</xdr:row>
      <xdr:rowOff>79022</xdr:rowOff>
    </xdr:from>
    <xdr:to>
      <xdr:col>16</xdr:col>
      <xdr:colOff>99372</xdr:colOff>
      <xdr:row>54</xdr:row>
      <xdr:rowOff>53795</xdr:rowOff>
    </xdr:to>
    <xdr:grpSp>
      <xdr:nvGrpSpPr>
        <xdr:cNvPr id="10" name="Group 9">
          <a:extLst>
            <a:ext uri="{FF2B5EF4-FFF2-40B4-BE49-F238E27FC236}">
              <a16:creationId xmlns:a16="http://schemas.microsoft.com/office/drawing/2014/main" id="{916D147B-51D0-43B9-8A58-13389FAB774E}"/>
            </a:ext>
          </a:extLst>
        </xdr:cNvPr>
        <xdr:cNvGrpSpPr/>
      </xdr:nvGrpSpPr>
      <xdr:grpSpPr>
        <a:xfrm>
          <a:off x="10268656" y="4542165"/>
          <a:ext cx="7447430" cy="5825844"/>
          <a:chOff x="7829550" y="4876800"/>
          <a:chExt cx="11557594" cy="8369473"/>
        </a:xfrm>
      </xdr:grpSpPr>
      <xdr:pic>
        <xdr:nvPicPr>
          <xdr:cNvPr id="8" name="Picture 7">
            <a:extLst>
              <a:ext uri="{FF2B5EF4-FFF2-40B4-BE49-F238E27FC236}">
                <a16:creationId xmlns:a16="http://schemas.microsoft.com/office/drawing/2014/main" id="{7F37C4A9-5675-4180-BFAB-FE9183C4D605}"/>
              </a:ext>
            </a:extLst>
          </xdr:cNvPr>
          <xdr:cNvPicPr>
            <a:picLocks noChangeAspect="1"/>
          </xdr:cNvPicPr>
        </xdr:nvPicPr>
        <xdr:blipFill>
          <a:blip xmlns:r="http://schemas.openxmlformats.org/officeDocument/2006/relationships" r:embed="rId1"/>
          <a:stretch>
            <a:fillRect/>
          </a:stretch>
        </xdr:blipFill>
        <xdr:spPr>
          <a:xfrm>
            <a:off x="7829550" y="4876800"/>
            <a:ext cx="11551244" cy="5010407"/>
          </a:xfrm>
          <a:prstGeom prst="rect">
            <a:avLst/>
          </a:prstGeom>
        </xdr:spPr>
      </xdr:pic>
      <xdr:pic>
        <xdr:nvPicPr>
          <xdr:cNvPr id="9" name="Picture 8">
            <a:extLst>
              <a:ext uri="{FF2B5EF4-FFF2-40B4-BE49-F238E27FC236}">
                <a16:creationId xmlns:a16="http://schemas.microsoft.com/office/drawing/2014/main" id="{E145D984-BAE2-4CD7-B8C1-8105EE0EC4F4}"/>
              </a:ext>
            </a:extLst>
          </xdr:cNvPr>
          <xdr:cNvPicPr>
            <a:picLocks noChangeAspect="1"/>
          </xdr:cNvPicPr>
        </xdr:nvPicPr>
        <xdr:blipFill>
          <a:blip xmlns:r="http://schemas.openxmlformats.org/officeDocument/2006/relationships" r:embed="rId2"/>
          <a:stretch>
            <a:fillRect/>
          </a:stretch>
        </xdr:blipFill>
        <xdr:spPr>
          <a:xfrm>
            <a:off x="7835900" y="9874250"/>
            <a:ext cx="11551244" cy="3372023"/>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7</xdr:col>
      <xdr:colOff>6350</xdr:colOff>
      <xdr:row>36</xdr:row>
      <xdr:rowOff>21001</xdr:rowOff>
    </xdr:to>
    <xdr:pic>
      <xdr:nvPicPr>
        <xdr:cNvPr id="2" name="Picture 1">
          <a:extLst>
            <a:ext uri="{FF2B5EF4-FFF2-40B4-BE49-F238E27FC236}">
              <a16:creationId xmlns:a16="http://schemas.microsoft.com/office/drawing/2014/main" id="{AC11F25D-E34A-4551-812A-6F0023F4B18C}"/>
            </a:ext>
          </a:extLst>
        </xdr:cNvPr>
        <xdr:cNvPicPr>
          <a:picLocks noChangeAspect="1"/>
        </xdr:cNvPicPr>
      </xdr:nvPicPr>
      <xdr:blipFill>
        <a:blip xmlns:r="http://schemas.openxmlformats.org/officeDocument/2006/relationships" r:embed="rId1"/>
        <a:stretch>
          <a:fillRect/>
        </a:stretch>
      </xdr:blipFill>
      <xdr:spPr>
        <a:xfrm>
          <a:off x="0" y="184150"/>
          <a:ext cx="4914900" cy="6466251"/>
        </a:xfrm>
        <a:prstGeom prst="rect">
          <a:avLst/>
        </a:prstGeom>
      </xdr:spPr>
    </xdr:pic>
    <xdr:clientData/>
  </xdr:twoCellAnchor>
  <xdr:twoCellAnchor editAs="oneCell">
    <xdr:from>
      <xdr:col>9</xdr:col>
      <xdr:colOff>25400</xdr:colOff>
      <xdr:row>2</xdr:row>
      <xdr:rowOff>31750</xdr:rowOff>
    </xdr:from>
    <xdr:to>
      <xdr:col>13</xdr:col>
      <xdr:colOff>539144</xdr:colOff>
      <xdr:row>13</xdr:row>
      <xdr:rowOff>141287</xdr:rowOff>
    </xdr:to>
    <xdr:pic>
      <xdr:nvPicPr>
        <xdr:cNvPr id="3" name="Picture 2">
          <a:extLst>
            <a:ext uri="{FF2B5EF4-FFF2-40B4-BE49-F238E27FC236}">
              <a16:creationId xmlns:a16="http://schemas.microsoft.com/office/drawing/2014/main" id="{8182E15E-D564-4E2B-869B-A116EF25A3D9}"/>
            </a:ext>
          </a:extLst>
        </xdr:cNvPr>
        <xdr:cNvPicPr>
          <a:picLocks noChangeAspect="1"/>
        </xdr:cNvPicPr>
      </xdr:nvPicPr>
      <xdr:blipFill>
        <a:blip xmlns:r="http://schemas.openxmlformats.org/officeDocument/2006/relationships" r:embed="rId2"/>
        <a:stretch>
          <a:fillRect/>
        </a:stretch>
      </xdr:blipFill>
      <xdr:spPr>
        <a:xfrm>
          <a:off x="5511800" y="400050"/>
          <a:ext cx="3244244" cy="2135187"/>
        </a:xfrm>
        <a:prstGeom prst="rect">
          <a:avLst/>
        </a:prstGeom>
      </xdr:spPr>
    </xdr:pic>
    <xdr:clientData/>
  </xdr:twoCellAnchor>
  <xdr:twoCellAnchor editAs="oneCell">
    <xdr:from>
      <xdr:col>9</xdr:col>
      <xdr:colOff>0</xdr:colOff>
      <xdr:row>31</xdr:row>
      <xdr:rowOff>39687</xdr:rowOff>
    </xdr:from>
    <xdr:to>
      <xdr:col>17</xdr:col>
      <xdr:colOff>273050</xdr:colOff>
      <xdr:row>40</xdr:row>
      <xdr:rowOff>127941</xdr:rowOff>
    </xdr:to>
    <xdr:pic>
      <xdr:nvPicPr>
        <xdr:cNvPr id="4" name="Picture 3">
          <a:extLst>
            <a:ext uri="{FF2B5EF4-FFF2-40B4-BE49-F238E27FC236}">
              <a16:creationId xmlns:a16="http://schemas.microsoft.com/office/drawing/2014/main" id="{9DE021A9-BCAE-4B77-AB07-63428A1D7478}"/>
            </a:ext>
          </a:extLst>
        </xdr:cNvPr>
        <xdr:cNvPicPr>
          <a:picLocks noChangeAspect="1"/>
        </xdr:cNvPicPr>
      </xdr:nvPicPr>
      <xdr:blipFill>
        <a:blip xmlns:r="http://schemas.openxmlformats.org/officeDocument/2006/relationships" r:embed="rId3"/>
        <a:stretch>
          <a:fillRect/>
        </a:stretch>
      </xdr:blipFill>
      <xdr:spPr>
        <a:xfrm>
          <a:off x="5500688" y="5699125"/>
          <a:ext cx="5454650" cy="173131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76200</xdr:colOff>
      <xdr:row>16</xdr:row>
      <xdr:rowOff>0</xdr:rowOff>
    </xdr:from>
    <xdr:to>
      <xdr:col>2</xdr:col>
      <xdr:colOff>952501</xdr:colOff>
      <xdr:row>32</xdr:row>
      <xdr:rowOff>152401</xdr:rowOff>
    </xdr:to>
    <xdr:pic>
      <xdr:nvPicPr>
        <xdr:cNvPr id="2" name="Picture 1">
          <a:extLst>
            <a:ext uri="{FF2B5EF4-FFF2-40B4-BE49-F238E27FC236}">
              <a16:creationId xmlns:a16="http://schemas.microsoft.com/office/drawing/2014/main" id="{BAB19983-AB20-4753-8085-4E9D38986BA0}"/>
            </a:ext>
          </a:extLst>
        </xdr:cNvPr>
        <xdr:cNvPicPr>
          <a:picLocks noChangeAspect="1"/>
        </xdr:cNvPicPr>
      </xdr:nvPicPr>
      <xdr:blipFill>
        <a:blip xmlns:r="http://schemas.openxmlformats.org/officeDocument/2006/relationships" r:embed="rId1"/>
        <a:stretch>
          <a:fillRect/>
        </a:stretch>
      </xdr:blipFill>
      <xdr:spPr>
        <a:xfrm>
          <a:off x="76200" y="2965450"/>
          <a:ext cx="6248401" cy="3124200"/>
        </a:xfrm>
        <a:prstGeom prst="rect">
          <a:avLst/>
        </a:prstGeom>
      </xdr:spPr>
    </xdr:pic>
    <xdr:clientData/>
  </xdr:twoCellAnchor>
  <xdr:twoCellAnchor editAs="oneCell">
    <xdr:from>
      <xdr:col>11</xdr:col>
      <xdr:colOff>582779</xdr:colOff>
      <xdr:row>34</xdr:row>
      <xdr:rowOff>165100</xdr:rowOff>
    </xdr:from>
    <xdr:to>
      <xdr:col>18</xdr:col>
      <xdr:colOff>292425</xdr:colOff>
      <xdr:row>50</xdr:row>
      <xdr:rowOff>76434</xdr:rowOff>
    </xdr:to>
    <xdr:pic>
      <xdr:nvPicPr>
        <xdr:cNvPr id="3" name="Picture 2">
          <a:extLst>
            <a:ext uri="{FF2B5EF4-FFF2-40B4-BE49-F238E27FC236}">
              <a16:creationId xmlns:a16="http://schemas.microsoft.com/office/drawing/2014/main" id="{F838406F-64AC-4D42-94C5-040AAFF0A032}"/>
            </a:ext>
          </a:extLst>
        </xdr:cNvPr>
        <xdr:cNvPicPr>
          <a:picLocks noChangeAspect="1"/>
        </xdr:cNvPicPr>
      </xdr:nvPicPr>
      <xdr:blipFill>
        <a:blip xmlns:r="http://schemas.openxmlformats.org/officeDocument/2006/relationships" r:embed="rId2"/>
        <a:stretch>
          <a:fillRect/>
        </a:stretch>
      </xdr:blipFill>
      <xdr:spPr>
        <a:xfrm>
          <a:off x="13435179" y="6470650"/>
          <a:ext cx="3976846" cy="2857733"/>
        </a:xfrm>
        <a:prstGeom prst="rect">
          <a:avLst/>
        </a:prstGeom>
      </xdr:spPr>
    </xdr:pic>
    <xdr:clientData/>
  </xdr:twoCellAnchor>
  <xdr:twoCellAnchor editAs="oneCell">
    <xdr:from>
      <xdr:col>8</xdr:col>
      <xdr:colOff>1289050</xdr:colOff>
      <xdr:row>34</xdr:row>
      <xdr:rowOff>157431</xdr:rowOff>
    </xdr:from>
    <xdr:to>
      <xdr:col>11</xdr:col>
      <xdr:colOff>565399</xdr:colOff>
      <xdr:row>50</xdr:row>
      <xdr:rowOff>38101</xdr:rowOff>
    </xdr:to>
    <xdr:pic>
      <xdr:nvPicPr>
        <xdr:cNvPr id="4" name="Picture 3">
          <a:extLst>
            <a:ext uri="{FF2B5EF4-FFF2-40B4-BE49-F238E27FC236}">
              <a16:creationId xmlns:a16="http://schemas.microsoft.com/office/drawing/2014/main" id="{AE122225-B0EC-4442-A175-AF6B85DF07F3}"/>
            </a:ext>
          </a:extLst>
        </xdr:cNvPr>
        <xdr:cNvPicPr>
          <a:picLocks noChangeAspect="1"/>
        </xdr:cNvPicPr>
      </xdr:nvPicPr>
      <xdr:blipFill>
        <a:blip xmlns:r="http://schemas.openxmlformats.org/officeDocument/2006/relationships" r:embed="rId3"/>
        <a:stretch>
          <a:fillRect/>
        </a:stretch>
      </xdr:blipFill>
      <xdr:spPr>
        <a:xfrm>
          <a:off x="9448800" y="6462981"/>
          <a:ext cx="3968999" cy="2827069"/>
        </a:xfrm>
        <a:prstGeom prst="rect">
          <a:avLst/>
        </a:prstGeom>
      </xdr:spPr>
    </xdr:pic>
    <xdr:clientData/>
  </xdr:twoCellAnchor>
  <xdr:twoCellAnchor editAs="oneCell">
    <xdr:from>
      <xdr:col>9</xdr:col>
      <xdr:colOff>38100</xdr:colOff>
      <xdr:row>55</xdr:row>
      <xdr:rowOff>188002</xdr:rowOff>
    </xdr:from>
    <xdr:to>
      <xdr:col>11</xdr:col>
      <xdr:colOff>374915</xdr:colOff>
      <xdr:row>61</xdr:row>
      <xdr:rowOff>139805</xdr:rowOff>
    </xdr:to>
    <xdr:pic>
      <xdr:nvPicPr>
        <xdr:cNvPr id="5" name="Picture 4">
          <a:extLst>
            <a:ext uri="{FF2B5EF4-FFF2-40B4-BE49-F238E27FC236}">
              <a16:creationId xmlns:a16="http://schemas.microsoft.com/office/drawing/2014/main" id="{9DB29C9A-74B1-4431-AA05-4C361125229C}"/>
            </a:ext>
          </a:extLst>
        </xdr:cNvPr>
        <xdr:cNvPicPr>
          <a:picLocks noChangeAspect="1"/>
        </xdr:cNvPicPr>
      </xdr:nvPicPr>
      <xdr:blipFill>
        <a:blip xmlns:r="http://schemas.openxmlformats.org/officeDocument/2006/relationships" r:embed="rId4"/>
        <a:stretch>
          <a:fillRect/>
        </a:stretch>
      </xdr:blipFill>
      <xdr:spPr>
        <a:xfrm>
          <a:off x="11214100" y="10843302"/>
          <a:ext cx="2660915" cy="1094804"/>
        </a:xfrm>
        <a:prstGeom prst="rect">
          <a:avLst/>
        </a:prstGeom>
      </xdr:spPr>
    </xdr:pic>
    <xdr:clientData/>
  </xdr:twoCellAnchor>
  <xdr:twoCellAnchor editAs="oneCell">
    <xdr:from>
      <xdr:col>9</xdr:col>
      <xdr:colOff>21329</xdr:colOff>
      <xdr:row>65</xdr:row>
      <xdr:rowOff>12700</xdr:rowOff>
    </xdr:from>
    <xdr:to>
      <xdr:col>12</xdr:col>
      <xdr:colOff>260351</xdr:colOff>
      <xdr:row>75</xdr:row>
      <xdr:rowOff>4525</xdr:rowOff>
    </xdr:to>
    <xdr:pic>
      <xdr:nvPicPr>
        <xdr:cNvPr id="7" name="Picture 6">
          <a:extLst>
            <a:ext uri="{FF2B5EF4-FFF2-40B4-BE49-F238E27FC236}">
              <a16:creationId xmlns:a16="http://schemas.microsoft.com/office/drawing/2014/main" id="{5670A86F-7366-473A-B32E-81C15A376959}"/>
            </a:ext>
          </a:extLst>
        </xdr:cNvPr>
        <xdr:cNvPicPr>
          <a:picLocks noChangeAspect="1"/>
        </xdr:cNvPicPr>
      </xdr:nvPicPr>
      <xdr:blipFill>
        <a:blip xmlns:r="http://schemas.openxmlformats.org/officeDocument/2006/relationships" r:embed="rId5"/>
        <a:stretch>
          <a:fillRect/>
        </a:stretch>
      </xdr:blipFill>
      <xdr:spPr>
        <a:xfrm>
          <a:off x="11178279" y="12211050"/>
          <a:ext cx="3166372" cy="1833324"/>
        </a:xfrm>
        <a:prstGeom prst="rect">
          <a:avLst/>
        </a:prstGeom>
      </xdr:spPr>
    </xdr:pic>
    <xdr:clientData/>
  </xdr:twoCellAnchor>
  <xdr:twoCellAnchor editAs="oneCell">
    <xdr:from>
      <xdr:col>9</xdr:col>
      <xdr:colOff>19050</xdr:colOff>
      <xdr:row>76</xdr:row>
      <xdr:rowOff>88900</xdr:rowOff>
    </xdr:from>
    <xdr:to>
      <xdr:col>11</xdr:col>
      <xdr:colOff>595609</xdr:colOff>
      <xdr:row>83</xdr:row>
      <xdr:rowOff>76199</xdr:rowOff>
    </xdr:to>
    <xdr:pic>
      <xdr:nvPicPr>
        <xdr:cNvPr id="8" name="Picture 7">
          <a:extLst>
            <a:ext uri="{FF2B5EF4-FFF2-40B4-BE49-F238E27FC236}">
              <a16:creationId xmlns:a16="http://schemas.microsoft.com/office/drawing/2014/main" id="{EFA8BB96-9343-45C6-A2B5-493A4786510E}"/>
            </a:ext>
          </a:extLst>
        </xdr:cNvPr>
        <xdr:cNvPicPr>
          <a:picLocks noChangeAspect="1"/>
        </xdr:cNvPicPr>
      </xdr:nvPicPr>
      <xdr:blipFill>
        <a:blip xmlns:r="http://schemas.openxmlformats.org/officeDocument/2006/relationships" r:embed="rId6"/>
        <a:stretch>
          <a:fillRect/>
        </a:stretch>
      </xdr:blipFill>
      <xdr:spPr>
        <a:xfrm>
          <a:off x="11176000" y="14312900"/>
          <a:ext cx="2894309" cy="1276349"/>
        </a:xfrm>
        <a:prstGeom prst="rect">
          <a:avLst/>
        </a:prstGeom>
      </xdr:spPr>
    </xdr:pic>
    <xdr:clientData/>
  </xdr:twoCellAnchor>
  <xdr:twoCellAnchor>
    <xdr:from>
      <xdr:col>9</xdr:col>
      <xdr:colOff>38101</xdr:colOff>
      <xdr:row>87</xdr:row>
      <xdr:rowOff>171450</xdr:rowOff>
    </xdr:from>
    <xdr:to>
      <xdr:col>16</xdr:col>
      <xdr:colOff>171451</xdr:colOff>
      <xdr:row>98</xdr:row>
      <xdr:rowOff>83165</xdr:rowOff>
    </xdr:to>
    <xdr:grpSp>
      <xdr:nvGrpSpPr>
        <xdr:cNvPr id="11" name="Group 10">
          <a:extLst>
            <a:ext uri="{FF2B5EF4-FFF2-40B4-BE49-F238E27FC236}">
              <a16:creationId xmlns:a16="http://schemas.microsoft.com/office/drawing/2014/main" id="{901B9B16-F93D-4FA3-871B-3530B86EF1F6}"/>
            </a:ext>
          </a:extLst>
        </xdr:cNvPr>
        <xdr:cNvGrpSpPr/>
      </xdr:nvGrpSpPr>
      <xdr:grpSpPr>
        <a:xfrm>
          <a:off x="12780434" y="16180506"/>
          <a:ext cx="5481461" cy="1929603"/>
          <a:chOff x="11169651" y="16446500"/>
          <a:chExt cx="5492750" cy="1937365"/>
        </a:xfrm>
      </xdr:grpSpPr>
      <xdr:pic>
        <xdr:nvPicPr>
          <xdr:cNvPr id="9" name="Picture 8">
            <a:extLst>
              <a:ext uri="{FF2B5EF4-FFF2-40B4-BE49-F238E27FC236}">
                <a16:creationId xmlns:a16="http://schemas.microsoft.com/office/drawing/2014/main" id="{13049540-A70C-4EF8-8003-BC32C0C79ED0}"/>
              </a:ext>
            </a:extLst>
          </xdr:cNvPr>
          <xdr:cNvPicPr>
            <a:picLocks noChangeAspect="1"/>
          </xdr:cNvPicPr>
        </xdr:nvPicPr>
        <xdr:blipFill>
          <a:blip xmlns:r="http://schemas.openxmlformats.org/officeDocument/2006/relationships" r:embed="rId7"/>
          <a:stretch>
            <a:fillRect/>
          </a:stretch>
        </xdr:blipFill>
        <xdr:spPr>
          <a:xfrm>
            <a:off x="11169651" y="16446500"/>
            <a:ext cx="5492750" cy="1937365"/>
          </a:xfrm>
          <a:prstGeom prst="rect">
            <a:avLst/>
          </a:prstGeom>
        </xdr:spPr>
      </xdr:pic>
      <xdr:sp macro="" textlink="">
        <xdr:nvSpPr>
          <xdr:cNvPr id="10" name="Rectangle 9">
            <a:extLst>
              <a:ext uri="{FF2B5EF4-FFF2-40B4-BE49-F238E27FC236}">
                <a16:creationId xmlns:a16="http://schemas.microsoft.com/office/drawing/2014/main" id="{8B93F414-253E-44A6-B01E-10589EFDE363}"/>
              </a:ext>
            </a:extLst>
          </xdr:cNvPr>
          <xdr:cNvSpPr/>
        </xdr:nvSpPr>
        <xdr:spPr>
          <a:xfrm>
            <a:off x="11188700" y="17221200"/>
            <a:ext cx="5454650" cy="21590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FI" sz="1100"/>
          </a:p>
        </xdr:txBody>
      </xdr:sp>
    </xdr:grpSp>
    <xdr:clientData/>
  </xdr:twoCellAnchor>
  <xdr:twoCellAnchor>
    <xdr:from>
      <xdr:col>9</xdr:col>
      <xdr:colOff>76200</xdr:colOff>
      <xdr:row>99</xdr:row>
      <xdr:rowOff>44450</xdr:rowOff>
    </xdr:from>
    <xdr:to>
      <xdr:col>12</xdr:col>
      <xdr:colOff>75542</xdr:colOff>
      <xdr:row>107</xdr:row>
      <xdr:rowOff>96905</xdr:rowOff>
    </xdr:to>
    <xdr:grpSp>
      <xdr:nvGrpSpPr>
        <xdr:cNvPr id="13" name="Group 12">
          <a:extLst>
            <a:ext uri="{FF2B5EF4-FFF2-40B4-BE49-F238E27FC236}">
              <a16:creationId xmlns:a16="http://schemas.microsoft.com/office/drawing/2014/main" id="{CFF88EBF-B1F2-4759-8268-69732C116924}"/>
            </a:ext>
          </a:extLst>
        </xdr:cNvPr>
        <xdr:cNvGrpSpPr/>
      </xdr:nvGrpSpPr>
      <xdr:grpSpPr>
        <a:xfrm>
          <a:off x="12818533" y="18254839"/>
          <a:ext cx="2920342" cy="1520010"/>
          <a:chOff x="11150600" y="18643600"/>
          <a:chExt cx="2920342" cy="1532005"/>
        </a:xfrm>
      </xdr:grpSpPr>
      <xdr:pic>
        <xdr:nvPicPr>
          <xdr:cNvPr id="6" name="Picture 5">
            <a:extLst>
              <a:ext uri="{FF2B5EF4-FFF2-40B4-BE49-F238E27FC236}">
                <a16:creationId xmlns:a16="http://schemas.microsoft.com/office/drawing/2014/main" id="{C4F727C7-7E3A-40CF-AD4A-B6F0D6D31188}"/>
              </a:ext>
            </a:extLst>
          </xdr:cNvPr>
          <xdr:cNvPicPr>
            <a:picLocks noChangeAspect="1"/>
          </xdr:cNvPicPr>
        </xdr:nvPicPr>
        <xdr:blipFill>
          <a:blip xmlns:r="http://schemas.openxmlformats.org/officeDocument/2006/relationships" r:embed="rId8"/>
          <a:stretch>
            <a:fillRect/>
          </a:stretch>
        </xdr:blipFill>
        <xdr:spPr>
          <a:xfrm>
            <a:off x="11156950" y="18643600"/>
            <a:ext cx="2913992" cy="717550"/>
          </a:xfrm>
          <a:prstGeom prst="rect">
            <a:avLst/>
          </a:prstGeom>
        </xdr:spPr>
      </xdr:pic>
      <xdr:pic>
        <xdr:nvPicPr>
          <xdr:cNvPr id="12" name="Picture 11">
            <a:extLst>
              <a:ext uri="{FF2B5EF4-FFF2-40B4-BE49-F238E27FC236}">
                <a16:creationId xmlns:a16="http://schemas.microsoft.com/office/drawing/2014/main" id="{1FA91FE5-409E-48D4-AB23-C24D670E0208}"/>
              </a:ext>
            </a:extLst>
          </xdr:cNvPr>
          <xdr:cNvPicPr>
            <a:picLocks noChangeAspect="1"/>
          </xdr:cNvPicPr>
        </xdr:nvPicPr>
        <xdr:blipFill>
          <a:blip xmlns:r="http://schemas.openxmlformats.org/officeDocument/2006/relationships" r:embed="rId9"/>
          <a:stretch>
            <a:fillRect/>
          </a:stretch>
        </xdr:blipFill>
        <xdr:spPr>
          <a:xfrm>
            <a:off x="11150600" y="19335751"/>
            <a:ext cx="2266950" cy="839854"/>
          </a:xfrm>
          <a:prstGeom prst="rect">
            <a:avLst/>
          </a:prstGeom>
        </xdr:spPr>
      </xdr:pic>
    </xdr:grpSp>
    <xdr:clientData/>
  </xdr:twoCellAnchor>
  <xdr:twoCellAnchor editAs="oneCell">
    <xdr:from>
      <xdr:col>5</xdr:col>
      <xdr:colOff>393701</xdr:colOff>
      <xdr:row>122</xdr:row>
      <xdr:rowOff>1</xdr:rowOff>
    </xdr:from>
    <xdr:to>
      <xdr:col>6</xdr:col>
      <xdr:colOff>519353</xdr:colOff>
      <xdr:row>122</xdr:row>
      <xdr:rowOff>171450</xdr:rowOff>
    </xdr:to>
    <xdr:pic>
      <xdr:nvPicPr>
        <xdr:cNvPr id="14" name="Picture 13">
          <a:extLst>
            <a:ext uri="{FF2B5EF4-FFF2-40B4-BE49-F238E27FC236}">
              <a16:creationId xmlns:a16="http://schemas.microsoft.com/office/drawing/2014/main" id="{9C7667E9-C3D7-49DA-8B2C-D42303B2D8D7}"/>
            </a:ext>
          </a:extLst>
        </xdr:cNvPr>
        <xdr:cNvPicPr>
          <a:picLocks noChangeAspect="1"/>
        </xdr:cNvPicPr>
      </xdr:nvPicPr>
      <xdr:blipFill>
        <a:blip xmlns:r="http://schemas.openxmlformats.org/officeDocument/2006/relationships" r:embed="rId10"/>
        <a:stretch>
          <a:fillRect/>
        </a:stretch>
      </xdr:blipFill>
      <xdr:spPr>
        <a:xfrm>
          <a:off x="8940801" y="22694901"/>
          <a:ext cx="735252" cy="171449"/>
        </a:xfrm>
        <a:prstGeom prst="rect">
          <a:avLst/>
        </a:prstGeom>
      </xdr:spPr>
    </xdr:pic>
    <xdr:clientData/>
  </xdr:twoCellAnchor>
  <xdr:twoCellAnchor editAs="oneCell">
    <xdr:from>
      <xdr:col>9</xdr:col>
      <xdr:colOff>6350</xdr:colOff>
      <xdr:row>126</xdr:row>
      <xdr:rowOff>6350</xdr:rowOff>
    </xdr:from>
    <xdr:to>
      <xdr:col>11</xdr:col>
      <xdr:colOff>577850</xdr:colOff>
      <xdr:row>136</xdr:row>
      <xdr:rowOff>33853</xdr:rowOff>
    </xdr:to>
    <xdr:pic>
      <xdr:nvPicPr>
        <xdr:cNvPr id="15" name="Picture 14">
          <a:extLst>
            <a:ext uri="{FF2B5EF4-FFF2-40B4-BE49-F238E27FC236}">
              <a16:creationId xmlns:a16="http://schemas.microsoft.com/office/drawing/2014/main" id="{3EED1248-053C-41DD-9164-4B4A2ECF2B0A}"/>
            </a:ext>
          </a:extLst>
        </xdr:cNvPr>
        <xdr:cNvPicPr>
          <a:picLocks noChangeAspect="1"/>
        </xdr:cNvPicPr>
      </xdr:nvPicPr>
      <xdr:blipFill>
        <a:blip xmlns:r="http://schemas.openxmlformats.org/officeDocument/2006/relationships" r:embed="rId11"/>
        <a:stretch>
          <a:fillRect/>
        </a:stretch>
      </xdr:blipFill>
      <xdr:spPr>
        <a:xfrm>
          <a:off x="12757150" y="23437850"/>
          <a:ext cx="2889250" cy="1869002"/>
        </a:xfrm>
        <a:prstGeom prst="rect">
          <a:avLst/>
        </a:prstGeom>
      </xdr:spPr>
    </xdr:pic>
    <xdr:clientData/>
  </xdr:twoCellAnchor>
  <xdr:twoCellAnchor editAs="oneCell">
    <xdr:from>
      <xdr:col>8</xdr:col>
      <xdr:colOff>2368550</xdr:colOff>
      <xdr:row>117</xdr:row>
      <xdr:rowOff>146050</xdr:rowOff>
    </xdr:from>
    <xdr:to>
      <xdr:col>11</xdr:col>
      <xdr:colOff>596900</xdr:colOff>
      <xdr:row>124</xdr:row>
      <xdr:rowOff>174833</xdr:rowOff>
    </xdr:to>
    <xdr:pic>
      <xdr:nvPicPr>
        <xdr:cNvPr id="16" name="Picture 15">
          <a:extLst>
            <a:ext uri="{FF2B5EF4-FFF2-40B4-BE49-F238E27FC236}">
              <a16:creationId xmlns:a16="http://schemas.microsoft.com/office/drawing/2014/main" id="{331DC5A0-E3E7-4D17-9D07-3165D1BE52B2}"/>
            </a:ext>
          </a:extLst>
        </xdr:cNvPr>
        <xdr:cNvPicPr>
          <a:picLocks noChangeAspect="1"/>
        </xdr:cNvPicPr>
      </xdr:nvPicPr>
      <xdr:blipFill>
        <a:blip xmlns:r="http://schemas.openxmlformats.org/officeDocument/2006/relationships" r:embed="rId12"/>
        <a:stretch>
          <a:fillRect/>
        </a:stretch>
      </xdr:blipFill>
      <xdr:spPr>
        <a:xfrm>
          <a:off x="12744450" y="21920200"/>
          <a:ext cx="2921000" cy="1317833"/>
        </a:xfrm>
        <a:prstGeom prst="rect">
          <a:avLst/>
        </a:prstGeom>
      </xdr:spPr>
    </xdr:pic>
    <xdr:clientData/>
  </xdr:twoCellAnchor>
  <xdr:twoCellAnchor editAs="oneCell">
    <xdr:from>
      <xdr:col>9</xdr:col>
      <xdr:colOff>0</xdr:colOff>
      <xdr:row>137</xdr:row>
      <xdr:rowOff>0</xdr:rowOff>
    </xdr:from>
    <xdr:to>
      <xdr:col>12</xdr:col>
      <xdr:colOff>6350</xdr:colOff>
      <xdr:row>139</xdr:row>
      <xdr:rowOff>126911</xdr:rowOff>
    </xdr:to>
    <xdr:pic>
      <xdr:nvPicPr>
        <xdr:cNvPr id="17" name="Picture 16">
          <a:extLst>
            <a:ext uri="{FF2B5EF4-FFF2-40B4-BE49-F238E27FC236}">
              <a16:creationId xmlns:a16="http://schemas.microsoft.com/office/drawing/2014/main" id="{6F1BE35B-1A8E-49DE-8004-D5B53AF2DDE0}"/>
            </a:ext>
          </a:extLst>
        </xdr:cNvPr>
        <xdr:cNvPicPr>
          <a:picLocks noChangeAspect="1"/>
        </xdr:cNvPicPr>
      </xdr:nvPicPr>
      <xdr:blipFill>
        <a:blip xmlns:r="http://schemas.openxmlformats.org/officeDocument/2006/relationships" r:embed="rId13"/>
        <a:stretch>
          <a:fillRect/>
        </a:stretch>
      </xdr:blipFill>
      <xdr:spPr>
        <a:xfrm>
          <a:off x="12750800" y="25457150"/>
          <a:ext cx="2933700" cy="495211"/>
        </a:xfrm>
        <a:prstGeom prst="rect">
          <a:avLst/>
        </a:prstGeom>
      </xdr:spPr>
    </xdr:pic>
    <xdr:clientData/>
  </xdr:twoCellAnchor>
  <xdr:twoCellAnchor editAs="oneCell">
    <xdr:from>
      <xdr:col>9</xdr:col>
      <xdr:colOff>25401</xdr:colOff>
      <xdr:row>141</xdr:row>
      <xdr:rowOff>44450</xdr:rowOff>
    </xdr:from>
    <xdr:to>
      <xdr:col>13</xdr:col>
      <xdr:colOff>33783</xdr:colOff>
      <xdr:row>154</xdr:row>
      <xdr:rowOff>139701</xdr:rowOff>
    </xdr:to>
    <xdr:pic>
      <xdr:nvPicPr>
        <xdr:cNvPr id="18" name="Picture 17">
          <a:extLst>
            <a:ext uri="{FF2B5EF4-FFF2-40B4-BE49-F238E27FC236}">
              <a16:creationId xmlns:a16="http://schemas.microsoft.com/office/drawing/2014/main" id="{84BB6477-C86B-4D5E-9C40-4535F9F14242}"/>
            </a:ext>
          </a:extLst>
        </xdr:cNvPr>
        <xdr:cNvPicPr>
          <a:picLocks noChangeAspect="1"/>
        </xdr:cNvPicPr>
      </xdr:nvPicPr>
      <xdr:blipFill>
        <a:blip xmlns:r="http://schemas.openxmlformats.org/officeDocument/2006/relationships" r:embed="rId14"/>
        <a:stretch>
          <a:fillRect/>
        </a:stretch>
      </xdr:blipFill>
      <xdr:spPr>
        <a:xfrm>
          <a:off x="12776201" y="26238200"/>
          <a:ext cx="3545332" cy="2489200"/>
        </a:xfrm>
        <a:prstGeom prst="rect">
          <a:avLst/>
        </a:prstGeom>
      </xdr:spPr>
    </xdr:pic>
    <xdr:clientData/>
  </xdr:twoCellAnchor>
  <xdr:twoCellAnchor editAs="oneCell">
    <xdr:from>
      <xdr:col>9</xdr:col>
      <xdr:colOff>1</xdr:colOff>
      <xdr:row>156</xdr:row>
      <xdr:rowOff>0</xdr:rowOff>
    </xdr:from>
    <xdr:to>
      <xdr:col>13</xdr:col>
      <xdr:colOff>6351</xdr:colOff>
      <xdr:row>159</xdr:row>
      <xdr:rowOff>28047</xdr:rowOff>
    </xdr:to>
    <xdr:pic>
      <xdr:nvPicPr>
        <xdr:cNvPr id="19" name="Picture 18">
          <a:extLst>
            <a:ext uri="{FF2B5EF4-FFF2-40B4-BE49-F238E27FC236}">
              <a16:creationId xmlns:a16="http://schemas.microsoft.com/office/drawing/2014/main" id="{1995385F-F1E9-4C2E-8228-48ABF5A1AC18}"/>
            </a:ext>
          </a:extLst>
        </xdr:cNvPr>
        <xdr:cNvPicPr>
          <a:picLocks noChangeAspect="1"/>
        </xdr:cNvPicPr>
      </xdr:nvPicPr>
      <xdr:blipFill>
        <a:blip xmlns:r="http://schemas.openxmlformats.org/officeDocument/2006/relationships" r:embed="rId15"/>
        <a:stretch>
          <a:fillRect/>
        </a:stretch>
      </xdr:blipFill>
      <xdr:spPr>
        <a:xfrm>
          <a:off x="12750801" y="28956000"/>
          <a:ext cx="3543300" cy="58049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12</xdr:col>
      <xdr:colOff>25401</xdr:colOff>
      <xdr:row>24</xdr:row>
      <xdr:rowOff>177801</xdr:rowOff>
    </xdr:from>
    <xdr:to>
      <xdr:col>16</xdr:col>
      <xdr:colOff>596901</xdr:colOff>
      <xdr:row>33</xdr:row>
      <xdr:rowOff>71915</xdr:rowOff>
    </xdr:to>
    <xdr:pic>
      <xdr:nvPicPr>
        <xdr:cNvPr id="2" name="Picture 1">
          <a:extLst>
            <a:ext uri="{FF2B5EF4-FFF2-40B4-BE49-F238E27FC236}">
              <a16:creationId xmlns:a16="http://schemas.microsoft.com/office/drawing/2014/main" id="{4217B6E4-DEB4-4F07-A146-A6EB2A3C28DA}"/>
            </a:ext>
          </a:extLst>
        </xdr:cNvPr>
        <xdr:cNvPicPr>
          <a:picLocks noChangeAspect="1"/>
        </xdr:cNvPicPr>
      </xdr:nvPicPr>
      <xdr:blipFill>
        <a:blip xmlns:r="http://schemas.openxmlformats.org/officeDocument/2006/relationships" r:embed="rId1"/>
        <a:stretch>
          <a:fillRect/>
        </a:stretch>
      </xdr:blipFill>
      <xdr:spPr>
        <a:xfrm>
          <a:off x="9410701" y="4610101"/>
          <a:ext cx="3009900" cy="1551464"/>
        </a:xfrm>
        <a:prstGeom prst="rect">
          <a:avLst/>
        </a:prstGeom>
      </xdr:spPr>
    </xdr:pic>
    <xdr:clientData/>
  </xdr:twoCellAnchor>
  <xdr:twoCellAnchor editAs="oneCell">
    <xdr:from>
      <xdr:col>12</xdr:col>
      <xdr:colOff>82550</xdr:colOff>
      <xdr:row>38</xdr:row>
      <xdr:rowOff>0</xdr:rowOff>
    </xdr:from>
    <xdr:to>
      <xdr:col>17</xdr:col>
      <xdr:colOff>63500</xdr:colOff>
      <xdr:row>45</xdr:row>
      <xdr:rowOff>104206</xdr:rowOff>
    </xdr:to>
    <xdr:pic>
      <xdr:nvPicPr>
        <xdr:cNvPr id="3" name="Picture 2">
          <a:extLst>
            <a:ext uri="{FF2B5EF4-FFF2-40B4-BE49-F238E27FC236}">
              <a16:creationId xmlns:a16="http://schemas.microsoft.com/office/drawing/2014/main" id="{D5A6B616-8A61-476A-AB42-A4228F7BB2BD}"/>
            </a:ext>
          </a:extLst>
        </xdr:cNvPr>
        <xdr:cNvPicPr>
          <a:picLocks noChangeAspect="1"/>
        </xdr:cNvPicPr>
      </xdr:nvPicPr>
      <xdr:blipFill>
        <a:blip xmlns:r="http://schemas.openxmlformats.org/officeDocument/2006/relationships" r:embed="rId2"/>
        <a:stretch>
          <a:fillRect/>
        </a:stretch>
      </xdr:blipFill>
      <xdr:spPr>
        <a:xfrm>
          <a:off x="9467850" y="7010400"/>
          <a:ext cx="3028950" cy="1393256"/>
        </a:xfrm>
        <a:prstGeom prst="rect">
          <a:avLst/>
        </a:prstGeom>
      </xdr:spPr>
    </xdr:pic>
    <xdr:clientData/>
  </xdr:twoCellAnchor>
  <xdr:twoCellAnchor editAs="oneCell">
    <xdr:from>
      <xdr:col>12</xdr:col>
      <xdr:colOff>120650</xdr:colOff>
      <xdr:row>46</xdr:row>
      <xdr:rowOff>44450</xdr:rowOff>
    </xdr:from>
    <xdr:to>
      <xdr:col>17</xdr:col>
      <xdr:colOff>63500</xdr:colOff>
      <xdr:row>53</xdr:row>
      <xdr:rowOff>91022</xdr:rowOff>
    </xdr:to>
    <xdr:pic>
      <xdr:nvPicPr>
        <xdr:cNvPr id="4" name="Picture 3">
          <a:extLst>
            <a:ext uri="{FF2B5EF4-FFF2-40B4-BE49-F238E27FC236}">
              <a16:creationId xmlns:a16="http://schemas.microsoft.com/office/drawing/2014/main" id="{C33CE3ED-7605-4E33-A541-2FF70E3957F3}"/>
            </a:ext>
          </a:extLst>
        </xdr:cNvPr>
        <xdr:cNvPicPr>
          <a:picLocks noChangeAspect="1"/>
        </xdr:cNvPicPr>
      </xdr:nvPicPr>
      <xdr:blipFill>
        <a:blip xmlns:r="http://schemas.openxmlformats.org/officeDocument/2006/relationships" r:embed="rId3"/>
        <a:stretch>
          <a:fillRect/>
        </a:stretch>
      </xdr:blipFill>
      <xdr:spPr>
        <a:xfrm>
          <a:off x="9677400" y="8528050"/>
          <a:ext cx="2990850" cy="1335622"/>
        </a:xfrm>
        <a:prstGeom prst="rect">
          <a:avLst/>
        </a:prstGeom>
      </xdr:spPr>
    </xdr:pic>
    <xdr:clientData/>
  </xdr:twoCellAnchor>
  <xdr:twoCellAnchor>
    <xdr:from>
      <xdr:col>0</xdr:col>
      <xdr:colOff>0</xdr:colOff>
      <xdr:row>49</xdr:row>
      <xdr:rowOff>25400</xdr:rowOff>
    </xdr:from>
    <xdr:to>
      <xdr:col>6</xdr:col>
      <xdr:colOff>46467</xdr:colOff>
      <xdr:row>65</xdr:row>
      <xdr:rowOff>114300</xdr:rowOff>
    </xdr:to>
    <xdr:grpSp>
      <xdr:nvGrpSpPr>
        <xdr:cNvPr id="6" name="Group 5">
          <a:extLst>
            <a:ext uri="{FF2B5EF4-FFF2-40B4-BE49-F238E27FC236}">
              <a16:creationId xmlns:a16="http://schemas.microsoft.com/office/drawing/2014/main" id="{EC28CAB0-6D13-4609-87AF-F57FCD91A63E}"/>
            </a:ext>
          </a:extLst>
        </xdr:cNvPr>
        <xdr:cNvGrpSpPr/>
      </xdr:nvGrpSpPr>
      <xdr:grpSpPr>
        <a:xfrm>
          <a:off x="0" y="9028289"/>
          <a:ext cx="5944911" cy="3024011"/>
          <a:chOff x="0" y="9061450"/>
          <a:chExt cx="5945617" cy="3035300"/>
        </a:xfrm>
      </xdr:grpSpPr>
      <xdr:pic>
        <xdr:nvPicPr>
          <xdr:cNvPr id="5" name="Picture 4">
            <a:extLst>
              <a:ext uri="{FF2B5EF4-FFF2-40B4-BE49-F238E27FC236}">
                <a16:creationId xmlns:a16="http://schemas.microsoft.com/office/drawing/2014/main" id="{6A070078-CE23-4EC8-AD98-A53D76F9691F}"/>
              </a:ext>
            </a:extLst>
          </xdr:cNvPr>
          <xdr:cNvPicPr>
            <a:picLocks noChangeAspect="1"/>
          </xdr:cNvPicPr>
        </xdr:nvPicPr>
        <xdr:blipFill>
          <a:blip xmlns:r="http://schemas.openxmlformats.org/officeDocument/2006/relationships" r:embed="rId4"/>
          <a:stretch>
            <a:fillRect/>
          </a:stretch>
        </xdr:blipFill>
        <xdr:spPr>
          <a:xfrm>
            <a:off x="0" y="9061450"/>
            <a:ext cx="5945617" cy="3035300"/>
          </a:xfrm>
          <a:prstGeom prst="rect">
            <a:avLst/>
          </a:prstGeom>
        </xdr:spPr>
      </xdr:pic>
      <xdr:cxnSp macro="">
        <xdr:nvCxnSpPr>
          <xdr:cNvPr id="17" name="Straight Connector 16">
            <a:extLst>
              <a:ext uri="{FF2B5EF4-FFF2-40B4-BE49-F238E27FC236}">
                <a16:creationId xmlns:a16="http://schemas.microsoft.com/office/drawing/2014/main" id="{AD30EE00-C7BC-45FB-A805-96B2E9BC3F87}"/>
              </a:ext>
            </a:extLst>
          </xdr:cNvPr>
          <xdr:cNvCxnSpPr/>
        </xdr:nvCxnSpPr>
        <xdr:spPr>
          <a:xfrm flipV="1">
            <a:off x="1162050" y="11099800"/>
            <a:ext cx="0" cy="565150"/>
          </a:xfrm>
          <a:prstGeom prst="line">
            <a:avLst/>
          </a:prstGeom>
          <a:ln w="9525" cap="flat" cmpd="sng" algn="ctr">
            <a:solidFill>
              <a:schemeClr val="accent2"/>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xnSp macro="">
        <xdr:nvCxnSpPr>
          <xdr:cNvPr id="19" name="Straight Connector 18">
            <a:extLst>
              <a:ext uri="{FF2B5EF4-FFF2-40B4-BE49-F238E27FC236}">
                <a16:creationId xmlns:a16="http://schemas.microsoft.com/office/drawing/2014/main" id="{B98C2D31-C0B3-473C-ACF0-D120C27D1176}"/>
              </a:ext>
            </a:extLst>
          </xdr:cNvPr>
          <xdr:cNvCxnSpPr/>
        </xdr:nvCxnSpPr>
        <xdr:spPr>
          <a:xfrm flipH="1">
            <a:off x="533400" y="11112500"/>
            <a:ext cx="635000" cy="0"/>
          </a:xfrm>
          <a:prstGeom prst="line">
            <a:avLst/>
          </a:prstGeom>
          <a:ln w="9525" cap="flat" cmpd="sng" algn="ctr">
            <a:solidFill>
              <a:schemeClr val="accent2"/>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CC5D1-4638-4B08-B952-79ABBEF0157B}">
  <dimension ref="B2:B12"/>
  <sheetViews>
    <sheetView workbookViewId="0">
      <selection activeCell="H15" sqref="H15"/>
    </sheetView>
  </sheetViews>
  <sheetFormatPr defaultRowHeight="14.5" x14ac:dyDescent="0.35"/>
  <sheetData>
    <row r="2" spans="2:2" x14ac:dyDescent="0.35">
      <c r="B2" t="s">
        <v>714</v>
      </c>
    </row>
    <row r="3" spans="2:2" x14ac:dyDescent="0.35">
      <c r="B3" t="s">
        <v>715</v>
      </c>
    </row>
    <row r="4" spans="2:2" x14ac:dyDescent="0.35">
      <c r="B4" t="s">
        <v>716</v>
      </c>
    </row>
    <row r="5" spans="2:2" x14ac:dyDescent="0.35">
      <c r="B5" s="49" t="s">
        <v>717</v>
      </c>
    </row>
    <row r="6" spans="2:2" x14ac:dyDescent="0.35">
      <c r="B6" s="49" t="s">
        <v>718</v>
      </c>
    </row>
    <row r="7" spans="2:2" x14ac:dyDescent="0.35">
      <c r="B7" t="s">
        <v>719</v>
      </c>
    </row>
    <row r="8" spans="2:2" x14ac:dyDescent="0.35">
      <c r="B8" t="s">
        <v>720</v>
      </c>
    </row>
    <row r="10" spans="2:2" x14ac:dyDescent="0.35">
      <c r="B10" t="s">
        <v>324</v>
      </c>
    </row>
    <row r="11" spans="2:2" x14ac:dyDescent="0.35">
      <c r="B11" t="s">
        <v>721</v>
      </c>
    </row>
    <row r="12" spans="2:2" x14ac:dyDescent="0.35">
      <c r="B12" t="s">
        <v>722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86318-6930-49BB-8D95-716F49AD3CB3}">
  <dimension ref="A2:L104"/>
  <sheetViews>
    <sheetView tabSelected="1" topLeftCell="A25" zoomScale="80" zoomScaleNormal="80" workbookViewId="0">
      <selection activeCell="G39" sqref="G39"/>
    </sheetView>
  </sheetViews>
  <sheetFormatPr defaultRowHeight="14.5" x14ac:dyDescent="0.35"/>
  <cols>
    <col min="1" max="1" width="17.90625" customWidth="1"/>
    <col min="10" max="10" width="12.90625" customWidth="1"/>
  </cols>
  <sheetData>
    <row r="2" spans="10:10" x14ac:dyDescent="0.35">
      <c r="J2" s="1" t="s">
        <v>309</v>
      </c>
    </row>
    <row r="15" spans="10:10" x14ac:dyDescent="0.35">
      <c r="J15" t="s">
        <v>310</v>
      </c>
    </row>
    <row r="16" spans="10:10" x14ac:dyDescent="0.35">
      <c r="J16" t="s">
        <v>311</v>
      </c>
    </row>
    <row r="17" spans="10:10" x14ac:dyDescent="0.35">
      <c r="J17" t="s">
        <v>312</v>
      </c>
    </row>
    <row r="18" spans="10:10" x14ac:dyDescent="0.35">
      <c r="J18" t="s">
        <v>313</v>
      </c>
    </row>
    <row r="19" spans="10:10" x14ac:dyDescent="0.35">
      <c r="J19" t="s">
        <v>314</v>
      </c>
    </row>
    <row r="20" spans="10:10" x14ac:dyDescent="0.35">
      <c r="J20" t="s">
        <v>315</v>
      </c>
    </row>
    <row r="21" spans="10:10" x14ac:dyDescent="0.35">
      <c r="J21" t="s">
        <v>316</v>
      </c>
    </row>
    <row r="23" spans="10:10" x14ac:dyDescent="0.35">
      <c r="J23" t="s">
        <v>317</v>
      </c>
    </row>
    <row r="24" spans="10:10" x14ac:dyDescent="0.35">
      <c r="J24" s="13" t="s">
        <v>318</v>
      </c>
    </row>
    <row r="25" spans="10:10" x14ac:dyDescent="0.35">
      <c r="J25" s="13" t="s">
        <v>319</v>
      </c>
    </row>
    <row r="27" spans="10:10" x14ac:dyDescent="0.35">
      <c r="J27" t="s">
        <v>320</v>
      </c>
    </row>
    <row r="28" spans="10:10" x14ac:dyDescent="0.35">
      <c r="J28" t="s">
        <v>321</v>
      </c>
    </row>
    <row r="29" spans="10:10" x14ac:dyDescent="0.35">
      <c r="J29" t="s">
        <v>322</v>
      </c>
    </row>
    <row r="30" spans="10:10" x14ac:dyDescent="0.35">
      <c r="J30" t="s">
        <v>323</v>
      </c>
    </row>
    <row r="42" spans="1:12" x14ac:dyDescent="0.35">
      <c r="J42" t="s">
        <v>324</v>
      </c>
      <c r="L42" t="s">
        <v>325</v>
      </c>
    </row>
    <row r="43" spans="1:12" x14ac:dyDescent="0.35">
      <c r="L43" t="s">
        <v>326</v>
      </c>
    </row>
    <row r="44" spans="1:12" x14ac:dyDescent="0.35">
      <c r="L44" t="s">
        <v>327</v>
      </c>
    </row>
    <row r="48" spans="1:12" x14ac:dyDescent="0.35">
      <c r="A48" s="1" t="s">
        <v>328</v>
      </c>
    </row>
    <row r="49" spans="1:12" x14ac:dyDescent="0.35">
      <c r="A49" t="s">
        <v>329</v>
      </c>
      <c r="B49" t="s">
        <v>333</v>
      </c>
      <c r="K49" t="s">
        <v>334</v>
      </c>
    </row>
    <row r="51" spans="1:12" x14ac:dyDescent="0.35">
      <c r="A51" t="s">
        <v>330</v>
      </c>
      <c r="B51">
        <v>60</v>
      </c>
      <c r="C51" t="s">
        <v>331</v>
      </c>
      <c r="J51" t="s">
        <v>341</v>
      </c>
      <c r="K51">
        <f>75</f>
        <v>75</v>
      </c>
      <c r="L51" t="s">
        <v>331</v>
      </c>
    </row>
    <row r="52" spans="1:12" x14ac:dyDescent="0.35">
      <c r="A52" t="s">
        <v>332</v>
      </c>
      <c r="B52">
        <v>32</v>
      </c>
      <c r="C52" t="s">
        <v>331</v>
      </c>
      <c r="J52" t="s">
        <v>332</v>
      </c>
      <c r="K52">
        <v>32</v>
      </c>
      <c r="L52" t="s">
        <v>331</v>
      </c>
    </row>
    <row r="54" spans="1:12" x14ac:dyDescent="0.35">
      <c r="A54" t="s">
        <v>336</v>
      </c>
      <c r="B54">
        <f>300</f>
        <v>300</v>
      </c>
      <c r="C54" t="s">
        <v>337</v>
      </c>
      <c r="J54" t="s">
        <v>342</v>
      </c>
      <c r="K54">
        <v>300</v>
      </c>
      <c r="L54" t="s">
        <v>337</v>
      </c>
    </row>
    <row r="55" spans="1:12" x14ac:dyDescent="0.35">
      <c r="A55" t="s">
        <v>335</v>
      </c>
      <c r="B55">
        <f>(B54*10^-3)/B51</f>
        <v>5.0000000000000001E-3</v>
      </c>
      <c r="C55" t="s">
        <v>338</v>
      </c>
      <c r="J55" t="s">
        <v>343</v>
      </c>
      <c r="K55">
        <f>(K54*10^-3)/K51</f>
        <v>4.0000000000000001E-3</v>
      </c>
      <c r="L55" t="s">
        <v>338</v>
      </c>
    </row>
    <row r="56" spans="1:12" x14ac:dyDescent="0.35">
      <c r="A56" t="s">
        <v>339</v>
      </c>
      <c r="J56" t="s">
        <v>344</v>
      </c>
    </row>
    <row r="57" spans="1:12" x14ac:dyDescent="0.35">
      <c r="A57" t="s">
        <v>340</v>
      </c>
      <c r="B57">
        <f>2*B55</f>
        <v>0.01</v>
      </c>
      <c r="C57" t="s">
        <v>338</v>
      </c>
      <c r="J57" t="s">
        <v>340</v>
      </c>
      <c r="K57">
        <f>K55*1.5</f>
        <v>6.0000000000000001E-3</v>
      </c>
      <c r="L57" t="s">
        <v>338</v>
      </c>
    </row>
    <row r="58" spans="1:12" x14ac:dyDescent="0.35">
      <c r="A58" t="s">
        <v>345</v>
      </c>
      <c r="B58">
        <f>B57*B52</f>
        <v>0.32</v>
      </c>
      <c r="C58" t="s">
        <v>346</v>
      </c>
      <c r="J58" t="s">
        <v>347</v>
      </c>
      <c r="K58">
        <f>K57*K52</f>
        <v>0.192</v>
      </c>
      <c r="L58" t="s">
        <v>346</v>
      </c>
    </row>
    <row r="60" spans="1:12" x14ac:dyDescent="0.35">
      <c r="A60" s="1" t="s">
        <v>348</v>
      </c>
      <c r="B60" s="18">
        <f>B58+K58</f>
        <v>0.51200000000000001</v>
      </c>
      <c r="C60" s="1" t="s">
        <v>346</v>
      </c>
    </row>
    <row r="62" spans="1:12" x14ac:dyDescent="0.35">
      <c r="A62" t="s">
        <v>349</v>
      </c>
      <c r="B62" t="s">
        <v>350</v>
      </c>
    </row>
    <row r="63" spans="1:12" x14ac:dyDescent="0.35">
      <c r="B63" t="s">
        <v>351</v>
      </c>
    </row>
    <row r="65" spans="1:6" x14ac:dyDescent="0.35">
      <c r="A65" t="s">
        <v>352</v>
      </c>
      <c r="B65" t="s">
        <v>353</v>
      </c>
      <c r="C65">
        <f>K55</f>
        <v>4.0000000000000001E-3</v>
      </c>
      <c r="D65" t="s">
        <v>338</v>
      </c>
      <c r="F65" t="s">
        <v>354</v>
      </c>
    </row>
    <row r="66" spans="1:6" x14ac:dyDescent="0.35">
      <c r="A66" t="s">
        <v>355</v>
      </c>
      <c r="B66" t="s">
        <v>356</v>
      </c>
      <c r="C66">
        <f>1.5*C65</f>
        <v>6.0000000000000001E-3</v>
      </c>
      <c r="D66" t="s">
        <v>338</v>
      </c>
      <c r="F66" t="s">
        <v>357</v>
      </c>
    </row>
    <row r="67" spans="1:6" x14ac:dyDescent="0.35">
      <c r="B67" t="s">
        <v>358</v>
      </c>
      <c r="C67">
        <f>C66*B52</f>
        <v>0.192</v>
      </c>
      <c r="D67" t="s">
        <v>346</v>
      </c>
    </row>
    <row r="68" spans="1:6" x14ac:dyDescent="0.35">
      <c r="B68" t="s">
        <v>359</v>
      </c>
      <c r="C68">
        <f>C65</f>
        <v>4.0000000000000001E-3</v>
      </c>
      <c r="D68" t="s">
        <v>338</v>
      </c>
    </row>
    <row r="69" spans="1:6" x14ac:dyDescent="0.35">
      <c r="A69" t="s">
        <v>360</v>
      </c>
      <c r="B69" t="s">
        <v>361</v>
      </c>
      <c r="C69">
        <f>0.5*C68</f>
        <v>2E-3</v>
      </c>
      <c r="D69" t="s">
        <v>338</v>
      </c>
      <c r="F69" t="s">
        <v>362</v>
      </c>
    </row>
    <row r="70" spans="1:6" x14ac:dyDescent="0.35">
      <c r="B70" t="s">
        <v>363</v>
      </c>
      <c r="C70">
        <f>C69*B52</f>
        <v>6.4000000000000001E-2</v>
      </c>
      <c r="D70" t="s">
        <v>346</v>
      </c>
    </row>
    <row r="72" spans="1:6" x14ac:dyDescent="0.35">
      <c r="A72" s="1" t="s">
        <v>364</v>
      </c>
      <c r="B72" s="18">
        <f>B60+C67+C70</f>
        <v>0.76800000000000002</v>
      </c>
      <c r="C72" s="1" t="s">
        <v>346</v>
      </c>
    </row>
    <row r="75" spans="1:6" x14ac:dyDescent="0.35">
      <c r="A75" s="1" t="s">
        <v>365</v>
      </c>
    </row>
    <row r="76" spans="1:6" x14ac:dyDescent="0.35">
      <c r="A76" t="s">
        <v>366</v>
      </c>
    </row>
    <row r="77" spans="1:6" x14ac:dyDescent="0.35">
      <c r="A77" t="s">
        <v>367</v>
      </c>
    </row>
    <row r="78" spans="1:6" x14ac:dyDescent="0.35">
      <c r="A78" t="s">
        <v>368</v>
      </c>
    </row>
    <row r="79" spans="1:6" x14ac:dyDescent="0.35">
      <c r="A79" t="s">
        <v>369</v>
      </c>
    </row>
    <row r="80" spans="1:6" x14ac:dyDescent="0.35">
      <c r="A80" t="s">
        <v>370</v>
      </c>
    </row>
    <row r="82" spans="1:3" x14ac:dyDescent="0.35">
      <c r="A82" t="s">
        <v>371</v>
      </c>
    </row>
    <row r="83" spans="1:3" x14ac:dyDescent="0.35">
      <c r="A83" t="s">
        <v>372</v>
      </c>
    </row>
    <row r="85" spans="1:3" x14ac:dyDescent="0.35">
      <c r="A85" t="s">
        <v>373</v>
      </c>
    </row>
    <row r="86" spans="1:3" x14ac:dyDescent="0.35">
      <c r="A86" s="41" t="s">
        <v>374</v>
      </c>
    </row>
    <row r="89" spans="1:3" x14ac:dyDescent="0.35">
      <c r="A89" s="1" t="s">
        <v>375</v>
      </c>
    </row>
    <row r="90" spans="1:3" x14ac:dyDescent="0.35">
      <c r="A90" t="s">
        <v>376</v>
      </c>
      <c r="B90">
        <v>0.23</v>
      </c>
      <c r="C90" t="s">
        <v>377</v>
      </c>
    </row>
    <row r="91" spans="1:3" x14ac:dyDescent="0.35">
      <c r="A91" t="s">
        <v>378</v>
      </c>
      <c r="B91">
        <v>1.056</v>
      </c>
    </row>
    <row r="92" spans="1:3" x14ac:dyDescent="0.35">
      <c r="A92" t="s">
        <v>379</v>
      </c>
      <c r="B92" s="8">
        <f>B90*(B91^(30-20))</f>
        <v>0.39661306647121392</v>
      </c>
      <c r="C92" t="s">
        <v>377</v>
      </c>
    </row>
    <row r="94" spans="1:3" x14ac:dyDescent="0.35">
      <c r="A94" t="s">
        <v>383</v>
      </c>
    </row>
    <row r="96" spans="1:3" x14ac:dyDescent="0.35">
      <c r="A96" s="1" t="s">
        <v>380</v>
      </c>
    </row>
    <row r="97" spans="1:3" x14ac:dyDescent="0.35">
      <c r="A97" t="s">
        <v>381</v>
      </c>
      <c r="B97">
        <v>210</v>
      </c>
      <c r="C97" t="s">
        <v>337</v>
      </c>
    </row>
    <row r="98" spans="1:3" x14ac:dyDescent="0.35">
      <c r="A98" s="1" t="s">
        <v>382</v>
      </c>
      <c r="B98" s="18">
        <f>210/(1-EXP(-B90*5))</f>
        <v>307.30362798299927</v>
      </c>
      <c r="C98" s="1" t="s">
        <v>337</v>
      </c>
    </row>
    <row r="99" spans="1:3" x14ac:dyDescent="0.35">
      <c r="A99" t="s">
        <v>385</v>
      </c>
      <c r="B99" s="8">
        <f>B98*EXP(-B90*10)</f>
        <v>30.809906413398132</v>
      </c>
      <c r="C99" t="s">
        <v>337</v>
      </c>
    </row>
    <row r="100" spans="1:3" x14ac:dyDescent="0.35">
      <c r="A100" s="1" t="s">
        <v>384</v>
      </c>
      <c r="B100" s="18">
        <f>B98-B99</f>
        <v>276.49372156960112</v>
      </c>
      <c r="C100" s="1" t="s">
        <v>337</v>
      </c>
    </row>
    <row r="102" spans="1:3" x14ac:dyDescent="0.35">
      <c r="A102" s="1" t="s">
        <v>386</v>
      </c>
    </row>
    <row r="103" spans="1:3" x14ac:dyDescent="0.35">
      <c r="A103" t="s">
        <v>387</v>
      </c>
      <c r="B103" s="8">
        <f>B98*EXP(-B92*5)</f>
        <v>42.299317142053901</v>
      </c>
    </row>
    <row r="104" spans="1:3" x14ac:dyDescent="0.35">
      <c r="A104" s="1" t="s">
        <v>381</v>
      </c>
      <c r="B104" s="18">
        <f>B98-B103</f>
        <v>265.00431084094538</v>
      </c>
      <c r="C104" s="1" t="s">
        <v>337</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8E6A0-94FD-452E-800E-D7A6B1BD69EC}">
  <dimension ref="A1:J148"/>
  <sheetViews>
    <sheetView topLeftCell="A46" zoomScale="90" zoomScaleNormal="90" workbookViewId="0">
      <selection activeCell="B132" sqref="B132"/>
    </sheetView>
  </sheetViews>
  <sheetFormatPr defaultRowHeight="14.5" x14ac:dyDescent="0.35"/>
  <cols>
    <col min="1" max="1" width="54.1796875" customWidth="1"/>
    <col min="2" max="2" width="22.7265625" customWidth="1"/>
    <col min="3" max="3" width="16.08984375" customWidth="1"/>
    <col min="4" max="4" width="12.90625" customWidth="1"/>
    <col min="5" max="5" width="16.453125" customWidth="1"/>
    <col min="9" max="9" width="34" customWidth="1"/>
    <col min="10" max="10" width="24.453125" customWidth="1"/>
  </cols>
  <sheetData>
    <row r="1" spans="1:10" ht="15" thickBot="1" x14ac:dyDescent="0.4">
      <c r="A1" s="1" t="s">
        <v>408</v>
      </c>
      <c r="I1" s="1" t="s">
        <v>409</v>
      </c>
    </row>
    <row r="2" spans="1:10" x14ac:dyDescent="0.35">
      <c r="A2" s="36" t="s">
        <v>388</v>
      </c>
      <c r="B2" s="24" t="s">
        <v>389</v>
      </c>
      <c r="C2" s="24" t="s">
        <v>390</v>
      </c>
      <c r="D2" s="44" t="s">
        <v>391</v>
      </c>
      <c r="E2" s="45" t="s">
        <v>392</v>
      </c>
      <c r="I2" s="3"/>
      <c r="J2" s="23" t="s">
        <v>10</v>
      </c>
    </row>
    <row r="3" spans="1:10" x14ac:dyDescent="0.35">
      <c r="A3" s="4" t="s">
        <v>455</v>
      </c>
      <c r="B3" s="42" t="s">
        <v>393</v>
      </c>
      <c r="C3" s="2"/>
      <c r="D3" s="2">
        <v>1.08</v>
      </c>
      <c r="E3" s="5"/>
      <c r="I3" s="57" t="s">
        <v>410</v>
      </c>
      <c r="J3" s="10">
        <f>B57</f>
        <v>0.1353866694412667</v>
      </c>
    </row>
    <row r="4" spans="1:10" x14ac:dyDescent="0.35">
      <c r="A4" s="4" t="s">
        <v>725</v>
      </c>
      <c r="B4" s="2" t="s">
        <v>395</v>
      </c>
      <c r="C4" s="2"/>
      <c r="D4" s="2">
        <v>1</v>
      </c>
      <c r="E4" s="5"/>
      <c r="I4" s="57" t="s">
        <v>411</v>
      </c>
      <c r="J4" s="10">
        <f>B60</f>
        <v>7.3862515720856763</v>
      </c>
    </row>
    <row r="5" spans="1:10" x14ac:dyDescent="0.35">
      <c r="A5" s="4" t="s">
        <v>438</v>
      </c>
      <c r="B5" s="2" t="s">
        <v>394</v>
      </c>
      <c r="C5" s="2"/>
      <c r="D5" s="2">
        <v>1.03</v>
      </c>
      <c r="E5" s="5"/>
      <c r="I5" s="57" t="s">
        <v>412</v>
      </c>
      <c r="J5" s="10">
        <f>B62</f>
        <v>18.465628930214191</v>
      </c>
    </row>
    <row r="6" spans="1:10" x14ac:dyDescent="0.35">
      <c r="A6" s="4" t="s">
        <v>437</v>
      </c>
      <c r="B6" s="2" t="s">
        <v>396</v>
      </c>
      <c r="C6" s="2" t="s">
        <v>404</v>
      </c>
      <c r="D6" s="2">
        <v>1</v>
      </c>
      <c r="E6" s="5">
        <v>0.4</v>
      </c>
      <c r="I6" s="57" t="s">
        <v>413</v>
      </c>
      <c r="J6" s="10">
        <f>B74</f>
        <v>2344.6293992985447</v>
      </c>
    </row>
    <row r="7" spans="1:10" x14ac:dyDescent="0.35">
      <c r="A7" s="14" t="s">
        <v>439</v>
      </c>
      <c r="B7" s="2" t="s">
        <v>397</v>
      </c>
      <c r="C7" s="2" t="s">
        <v>405</v>
      </c>
      <c r="D7" s="2">
        <v>1</v>
      </c>
      <c r="E7" s="5">
        <v>0.15</v>
      </c>
      <c r="I7" s="57" t="s">
        <v>414</v>
      </c>
      <c r="J7" s="10">
        <f>B79</f>
        <v>56.747654935203883</v>
      </c>
    </row>
    <row r="8" spans="1:10" x14ac:dyDescent="0.35">
      <c r="A8" s="61" t="s">
        <v>388</v>
      </c>
      <c r="B8" s="62" t="s">
        <v>398</v>
      </c>
      <c r="C8" s="62" t="s">
        <v>390</v>
      </c>
      <c r="D8" s="63" t="s">
        <v>391</v>
      </c>
      <c r="E8" s="64" t="s">
        <v>392</v>
      </c>
      <c r="I8" s="57" t="s">
        <v>415</v>
      </c>
      <c r="J8" s="10">
        <f>B84</f>
        <v>43295.056466317925</v>
      </c>
    </row>
    <row r="9" spans="1:10" x14ac:dyDescent="0.35">
      <c r="A9" s="61"/>
      <c r="B9" s="62"/>
      <c r="C9" s="62"/>
      <c r="D9" s="63"/>
      <c r="E9" s="64"/>
      <c r="I9" s="57" t="s">
        <v>416</v>
      </c>
      <c r="J9" s="10">
        <f>B85</f>
        <v>54118.820582897402</v>
      </c>
    </row>
    <row r="10" spans="1:10" x14ac:dyDescent="0.35">
      <c r="A10" s="4" t="s">
        <v>455</v>
      </c>
      <c r="B10" s="42" t="s">
        <v>399</v>
      </c>
      <c r="C10" s="2" t="s">
        <v>429</v>
      </c>
      <c r="D10" s="2">
        <v>1.123</v>
      </c>
      <c r="E10" s="5"/>
      <c r="I10" s="57" t="s">
        <v>417</v>
      </c>
      <c r="J10" s="5" t="s">
        <v>569</v>
      </c>
    </row>
    <row r="11" spans="1:10" ht="15" thickBot="1" x14ac:dyDescent="0.4">
      <c r="A11" s="4" t="s">
        <v>457</v>
      </c>
      <c r="B11" s="42" t="s">
        <v>400</v>
      </c>
      <c r="C11" s="2" t="s">
        <v>443</v>
      </c>
      <c r="D11" s="2">
        <v>1.03</v>
      </c>
      <c r="E11" s="5"/>
      <c r="I11" s="58" t="s">
        <v>418</v>
      </c>
      <c r="J11" s="40">
        <f>B90</f>
        <v>7.21584274438632</v>
      </c>
    </row>
    <row r="12" spans="1:10" x14ac:dyDescent="0.35">
      <c r="A12" s="4" t="s">
        <v>456</v>
      </c>
      <c r="B12" s="42" t="s">
        <v>401</v>
      </c>
      <c r="C12" s="2" t="s">
        <v>429</v>
      </c>
      <c r="D12" s="2">
        <v>1.03</v>
      </c>
      <c r="E12" s="5"/>
    </row>
    <row r="13" spans="1:10" x14ac:dyDescent="0.35">
      <c r="A13" s="4" t="s">
        <v>458</v>
      </c>
      <c r="B13" s="42" t="s">
        <v>402</v>
      </c>
      <c r="C13" s="2" t="s">
        <v>406</v>
      </c>
      <c r="D13" s="2"/>
      <c r="E13" s="5">
        <v>0.5</v>
      </c>
    </row>
    <row r="14" spans="1:10" ht="15" thickBot="1" x14ac:dyDescent="0.4">
      <c r="A14" s="6" t="s">
        <v>437</v>
      </c>
      <c r="B14" s="43" t="s">
        <v>403</v>
      </c>
      <c r="C14" s="35" t="s">
        <v>407</v>
      </c>
      <c r="D14" s="35"/>
      <c r="E14" s="7">
        <v>0.12</v>
      </c>
    </row>
    <row r="17" spans="9:10" ht="15" thickBot="1" x14ac:dyDescent="0.4">
      <c r="I17" s="1" t="s">
        <v>419</v>
      </c>
    </row>
    <row r="18" spans="9:10" x14ac:dyDescent="0.35">
      <c r="I18" s="3"/>
      <c r="J18" s="23" t="s">
        <v>10</v>
      </c>
    </row>
    <row r="19" spans="9:10" x14ac:dyDescent="0.35">
      <c r="I19" s="56" t="s">
        <v>420</v>
      </c>
      <c r="J19" s="10">
        <f>B103</f>
        <v>19776.494518827429</v>
      </c>
    </row>
    <row r="20" spans="9:10" x14ac:dyDescent="0.35">
      <c r="I20" s="56" t="s">
        <v>421</v>
      </c>
      <c r="J20" s="10">
        <f>B127</f>
        <v>46100.488655335765</v>
      </c>
    </row>
    <row r="21" spans="9:10" x14ac:dyDescent="0.35">
      <c r="I21" s="56" t="s">
        <v>422</v>
      </c>
      <c r="J21" s="10">
        <f>B132/24</f>
        <v>9991.0350277795096</v>
      </c>
    </row>
    <row r="22" spans="9:10" x14ac:dyDescent="0.35">
      <c r="I22" s="56" t="s">
        <v>423</v>
      </c>
      <c r="J22" s="5">
        <f>B135</f>
        <v>5</v>
      </c>
    </row>
    <row r="23" spans="9:10" ht="15" thickBot="1" x14ac:dyDescent="0.4">
      <c r="I23" s="53" t="s">
        <v>424</v>
      </c>
      <c r="J23" s="7">
        <v>2000</v>
      </c>
    </row>
    <row r="26" spans="9:10" ht="15" thickBot="1" x14ac:dyDescent="0.4">
      <c r="I26" s="1" t="s">
        <v>425</v>
      </c>
    </row>
    <row r="27" spans="9:10" x14ac:dyDescent="0.35">
      <c r="I27" s="3"/>
      <c r="J27" s="23" t="s">
        <v>10</v>
      </c>
    </row>
    <row r="28" spans="9:10" ht="15" thickBot="1" x14ac:dyDescent="0.4">
      <c r="I28" s="53" t="s">
        <v>426</v>
      </c>
      <c r="J28" s="7">
        <f>B148</f>
        <v>254.18</v>
      </c>
    </row>
    <row r="35" spans="1:5" x14ac:dyDescent="0.35">
      <c r="A35" s="1" t="s">
        <v>427</v>
      </c>
    </row>
    <row r="36" spans="1:5" x14ac:dyDescent="0.35">
      <c r="A36" t="s">
        <v>22</v>
      </c>
      <c r="B36">
        <f>'1.2 Wastewater flowrate'!B5/2</f>
        <v>45000</v>
      </c>
      <c r="C36" t="s">
        <v>11</v>
      </c>
      <c r="E36" t="s">
        <v>198</v>
      </c>
    </row>
    <row r="37" spans="1:5" x14ac:dyDescent="0.35">
      <c r="A37" t="s">
        <v>54</v>
      </c>
      <c r="B37">
        <f>B36/24</f>
        <v>1875</v>
      </c>
      <c r="C37" t="s">
        <v>15</v>
      </c>
    </row>
    <row r="39" spans="1:5" x14ac:dyDescent="0.35">
      <c r="A39" s="50" t="s">
        <v>428</v>
      </c>
    </row>
    <row r="40" spans="1:5" x14ac:dyDescent="0.35">
      <c r="A40" s="46" t="s">
        <v>430</v>
      </c>
      <c r="B40" s="8">
        <f>6*(D3)^(12-20)</f>
        <v>3.2416133070118542</v>
      </c>
      <c r="C40" t="s">
        <v>429</v>
      </c>
      <c r="E40" t="s">
        <v>432</v>
      </c>
    </row>
    <row r="41" spans="1:5" x14ac:dyDescent="0.35">
      <c r="E41" t="s">
        <v>433</v>
      </c>
    </row>
    <row r="42" spans="1:5" x14ac:dyDescent="0.35">
      <c r="A42" s="47" t="s">
        <v>431</v>
      </c>
      <c r="B42">
        <f>20*(D4)^(12-20)</f>
        <v>20</v>
      </c>
      <c r="C42" t="s">
        <v>434</v>
      </c>
    </row>
    <row r="43" spans="1:5" x14ac:dyDescent="0.35">
      <c r="A43" s="47" t="s">
        <v>435</v>
      </c>
      <c r="B43" s="22">
        <f>0.12*D5^(12-20)</f>
        <v>9.4729108117672281E-2</v>
      </c>
      <c r="C43" t="s">
        <v>429</v>
      </c>
    </row>
    <row r="44" spans="1:5" x14ac:dyDescent="0.35">
      <c r="A44" s="47" t="s">
        <v>436</v>
      </c>
      <c r="B44">
        <f>0.4*(D6^(12-20))</f>
        <v>0.4</v>
      </c>
      <c r="C44" t="s">
        <v>440</v>
      </c>
    </row>
    <row r="45" spans="1:5" x14ac:dyDescent="0.35">
      <c r="A45" s="47" t="s">
        <v>447</v>
      </c>
      <c r="B45">
        <v>0.15</v>
      </c>
      <c r="C45" t="s">
        <v>441</v>
      </c>
    </row>
    <row r="47" spans="1:5" x14ac:dyDescent="0.35">
      <c r="A47" s="50" t="s">
        <v>442</v>
      </c>
    </row>
    <row r="48" spans="1:5" x14ac:dyDescent="0.35">
      <c r="A48" s="46" t="s">
        <v>446</v>
      </c>
      <c r="B48" s="8">
        <f>0.75*D10^(12-20)</f>
        <v>0.29649898657722257</v>
      </c>
      <c r="C48" t="s">
        <v>429</v>
      </c>
    </row>
    <row r="49" spans="1:5" x14ac:dyDescent="0.35">
      <c r="A49" s="47" t="s">
        <v>448</v>
      </c>
      <c r="B49" s="8">
        <f>0.74*D11^(12-20)</f>
        <v>0.58416283339231245</v>
      </c>
      <c r="C49" t="s">
        <v>443</v>
      </c>
    </row>
    <row r="50" spans="1:5" x14ac:dyDescent="0.35">
      <c r="A50" s="47" t="s">
        <v>449</v>
      </c>
      <c r="B50" s="22">
        <f>0.08*D12^(12-20)</f>
        <v>6.3152738745114859E-2</v>
      </c>
      <c r="C50" t="s">
        <v>429</v>
      </c>
    </row>
    <row r="51" spans="1:5" x14ac:dyDescent="0.35">
      <c r="A51" s="47" t="s">
        <v>450</v>
      </c>
      <c r="B51">
        <v>0.5</v>
      </c>
      <c r="C51" t="s">
        <v>444</v>
      </c>
    </row>
    <row r="52" spans="1:5" x14ac:dyDescent="0.35">
      <c r="A52" s="47" t="s">
        <v>451</v>
      </c>
      <c r="B52">
        <v>0.12</v>
      </c>
      <c r="C52" t="s">
        <v>445</v>
      </c>
    </row>
    <row r="54" spans="1:5" x14ac:dyDescent="0.35">
      <c r="A54" s="1" t="s">
        <v>568</v>
      </c>
    </row>
    <row r="55" spans="1:5" x14ac:dyDescent="0.35">
      <c r="A55" t="s">
        <v>452</v>
      </c>
      <c r="B55">
        <v>2</v>
      </c>
      <c r="C55" t="s">
        <v>337</v>
      </c>
      <c r="E55" t="s">
        <v>292</v>
      </c>
    </row>
    <row r="56" spans="1:5" x14ac:dyDescent="0.35">
      <c r="A56" t="s">
        <v>453</v>
      </c>
      <c r="B56">
        <v>3</v>
      </c>
      <c r="C56" t="s">
        <v>337</v>
      </c>
      <c r="E56" t="s">
        <v>292</v>
      </c>
    </row>
    <row r="57" spans="1:5" x14ac:dyDescent="0.35">
      <c r="A57" s="1" t="s">
        <v>454</v>
      </c>
      <c r="B57" s="18">
        <f>((B48*B56)/(B49+B56))*(B55/(B51+B55))-B50</f>
        <v>0.1353866694412667</v>
      </c>
      <c r="C57" s="1" t="s">
        <v>377</v>
      </c>
      <c r="E57" t="s">
        <v>459</v>
      </c>
    </row>
    <row r="59" spans="1:5" x14ac:dyDescent="0.35">
      <c r="A59" s="1" t="s">
        <v>461</v>
      </c>
    </row>
    <row r="60" spans="1:5" x14ac:dyDescent="0.35">
      <c r="A60" s="51" t="s">
        <v>460</v>
      </c>
      <c r="B60" s="18">
        <f>1/B57</f>
        <v>7.3862515720856763</v>
      </c>
      <c r="C60" s="1" t="s">
        <v>257</v>
      </c>
    </row>
    <row r="61" spans="1:5" x14ac:dyDescent="0.35">
      <c r="A61" s="48" t="s">
        <v>462</v>
      </c>
      <c r="B61">
        <v>2.5</v>
      </c>
      <c r="E61" t="s">
        <v>463</v>
      </c>
    </row>
    <row r="62" spans="1:5" x14ac:dyDescent="0.35">
      <c r="A62" s="1" t="s">
        <v>464</v>
      </c>
      <c r="B62" s="18">
        <f>B61*B60</f>
        <v>18.465628930214191</v>
      </c>
      <c r="C62" s="1" t="s">
        <v>257</v>
      </c>
      <c r="E62" t="s">
        <v>466</v>
      </c>
    </row>
    <row r="63" spans="1:5" x14ac:dyDescent="0.35">
      <c r="E63" t="s">
        <v>465</v>
      </c>
    </row>
    <row r="65" spans="1:5" x14ac:dyDescent="0.35">
      <c r="A65" s="1" t="s">
        <v>479</v>
      </c>
    </row>
    <row r="66" spans="1:5" x14ac:dyDescent="0.35">
      <c r="A66" t="s">
        <v>467</v>
      </c>
      <c r="B66">
        <f>'1.3 Quality and loading rate'!C7</f>
        <v>66</v>
      </c>
      <c r="C66" t="s">
        <v>337</v>
      </c>
    </row>
    <row r="67" spans="1:5" x14ac:dyDescent="0.35">
      <c r="A67" t="s">
        <v>468</v>
      </c>
      <c r="B67">
        <f>B66</f>
        <v>66</v>
      </c>
      <c r="C67" t="s">
        <v>337</v>
      </c>
      <c r="E67" t="s">
        <v>469</v>
      </c>
    </row>
    <row r="68" spans="1:5" x14ac:dyDescent="0.35">
      <c r="A68" t="s">
        <v>470</v>
      </c>
      <c r="B68">
        <f>B66*0.8</f>
        <v>52.800000000000004</v>
      </c>
      <c r="C68" t="s">
        <v>337</v>
      </c>
      <c r="E68" t="s">
        <v>471</v>
      </c>
    </row>
    <row r="69" spans="1:5" x14ac:dyDescent="0.35">
      <c r="A69" t="s">
        <v>472</v>
      </c>
      <c r="B69">
        <f>'4.4 Primary Settling'!F6*1.5</f>
        <v>267.75</v>
      </c>
      <c r="C69" t="s">
        <v>337</v>
      </c>
      <c r="E69" t="s">
        <v>473</v>
      </c>
    </row>
    <row r="70" spans="1:5" x14ac:dyDescent="0.35">
      <c r="A70" t="s">
        <v>475</v>
      </c>
    </row>
    <row r="71" spans="1:5" x14ac:dyDescent="0.35">
      <c r="A71" t="s">
        <v>474</v>
      </c>
      <c r="B71" s="8">
        <f>((B36*B44*(B69-0)*10^-3))/(1+(B43*B62))</f>
        <v>1753.0346727260726</v>
      </c>
      <c r="C71" t="s">
        <v>477</v>
      </c>
    </row>
    <row r="72" spans="1:5" x14ac:dyDescent="0.35">
      <c r="A72" t="s">
        <v>476</v>
      </c>
      <c r="B72" s="8">
        <f>(B45*B43*B36*B44*(B69-0)*B62*10^-3)/(1+(B43*B62))</f>
        <v>459.9697990910891</v>
      </c>
      <c r="C72" t="s">
        <v>477</v>
      </c>
    </row>
    <row r="73" spans="1:5" x14ac:dyDescent="0.35">
      <c r="A73" t="s">
        <v>478</v>
      </c>
      <c r="B73" s="8">
        <f>(B36*B52*B68*10^-3)/(1+(B50*B62))</f>
        <v>131.62492748138331</v>
      </c>
      <c r="C73" t="s">
        <v>477</v>
      </c>
    </row>
    <row r="74" spans="1:5" x14ac:dyDescent="0.35">
      <c r="A74" s="1" t="s">
        <v>480</v>
      </c>
      <c r="B74" s="18">
        <f>SUM(B71:B73)</f>
        <v>2344.6293992985447</v>
      </c>
      <c r="C74" s="1" t="s">
        <v>477</v>
      </c>
    </row>
    <row r="76" spans="1:5" x14ac:dyDescent="0.35">
      <c r="A76" s="1" t="s">
        <v>481</v>
      </c>
    </row>
    <row r="77" spans="1:5" x14ac:dyDescent="0.35">
      <c r="A77" t="s">
        <v>482</v>
      </c>
      <c r="B77">
        <f>B56</f>
        <v>3</v>
      </c>
      <c r="C77" t="s">
        <v>337</v>
      </c>
      <c r="E77" t="s">
        <v>483</v>
      </c>
    </row>
    <row r="78" spans="1:5" x14ac:dyDescent="0.35">
      <c r="A78" t="s">
        <v>484</v>
      </c>
      <c r="B78">
        <f>B66</f>
        <v>66</v>
      </c>
      <c r="C78" t="s">
        <v>337</v>
      </c>
    </row>
    <row r="79" spans="1:5" x14ac:dyDescent="0.35">
      <c r="A79" s="1" t="s">
        <v>485</v>
      </c>
      <c r="B79" s="18">
        <f>B78-B77-0.12*(B74/B36)*10^3</f>
        <v>56.747654935203883</v>
      </c>
      <c r="C79" s="1" t="s">
        <v>444</v>
      </c>
      <c r="E79" t="s">
        <v>486</v>
      </c>
    </row>
    <row r="81" spans="1:5" x14ac:dyDescent="0.35">
      <c r="A81" s="1" t="s">
        <v>487</v>
      </c>
    </row>
    <row r="82" spans="1:5" x14ac:dyDescent="0.35">
      <c r="A82" t="s">
        <v>488</v>
      </c>
      <c r="B82">
        <v>4000</v>
      </c>
      <c r="C82" t="s">
        <v>337</v>
      </c>
    </row>
    <row r="83" spans="1:5" x14ac:dyDescent="0.35">
      <c r="A83" t="s">
        <v>489</v>
      </c>
      <c r="B83">
        <f>0.8*B82</f>
        <v>3200</v>
      </c>
      <c r="C83" t="s">
        <v>337</v>
      </c>
    </row>
    <row r="84" spans="1:5" x14ac:dyDescent="0.35">
      <c r="A84" s="1" t="s">
        <v>490</v>
      </c>
      <c r="B84" s="18">
        <f>B74*B62</f>
        <v>43295.056466317925</v>
      </c>
      <c r="C84" s="1" t="s">
        <v>491</v>
      </c>
      <c r="E84" t="s">
        <v>492</v>
      </c>
    </row>
    <row r="85" spans="1:5" x14ac:dyDescent="0.35">
      <c r="A85" s="1" t="s">
        <v>493</v>
      </c>
      <c r="B85" s="18">
        <f>B84/0.8</f>
        <v>54118.820582897402</v>
      </c>
      <c r="C85" s="1" t="s">
        <v>491</v>
      </c>
      <c r="E85" t="s">
        <v>494</v>
      </c>
    </row>
    <row r="87" spans="1:5" x14ac:dyDescent="0.35">
      <c r="A87" s="1" t="s">
        <v>495</v>
      </c>
    </row>
    <row r="88" spans="1:5" x14ac:dyDescent="0.35">
      <c r="A88" t="s">
        <v>496</v>
      </c>
      <c r="B88" s="8">
        <f>B85/(B82*10^-3)</f>
        <v>13529.705145724351</v>
      </c>
      <c r="C88" t="s">
        <v>188</v>
      </c>
    </row>
    <row r="89" spans="1:5" x14ac:dyDescent="0.35">
      <c r="A89" s="1" t="s">
        <v>497</v>
      </c>
      <c r="B89" s="8">
        <f>B88/B36</f>
        <v>0.30066011434943002</v>
      </c>
      <c r="C89" t="s">
        <v>498</v>
      </c>
    </row>
    <row r="90" spans="1:5" x14ac:dyDescent="0.35">
      <c r="B90" s="18">
        <f>B89*24</f>
        <v>7.21584274438632</v>
      </c>
      <c r="C90" s="1" t="s">
        <v>499</v>
      </c>
      <c r="E90" t="s">
        <v>500</v>
      </c>
    </row>
    <row r="92" spans="1:5" x14ac:dyDescent="0.35">
      <c r="A92" s="1" t="s">
        <v>501</v>
      </c>
    </row>
    <row r="93" spans="1:5" x14ac:dyDescent="0.35">
      <c r="A93" t="s">
        <v>502</v>
      </c>
      <c r="B93">
        <v>1.5</v>
      </c>
      <c r="C93" t="s">
        <v>83</v>
      </c>
      <c r="E93" t="s">
        <v>503</v>
      </c>
    </row>
    <row r="94" spans="1:5" x14ac:dyDescent="0.35">
      <c r="A94" s="1" t="s">
        <v>504</v>
      </c>
      <c r="B94" s="1">
        <f>6+B93</f>
        <v>7.5</v>
      </c>
      <c r="C94" s="1" t="s">
        <v>83</v>
      </c>
      <c r="E94" t="s">
        <v>505</v>
      </c>
    </row>
    <row r="95" spans="1:5" x14ac:dyDescent="0.35">
      <c r="A95" s="1" t="s">
        <v>506</v>
      </c>
      <c r="B95" s="1">
        <v>27</v>
      </c>
      <c r="C95" s="1" t="s">
        <v>83</v>
      </c>
      <c r="E95" t="s">
        <v>507</v>
      </c>
    </row>
    <row r="96" spans="1:5" x14ac:dyDescent="0.35">
      <c r="A96" t="s">
        <v>508</v>
      </c>
      <c r="B96" s="8">
        <f>B88/B94</f>
        <v>1803.96068609658</v>
      </c>
      <c r="C96" t="s">
        <v>142</v>
      </c>
    </row>
    <row r="97" spans="1:5" x14ac:dyDescent="0.35">
      <c r="A97" s="1" t="s">
        <v>509</v>
      </c>
      <c r="B97" s="18">
        <f>B96/B95</f>
        <v>66.813358744317782</v>
      </c>
      <c r="C97" s="1" t="s">
        <v>83</v>
      </c>
    </row>
    <row r="98" spans="1:5" x14ac:dyDescent="0.35">
      <c r="A98" t="s">
        <v>230</v>
      </c>
      <c r="B98" s="8">
        <f>B97/B95</f>
        <v>2.4745688423821401</v>
      </c>
      <c r="E98" t="s">
        <v>510</v>
      </c>
    </row>
    <row r="101" spans="1:5" x14ac:dyDescent="0.35">
      <c r="A101" s="1" t="s">
        <v>511</v>
      </c>
    </row>
    <row r="102" spans="1:5" x14ac:dyDescent="0.35">
      <c r="A102" t="s">
        <v>512</v>
      </c>
      <c r="B102" s="8">
        <f>B36*(B69-0)*(10^-3)-1.42*B74+(4.33*B36*B79*10^-3)-(2.86*B79*10^-3)</f>
        <v>19776.494518827429</v>
      </c>
      <c r="C102" t="s">
        <v>513</v>
      </c>
      <c r="E102" t="s">
        <v>514</v>
      </c>
    </row>
    <row r="103" spans="1:5" x14ac:dyDescent="0.35">
      <c r="A103" s="1" t="s">
        <v>515</v>
      </c>
      <c r="B103" s="18">
        <f>B102</f>
        <v>19776.494518827429</v>
      </c>
      <c r="C103" s="1" t="s">
        <v>513</v>
      </c>
      <c r="E103" t="s">
        <v>537</v>
      </c>
    </row>
    <row r="105" spans="1:5" x14ac:dyDescent="0.35">
      <c r="A105" s="1" t="s">
        <v>516</v>
      </c>
    </row>
    <row r="106" spans="1:5" x14ac:dyDescent="0.35">
      <c r="A106" t="s">
        <v>517</v>
      </c>
      <c r="B106">
        <v>18</v>
      </c>
      <c r="C106" t="s">
        <v>518</v>
      </c>
    </row>
    <row r="107" spans="1:5" x14ac:dyDescent="0.35">
      <c r="B107">
        <f>B106+273</f>
        <v>291</v>
      </c>
      <c r="C107" t="s">
        <v>233</v>
      </c>
    </row>
    <row r="108" spans="1:5" x14ac:dyDescent="0.35">
      <c r="A108" t="s">
        <v>519</v>
      </c>
      <c r="B108">
        <v>0.5</v>
      </c>
    </row>
    <row r="109" spans="1:5" x14ac:dyDescent="0.35">
      <c r="A109" t="s">
        <v>520</v>
      </c>
      <c r="B109">
        <v>0.95</v>
      </c>
    </row>
    <row r="110" spans="1:5" x14ac:dyDescent="0.35">
      <c r="A110" t="s">
        <v>521</v>
      </c>
      <c r="B110">
        <v>0.9</v>
      </c>
    </row>
    <row r="111" spans="1:5" x14ac:dyDescent="0.35">
      <c r="A111" t="s">
        <v>522</v>
      </c>
      <c r="B111">
        <v>101.325</v>
      </c>
      <c r="C111" t="s">
        <v>523</v>
      </c>
    </row>
    <row r="112" spans="1:5" x14ac:dyDescent="0.35">
      <c r="A112" t="s">
        <v>524</v>
      </c>
      <c r="B112">
        <v>86</v>
      </c>
      <c r="C112" t="s">
        <v>83</v>
      </c>
    </row>
    <row r="113" spans="1:5" x14ac:dyDescent="0.35">
      <c r="A113" t="s">
        <v>525</v>
      </c>
      <c r="B113">
        <f>5.5</f>
        <v>5.5</v>
      </c>
      <c r="C113" t="s">
        <v>83</v>
      </c>
    </row>
    <row r="114" spans="1:5" x14ac:dyDescent="0.35">
      <c r="A114" t="s">
        <v>526</v>
      </c>
      <c r="B114">
        <v>2</v>
      </c>
      <c r="C114" t="s">
        <v>337</v>
      </c>
    </row>
    <row r="115" spans="1:5" x14ac:dyDescent="0.35">
      <c r="A115" t="s">
        <v>527</v>
      </c>
      <c r="B115">
        <v>19</v>
      </c>
      <c r="C115" t="s">
        <v>101</v>
      </c>
    </row>
    <row r="116" spans="1:5" x14ac:dyDescent="0.35">
      <c r="A116" t="s">
        <v>528</v>
      </c>
      <c r="B116">
        <v>1.1850000000000001</v>
      </c>
      <c r="C116" t="s">
        <v>185</v>
      </c>
    </row>
    <row r="117" spans="1:5" x14ac:dyDescent="0.35">
      <c r="A117" t="s">
        <v>529</v>
      </c>
      <c r="B117">
        <v>30</v>
      </c>
      <c r="C117" t="s">
        <v>101</v>
      </c>
    </row>
    <row r="118" spans="1:5" x14ac:dyDescent="0.35">
      <c r="A118" t="s">
        <v>545</v>
      </c>
      <c r="B118">
        <v>9.5399999999999991</v>
      </c>
      <c r="C118" t="s">
        <v>337</v>
      </c>
      <c r="E118" t="s">
        <v>530</v>
      </c>
    </row>
    <row r="119" spans="1:5" x14ac:dyDescent="0.35">
      <c r="A119" t="s">
        <v>544</v>
      </c>
      <c r="B119">
        <v>9.17</v>
      </c>
      <c r="C119" t="s">
        <v>337</v>
      </c>
      <c r="E119" t="s">
        <v>530</v>
      </c>
    </row>
    <row r="120" spans="1:5" x14ac:dyDescent="0.35">
      <c r="A120" t="s">
        <v>170</v>
      </c>
      <c r="B120">
        <v>9.81</v>
      </c>
      <c r="C120" t="s">
        <v>171</v>
      </c>
    </row>
    <row r="121" spans="1:5" x14ac:dyDescent="0.35">
      <c r="A121" t="s">
        <v>531</v>
      </c>
      <c r="B121">
        <v>2.8964400000000001E-2</v>
      </c>
      <c r="C121" t="s">
        <v>532</v>
      </c>
    </row>
    <row r="122" spans="1:5" x14ac:dyDescent="0.35">
      <c r="A122" t="s">
        <v>143</v>
      </c>
      <c r="B122">
        <v>8.3145000000000007</v>
      </c>
      <c r="C122" t="s">
        <v>533</v>
      </c>
    </row>
    <row r="123" spans="1:5" x14ac:dyDescent="0.35">
      <c r="A123" t="s">
        <v>534</v>
      </c>
      <c r="B123" s="8">
        <f>B111*10^3*EXP((-B120*B121*B112)/(B122*B107))</f>
        <v>100306.81139352801</v>
      </c>
      <c r="C123" t="s">
        <v>535</v>
      </c>
      <c r="E123" t="s">
        <v>541</v>
      </c>
    </row>
    <row r="124" spans="1:5" x14ac:dyDescent="0.35">
      <c r="A124" t="s">
        <v>536</v>
      </c>
      <c r="B124" s="8">
        <f>(B123*10^-3)/9.8</f>
        <v>10.235388917706938</v>
      </c>
      <c r="C124" t="s">
        <v>83</v>
      </c>
      <c r="E124" t="s">
        <v>540</v>
      </c>
    </row>
    <row r="125" spans="1:5" x14ac:dyDescent="0.35">
      <c r="A125" t="s">
        <v>538</v>
      </c>
      <c r="B125" s="8">
        <f>B124+B113</f>
        <v>15.735388917706938</v>
      </c>
      <c r="C125" t="s">
        <v>83</v>
      </c>
      <c r="E125" t="s">
        <v>539</v>
      </c>
    </row>
    <row r="126" spans="1:5" x14ac:dyDescent="0.35">
      <c r="A126" t="s">
        <v>542</v>
      </c>
      <c r="B126" s="8">
        <f>B118*0.5*((B125/B124)+(19/21))</f>
        <v>11.648880200652229</v>
      </c>
      <c r="C126" t="s">
        <v>337</v>
      </c>
      <c r="E126" t="s">
        <v>543</v>
      </c>
    </row>
    <row r="127" spans="1:5" x14ac:dyDescent="0.35">
      <c r="A127" s="1" t="s">
        <v>546</v>
      </c>
      <c r="B127" s="18">
        <f>((B103/((1.024^(B106-20))*(B108)*(B110))))*((B119)/((B109)*(B126-B114)))</f>
        <v>46100.488655335765</v>
      </c>
      <c r="C127" s="1" t="s">
        <v>56</v>
      </c>
      <c r="E127" t="s">
        <v>547</v>
      </c>
    </row>
    <row r="130" spans="1:5" x14ac:dyDescent="0.35">
      <c r="A130" s="1" t="s">
        <v>551</v>
      </c>
    </row>
    <row r="131" spans="1:5" x14ac:dyDescent="0.35">
      <c r="A131" t="s">
        <v>548</v>
      </c>
      <c r="B131">
        <v>23.2</v>
      </c>
      <c r="C131" t="s">
        <v>101</v>
      </c>
    </row>
    <row r="132" spans="1:5" x14ac:dyDescent="0.35">
      <c r="A132" s="1" t="s">
        <v>549</v>
      </c>
      <c r="B132" s="18">
        <f>(B103/(B116*(B131/100)))*(1/(B117/100))</f>
        <v>239784.84066670825</v>
      </c>
      <c r="C132" s="1" t="s">
        <v>11</v>
      </c>
      <c r="E132" t="s">
        <v>550</v>
      </c>
    </row>
    <row r="133" spans="1:5" x14ac:dyDescent="0.35">
      <c r="A133" t="s">
        <v>555</v>
      </c>
      <c r="B133">
        <v>2000</v>
      </c>
      <c r="C133" t="s">
        <v>15</v>
      </c>
    </row>
    <row r="134" spans="1:5" x14ac:dyDescent="0.35">
      <c r="A134" s="1" t="s">
        <v>556</v>
      </c>
      <c r="B134" s="1">
        <f>B132/(B133*24)</f>
        <v>4.9955175138897552</v>
      </c>
      <c r="C134" s="1" t="s">
        <v>557</v>
      </c>
    </row>
    <row r="135" spans="1:5" x14ac:dyDescent="0.35">
      <c r="B135" s="1">
        <f>5</f>
        <v>5</v>
      </c>
      <c r="C135" s="1" t="s">
        <v>557</v>
      </c>
    </row>
    <row r="136" spans="1:5" x14ac:dyDescent="0.35">
      <c r="A136" s="49" t="s">
        <v>558</v>
      </c>
    </row>
    <row r="137" spans="1:5" x14ac:dyDescent="0.35">
      <c r="A137" t="s">
        <v>552</v>
      </c>
    </row>
    <row r="138" spans="1:5" x14ac:dyDescent="0.35">
      <c r="A138" t="s">
        <v>553</v>
      </c>
    </row>
    <row r="139" spans="1:5" x14ac:dyDescent="0.35">
      <c r="A139" t="s">
        <v>554</v>
      </c>
    </row>
    <row r="142" spans="1:5" x14ac:dyDescent="0.35">
      <c r="A142" s="1" t="s">
        <v>559</v>
      </c>
    </row>
    <row r="143" spans="1:5" x14ac:dyDescent="0.35">
      <c r="A143" t="s">
        <v>560</v>
      </c>
      <c r="B143">
        <v>90</v>
      </c>
      <c r="C143" t="s">
        <v>561</v>
      </c>
    </row>
    <row r="144" spans="1:5" x14ac:dyDescent="0.35">
      <c r="A144" t="s">
        <v>562</v>
      </c>
      <c r="B144">
        <f>'1.3 Quality and loading rate'!C8-'4.6.1 Aerobic stage'!B77</f>
        <v>37</v>
      </c>
      <c r="C144" t="s">
        <v>444</v>
      </c>
    </row>
    <row r="145" spans="1:5" x14ac:dyDescent="0.35">
      <c r="A145" t="s">
        <v>563</v>
      </c>
      <c r="B145">
        <f>7.14*B144</f>
        <v>264.18</v>
      </c>
      <c r="C145" t="s">
        <v>444</v>
      </c>
      <c r="E145" t="s">
        <v>564</v>
      </c>
    </row>
    <row r="146" spans="1:5" x14ac:dyDescent="0.35">
      <c r="A146" t="s">
        <v>565</v>
      </c>
    </row>
    <row r="147" spans="1:5" x14ac:dyDescent="0.35">
      <c r="A147" t="s">
        <v>566</v>
      </c>
    </row>
    <row r="148" spans="1:5" x14ac:dyDescent="0.35">
      <c r="A148" s="1" t="s">
        <v>567</v>
      </c>
      <c r="B148" s="1">
        <f>80-B143+B145</f>
        <v>254.18</v>
      </c>
      <c r="C148" s="1" t="s">
        <v>444</v>
      </c>
    </row>
  </sheetData>
  <mergeCells count="5">
    <mergeCell ref="A8:A9"/>
    <mergeCell ref="B8:B9"/>
    <mergeCell ref="C8:C9"/>
    <mergeCell ref="D8:D9"/>
    <mergeCell ref="E8:E9"/>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C2EF3-CDF5-4510-BB5A-78F43B738772}">
  <dimension ref="A1:F70"/>
  <sheetViews>
    <sheetView topLeftCell="A49" zoomScale="90" zoomScaleNormal="90" workbookViewId="0">
      <selection activeCell="F45" sqref="F45"/>
    </sheetView>
  </sheetViews>
  <sheetFormatPr defaultRowHeight="14.5" x14ac:dyDescent="0.35"/>
  <cols>
    <col min="1" max="1" width="32.1796875" customWidth="1"/>
    <col min="2" max="2" width="14.90625" customWidth="1"/>
    <col min="3" max="3" width="11.1796875" customWidth="1"/>
  </cols>
  <sheetData>
    <row r="1" spans="1:2" x14ac:dyDescent="0.35">
      <c r="A1" s="1" t="s">
        <v>570</v>
      </c>
    </row>
    <row r="2" spans="1:2" x14ac:dyDescent="0.35">
      <c r="B2" t="s">
        <v>571</v>
      </c>
    </row>
    <row r="4" spans="1:2" x14ac:dyDescent="0.35">
      <c r="B4" t="s">
        <v>572</v>
      </c>
    </row>
    <row r="5" spans="1:2" x14ac:dyDescent="0.35">
      <c r="B5" t="s">
        <v>573</v>
      </c>
    </row>
    <row r="7" spans="1:2" x14ac:dyDescent="0.35">
      <c r="B7" t="s">
        <v>574</v>
      </c>
    </row>
    <row r="8" spans="1:2" x14ac:dyDescent="0.35">
      <c r="B8" t="s">
        <v>575</v>
      </c>
    </row>
    <row r="9" spans="1:2" x14ac:dyDescent="0.35">
      <c r="B9" t="s">
        <v>576</v>
      </c>
    </row>
    <row r="10" spans="1:2" x14ac:dyDescent="0.35">
      <c r="B10" t="s">
        <v>577</v>
      </c>
    </row>
    <row r="13" spans="1:2" ht="15" thickBot="1" x14ac:dyDescent="0.4">
      <c r="A13" s="1" t="s">
        <v>578</v>
      </c>
    </row>
    <row r="14" spans="1:2" x14ac:dyDescent="0.35">
      <c r="A14" s="3"/>
      <c r="B14" s="23" t="s">
        <v>10</v>
      </c>
    </row>
    <row r="15" spans="1:2" x14ac:dyDescent="0.35">
      <c r="A15" s="52" t="s">
        <v>579</v>
      </c>
      <c r="B15" s="10">
        <f>B27</f>
        <v>2.0534039239431348</v>
      </c>
    </row>
    <row r="16" spans="1:2" x14ac:dyDescent="0.35">
      <c r="A16" s="52" t="s">
        <v>580</v>
      </c>
      <c r="B16" s="10">
        <f>B32</f>
        <v>1923.6444720841746</v>
      </c>
    </row>
    <row r="17" spans="1:6" x14ac:dyDescent="0.35">
      <c r="A17" s="52" t="s">
        <v>581</v>
      </c>
      <c r="B17" s="5">
        <f>B36</f>
        <v>4687.5</v>
      </c>
    </row>
    <row r="18" spans="1:6" x14ac:dyDescent="0.35">
      <c r="A18" s="52" t="s">
        <v>582</v>
      </c>
      <c r="B18" s="10">
        <f>B43</f>
        <v>0.53549999999999998</v>
      </c>
    </row>
    <row r="19" spans="1:6" ht="15" thickBot="1" x14ac:dyDescent="0.4">
      <c r="A19" s="53" t="s">
        <v>583</v>
      </c>
      <c r="B19" s="7">
        <f>B68</f>
        <v>2100000.0000000005</v>
      </c>
    </row>
    <row r="21" spans="1:6" x14ac:dyDescent="0.35">
      <c r="A21" s="1" t="s">
        <v>584</v>
      </c>
    </row>
    <row r="22" spans="1:6" x14ac:dyDescent="0.35">
      <c r="A22" t="s">
        <v>22</v>
      </c>
      <c r="B22">
        <f>'1.2 Wastewater flowrate'!B5/2</f>
        <v>45000</v>
      </c>
      <c r="C22" t="s">
        <v>11</v>
      </c>
      <c r="F22" t="s">
        <v>198</v>
      </c>
    </row>
    <row r="23" spans="1:6" x14ac:dyDescent="0.35">
      <c r="B23">
        <f>B22/24</f>
        <v>1875</v>
      </c>
      <c r="C23" t="s">
        <v>15</v>
      </c>
    </row>
    <row r="24" spans="1:6" x14ac:dyDescent="0.35">
      <c r="A24" t="s">
        <v>585</v>
      </c>
      <c r="B24">
        <v>14</v>
      </c>
      <c r="C24" t="s">
        <v>337</v>
      </c>
      <c r="F24" t="s">
        <v>728</v>
      </c>
    </row>
    <row r="25" spans="1:6" x14ac:dyDescent="0.35">
      <c r="A25" t="s">
        <v>470</v>
      </c>
      <c r="B25" s="8">
        <f>'4.6.1 Aerobic stage'!J7</f>
        <v>56.747654935203883</v>
      </c>
      <c r="C25" t="s">
        <v>337</v>
      </c>
      <c r="F25" t="s">
        <v>586</v>
      </c>
    </row>
    <row r="26" spans="1:6" x14ac:dyDescent="0.35">
      <c r="A26" t="s">
        <v>143</v>
      </c>
      <c r="B26">
        <v>1</v>
      </c>
      <c r="F26" t="s">
        <v>729</v>
      </c>
    </row>
    <row r="27" spans="1:6" x14ac:dyDescent="0.35">
      <c r="A27" s="1" t="s">
        <v>587</v>
      </c>
      <c r="B27" s="18">
        <f>(B25/B24) - 1 - B26</f>
        <v>2.0534039239431348</v>
      </c>
    </row>
    <row r="29" spans="1:6" x14ac:dyDescent="0.35">
      <c r="A29" s="1" t="s">
        <v>588</v>
      </c>
    </row>
    <row r="30" spans="1:6" x14ac:dyDescent="0.35">
      <c r="A30" t="s">
        <v>589</v>
      </c>
      <c r="B30" s="8">
        <f>(B27*B22)+(B26*B22)</f>
        <v>137403.17657744105</v>
      </c>
      <c r="C30" t="s">
        <v>11</v>
      </c>
      <c r="F30" t="s">
        <v>612</v>
      </c>
    </row>
    <row r="31" spans="1:6" x14ac:dyDescent="0.35">
      <c r="A31" s="1" t="s">
        <v>590</v>
      </c>
      <c r="B31" s="18">
        <f>B30*B24</f>
        <v>1923644.4720841746</v>
      </c>
      <c r="C31" s="1" t="s">
        <v>591</v>
      </c>
    </row>
    <row r="32" spans="1:6" x14ac:dyDescent="0.35">
      <c r="B32" s="18">
        <f>B31*10^-3</f>
        <v>1923.6444720841746</v>
      </c>
      <c r="C32" s="1" t="s">
        <v>56</v>
      </c>
    </row>
    <row r="34" spans="1:6" x14ac:dyDescent="0.35">
      <c r="A34" s="1" t="s">
        <v>592</v>
      </c>
    </row>
    <row r="35" spans="1:6" x14ac:dyDescent="0.35">
      <c r="A35" t="s">
        <v>593</v>
      </c>
      <c r="B35">
        <v>2.5</v>
      </c>
      <c r="C35" t="s">
        <v>499</v>
      </c>
    </row>
    <row r="36" spans="1:6" x14ac:dyDescent="0.35">
      <c r="A36" s="1" t="s">
        <v>611</v>
      </c>
      <c r="B36" s="1">
        <f>B23*B35</f>
        <v>4687.5</v>
      </c>
      <c r="C36" s="1" t="s">
        <v>188</v>
      </c>
    </row>
    <row r="38" spans="1:6" x14ac:dyDescent="0.35">
      <c r="A38" s="1" t="s">
        <v>594</v>
      </c>
    </row>
    <row r="39" spans="1:6" x14ac:dyDescent="0.35">
      <c r="A39" t="s">
        <v>595</v>
      </c>
      <c r="B39">
        <f>'4.6.1 Aerobic stage'!B82</f>
        <v>4000</v>
      </c>
      <c r="C39" t="s">
        <v>337</v>
      </c>
      <c r="F39" t="s">
        <v>598</v>
      </c>
    </row>
    <row r="40" spans="1:6" x14ac:dyDescent="0.35">
      <c r="A40" t="s">
        <v>596</v>
      </c>
      <c r="B40">
        <f>0.8*B39</f>
        <v>3200</v>
      </c>
      <c r="C40" t="s">
        <v>337</v>
      </c>
      <c r="F40" t="s">
        <v>597</v>
      </c>
    </row>
    <row r="41" spans="1:6" x14ac:dyDescent="0.35">
      <c r="A41" t="s">
        <v>599</v>
      </c>
      <c r="B41" s="8">
        <f>'4.6.1 Aerobic stage'!B88</f>
        <v>13529.705145724351</v>
      </c>
      <c r="C41" t="s">
        <v>188</v>
      </c>
    </row>
    <row r="42" spans="1:6" x14ac:dyDescent="0.35">
      <c r="A42" t="s">
        <v>600</v>
      </c>
      <c r="B42">
        <f>'4.4 Primary Settling'!F6</f>
        <v>178.5</v>
      </c>
      <c r="C42" t="s">
        <v>337</v>
      </c>
      <c r="F42" t="s">
        <v>601</v>
      </c>
    </row>
    <row r="43" spans="1:6" x14ac:dyDescent="0.35">
      <c r="A43" s="1" t="s">
        <v>602</v>
      </c>
      <c r="B43" s="18">
        <f>(B22*B42)/(B36*B40)</f>
        <v>0.53549999999999998</v>
      </c>
      <c r="C43" s="1" t="s">
        <v>603</v>
      </c>
      <c r="F43" t="s">
        <v>605</v>
      </c>
    </row>
    <row r="45" spans="1:6" x14ac:dyDescent="0.35">
      <c r="A45" s="1" t="s">
        <v>604</v>
      </c>
    </row>
    <row r="46" spans="1:6" x14ac:dyDescent="0.35">
      <c r="A46" s="49" t="s">
        <v>622</v>
      </c>
      <c r="B46">
        <f>'4.6.1 Aerobic stage'!B69</f>
        <v>267.75</v>
      </c>
      <c r="C46" t="s">
        <v>337</v>
      </c>
    </row>
    <row r="47" spans="1:6" x14ac:dyDescent="0.35">
      <c r="A47" s="49" t="s">
        <v>623</v>
      </c>
      <c r="B47" s="8">
        <f>(B46-B42)/B46</f>
        <v>0.33333333333333331</v>
      </c>
    </row>
    <row r="49" spans="1:1" x14ac:dyDescent="0.35">
      <c r="A49" t="s">
        <v>606</v>
      </c>
    </row>
    <row r="67" spans="1:6" x14ac:dyDescent="0.35">
      <c r="A67" t="s">
        <v>607</v>
      </c>
      <c r="B67">
        <v>0.14000000000000001</v>
      </c>
      <c r="C67" t="s">
        <v>608</v>
      </c>
    </row>
    <row r="68" spans="1:6" x14ac:dyDescent="0.35">
      <c r="A68" s="1" t="s">
        <v>609</v>
      </c>
      <c r="B68" s="1">
        <f>B36*B67*B40</f>
        <v>2100000.0000000005</v>
      </c>
      <c r="C68" s="1" t="s">
        <v>591</v>
      </c>
      <c r="F68" t="s">
        <v>610</v>
      </c>
    </row>
    <row r="69" spans="1:6" x14ac:dyDescent="0.35">
      <c r="A69" t="s">
        <v>730</v>
      </c>
    </row>
    <row r="70" spans="1:6" x14ac:dyDescent="0.35">
      <c r="A70" t="s">
        <v>613</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03BB8-AA9E-4E7B-84F4-647BEEDA7088}">
  <dimension ref="A1:I56"/>
  <sheetViews>
    <sheetView zoomScale="70" zoomScaleNormal="70" workbookViewId="0">
      <selection activeCell="B23" sqref="B23"/>
    </sheetView>
  </sheetViews>
  <sheetFormatPr defaultRowHeight="14.5" x14ac:dyDescent="0.35"/>
  <cols>
    <col min="1" max="1" width="26.08984375" customWidth="1"/>
    <col min="2" max="2" width="18.08984375" customWidth="1"/>
    <col min="3" max="3" width="24.81640625" customWidth="1"/>
    <col min="8" max="8" width="36.6328125" customWidth="1"/>
    <col min="9" max="9" width="25.6328125" customWidth="1"/>
  </cols>
  <sheetData>
    <row r="1" spans="1:9" ht="15" thickBot="1" x14ac:dyDescent="0.4">
      <c r="A1" s="1" t="s">
        <v>614</v>
      </c>
      <c r="H1" s="1" t="s">
        <v>624</v>
      </c>
    </row>
    <row r="2" spans="1:9" x14ac:dyDescent="0.35">
      <c r="A2" s="3"/>
      <c r="B2" s="24" t="s">
        <v>10</v>
      </c>
      <c r="C2" s="23" t="s">
        <v>111</v>
      </c>
      <c r="H2" s="3"/>
      <c r="I2" s="23" t="s">
        <v>10</v>
      </c>
    </row>
    <row r="3" spans="1:9" x14ac:dyDescent="0.35">
      <c r="A3" s="52" t="s">
        <v>615</v>
      </c>
      <c r="B3" s="2">
        <v>4</v>
      </c>
      <c r="C3" s="5" t="s">
        <v>707</v>
      </c>
      <c r="H3" s="56" t="s">
        <v>276</v>
      </c>
      <c r="I3" s="5">
        <f>B36</f>
        <v>1320</v>
      </c>
    </row>
    <row r="4" spans="1:9" x14ac:dyDescent="0.35">
      <c r="A4" s="52" t="s">
        <v>121</v>
      </c>
      <c r="B4" s="42" t="s">
        <v>618</v>
      </c>
      <c r="C4" s="5"/>
      <c r="H4" s="56" t="s">
        <v>208</v>
      </c>
      <c r="I4" s="5">
        <f>B37</f>
        <v>5280</v>
      </c>
    </row>
    <row r="5" spans="1:9" x14ac:dyDescent="0.35">
      <c r="A5" s="52" t="s">
        <v>120</v>
      </c>
      <c r="B5" s="2">
        <f>B35</f>
        <v>24</v>
      </c>
      <c r="C5" s="5" t="s">
        <v>708</v>
      </c>
      <c r="H5" s="56" t="s">
        <v>632</v>
      </c>
      <c r="I5" s="10">
        <f>B46</f>
        <v>9.4696969696969688</v>
      </c>
    </row>
    <row r="6" spans="1:9" x14ac:dyDescent="0.35">
      <c r="A6" s="52" t="s">
        <v>119</v>
      </c>
      <c r="B6" s="2">
        <f>B34</f>
        <v>55</v>
      </c>
      <c r="C6" s="5" t="s">
        <v>709</v>
      </c>
      <c r="H6" s="56" t="s">
        <v>625</v>
      </c>
      <c r="I6" s="10">
        <f>B40</f>
        <v>17.045454545454547</v>
      </c>
    </row>
    <row r="7" spans="1:9" x14ac:dyDescent="0.35">
      <c r="A7" s="52" t="s">
        <v>616</v>
      </c>
      <c r="B7" s="2">
        <v>4</v>
      </c>
      <c r="C7" s="5"/>
      <c r="H7" s="56" t="s">
        <v>633</v>
      </c>
      <c r="I7" s="10">
        <f>B45</f>
        <v>3.1565656565656561</v>
      </c>
    </row>
    <row r="8" spans="1:9" ht="15" thickBot="1" x14ac:dyDescent="0.4">
      <c r="A8" s="53" t="s">
        <v>617</v>
      </c>
      <c r="B8" s="35" t="s">
        <v>619</v>
      </c>
      <c r="C8" s="7" t="s">
        <v>620</v>
      </c>
      <c r="H8" s="56" t="s">
        <v>626</v>
      </c>
      <c r="I8" s="10">
        <f>B39</f>
        <v>5.6818181818181825</v>
      </c>
    </row>
    <row r="9" spans="1:9" x14ac:dyDescent="0.35">
      <c r="H9" s="56" t="s">
        <v>631</v>
      </c>
      <c r="I9" s="10">
        <f>B48</f>
        <v>10.137599999999999</v>
      </c>
    </row>
    <row r="10" spans="1:9" x14ac:dyDescent="0.35">
      <c r="H10" s="56" t="s">
        <v>627</v>
      </c>
      <c r="I10" s="10">
        <f>B42</f>
        <v>5.6319999999999997</v>
      </c>
    </row>
    <row r="11" spans="1:9" x14ac:dyDescent="0.35">
      <c r="H11" s="56" t="s">
        <v>628</v>
      </c>
      <c r="I11" s="5">
        <f>B51</f>
        <v>234.375</v>
      </c>
    </row>
    <row r="12" spans="1:9" ht="15" thickBot="1" x14ac:dyDescent="0.4">
      <c r="H12" s="53" t="s">
        <v>629</v>
      </c>
      <c r="I12" s="7">
        <f>B50</f>
        <v>96</v>
      </c>
    </row>
    <row r="16" spans="1:9" x14ac:dyDescent="0.35">
      <c r="A16" s="54" t="s">
        <v>621</v>
      </c>
    </row>
    <row r="17" spans="1:4" x14ac:dyDescent="0.35">
      <c r="A17" s="55" t="s">
        <v>22</v>
      </c>
      <c r="B17">
        <f>'1.2 Wastewater flowrate'!B5/2</f>
        <v>45000</v>
      </c>
      <c r="C17" t="s">
        <v>11</v>
      </c>
    </row>
    <row r="18" spans="1:4" x14ac:dyDescent="0.35">
      <c r="A18" t="s">
        <v>54</v>
      </c>
      <c r="B18">
        <f>B17/24</f>
        <v>1875</v>
      </c>
      <c r="C18" t="s">
        <v>15</v>
      </c>
    </row>
    <row r="19" spans="1:4" x14ac:dyDescent="0.35">
      <c r="A19" t="s">
        <v>630</v>
      </c>
      <c r="B19">
        <f>'1.2 Wastewater flowrate'!B3/2</f>
        <v>25000</v>
      </c>
      <c r="C19" t="s">
        <v>11</v>
      </c>
    </row>
    <row r="20" spans="1:4" x14ac:dyDescent="0.35">
      <c r="A20" t="s">
        <v>634</v>
      </c>
      <c r="B20" s="8">
        <f>'1.2 Wastewater flowrate'!B4/2</f>
        <v>1041.6666666666667</v>
      </c>
      <c r="C20" t="s">
        <v>15</v>
      </c>
    </row>
    <row r="22" spans="1:4" x14ac:dyDescent="0.35">
      <c r="A22" t="s">
        <v>595</v>
      </c>
      <c r="B22">
        <v>4000</v>
      </c>
      <c r="C22" t="s">
        <v>337</v>
      </c>
      <c r="D22" t="s">
        <v>676</v>
      </c>
    </row>
    <row r="23" spans="1:4" x14ac:dyDescent="0.35">
      <c r="A23" t="s">
        <v>143</v>
      </c>
      <c r="B23">
        <f>'4.6.2 Anoxic stage'!B26</f>
        <v>1</v>
      </c>
      <c r="D23" t="s">
        <v>677</v>
      </c>
    </row>
    <row r="25" spans="1:4" x14ac:dyDescent="0.35">
      <c r="A25" t="s">
        <v>678</v>
      </c>
    </row>
    <row r="26" spans="1:4" x14ac:dyDescent="0.35">
      <c r="A26" t="s">
        <v>679</v>
      </c>
      <c r="B26">
        <f>B17/2</f>
        <v>22500</v>
      </c>
      <c r="C26" t="s">
        <v>11</v>
      </c>
    </row>
    <row r="27" spans="1:4" x14ac:dyDescent="0.35">
      <c r="A27" t="s">
        <v>680</v>
      </c>
      <c r="B27">
        <f>B26/24</f>
        <v>937.5</v>
      </c>
      <c r="C27" t="s">
        <v>15</v>
      </c>
    </row>
    <row r="29" spans="1:4" x14ac:dyDescent="0.35">
      <c r="A29" t="s">
        <v>682</v>
      </c>
      <c r="B29">
        <f>B19/2</f>
        <v>12500</v>
      </c>
      <c r="C29" t="s">
        <v>11</v>
      </c>
    </row>
    <row r="30" spans="1:4" x14ac:dyDescent="0.35">
      <c r="A30" t="s">
        <v>683</v>
      </c>
      <c r="B30" s="8">
        <f>B29/24</f>
        <v>520.83333333333337</v>
      </c>
      <c r="C30" t="s">
        <v>15</v>
      </c>
    </row>
    <row r="32" spans="1:4" x14ac:dyDescent="0.35">
      <c r="A32" t="s">
        <v>684</v>
      </c>
    </row>
    <row r="33" spans="1:4" x14ac:dyDescent="0.35">
      <c r="A33" t="s">
        <v>685</v>
      </c>
      <c r="B33">
        <v>4</v>
      </c>
      <c r="C33" t="s">
        <v>686</v>
      </c>
      <c r="D33" t="s">
        <v>689</v>
      </c>
    </row>
    <row r="34" spans="1:4" x14ac:dyDescent="0.35">
      <c r="A34" t="s">
        <v>228</v>
      </c>
      <c r="B34">
        <v>55</v>
      </c>
      <c r="C34" t="s">
        <v>686</v>
      </c>
      <c r="D34" t="s">
        <v>690</v>
      </c>
    </row>
    <row r="35" spans="1:4" x14ac:dyDescent="0.35">
      <c r="A35" t="s">
        <v>687</v>
      </c>
      <c r="B35">
        <v>24</v>
      </c>
      <c r="C35" t="s">
        <v>686</v>
      </c>
      <c r="D35" t="s">
        <v>688</v>
      </c>
    </row>
    <row r="36" spans="1:4" x14ac:dyDescent="0.35">
      <c r="A36" s="1" t="s">
        <v>691</v>
      </c>
      <c r="B36" s="1">
        <f>B34*B35</f>
        <v>1320</v>
      </c>
      <c r="C36" s="1" t="s">
        <v>142</v>
      </c>
    </row>
    <row r="37" spans="1:4" x14ac:dyDescent="0.35">
      <c r="A37" s="1" t="s">
        <v>692</v>
      </c>
      <c r="B37" s="1">
        <f>B33*B34*B35</f>
        <v>5280</v>
      </c>
      <c r="C37" s="1" t="s">
        <v>188</v>
      </c>
    </row>
    <row r="38" spans="1:4" x14ac:dyDescent="0.35">
      <c r="A38" s="1" t="s">
        <v>681</v>
      </c>
      <c r="B38" s="8">
        <f>(B26+B23*B26)*(B22*10^-3)/B36</f>
        <v>136.36363636363637</v>
      </c>
      <c r="C38" t="s">
        <v>693</v>
      </c>
      <c r="D38" t="s">
        <v>696</v>
      </c>
    </row>
    <row r="39" spans="1:4" x14ac:dyDescent="0.35">
      <c r="B39" s="18">
        <f>B38/24</f>
        <v>5.6818181818181825</v>
      </c>
      <c r="C39" s="1" t="s">
        <v>694</v>
      </c>
    </row>
    <row r="40" spans="1:4" x14ac:dyDescent="0.35">
      <c r="A40" s="1" t="s">
        <v>695</v>
      </c>
      <c r="B40" s="18">
        <f>B38/((B22*10^-3)*(1+B23))</f>
        <v>17.045454545454547</v>
      </c>
      <c r="C40" s="1" t="s">
        <v>284</v>
      </c>
      <c r="D40" t="s">
        <v>701</v>
      </c>
    </row>
    <row r="41" spans="1:4" x14ac:dyDescent="0.35">
      <c r="A41" s="1" t="s">
        <v>697</v>
      </c>
      <c r="B41" s="8">
        <f>B37/B26</f>
        <v>0.23466666666666666</v>
      </c>
      <c r="C41" t="s">
        <v>498</v>
      </c>
    </row>
    <row r="42" spans="1:4" x14ac:dyDescent="0.35">
      <c r="B42" s="18">
        <f>B41*24</f>
        <v>5.6319999999999997</v>
      </c>
      <c r="C42" s="1" t="s">
        <v>499</v>
      </c>
    </row>
    <row r="44" spans="1:4" x14ac:dyDescent="0.35">
      <c r="A44" s="1" t="s">
        <v>698</v>
      </c>
      <c r="B44" s="8">
        <f>(B29+1*B29)*(B22*10^-3)/B36</f>
        <v>75.757575757575751</v>
      </c>
      <c r="C44" t="s">
        <v>693</v>
      </c>
      <c r="D44" t="s">
        <v>703</v>
      </c>
    </row>
    <row r="45" spans="1:4" x14ac:dyDescent="0.35">
      <c r="B45" s="18">
        <f>B44/24</f>
        <v>3.1565656565656561</v>
      </c>
      <c r="C45" s="1" t="s">
        <v>694</v>
      </c>
    </row>
    <row r="46" spans="1:4" x14ac:dyDescent="0.35">
      <c r="A46" s="1" t="s">
        <v>699</v>
      </c>
      <c r="B46" s="18">
        <f>B44/((B22*10^-3)*(1+B23))</f>
        <v>9.4696969696969688</v>
      </c>
      <c r="C46" s="1" t="s">
        <v>693</v>
      </c>
      <c r="D46" t="s">
        <v>700</v>
      </c>
    </row>
    <row r="47" spans="1:4" x14ac:dyDescent="0.35">
      <c r="A47" s="1" t="s">
        <v>702</v>
      </c>
      <c r="B47" s="8">
        <f>B37/B29</f>
        <v>0.4224</v>
      </c>
      <c r="C47" t="s">
        <v>498</v>
      </c>
    </row>
    <row r="48" spans="1:4" x14ac:dyDescent="0.35">
      <c r="B48" s="18">
        <f>B47*24</f>
        <v>10.137599999999999</v>
      </c>
      <c r="C48" s="1" t="s">
        <v>499</v>
      </c>
    </row>
    <row r="50" spans="1:4" x14ac:dyDescent="0.35">
      <c r="A50" s="1" t="s">
        <v>704</v>
      </c>
      <c r="B50" s="1">
        <f>2*2*B35</f>
        <v>96</v>
      </c>
      <c r="C50" s="1" t="s">
        <v>83</v>
      </c>
      <c r="D50" t="s">
        <v>705</v>
      </c>
    </row>
    <row r="51" spans="1:4" x14ac:dyDescent="0.35">
      <c r="A51" s="1" t="s">
        <v>302</v>
      </c>
      <c r="B51" s="1">
        <f>B26/B50</f>
        <v>234.375</v>
      </c>
      <c r="C51" s="1" t="s">
        <v>706</v>
      </c>
      <c r="D51" t="s">
        <v>726</v>
      </c>
    </row>
    <row r="53" spans="1:4" x14ac:dyDescent="0.35">
      <c r="A53" t="s">
        <v>727</v>
      </c>
    </row>
    <row r="54" spans="1:4" x14ac:dyDescent="0.35">
      <c r="A54" t="s">
        <v>710</v>
      </c>
    </row>
    <row r="55" spans="1:4" x14ac:dyDescent="0.35">
      <c r="A55" t="s">
        <v>711</v>
      </c>
    </row>
    <row r="56" spans="1:4" x14ac:dyDescent="0.35">
      <c r="A56" t="s">
        <v>712</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825A1-E3B1-446D-ABF8-13E77B321729}">
  <dimension ref="A1:E45"/>
  <sheetViews>
    <sheetView topLeftCell="A21" zoomScale="80" zoomScaleNormal="80" workbookViewId="0">
      <selection activeCell="B38" sqref="B38"/>
    </sheetView>
  </sheetViews>
  <sheetFormatPr defaultRowHeight="14.5" x14ac:dyDescent="0.35"/>
  <cols>
    <col min="1" max="1" width="47.7265625" customWidth="1"/>
    <col min="2" max="2" width="17.54296875" customWidth="1"/>
  </cols>
  <sheetData>
    <row r="1" spans="1:2" ht="15" thickBot="1" x14ac:dyDescent="0.4">
      <c r="A1" s="1" t="s">
        <v>635</v>
      </c>
    </row>
    <row r="2" spans="1:2" x14ac:dyDescent="0.35">
      <c r="A2" s="3"/>
      <c r="B2" s="23" t="s">
        <v>10</v>
      </c>
    </row>
    <row r="3" spans="1:2" x14ac:dyDescent="0.35">
      <c r="A3" s="56" t="s">
        <v>636</v>
      </c>
      <c r="B3" s="5">
        <f>B31</f>
        <v>6.580000000000001</v>
      </c>
    </row>
    <row r="4" spans="1:2" x14ac:dyDescent="0.35">
      <c r="A4" s="56" t="s">
        <v>637</v>
      </c>
      <c r="B4" s="5">
        <f>B33</f>
        <v>0.3</v>
      </c>
    </row>
    <row r="5" spans="1:2" x14ac:dyDescent="0.35">
      <c r="A5" s="56" t="s">
        <v>638</v>
      </c>
      <c r="B5" s="10">
        <f>B40</f>
        <v>72.349557693549443</v>
      </c>
    </row>
    <row r="6" spans="1:2" x14ac:dyDescent="0.35">
      <c r="A6" s="56" t="s">
        <v>639</v>
      </c>
      <c r="B6" s="10">
        <f>B41</f>
        <v>3255.7300962097252</v>
      </c>
    </row>
    <row r="7" spans="1:2" ht="15" thickBot="1" x14ac:dyDescent="0.4">
      <c r="A7" s="53" t="s">
        <v>640</v>
      </c>
      <c r="B7" s="40">
        <f>B45</f>
        <v>6517.9781705900405</v>
      </c>
    </row>
    <row r="29" spans="1:5" x14ac:dyDescent="0.35">
      <c r="A29" t="s">
        <v>641</v>
      </c>
    </row>
    <row r="31" spans="1:5" x14ac:dyDescent="0.35">
      <c r="A31" s="1" t="s">
        <v>642</v>
      </c>
      <c r="B31" s="1">
        <f>'4.4 Primary Settling'!F7</f>
        <v>6.580000000000001</v>
      </c>
      <c r="C31" s="1" t="s">
        <v>337</v>
      </c>
      <c r="E31" t="s">
        <v>713</v>
      </c>
    </row>
    <row r="32" spans="1:5" x14ac:dyDescent="0.35">
      <c r="A32" t="s">
        <v>643</v>
      </c>
      <c r="B32">
        <v>2.2000000000000002</v>
      </c>
    </row>
    <row r="33" spans="1:5" x14ac:dyDescent="0.35">
      <c r="A33" s="1" t="s">
        <v>644</v>
      </c>
      <c r="B33" s="1">
        <v>0.3</v>
      </c>
      <c r="C33" s="1" t="s">
        <v>337</v>
      </c>
    </row>
    <row r="34" spans="1:5" x14ac:dyDescent="0.35">
      <c r="A34" t="s">
        <v>645</v>
      </c>
      <c r="B34">
        <v>55.844999999999999</v>
      </c>
      <c r="C34" t="s">
        <v>331</v>
      </c>
    </row>
    <row r="35" spans="1:5" x14ac:dyDescent="0.35">
      <c r="A35" t="s">
        <v>646</v>
      </c>
      <c r="B35">
        <v>30.974</v>
      </c>
      <c r="C35" t="s">
        <v>331</v>
      </c>
    </row>
    <row r="36" spans="1:5" x14ac:dyDescent="0.35">
      <c r="A36" t="s">
        <v>647</v>
      </c>
      <c r="B36" s="8">
        <f>B32*(B31-B33)*(B34/B35)</f>
        <v>24.909747530186614</v>
      </c>
      <c r="C36" t="s">
        <v>337</v>
      </c>
      <c r="E36" t="s">
        <v>648</v>
      </c>
    </row>
    <row r="37" spans="1:5" x14ac:dyDescent="0.35">
      <c r="A37" t="s">
        <v>649</v>
      </c>
      <c r="B37">
        <v>162.19999999999999</v>
      </c>
      <c r="C37" t="s">
        <v>331</v>
      </c>
    </row>
    <row r="38" spans="1:5" x14ac:dyDescent="0.35">
      <c r="A38" t="s">
        <v>22</v>
      </c>
      <c r="B38">
        <f>'1.2 Wastewater flowrate'!B5/2</f>
        <v>45000</v>
      </c>
      <c r="C38" t="s">
        <v>11</v>
      </c>
    </row>
    <row r="39" spans="1:5" x14ac:dyDescent="0.35">
      <c r="A39" t="s">
        <v>54</v>
      </c>
      <c r="B39">
        <f>B38/24</f>
        <v>1875</v>
      </c>
      <c r="C39" t="s">
        <v>15</v>
      </c>
    </row>
    <row r="40" spans="1:5" x14ac:dyDescent="0.35">
      <c r="A40" s="1" t="s">
        <v>650</v>
      </c>
      <c r="B40" s="18">
        <f>(B36/B34)*B37</f>
        <v>72.349557693549443</v>
      </c>
      <c r="C40" s="1" t="s">
        <v>337</v>
      </c>
    </row>
    <row r="41" spans="1:5" x14ac:dyDescent="0.35">
      <c r="A41" s="1" t="s">
        <v>651</v>
      </c>
      <c r="B41" s="18">
        <f>B40*B38*10^-3</f>
        <v>3255.7300962097252</v>
      </c>
      <c r="C41" s="1" t="s">
        <v>56</v>
      </c>
    </row>
    <row r="42" spans="1:5" x14ac:dyDescent="0.35">
      <c r="A42" t="s">
        <v>652</v>
      </c>
      <c r="B42">
        <v>1.35</v>
      </c>
      <c r="C42" t="s">
        <v>653</v>
      </c>
    </row>
    <row r="43" spans="1:5" x14ac:dyDescent="0.35">
      <c r="A43" t="s">
        <v>657</v>
      </c>
      <c r="B43" s="8">
        <f>B40/0.37</f>
        <v>195.5393451177012</v>
      </c>
      <c r="C43" t="s">
        <v>337</v>
      </c>
      <c r="E43" t="s">
        <v>656</v>
      </c>
    </row>
    <row r="44" spans="1:5" x14ac:dyDescent="0.35">
      <c r="A44" t="s">
        <v>655</v>
      </c>
      <c r="B44" s="8">
        <f>(B43/B42)*10^-3</f>
        <v>0.14484395934644534</v>
      </c>
      <c r="C44" t="s">
        <v>658</v>
      </c>
    </row>
    <row r="45" spans="1:5" x14ac:dyDescent="0.35">
      <c r="A45" s="1" t="s">
        <v>654</v>
      </c>
      <c r="B45" s="18">
        <f>B44*B38</f>
        <v>6517.9781705900405</v>
      </c>
      <c r="C45" s="1" t="s">
        <v>659</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6623E-AEF0-4919-BFEB-7935F912987A}">
  <dimension ref="A1"/>
  <sheetViews>
    <sheetView topLeftCell="A16" workbookViewId="0">
      <selection activeCell="C33" sqref="C33"/>
    </sheetView>
  </sheetViews>
  <sheetFormatPr defaultRowHeight="14.5" x14ac:dyDescent="0.35"/>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62A0E-6FD5-40BF-AC44-BC53A266EDA4}">
  <dimension ref="A1:E29"/>
  <sheetViews>
    <sheetView zoomScale="90" zoomScaleNormal="90" workbookViewId="0">
      <selection activeCell="B5" sqref="B5"/>
    </sheetView>
  </sheetViews>
  <sheetFormatPr defaultRowHeight="14.5" x14ac:dyDescent="0.35"/>
  <cols>
    <col min="1" max="1" width="28.7265625" customWidth="1"/>
    <col min="2" max="2" width="19.81640625" customWidth="1"/>
  </cols>
  <sheetData>
    <row r="1" spans="1:5" ht="15" thickBot="1" x14ac:dyDescent="0.4">
      <c r="A1" s="1" t="s">
        <v>660</v>
      </c>
    </row>
    <row r="2" spans="1:5" x14ac:dyDescent="0.35">
      <c r="A2" s="3"/>
      <c r="B2" s="23" t="s">
        <v>10</v>
      </c>
    </row>
    <row r="3" spans="1:5" x14ac:dyDescent="0.35">
      <c r="A3" s="56" t="s">
        <v>661</v>
      </c>
      <c r="B3" s="5">
        <v>0.3</v>
      </c>
    </row>
    <row r="4" spans="1:5" x14ac:dyDescent="0.35">
      <c r="A4" s="56" t="s">
        <v>662</v>
      </c>
      <c r="B4" s="5">
        <v>0.4</v>
      </c>
    </row>
    <row r="5" spans="1:5" x14ac:dyDescent="0.35">
      <c r="A5" s="56" t="s">
        <v>663</v>
      </c>
      <c r="B5" s="5">
        <f>'4.4 Primary Settling'!F7</f>
        <v>6.580000000000001</v>
      </c>
    </row>
    <row r="6" spans="1:5" x14ac:dyDescent="0.35">
      <c r="A6" s="56" t="s">
        <v>664</v>
      </c>
      <c r="B6" s="5">
        <f>B14</f>
        <v>45000</v>
      </c>
    </row>
    <row r="7" spans="1:5" x14ac:dyDescent="0.35">
      <c r="A7" s="56" t="s">
        <v>665</v>
      </c>
      <c r="B7" s="5">
        <f>B15</f>
        <v>16425000</v>
      </c>
    </row>
    <row r="8" spans="1:5" x14ac:dyDescent="0.35">
      <c r="A8" s="56" t="s">
        <v>666</v>
      </c>
      <c r="B8" s="5">
        <f>B27</f>
        <v>261544.59</v>
      </c>
    </row>
    <row r="9" spans="1:5" x14ac:dyDescent="0.35">
      <c r="A9" s="56" t="s">
        <v>667</v>
      </c>
      <c r="B9" s="5">
        <f>B28</f>
        <v>16163455.41</v>
      </c>
    </row>
    <row r="10" spans="1:5" ht="15" thickBot="1" x14ac:dyDescent="0.4">
      <c r="A10" s="53" t="s">
        <v>668</v>
      </c>
      <c r="B10" s="40">
        <f>B29</f>
        <v>1.5923567123287672</v>
      </c>
    </row>
    <row r="14" spans="1:5" x14ac:dyDescent="0.35">
      <c r="A14" s="1" t="s">
        <v>22</v>
      </c>
      <c r="B14" s="1">
        <f>'1.2 Wastewater flowrate'!B5/2</f>
        <v>45000</v>
      </c>
      <c r="C14" s="1" t="s">
        <v>11</v>
      </c>
      <c r="E14" t="s">
        <v>674</v>
      </c>
    </row>
    <row r="15" spans="1:5" x14ac:dyDescent="0.35">
      <c r="A15" s="1" t="s">
        <v>669</v>
      </c>
      <c r="B15" s="1">
        <f>B14*365</f>
        <v>16425000</v>
      </c>
      <c r="C15" s="1" t="s">
        <v>670</v>
      </c>
      <c r="E15" t="s">
        <v>675</v>
      </c>
    </row>
    <row r="17" spans="1:3" x14ac:dyDescent="0.35">
      <c r="A17" t="s">
        <v>671</v>
      </c>
    </row>
    <row r="18" spans="1:3" x14ac:dyDescent="0.35">
      <c r="A18" t="s">
        <v>672</v>
      </c>
    </row>
    <row r="27" spans="1:3" x14ac:dyDescent="0.35">
      <c r="A27" s="1" t="s">
        <v>666</v>
      </c>
      <c r="B27" s="1">
        <v>261544.59</v>
      </c>
      <c r="C27" s="1" t="s">
        <v>670</v>
      </c>
    </row>
    <row r="28" spans="1:3" x14ac:dyDescent="0.35">
      <c r="A28" s="1" t="s">
        <v>673</v>
      </c>
      <c r="B28" s="1">
        <f>B15-B27</f>
        <v>16163455.41</v>
      </c>
      <c r="C28" s="1" t="s">
        <v>670</v>
      </c>
    </row>
    <row r="29" spans="1:3" x14ac:dyDescent="0.35">
      <c r="A29" s="1" t="s">
        <v>668</v>
      </c>
      <c r="B29" s="18">
        <f>(B27/B15)*100</f>
        <v>1.5923567123287672</v>
      </c>
      <c r="C29" s="1" t="s">
        <v>101</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05662-E380-4D50-83D1-4F65DF5E039B}">
  <dimension ref="A1"/>
  <sheetViews>
    <sheetView topLeftCell="A4" zoomScale="85" zoomScaleNormal="85" workbookViewId="0">
      <selection activeCell="E28" sqref="E28"/>
    </sheetView>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BB90D-120A-4EA3-B45C-E75348CB0D21}">
  <dimension ref="A1:E29"/>
  <sheetViews>
    <sheetView zoomScale="70" zoomScaleNormal="70" workbookViewId="0">
      <selection activeCell="B28" sqref="B28"/>
    </sheetView>
  </sheetViews>
  <sheetFormatPr defaultRowHeight="14.5" x14ac:dyDescent="0.35"/>
  <cols>
    <col min="1" max="1" width="34.1796875" customWidth="1"/>
    <col min="2" max="2" width="28.6328125" customWidth="1"/>
    <col min="6" max="6" width="24.453125" customWidth="1"/>
  </cols>
  <sheetData>
    <row r="1" spans="1:5" ht="15" thickBot="1" x14ac:dyDescent="0.4">
      <c r="A1" s="1" t="s">
        <v>0</v>
      </c>
    </row>
    <row r="2" spans="1:5" x14ac:dyDescent="0.35">
      <c r="A2" s="3"/>
      <c r="B2" s="23" t="s">
        <v>10</v>
      </c>
    </row>
    <row r="3" spans="1:5" x14ac:dyDescent="0.35">
      <c r="A3" s="56" t="s">
        <v>1</v>
      </c>
      <c r="B3" s="5">
        <f>B15</f>
        <v>50000</v>
      </c>
    </row>
    <row r="4" spans="1:5" x14ac:dyDescent="0.35">
      <c r="A4" s="56" t="s">
        <v>9</v>
      </c>
      <c r="B4" s="10">
        <f>B16</f>
        <v>2083.3333333333335</v>
      </c>
    </row>
    <row r="5" spans="1:5" x14ac:dyDescent="0.35">
      <c r="A5" s="60" t="s">
        <v>2</v>
      </c>
      <c r="B5" s="12">
        <f>B28</f>
        <v>90000</v>
      </c>
    </row>
    <row r="6" spans="1:5" x14ac:dyDescent="0.35">
      <c r="A6" s="60" t="s">
        <v>3</v>
      </c>
      <c r="B6" s="12">
        <f>B29</f>
        <v>3750</v>
      </c>
    </row>
    <row r="7" spans="1:5" x14ac:dyDescent="0.35">
      <c r="A7" s="56" t="s">
        <v>4</v>
      </c>
      <c r="B7" s="11">
        <f>B24</f>
        <v>6041.666666666667</v>
      </c>
    </row>
    <row r="8" spans="1:5" x14ac:dyDescent="0.35">
      <c r="A8" s="56" t="s">
        <v>5</v>
      </c>
      <c r="B8" s="5">
        <f>B26</f>
        <v>625</v>
      </c>
    </row>
    <row r="9" spans="1:5" x14ac:dyDescent="0.35">
      <c r="A9" s="56" t="s">
        <v>6</v>
      </c>
      <c r="B9" s="5">
        <f>B22</f>
        <v>1.8</v>
      </c>
    </row>
    <row r="10" spans="1:5" x14ac:dyDescent="0.35">
      <c r="A10" s="56" t="s">
        <v>7</v>
      </c>
      <c r="B10" s="5">
        <f>B20</f>
        <v>2.9</v>
      </c>
    </row>
    <row r="11" spans="1:5" ht="15" thickBot="1" x14ac:dyDescent="0.4">
      <c r="A11" s="53" t="s">
        <v>8</v>
      </c>
      <c r="B11" s="7">
        <f>B21</f>
        <v>0.3</v>
      </c>
    </row>
    <row r="15" spans="1:5" x14ac:dyDescent="0.35">
      <c r="A15" t="s">
        <v>13</v>
      </c>
      <c r="B15">
        <f>50000</f>
        <v>50000</v>
      </c>
      <c r="C15" t="s">
        <v>11</v>
      </c>
      <c r="E15" t="s">
        <v>12</v>
      </c>
    </row>
    <row r="16" spans="1:5" x14ac:dyDescent="0.35">
      <c r="A16" t="s">
        <v>14</v>
      </c>
      <c r="B16" s="8">
        <f>B15/24</f>
        <v>2083.3333333333335</v>
      </c>
      <c r="C16" t="s">
        <v>15</v>
      </c>
    </row>
    <row r="18" spans="1:5" x14ac:dyDescent="0.35">
      <c r="A18" t="s">
        <v>16</v>
      </c>
    </row>
    <row r="20" spans="1:5" x14ac:dyDescent="0.35">
      <c r="A20" t="s">
        <v>17</v>
      </c>
      <c r="B20">
        <v>2.9</v>
      </c>
      <c r="E20" t="s">
        <v>23</v>
      </c>
    </row>
    <row r="21" spans="1:5" x14ac:dyDescent="0.35">
      <c r="A21" t="s">
        <v>18</v>
      </c>
      <c r="B21">
        <v>0.3</v>
      </c>
      <c r="E21" t="s">
        <v>24</v>
      </c>
    </row>
    <row r="22" spans="1:5" x14ac:dyDescent="0.35">
      <c r="A22" t="s">
        <v>21</v>
      </c>
      <c r="B22">
        <v>1.8</v>
      </c>
      <c r="E22" t="s">
        <v>25</v>
      </c>
    </row>
    <row r="24" spans="1:5" x14ac:dyDescent="0.35">
      <c r="A24" t="s">
        <v>19</v>
      </c>
      <c r="B24" s="9">
        <f>B20*B16</f>
        <v>6041.666666666667</v>
      </c>
      <c r="C24" t="s">
        <v>15</v>
      </c>
    </row>
    <row r="26" spans="1:5" x14ac:dyDescent="0.35">
      <c r="A26" t="s">
        <v>27</v>
      </c>
      <c r="B26">
        <f>B21*B16</f>
        <v>625</v>
      </c>
      <c r="C26" t="s">
        <v>15</v>
      </c>
    </row>
    <row r="28" spans="1:5" x14ac:dyDescent="0.35">
      <c r="A28" s="1" t="s">
        <v>20</v>
      </c>
      <c r="B28" s="1">
        <f>B22*B15</f>
        <v>90000</v>
      </c>
      <c r="C28" s="1" t="s">
        <v>11</v>
      </c>
      <c r="E28" t="s">
        <v>28</v>
      </c>
    </row>
    <row r="29" spans="1:5" x14ac:dyDescent="0.35">
      <c r="A29" s="1" t="s">
        <v>26</v>
      </c>
      <c r="B29" s="1">
        <f>B28/24</f>
        <v>3750</v>
      </c>
      <c r="C29" s="1" t="s">
        <v>15</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D7D0A-9C28-4704-A5A9-483213766E0D}">
  <dimension ref="A1:I21"/>
  <sheetViews>
    <sheetView zoomScale="80" zoomScaleNormal="80" workbookViewId="0">
      <selection activeCell="B21" sqref="B21"/>
    </sheetView>
  </sheetViews>
  <sheetFormatPr defaultRowHeight="14.5" x14ac:dyDescent="0.35"/>
  <cols>
    <col min="1" max="1" width="32.90625" customWidth="1"/>
    <col min="2" max="2" width="13.08984375" customWidth="1"/>
    <col min="3" max="3" width="12.90625" customWidth="1"/>
    <col min="8" max="8" width="31.54296875" customWidth="1"/>
    <col min="9" max="9" width="21.6328125" customWidth="1"/>
  </cols>
  <sheetData>
    <row r="1" spans="1:9" ht="15" thickBot="1" x14ac:dyDescent="0.4">
      <c r="A1" s="1" t="s">
        <v>29</v>
      </c>
      <c r="H1" s="1" t="s">
        <v>46</v>
      </c>
    </row>
    <row r="2" spans="1:9" x14ac:dyDescent="0.35">
      <c r="A2" s="3"/>
      <c r="B2" s="24" t="s">
        <v>10</v>
      </c>
      <c r="C2" s="23" t="s">
        <v>38</v>
      </c>
      <c r="H2" s="3"/>
      <c r="I2" s="23" t="s">
        <v>10</v>
      </c>
    </row>
    <row r="3" spans="1:9" x14ac:dyDescent="0.35">
      <c r="A3" s="56" t="s">
        <v>31</v>
      </c>
      <c r="B3" s="2" t="s">
        <v>39</v>
      </c>
      <c r="C3" s="5">
        <v>405</v>
      </c>
      <c r="H3" s="56" t="s">
        <v>47</v>
      </c>
      <c r="I3" s="5">
        <f t="shared" ref="I3:I9" si="0">B15</f>
        <v>36450</v>
      </c>
    </row>
    <row r="4" spans="1:9" x14ac:dyDescent="0.35">
      <c r="A4" s="56" t="s">
        <v>32</v>
      </c>
      <c r="B4" s="2" t="s">
        <v>40</v>
      </c>
      <c r="C4" s="5">
        <v>710</v>
      </c>
      <c r="H4" s="56" t="s">
        <v>48</v>
      </c>
      <c r="I4" s="5">
        <f t="shared" si="0"/>
        <v>63900</v>
      </c>
    </row>
    <row r="5" spans="1:9" ht="29" x14ac:dyDescent="0.35">
      <c r="A5" s="59" t="s">
        <v>33</v>
      </c>
      <c r="B5" s="2" t="s">
        <v>41</v>
      </c>
      <c r="C5" s="5">
        <v>255</v>
      </c>
      <c r="H5" s="59" t="s">
        <v>49</v>
      </c>
      <c r="I5" s="5">
        <f t="shared" si="0"/>
        <v>22950</v>
      </c>
    </row>
    <row r="6" spans="1:9" x14ac:dyDescent="0.35">
      <c r="A6" s="56" t="s">
        <v>34</v>
      </c>
      <c r="B6" s="2" t="s">
        <v>42</v>
      </c>
      <c r="C6" s="5">
        <v>9.4</v>
      </c>
      <c r="H6" s="56" t="s">
        <v>50</v>
      </c>
      <c r="I6" s="5">
        <f t="shared" si="0"/>
        <v>846</v>
      </c>
    </row>
    <row r="7" spans="1:9" x14ac:dyDescent="0.35">
      <c r="A7" s="56" t="s">
        <v>35</v>
      </c>
      <c r="B7" s="2" t="s">
        <v>43</v>
      </c>
      <c r="C7" s="5">
        <v>66</v>
      </c>
      <c r="H7" s="56" t="s">
        <v>51</v>
      </c>
      <c r="I7" s="5">
        <f t="shared" si="0"/>
        <v>5940</v>
      </c>
    </row>
    <row r="8" spans="1:9" x14ac:dyDescent="0.35">
      <c r="A8" s="56" t="s">
        <v>36</v>
      </c>
      <c r="B8" s="2" t="s">
        <v>44</v>
      </c>
      <c r="C8" s="5">
        <v>40</v>
      </c>
      <c r="H8" s="56" t="s">
        <v>52</v>
      </c>
      <c r="I8" s="5">
        <f t="shared" si="0"/>
        <v>3600</v>
      </c>
    </row>
    <row r="9" spans="1:9" ht="15" thickBot="1" x14ac:dyDescent="0.4">
      <c r="A9" s="53" t="s">
        <v>37</v>
      </c>
      <c r="B9" s="15" t="s">
        <v>45</v>
      </c>
      <c r="C9" s="7">
        <v>11.5</v>
      </c>
      <c r="H9" s="53" t="s">
        <v>53</v>
      </c>
      <c r="I9" s="16">
        <f t="shared" si="0"/>
        <v>327857.14285714284</v>
      </c>
    </row>
    <row r="12" spans="1:9" x14ac:dyDescent="0.35">
      <c r="A12" t="s">
        <v>22</v>
      </c>
      <c r="B12">
        <f>'1.2 Wastewater flowrate'!B28</f>
        <v>90000</v>
      </c>
      <c r="C12" t="s">
        <v>11</v>
      </c>
    </row>
    <row r="13" spans="1:9" x14ac:dyDescent="0.35">
      <c r="A13" t="s">
        <v>54</v>
      </c>
      <c r="B13">
        <f>'1.2 Wastewater flowrate'!B29</f>
        <v>3750</v>
      </c>
      <c r="C13" t="s">
        <v>15</v>
      </c>
    </row>
    <row r="15" spans="1:9" x14ac:dyDescent="0.35">
      <c r="A15" t="s">
        <v>30</v>
      </c>
      <c r="B15">
        <f>B12*C3*10^-3</f>
        <v>36450</v>
      </c>
      <c r="C15" t="s">
        <v>56</v>
      </c>
    </row>
    <row r="16" spans="1:9" x14ac:dyDescent="0.35">
      <c r="A16" t="s">
        <v>57</v>
      </c>
      <c r="B16">
        <f>B12*C4*10^-3</f>
        <v>63900</v>
      </c>
      <c r="C16" t="s">
        <v>56</v>
      </c>
    </row>
    <row r="17" spans="1:5" x14ac:dyDescent="0.35">
      <c r="A17" t="s">
        <v>58</v>
      </c>
      <c r="B17">
        <f>B12*C5*10^-3</f>
        <v>22950</v>
      </c>
      <c r="C17" t="s">
        <v>56</v>
      </c>
    </row>
    <row r="18" spans="1:5" x14ac:dyDescent="0.35">
      <c r="A18" t="s">
        <v>59</v>
      </c>
      <c r="B18">
        <f>B12*C6*10^-3</f>
        <v>846</v>
      </c>
      <c r="C18" t="s">
        <v>56</v>
      </c>
    </row>
    <row r="19" spans="1:5" x14ac:dyDescent="0.35">
      <c r="A19" t="s">
        <v>60</v>
      </c>
      <c r="B19">
        <f>B12*C7*10^-3</f>
        <v>5940</v>
      </c>
      <c r="C19" t="s">
        <v>56</v>
      </c>
    </row>
    <row r="20" spans="1:5" x14ac:dyDescent="0.35">
      <c r="A20" t="s">
        <v>61</v>
      </c>
      <c r="B20">
        <f>B12*C8*10^-3</f>
        <v>3600</v>
      </c>
      <c r="C20" t="s">
        <v>56</v>
      </c>
    </row>
    <row r="21" spans="1:5" x14ac:dyDescent="0.35">
      <c r="A21" t="s">
        <v>55</v>
      </c>
      <c r="B21" s="9">
        <f>(B17*10^3)/70</f>
        <v>327857.14285714284</v>
      </c>
      <c r="C21" t="s">
        <v>62</v>
      </c>
      <c r="E21" t="s">
        <v>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16BB1-F647-4A96-B132-6C4647BFB9FD}">
  <dimension ref="A1"/>
  <sheetViews>
    <sheetView workbookViewId="0">
      <selection activeCell="L13" sqref="L13"/>
    </sheetView>
  </sheetViews>
  <sheetFormatPr defaultRowHeight="14.5" x14ac:dyDescent="0.3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A6F32-606F-4E6F-9F08-EFED7A50F266}">
  <dimension ref="B3:B16"/>
  <sheetViews>
    <sheetView workbookViewId="0">
      <selection activeCell="I16" sqref="I16"/>
    </sheetView>
  </sheetViews>
  <sheetFormatPr defaultRowHeight="14.5" x14ac:dyDescent="0.35"/>
  <sheetData>
    <row r="3" spans="2:2" x14ac:dyDescent="0.35">
      <c r="B3" t="s">
        <v>67</v>
      </c>
    </row>
    <row r="4" spans="2:2" x14ac:dyDescent="0.35">
      <c r="B4" s="13" t="s">
        <v>68</v>
      </c>
    </row>
    <row r="5" spans="2:2" x14ac:dyDescent="0.35">
      <c r="B5" s="13" t="s">
        <v>69</v>
      </c>
    </row>
    <row r="6" spans="2:2" x14ac:dyDescent="0.35">
      <c r="B6" s="13" t="s">
        <v>70</v>
      </c>
    </row>
    <row r="7" spans="2:2" x14ac:dyDescent="0.35">
      <c r="B7" s="13" t="s">
        <v>71</v>
      </c>
    </row>
    <row r="8" spans="2:2" x14ac:dyDescent="0.35">
      <c r="B8" s="13" t="s">
        <v>72</v>
      </c>
    </row>
    <row r="9" spans="2:2" x14ac:dyDescent="0.35">
      <c r="B9" s="13" t="s">
        <v>73</v>
      </c>
    </row>
    <row r="10" spans="2:2" x14ac:dyDescent="0.35">
      <c r="B10" s="13" t="s">
        <v>74</v>
      </c>
    </row>
    <row r="12" spans="2:2" x14ac:dyDescent="0.35">
      <c r="B12" s="13" t="s">
        <v>75</v>
      </c>
    </row>
    <row r="14" spans="2:2" x14ac:dyDescent="0.35">
      <c r="B14" s="1" t="s">
        <v>64</v>
      </c>
    </row>
    <row r="15" spans="2:2" x14ac:dyDescent="0.35">
      <c r="B15" s="1" t="s">
        <v>65</v>
      </c>
    </row>
    <row r="16" spans="2:2" x14ac:dyDescent="0.35">
      <c r="B16" s="1" t="s">
        <v>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E3201-6654-46FC-8E26-61C28CF510AD}">
  <dimension ref="A1:E33"/>
  <sheetViews>
    <sheetView zoomScale="70" zoomScaleNormal="70" workbookViewId="0">
      <selection activeCell="D11" sqref="D11"/>
    </sheetView>
  </sheetViews>
  <sheetFormatPr defaultRowHeight="14.5" x14ac:dyDescent="0.35"/>
  <cols>
    <col min="1" max="1" width="50" customWidth="1"/>
    <col min="2" max="2" width="16" customWidth="1"/>
  </cols>
  <sheetData>
    <row r="1" spans="1:5" ht="15" thickBot="1" x14ac:dyDescent="0.4">
      <c r="A1" s="1" t="s">
        <v>76</v>
      </c>
    </row>
    <row r="2" spans="1:5" x14ac:dyDescent="0.35">
      <c r="A2" s="3"/>
      <c r="B2" s="23" t="s">
        <v>10</v>
      </c>
    </row>
    <row r="3" spans="1:5" x14ac:dyDescent="0.35">
      <c r="A3" s="56" t="s">
        <v>77</v>
      </c>
      <c r="B3" s="5">
        <f>B13</f>
        <v>4.7000000000000028</v>
      </c>
    </row>
    <row r="4" spans="1:5" x14ac:dyDescent="0.35">
      <c r="A4" s="56" t="s">
        <v>78</v>
      </c>
      <c r="B4" s="10">
        <f>B24</f>
        <v>1041.6666666666667</v>
      </c>
    </row>
    <row r="5" spans="1:5" x14ac:dyDescent="0.35">
      <c r="A5" s="56" t="s">
        <v>79</v>
      </c>
      <c r="B5" s="5">
        <f>B27</f>
        <v>1858</v>
      </c>
    </row>
    <row r="6" spans="1:5" ht="43.5" x14ac:dyDescent="0.35">
      <c r="A6" s="56" t="s">
        <v>80</v>
      </c>
      <c r="B6" s="19" t="s">
        <v>103</v>
      </c>
    </row>
    <row r="7" spans="1:5" ht="15" thickBot="1" x14ac:dyDescent="0.4">
      <c r="A7" s="53" t="s">
        <v>81</v>
      </c>
      <c r="B7" s="16">
        <f>B33</f>
        <v>28.031933979189095</v>
      </c>
    </row>
    <row r="10" spans="1:5" x14ac:dyDescent="0.35">
      <c r="A10" t="s">
        <v>82</v>
      </c>
      <c r="B10">
        <v>81.7</v>
      </c>
      <c r="C10" t="s">
        <v>83</v>
      </c>
    </row>
    <row r="11" spans="1:5" x14ac:dyDescent="0.35">
      <c r="A11" t="s">
        <v>84</v>
      </c>
      <c r="B11">
        <v>82</v>
      </c>
      <c r="C11" t="s">
        <v>83</v>
      </c>
    </row>
    <row r="12" spans="1:5" x14ac:dyDescent="0.35">
      <c r="A12" t="s">
        <v>85</v>
      </c>
      <c r="B12">
        <v>86.4</v>
      </c>
      <c r="C12" t="s">
        <v>83</v>
      </c>
    </row>
    <row r="13" spans="1:5" x14ac:dyDescent="0.35">
      <c r="A13" s="1" t="s">
        <v>86</v>
      </c>
      <c r="B13" s="1">
        <f>B12-B10</f>
        <v>4.7000000000000028</v>
      </c>
      <c r="C13" s="1" t="s">
        <v>83</v>
      </c>
    </row>
    <row r="15" spans="1:5" x14ac:dyDescent="0.35">
      <c r="A15" t="s">
        <v>87</v>
      </c>
      <c r="B15">
        <f>'1.2 Wastewater flowrate'!B8/2</f>
        <v>312.5</v>
      </c>
      <c r="C15" t="s">
        <v>15</v>
      </c>
      <c r="E15" t="s">
        <v>198</v>
      </c>
    </row>
    <row r="16" spans="1:5" x14ac:dyDescent="0.35">
      <c r="A16" t="s">
        <v>88</v>
      </c>
      <c r="B16" s="9">
        <f>'1.2 Wastewater flowrate'!B7/2</f>
        <v>3020.8333333333335</v>
      </c>
      <c r="C16" t="s">
        <v>15</v>
      </c>
      <c r="E16" t="s">
        <v>198</v>
      </c>
    </row>
    <row r="17" spans="1:5" x14ac:dyDescent="0.35">
      <c r="A17" t="s">
        <v>89</v>
      </c>
      <c r="B17" s="8">
        <f>'1.2 Wastewater flowrate'!B4/2</f>
        <v>1041.6666666666667</v>
      </c>
      <c r="C17" t="s">
        <v>15</v>
      </c>
      <c r="E17" t="s">
        <v>198</v>
      </c>
    </row>
    <row r="19" spans="1:5" x14ac:dyDescent="0.35">
      <c r="A19" t="s">
        <v>197</v>
      </c>
    </row>
    <row r="20" spans="1:5" x14ac:dyDescent="0.35">
      <c r="A20" t="s">
        <v>90</v>
      </c>
    </row>
    <row r="21" spans="1:5" x14ac:dyDescent="0.35">
      <c r="A21" t="s">
        <v>91</v>
      </c>
    </row>
    <row r="23" spans="1:5" x14ac:dyDescent="0.35">
      <c r="A23" t="s">
        <v>92</v>
      </c>
    </row>
    <row r="24" spans="1:5" x14ac:dyDescent="0.35">
      <c r="A24" s="1" t="s">
        <v>102</v>
      </c>
      <c r="B24" s="18">
        <f>B15/0.3</f>
        <v>1041.6666666666667</v>
      </c>
      <c r="C24" s="1" t="s">
        <v>15</v>
      </c>
    </row>
    <row r="25" spans="1:5" x14ac:dyDescent="0.35">
      <c r="A25" t="s">
        <v>93</v>
      </c>
    </row>
    <row r="27" spans="1:5" x14ac:dyDescent="0.35">
      <c r="A27" t="s">
        <v>94</v>
      </c>
      <c r="B27">
        <v>1858</v>
      </c>
      <c r="C27" t="s">
        <v>15</v>
      </c>
    </row>
    <row r="28" spans="1:5" x14ac:dyDescent="0.35">
      <c r="A28" s="1" t="s">
        <v>95</v>
      </c>
      <c r="B28" s="8">
        <f>B16/B27</f>
        <v>1.6258521707929674</v>
      </c>
      <c r="C28" t="s">
        <v>96</v>
      </c>
    </row>
    <row r="29" spans="1:5" x14ac:dyDescent="0.35">
      <c r="B29" s="1" t="s">
        <v>97</v>
      </c>
      <c r="C29" s="1" t="s">
        <v>96</v>
      </c>
    </row>
    <row r="30" spans="1:5" x14ac:dyDescent="0.35">
      <c r="A30" t="s">
        <v>98</v>
      </c>
    </row>
    <row r="32" spans="1:5" x14ac:dyDescent="0.35">
      <c r="A32" t="s">
        <v>99</v>
      </c>
      <c r="B32" s="8">
        <f>'4.1 Pumping station'!B17/2</f>
        <v>520.83333333333337</v>
      </c>
      <c r="C32" t="s">
        <v>15</v>
      </c>
    </row>
    <row r="33" spans="1:3" x14ac:dyDescent="0.35">
      <c r="A33" s="1" t="s">
        <v>100</v>
      </c>
      <c r="B33" s="17">
        <f>(B32/B27)*100</f>
        <v>28.031933979189095</v>
      </c>
      <c r="C33" s="1" t="s">
        <v>101</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A5978-0C2F-43DD-8ADB-DF2483D0BD9F}">
  <dimension ref="A1:N83"/>
  <sheetViews>
    <sheetView topLeftCell="A55" zoomScale="70" zoomScaleNormal="70" workbookViewId="0">
      <selection activeCell="B76" sqref="B76"/>
    </sheetView>
  </sheetViews>
  <sheetFormatPr defaultRowHeight="14.5" x14ac:dyDescent="0.35"/>
  <cols>
    <col min="1" max="1" width="52.1796875" customWidth="1"/>
    <col min="2" max="2" width="25.453125" customWidth="1"/>
    <col min="3" max="3" width="28.08984375" customWidth="1"/>
    <col min="6" max="6" width="23.7265625" customWidth="1"/>
    <col min="7" max="7" width="18.08984375" customWidth="1"/>
    <col min="10" max="10" width="22.08984375" customWidth="1"/>
    <col min="11" max="11" width="16.08984375" customWidth="1"/>
  </cols>
  <sheetData>
    <row r="1" spans="1:4" ht="15" thickBot="1" x14ac:dyDescent="0.4">
      <c r="A1" s="1" t="s">
        <v>104</v>
      </c>
    </row>
    <row r="2" spans="1:4" x14ac:dyDescent="0.35">
      <c r="A2" s="3"/>
      <c r="B2" s="24" t="s">
        <v>10</v>
      </c>
      <c r="C2" s="23" t="s">
        <v>111</v>
      </c>
    </row>
    <row r="3" spans="1:4" x14ac:dyDescent="0.35">
      <c r="A3" s="56" t="s">
        <v>105</v>
      </c>
      <c r="B3" s="20" t="s">
        <v>112</v>
      </c>
      <c r="C3" s="5"/>
    </row>
    <row r="4" spans="1:4" x14ac:dyDescent="0.35">
      <c r="A4" s="56" t="s">
        <v>106</v>
      </c>
      <c r="B4" s="20" t="s">
        <v>113</v>
      </c>
      <c r="C4" s="5" t="s">
        <v>115</v>
      </c>
    </row>
    <row r="5" spans="1:4" x14ac:dyDescent="0.35">
      <c r="A5" s="56" t="s">
        <v>107</v>
      </c>
      <c r="B5" s="20">
        <v>1.2E-2</v>
      </c>
      <c r="C5" s="5" t="s">
        <v>116</v>
      </c>
    </row>
    <row r="6" spans="1:4" x14ac:dyDescent="0.35">
      <c r="A6" s="56" t="s">
        <v>108</v>
      </c>
      <c r="B6" s="20" t="s">
        <v>114</v>
      </c>
      <c r="C6" s="5" t="s">
        <v>115</v>
      </c>
    </row>
    <row r="7" spans="1:4" x14ac:dyDescent="0.35">
      <c r="A7" s="56" t="s">
        <v>109</v>
      </c>
      <c r="B7" s="20">
        <v>0.6</v>
      </c>
      <c r="C7" s="5"/>
    </row>
    <row r="8" spans="1:4" ht="15" thickBot="1" x14ac:dyDescent="0.4">
      <c r="A8" s="53" t="s">
        <v>110</v>
      </c>
      <c r="B8" s="21"/>
      <c r="C8" s="7"/>
    </row>
    <row r="11" spans="1:4" ht="15" thickBot="1" x14ac:dyDescent="0.4">
      <c r="A11" s="1" t="s">
        <v>117</v>
      </c>
    </row>
    <row r="12" spans="1:4" x14ac:dyDescent="0.35">
      <c r="A12" s="3"/>
      <c r="B12" s="23" t="s">
        <v>10</v>
      </c>
    </row>
    <row r="13" spans="1:4" x14ac:dyDescent="0.35">
      <c r="A13" s="56" t="s">
        <v>118</v>
      </c>
      <c r="B13" s="5">
        <v>3</v>
      </c>
      <c r="D13" t="s">
        <v>196</v>
      </c>
    </row>
    <row r="14" spans="1:4" x14ac:dyDescent="0.35">
      <c r="A14" s="56" t="s">
        <v>119</v>
      </c>
      <c r="B14" s="10">
        <f>10*B16</f>
        <v>14.467341833959676</v>
      </c>
      <c r="D14" t="s">
        <v>199</v>
      </c>
    </row>
    <row r="15" spans="1:4" x14ac:dyDescent="0.35">
      <c r="A15" s="56" t="s">
        <v>120</v>
      </c>
      <c r="B15" s="5">
        <f>G35</f>
        <v>2</v>
      </c>
    </row>
    <row r="16" spans="1:4" x14ac:dyDescent="0.35">
      <c r="A16" s="56" t="s">
        <v>121</v>
      </c>
      <c r="B16" s="10">
        <f>G36+0.6</f>
        <v>1.4467341833959675</v>
      </c>
      <c r="D16" t="s">
        <v>200</v>
      </c>
    </row>
    <row r="17" spans="1:12" x14ac:dyDescent="0.35">
      <c r="A17" s="56" t="s">
        <v>122</v>
      </c>
      <c r="B17" s="10">
        <f>C36</f>
        <v>0.36199999999999999</v>
      </c>
    </row>
    <row r="18" spans="1:12" x14ac:dyDescent="0.35">
      <c r="A18" s="56" t="s">
        <v>123</v>
      </c>
      <c r="B18" s="10">
        <f>B66</f>
        <v>0.16531988850496956</v>
      </c>
    </row>
    <row r="19" spans="1:12" x14ac:dyDescent="0.35">
      <c r="A19" s="56" t="s">
        <v>124</v>
      </c>
      <c r="B19" s="5">
        <f>B76</f>
        <v>600</v>
      </c>
    </row>
    <row r="20" spans="1:12" x14ac:dyDescent="0.35">
      <c r="A20" s="56" t="s">
        <v>125</v>
      </c>
      <c r="B20" s="5">
        <f>B74</f>
        <v>0.75</v>
      </c>
    </row>
    <row r="21" spans="1:12" ht="44" thickBot="1" x14ac:dyDescent="0.4">
      <c r="A21" s="53" t="s">
        <v>126</v>
      </c>
      <c r="B21" s="29" t="s">
        <v>263</v>
      </c>
    </row>
    <row r="24" spans="1:12" x14ac:dyDescent="0.35">
      <c r="A24" s="1" t="s">
        <v>127</v>
      </c>
    </row>
    <row r="25" spans="1:12" x14ac:dyDescent="0.35">
      <c r="B25" s="1" t="s">
        <v>38</v>
      </c>
      <c r="C25">
        <f>'1.2 Wastewater flowrate'!B3/2</f>
        <v>25000</v>
      </c>
      <c r="D25" t="s">
        <v>11</v>
      </c>
      <c r="F25" s="1" t="s">
        <v>128</v>
      </c>
      <c r="G25" s="9">
        <f>('1.2 Wastewater flowrate'!B7)*24/2</f>
        <v>72500</v>
      </c>
      <c r="H25" t="s">
        <v>11</v>
      </c>
      <c r="J25" s="1" t="s">
        <v>129</v>
      </c>
      <c r="K25">
        <f>('1.2 Wastewater flowrate'!B8/2)*24</f>
        <v>7500</v>
      </c>
      <c r="L25" t="s">
        <v>11</v>
      </c>
    </row>
    <row r="26" spans="1:12" x14ac:dyDescent="0.35">
      <c r="C26" s="8">
        <f>C25/24</f>
        <v>1041.6666666666667</v>
      </c>
      <c r="D26" t="s">
        <v>15</v>
      </c>
      <c r="G26" s="8">
        <f>G25/24</f>
        <v>3020.8333333333335</v>
      </c>
      <c r="H26" t="s">
        <v>15</v>
      </c>
      <c r="K26" s="8">
        <f>K25/24</f>
        <v>312.5</v>
      </c>
      <c r="L26" t="s">
        <v>15</v>
      </c>
    </row>
    <row r="27" spans="1:12" x14ac:dyDescent="0.35">
      <c r="C27" s="8">
        <f>C26/3600</f>
        <v>0.28935185185185186</v>
      </c>
      <c r="D27" t="s">
        <v>130</v>
      </c>
      <c r="G27" s="8">
        <f>G26/3600</f>
        <v>0.83912037037037046</v>
      </c>
      <c r="H27" t="s">
        <v>130</v>
      </c>
      <c r="K27" s="22">
        <f>K26/3600</f>
        <v>8.6805555555555552E-2</v>
      </c>
      <c r="L27" t="s">
        <v>130</v>
      </c>
    </row>
    <row r="29" spans="1:12" x14ac:dyDescent="0.35">
      <c r="B29" s="28" t="s">
        <v>131</v>
      </c>
      <c r="F29" s="28" t="s">
        <v>131</v>
      </c>
      <c r="J29" s="28" t="s">
        <v>131</v>
      </c>
    </row>
    <row r="30" spans="1:12" x14ac:dyDescent="0.35">
      <c r="B30" t="s">
        <v>132</v>
      </c>
      <c r="C30">
        <v>1.2E-2</v>
      </c>
      <c r="F30" t="s">
        <v>134</v>
      </c>
      <c r="G30">
        <v>1.2E-2</v>
      </c>
      <c r="J30" t="s">
        <v>134</v>
      </c>
      <c r="K30">
        <v>1.2E-2</v>
      </c>
    </row>
    <row r="31" spans="1:12" x14ac:dyDescent="0.35">
      <c r="B31" t="s">
        <v>133</v>
      </c>
      <c r="C31">
        <v>1E-4</v>
      </c>
      <c r="D31" t="s">
        <v>135</v>
      </c>
      <c r="F31" t="s">
        <v>133</v>
      </c>
      <c r="G31">
        <v>1E-4</v>
      </c>
      <c r="H31" t="s">
        <v>135</v>
      </c>
      <c r="J31" t="s">
        <v>133</v>
      </c>
      <c r="K31">
        <v>1E-4</v>
      </c>
      <c r="L31" t="s">
        <v>135</v>
      </c>
    </row>
    <row r="34" spans="2:14" x14ac:dyDescent="0.35">
      <c r="B34" s="28" t="s">
        <v>136</v>
      </c>
      <c r="F34" s="28" t="s">
        <v>141</v>
      </c>
      <c r="J34" s="28" t="s">
        <v>141</v>
      </c>
    </row>
    <row r="35" spans="2:14" x14ac:dyDescent="0.35">
      <c r="B35" t="s">
        <v>137</v>
      </c>
      <c r="C35">
        <v>2</v>
      </c>
      <c r="D35" t="s">
        <v>83</v>
      </c>
      <c r="F35" t="s">
        <v>137</v>
      </c>
      <c r="G35">
        <v>2</v>
      </c>
      <c r="H35" t="s">
        <v>83</v>
      </c>
      <c r="J35" t="s">
        <v>137</v>
      </c>
      <c r="K35">
        <v>2</v>
      </c>
      <c r="L35" t="s">
        <v>83</v>
      </c>
    </row>
    <row r="36" spans="2:14" x14ac:dyDescent="0.35">
      <c r="B36" t="s">
        <v>138</v>
      </c>
      <c r="C36">
        <f>0.362</f>
        <v>0.36199999999999999</v>
      </c>
      <c r="D36" t="s">
        <v>83</v>
      </c>
      <c r="F36" t="s">
        <v>138</v>
      </c>
      <c r="G36" s="22">
        <v>0.8467341833959674</v>
      </c>
      <c r="H36" t="s">
        <v>83</v>
      </c>
      <c r="J36" t="s">
        <v>138</v>
      </c>
      <c r="K36" s="22">
        <v>0.18155175515270386</v>
      </c>
      <c r="L36" t="s">
        <v>83</v>
      </c>
    </row>
    <row r="37" spans="2:14" x14ac:dyDescent="0.35">
      <c r="B37" t="s">
        <v>139</v>
      </c>
      <c r="C37" s="22">
        <f>C27/0.4</f>
        <v>0.72337962962962965</v>
      </c>
      <c r="D37" t="s">
        <v>142</v>
      </c>
      <c r="F37" t="s">
        <v>139</v>
      </c>
      <c r="G37" s="22">
        <f>G27/0.4</f>
        <v>2.097800925925926</v>
      </c>
      <c r="H37" t="s">
        <v>142</v>
      </c>
      <c r="J37" t="s">
        <v>139</v>
      </c>
      <c r="K37" s="22">
        <f>K27/0.4</f>
        <v>0.21701388888888887</v>
      </c>
      <c r="L37" t="s">
        <v>142</v>
      </c>
      <c r="N37" t="s">
        <v>146</v>
      </c>
    </row>
    <row r="38" spans="2:14" x14ac:dyDescent="0.35">
      <c r="B38" t="s">
        <v>140</v>
      </c>
      <c r="C38" s="22">
        <f>C37/C35</f>
        <v>0.36168981481481483</v>
      </c>
      <c r="D38" t="s">
        <v>83</v>
      </c>
      <c r="F38" t="s">
        <v>140</v>
      </c>
      <c r="G38" s="22">
        <f>G37/G35</f>
        <v>1.048900462962963</v>
      </c>
      <c r="H38" t="s">
        <v>83</v>
      </c>
      <c r="J38" t="s">
        <v>140</v>
      </c>
      <c r="K38" s="22">
        <f>K37/K35</f>
        <v>0.10850694444444443</v>
      </c>
      <c r="L38" t="s">
        <v>83</v>
      </c>
    </row>
    <row r="40" spans="2:14" x14ac:dyDescent="0.35">
      <c r="B40" t="s">
        <v>143</v>
      </c>
      <c r="C40" s="22">
        <f>C41/C42</f>
        <v>0.26578560939794416</v>
      </c>
      <c r="D40" t="s">
        <v>83</v>
      </c>
      <c r="F40" t="s">
        <v>143</v>
      </c>
      <c r="G40" s="22">
        <f>G41/G42</f>
        <v>0.45850355238397345</v>
      </c>
      <c r="H40" t="s">
        <v>83</v>
      </c>
      <c r="J40" t="s">
        <v>143</v>
      </c>
      <c r="K40" s="22">
        <f>K41/K42</f>
        <v>0.15365535564647365</v>
      </c>
      <c r="L40" t="s">
        <v>83</v>
      </c>
    </row>
    <row r="41" spans="2:14" x14ac:dyDescent="0.35">
      <c r="B41" t="s">
        <v>144</v>
      </c>
      <c r="C41">
        <f>C35*C36</f>
        <v>0.72399999999999998</v>
      </c>
      <c r="D41" t="s">
        <v>142</v>
      </c>
      <c r="F41" t="s">
        <v>144</v>
      </c>
      <c r="G41" s="22">
        <f>G35*G36</f>
        <v>1.6934683667919348</v>
      </c>
      <c r="H41" t="s">
        <v>142</v>
      </c>
      <c r="J41" t="s">
        <v>144</v>
      </c>
      <c r="K41" s="22">
        <f>K35*K36</f>
        <v>0.36310351030540772</v>
      </c>
      <c r="L41" t="s">
        <v>142</v>
      </c>
    </row>
    <row r="42" spans="2:14" x14ac:dyDescent="0.35">
      <c r="B42" t="s">
        <v>145</v>
      </c>
      <c r="C42">
        <f>2*C36+C35</f>
        <v>2.7240000000000002</v>
      </c>
      <c r="D42" t="s">
        <v>83</v>
      </c>
      <c r="F42" t="s">
        <v>145</v>
      </c>
      <c r="G42" s="22">
        <f>2*G36+G35</f>
        <v>3.6934683667919348</v>
      </c>
      <c r="H42" t="s">
        <v>83</v>
      </c>
      <c r="J42" t="s">
        <v>145</v>
      </c>
      <c r="K42" s="22">
        <f>2*K36+K35</f>
        <v>2.3631035103054079</v>
      </c>
      <c r="L42" t="s">
        <v>83</v>
      </c>
    </row>
    <row r="44" spans="2:14" x14ac:dyDescent="0.35">
      <c r="B44" s="28" t="s">
        <v>116</v>
      </c>
      <c r="F44" s="28" t="s">
        <v>116</v>
      </c>
      <c r="J44" s="28" t="s">
        <v>116</v>
      </c>
    </row>
    <row r="45" spans="2:14" x14ac:dyDescent="0.35">
      <c r="B45" t="s">
        <v>147</v>
      </c>
      <c r="C45" s="25">
        <v>0.40000000000000008</v>
      </c>
      <c r="F45" t="s">
        <v>147</v>
      </c>
      <c r="G45" s="26">
        <f>(1/G30)*(G40^(2/3))*(G31^(0.5))</f>
        <v>0.4955040674606187</v>
      </c>
      <c r="J45" t="s">
        <v>147</v>
      </c>
      <c r="K45" s="27">
        <f>(1/K30)*(K40^(2/3))*(K31^(0.5))</f>
        <v>0.23906567355687361</v>
      </c>
      <c r="N45" t="s">
        <v>148</v>
      </c>
    </row>
    <row r="46" spans="2:14" x14ac:dyDescent="0.35">
      <c r="N46" t="s">
        <v>149</v>
      </c>
    </row>
    <row r="47" spans="2:14" x14ac:dyDescent="0.35">
      <c r="B47" t="s">
        <v>144</v>
      </c>
      <c r="C47" s="22">
        <f>C27/C45</f>
        <v>0.72337962962962954</v>
      </c>
      <c r="F47" t="s">
        <v>144</v>
      </c>
      <c r="G47" s="8">
        <f>G27/G45</f>
        <v>1.6934681781135155</v>
      </c>
      <c r="J47" t="s">
        <v>144</v>
      </c>
      <c r="K47" s="8">
        <f>K27/K45</f>
        <v>0.363103386044691</v>
      </c>
    </row>
    <row r="50" spans="1:5" x14ac:dyDescent="0.35">
      <c r="A50" s="1" t="s">
        <v>150</v>
      </c>
    </row>
    <row r="51" spans="1:5" x14ac:dyDescent="0.35">
      <c r="A51" t="s">
        <v>151</v>
      </c>
      <c r="B51">
        <f>2</f>
        <v>2</v>
      </c>
      <c r="C51" t="s">
        <v>83</v>
      </c>
    </row>
    <row r="52" spans="1:5" x14ac:dyDescent="0.35">
      <c r="B52">
        <f>2*10^3</f>
        <v>2000</v>
      </c>
      <c r="C52" t="s">
        <v>152</v>
      </c>
    </row>
    <row r="53" spans="1:5" x14ac:dyDescent="0.35">
      <c r="A53" t="s">
        <v>153</v>
      </c>
      <c r="B53">
        <f>10</f>
        <v>10</v>
      </c>
      <c r="C53" t="s">
        <v>152</v>
      </c>
    </row>
    <row r="54" spans="1:5" x14ac:dyDescent="0.35">
      <c r="A54" t="s">
        <v>154</v>
      </c>
      <c r="B54">
        <v>20</v>
      </c>
      <c r="C54" t="s">
        <v>152</v>
      </c>
    </row>
    <row r="55" spans="1:5" x14ac:dyDescent="0.35">
      <c r="A55" t="s">
        <v>155</v>
      </c>
      <c r="B55">
        <v>30</v>
      </c>
    </row>
    <row r="56" spans="1:5" x14ac:dyDescent="0.35">
      <c r="A56" t="s">
        <v>156</v>
      </c>
      <c r="B56">
        <v>1.43</v>
      </c>
      <c r="E56" t="s">
        <v>158</v>
      </c>
    </row>
    <row r="57" spans="1:5" x14ac:dyDescent="0.35">
      <c r="A57" t="s">
        <v>157</v>
      </c>
      <c r="B57">
        <v>1.67</v>
      </c>
      <c r="E57" t="s">
        <v>158</v>
      </c>
    </row>
    <row r="58" spans="1:5" x14ac:dyDescent="0.35">
      <c r="A58" t="s">
        <v>159</v>
      </c>
      <c r="B58">
        <f>(B52-B54)/(B53+B54)</f>
        <v>66</v>
      </c>
      <c r="C58" t="s">
        <v>160</v>
      </c>
      <c r="E58" t="s">
        <v>161</v>
      </c>
    </row>
    <row r="59" spans="1:5" x14ac:dyDescent="0.35">
      <c r="A59" t="s">
        <v>162</v>
      </c>
      <c r="B59">
        <f>B58+1</f>
        <v>67</v>
      </c>
      <c r="C59" t="s">
        <v>163</v>
      </c>
      <c r="E59" t="s">
        <v>164</v>
      </c>
    </row>
    <row r="60" spans="1:5" x14ac:dyDescent="0.35">
      <c r="A60" t="s">
        <v>165</v>
      </c>
      <c r="B60" s="8">
        <f>(B59*B54*10^-3)*G36</f>
        <v>1.1346238057505964</v>
      </c>
      <c r="C60" t="s">
        <v>142</v>
      </c>
    </row>
    <row r="61" spans="1:5" x14ac:dyDescent="0.35">
      <c r="A61" t="s">
        <v>166</v>
      </c>
      <c r="B61" s="8">
        <f>G27/B60</f>
        <v>0.73955822724454534</v>
      </c>
      <c r="C61" t="s">
        <v>167</v>
      </c>
      <c r="E61" t="s">
        <v>723</v>
      </c>
    </row>
    <row r="62" spans="1:5" x14ac:dyDescent="0.35">
      <c r="A62" t="s">
        <v>168</v>
      </c>
      <c r="B62" s="8">
        <f>G45</f>
        <v>0.4955040674606187</v>
      </c>
      <c r="C62" t="s">
        <v>167</v>
      </c>
      <c r="E62" t="s">
        <v>724</v>
      </c>
    </row>
    <row r="63" spans="1:5" x14ac:dyDescent="0.35">
      <c r="A63" t="s">
        <v>170</v>
      </c>
      <c r="B63">
        <v>9.81</v>
      </c>
      <c r="C63" t="s">
        <v>171</v>
      </c>
    </row>
    <row r="64" spans="1:5" x14ac:dyDescent="0.35">
      <c r="A64" s="1" t="s">
        <v>169</v>
      </c>
      <c r="B64" s="18">
        <f>B56*((B61^2)-(B62^2))/(2*B63)</f>
        <v>2.1969092231374131E-2</v>
      </c>
      <c r="C64" s="1" t="s">
        <v>83</v>
      </c>
      <c r="E64" t="s">
        <v>172</v>
      </c>
    </row>
    <row r="65" spans="1:5" x14ac:dyDescent="0.35">
      <c r="B65">
        <v>20</v>
      </c>
      <c r="C65" t="s">
        <v>152</v>
      </c>
    </row>
    <row r="66" spans="1:5" x14ac:dyDescent="0.35">
      <c r="A66" s="1" t="s">
        <v>173</v>
      </c>
      <c r="B66" s="18">
        <f>B57*((B61*2)^2-(B62^2))/(2*B63)</f>
        <v>0.16531988850496956</v>
      </c>
      <c r="C66" s="1" t="s">
        <v>83</v>
      </c>
      <c r="E66" t="s">
        <v>174</v>
      </c>
    </row>
    <row r="67" spans="1:5" x14ac:dyDescent="0.35">
      <c r="B67">
        <v>170</v>
      </c>
      <c r="C67" t="s">
        <v>152</v>
      </c>
      <c r="E67" t="s">
        <v>175</v>
      </c>
    </row>
    <row r="69" spans="1:5" x14ac:dyDescent="0.35">
      <c r="A69" t="s">
        <v>177</v>
      </c>
    </row>
    <row r="71" spans="1:5" x14ac:dyDescent="0.35">
      <c r="A71" s="1" t="s">
        <v>176</v>
      </c>
    </row>
    <row r="72" spans="1:5" x14ac:dyDescent="0.35">
      <c r="A72" t="s">
        <v>178</v>
      </c>
      <c r="B72">
        <v>30</v>
      </c>
      <c r="C72" t="s">
        <v>179</v>
      </c>
      <c r="E72" t="s">
        <v>182</v>
      </c>
    </row>
    <row r="73" spans="1:5" x14ac:dyDescent="0.35">
      <c r="A73" t="s">
        <v>180</v>
      </c>
      <c r="B73" s="9">
        <f>C25</f>
        <v>25000</v>
      </c>
      <c r="C73" t="s">
        <v>11</v>
      </c>
    </row>
    <row r="74" spans="1:5" x14ac:dyDescent="0.35">
      <c r="A74" s="1" t="s">
        <v>181</v>
      </c>
      <c r="B74" s="1">
        <f>B72*B73/(10^6)</f>
        <v>0.75</v>
      </c>
      <c r="C74" s="1" t="s">
        <v>183</v>
      </c>
    </row>
    <row r="75" spans="1:5" x14ac:dyDescent="0.35">
      <c r="A75" t="s">
        <v>184</v>
      </c>
      <c r="B75">
        <v>800</v>
      </c>
      <c r="C75" t="s">
        <v>185</v>
      </c>
      <c r="E75" t="s">
        <v>186</v>
      </c>
    </row>
    <row r="76" spans="1:5" x14ac:dyDescent="0.35">
      <c r="A76" s="1" t="s">
        <v>181</v>
      </c>
      <c r="B76" s="1">
        <f>B74*B75</f>
        <v>600</v>
      </c>
      <c r="C76" s="1" t="s">
        <v>56</v>
      </c>
    </row>
    <row r="77" spans="1:5" x14ac:dyDescent="0.35">
      <c r="A77" s="1" t="s">
        <v>187</v>
      </c>
      <c r="B77" s="1">
        <v>1</v>
      </c>
      <c r="C77" s="1" t="s">
        <v>188</v>
      </c>
      <c r="E77" t="s">
        <v>189</v>
      </c>
    </row>
    <row r="78" spans="1:5" x14ac:dyDescent="0.35">
      <c r="A78" s="1" t="s">
        <v>190</v>
      </c>
      <c r="B78" s="8">
        <f>B77/B74</f>
        <v>1.3333333333333333</v>
      </c>
      <c r="C78" t="s">
        <v>191</v>
      </c>
    </row>
    <row r="79" spans="1:5" x14ac:dyDescent="0.35">
      <c r="B79" s="1">
        <v>1</v>
      </c>
      <c r="C79" s="1" t="s">
        <v>191</v>
      </c>
    </row>
    <row r="80" spans="1:5" x14ac:dyDescent="0.35">
      <c r="A80" t="s">
        <v>192</v>
      </c>
    </row>
    <row r="81" spans="1:1" x14ac:dyDescent="0.35">
      <c r="A81" t="s">
        <v>193</v>
      </c>
    </row>
    <row r="82" spans="1:1" x14ac:dyDescent="0.35">
      <c r="A82" t="s">
        <v>194</v>
      </c>
    </row>
    <row r="83" spans="1:1" x14ac:dyDescent="0.35">
      <c r="A83" t="s">
        <v>195</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75F18-2DF8-4990-A628-147663E5E877}">
  <dimension ref="A1:E56"/>
  <sheetViews>
    <sheetView topLeftCell="A28" zoomScale="70" zoomScaleNormal="70" workbookViewId="0">
      <selection activeCell="E45" sqref="E45"/>
    </sheetView>
  </sheetViews>
  <sheetFormatPr defaultRowHeight="14.5" x14ac:dyDescent="0.35"/>
  <cols>
    <col min="1" max="1" width="49.36328125" customWidth="1"/>
    <col min="2" max="2" width="16.08984375" customWidth="1"/>
    <col min="3" max="3" width="14.81640625" customWidth="1"/>
  </cols>
  <sheetData>
    <row r="1" spans="1:4" ht="15" thickBot="1" x14ac:dyDescent="0.4">
      <c r="A1" s="1" t="s">
        <v>217</v>
      </c>
    </row>
    <row r="2" spans="1:4" x14ac:dyDescent="0.35">
      <c r="A2" s="3"/>
      <c r="B2" s="23" t="s">
        <v>10</v>
      </c>
    </row>
    <row r="3" spans="1:4" x14ac:dyDescent="0.35">
      <c r="A3" s="56" t="s">
        <v>201</v>
      </c>
      <c r="B3" s="30" t="s">
        <v>206</v>
      </c>
    </row>
    <row r="4" spans="1:4" x14ac:dyDescent="0.35">
      <c r="A4" s="56" t="s">
        <v>121</v>
      </c>
      <c r="B4" s="5">
        <f>B31</f>
        <v>3</v>
      </c>
    </row>
    <row r="5" spans="1:4" x14ac:dyDescent="0.35">
      <c r="A5" s="56" t="s">
        <v>120</v>
      </c>
      <c r="B5" s="5">
        <f>B33</f>
        <v>4.5</v>
      </c>
    </row>
    <row r="6" spans="1:4" x14ac:dyDescent="0.35">
      <c r="A6" s="56" t="s">
        <v>202</v>
      </c>
      <c r="B6" s="5">
        <f>B39</f>
        <v>2.4</v>
      </c>
    </row>
    <row r="7" spans="1:4" x14ac:dyDescent="0.35">
      <c r="A7" s="56" t="s">
        <v>203</v>
      </c>
      <c r="B7" s="33">
        <f>B37</f>
        <v>3.9390428688086095E-3</v>
      </c>
    </row>
    <row r="8" spans="1:4" x14ac:dyDescent="0.35">
      <c r="A8" s="56" t="s">
        <v>204</v>
      </c>
      <c r="B8" s="5">
        <f>B38</f>
        <v>0.6</v>
      </c>
    </row>
    <row r="9" spans="1:4" ht="15" thickBot="1" x14ac:dyDescent="0.4">
      <c r="A9" s="53" t="s">
        <v>205</v>
      </c>
      <c r="B9" s="7">
        <f>B48</f>
        <v>1</v>
      </c>
    </row>
    <row r="12" spans="1:4" ht="15" thickBot="1" x14ac:dyDescent="0.4">
      <c r="A12" s="1" t="s">
        <v>216</v>
      </c>
    </row>
    <row r="13" spans="1:4" x14ac:dyDescent="0.35">
      <c r="A13" s="3"/>
      <c r="B13" s="23" t="s">
        <v>10</v>
      </c>
    </row>
    <row r="14" spans="1:4" x14ac:dyDescent="0.35">
      <c r="A14" s="56" t="s">
        <v>207</v>
      </c>
      <c r="B14" s="5">
        <v>1</v>
      </c>
      <c r="D14" t="s">
        <v>260</v>
      </c>
    </row>
    <row r="15" spans="1:4" x14ac:dyDescent="0.35">
      <c r="A15" s="56" t="s">
        <v>208</v>
      </c>
      <c r="B15" s="10">
        <f>B30</f>
        <v>151.04166666666669</v>
      </c>
    </row>
    <row r="16" spans="1:4" x14ac:dyDescent="0.35">
      <c r="A16" s="56" t="s">
        <v>209</v>
      </c>
      <c r="B16" s="5" t="s">
        <v>261</v>
      </c>
    </row>
    <row r="17" spans="1:5" x14ac:dyDescent="0.35">
      <c r="A17" s="56" t="s">
        <v>210</v>
      </c>
      <c r="B17" s="34">
        <f>B35</f>
        <v>2.4862825788751715</v>
      </c>
    </row>
    <row r="18" spans="1:5" x14ac:dyDescent="0.35">
      <c r="A18" s="56" t="s">
        <v>211</v>
      </c>
      <c r="B18" s="10">
        <f>B34/B31</f>
        <v>3.7294238683127574</v>
      </c>
    </row>
    <row r="19" spans="1:5" x14ac:dyDescent="0.35">
      <c r="A19" s="56" t="s">
        <v>212</v>
      </c>
      <c r="B19" s="5">
        <f>B29/60</f>
        <v>3</v>
      </c>
    </row>
    <row r="20" spans="1:5" x14ac:dyDescent="0.35">
      <c r="A20" s="56" t="s">
        <v>213</v>
      </c>
      <c r="B20" s="10">
        <f>B40</f>
        <v>0.15002938509902669</v>
      </c>
    </row>
    <row r="21" spans="1:5" x14ac:dyDescent="0.35">
      <c r="A21" s="56" t="s">
        <v>214</v>
      </c>
      <c r="B21" s="5">
        <f>B47</f>
        <v>14.500000000000002</v>
      </c>
    </row>
    <row r="22" spans="1:5" x14ac:dyDescent="0.35">
      <c r="A22" s="56" t="s">
        <v>215</v>
      </c>
      <c r="B22" s="5">
        <f>B51</f>
        <v>21750.000000000004</v>
      </c>
    </row>
    <row r="23" spans="1:5" ht="73" thickBot="1" x14ac:dyDescent="0.4">
      <c r="A23" s="53" t="s">
        <v>126</v>
      </c>
      <c r="B23" s="29" t="s">
        <v>262</v>
      </c>
    </row>
    <row r="26" spans="1:5" x14ac:dyDescent="0.35">
      <c r="A26" s="1" t="s">
        <v>218</v>
      </c>
    </row>
    <row r="27" spans="1:5" x14ac:dyDescent="0.35">
      <c r="A27" t="s">
        <v>219</v>
      </c>
      <c r="B27" s="9">
        <f>'1.2 Wastewater flowrate'!B7/2</f>
        <v>3020.8333333333335</v>
      </c>
      <c r="C27" t="s">
        <v>15</v>
      </c>
      <c r="E27" t="s">
        <v>223</v>
      </c>
    </row>
    <row r="28" spans="1:5" x14ac:dyDescent="0.35">
      <c r="B28" s="8">
        <f>B27/3600</f>
        <v>0.83912037037037046</v>
      </c>
      <c r="C28" t="s">
        <v>130</v>
      </c>
    </row>
    <row r="29" spans="1:5" x14ac:dyDescent="0.35">
      <c r="A29" s="1" t="s">
        <v>220</v>
      </c>
      <c r="B29" s="1">
        <v>180</v>
      </c>
      <c r="C29" s="1" t="s">
        <v>221</v>
      </c>
      <c r="E29" t="s">
        <v>222</v>
      </c>
    </row>
    <row r="30" spans="1:5" x14ac:dyDescent="0.35">
      <c r="A30" t="s">
        <v>227</v>
      </c>
      <c r="B30" s="8">
        <f>B28*B29</f>
        <v>151.04166666666669</v>
      </c>
      <c r="C30" t="s">
        <v>188</v>
      </c>
    </row>
    <row r="31" spans="1:5" x14ac:dyDescent="0.35">
      <c r="A31" s="1" t="s">
        <v>225</v>
      </c>
      <c r="B31" s="1">
        <v>3</v>
      </c>
      <c r="C31" s="1" t="s">
        <v>83</v>
      </c>
      <c r="E31" t="s">
        <v>222</v>
      </c>
    </row>
    <row r="32" spans="1:5" x14ac:dyDescent="0.35">
      <c r="A32" t="s">
        <v>224</v>
      </c>
      <c r="B32">
        <v>1.5</v>
      </c>
      <c r="E32" t="s">
        <v>222</v>
      </c>
    </row>
    <row r="33" spans="1:5" x14ac:dyDescent="0.35">
      <c r="A33" s="1" t="s">
        <v>231</v>
      </c>
      <c r="B33" s="1">
        <f>B31*B32</f>
        <v>4.5</v>
      </c>
      <c r="C33" s="1" t="s">
        <v>83</v>
      </c>
      <c r="E33" t="s">
        <v>226</v>
      </c>
    </row>
    <row r="34" spans="1:5" x14ac:dyDescent="0.35">
      <c r="A34" s="1" t="s">
        <v>228</v>
      </c>
      <c r="B34" s="18">
        <f>B30/(B31*B33)</f>
        <v>11.188271604938272</v>
      </c>
      <c r="C34" s="1" t="s">
        <v>83</v>
      </c>
      <c r="E34" t="s">
        <v>229</v>
      </c>
    </row>
    <row r="35" spans="1:5" x14ac:dyDescent="0.35">
      <c r="A35" t="s">
        <v>230</v>
      </c>
      <c r="B35" s="31">
        <f>B34/B33</f>
        <v>2.4862825788751715</v>
      </c>
      <c r="E35" t="s">
        <v>232</v>
      </c>
    </row>
    <row r="36" spans="1:5" x14ac:dyDescent="0.35">
      <c r="A36" t="s">
        <v>233</v>
      </c>
      <c r="B36">
        <v>0.7</v>
      </c>
      <c r="C36" t="s">
        <v>234</v>
      </c>
      <c r="E36" t="s">
        <v>235</v>
      </c>
    </row>
    <row r="37" spans="1:5" x14ac:dyDescent="0.35">
      <c r="A37" s="1" t="s">
        <v>236</v>
      </c>
      <c r="B37" s="32">
        <v>3.9390428688086095E-3</v>
      </c>
      <c r="C37" s="1" t="s">
        <v>237</v>
      </c>
      <c r="E37" t="s">
        <v>245</v>
      </c>
    </row>
    <row r="38" spans="1:5" x14ac:dyDescent="0.35">
      <c r="A38" s="1" t="s">
        <v>238</v>
      </c>
      <c r="B38" s="1">
        <v>0.6</v>
      </c>
      <c r="C38" s="1" t="s">
        <v>83</v>
      </c>
      <c r="E38" t="s">
        <v>244</v>
      </c>
    </row>
    <row r="39" spans="1:5" x14ac:dyDescent="0.35">
      <c r="A39" s="1" t="s">
        <v>239</v>
      </c>
      <c r="B39" s="1">
        <f>B31-B38</f>
        <v>2.4</v>
      </c>
      <c r="C39" s="1" t="s">
        <v>83</v>
      </c>
    </row>
    <row r="40" spans="1:5" x14ac:dyDescent="0.35">
      <c r="A40" s="1" t="s">
        <v>240</v>
      </c>
      <c r="B40" s="18">
        <f>((B39*B37)/(B36*B38))^(0.5)</f>
        <v>0.15002938509902669</v>
      </c>
      <c r="C40" s="1" t="s">
        <v>167</v>
      </c>
      <c r="E40" t="s">
        <v>241</v>
      </c>
    </row>
    <row r="41" spans="1:5" x14ac:dyDescent="0.35">
      <c r="A41" t="s">
        <v>731</v>
      </c>
    </row>
    <row r="42" spans="1:5" x14ac:dyDescent="0.35">
      <c r="A42" t="s">
        <v>242</v>
      </c>
    </row>
    <row r="43" spans="1:5" x14ac:dyDescent="0.35">
      <c r="A43" t="s">
        <v>243</v>
      </c>
    </row>
    <row r="45" spans="1:5" x14ac:dyDescent="0.35">
      <c r="A45" t="s">
        <v>246</v>
      </c>
      <c r="B45">
        <f>0.2/1000</f>
        <v>2.0000000000000001E-4</v>
      </c>
      <c r="C45" t="s">
        <v>247</v>
      </c>
    </row>
    <row r="46" spans="1:5" x14ac:dyDescent="0.35">
      <c r="A46" t="s">
        <v>248</v>
      </c>
      <c r="B46" s="8">
        <f>B45*B27</f>
        <v>0.60416666666666674</v>
      </c>
      <c r="C46" t="s">
        <v>15</v>
      </c>
    </row>
    <row r="47" spans="1:5" x14ac:dyDescent="0.35">
      <c r="B47">
        <f>B46*24</f>
        <v>14.500000000000002</v>
      </c>
      <c r="C47" t="s">
        <v>11</v>
      </c>
    </row>
    <row r="48" spans="1:5" x14ac:dyDescent="0.35">
      <c r="A48" s="1" t="s">
        <v>249</v>
      </c>
      <c r="B48" s="1">
        <v>1</v>
      </c>
      <c r="C48" s="1" t="s">
        <v>83</v>
      </c>
    </row>
    <row r="49" spans="1:5" x14ac:dyDescent="0.35">
      <c r="A49" s="1" t="s">
        <v>250</v>
      </c>
      <c r="B49" s="18">
        <f>B47/(B48*B34)</f>
        <v>1.296</v>
      </c>
      <c r="C49" s="1" t="s">
        <v>83</v>
      </c>
    </row>
    <row r="50" spans="1:5" x14ac:dyDescent="0.35">
      <c r="A50" t="s">
        <v>251</v>
      </c>
      <c r="B50">
        <v>1500</v>
      </c>
      <c r="C50" t="s">
        <v>185</v>
      </c>
      <c r="E50" t="s">
        <v>254</v>
      </c>
    </row>
    <row r="51" spans="1:5" x14ac:dyDescent="0.35">
      <c r="A51" t="s">
        <v>252</v>
      </c>
      <c r="B51">
        <f>B50*B47</f>
        <v>21750.000000000004</v>
      </c>
      <c r="C51" t="s">
        <v>56</v>
      </c>
    </row>
    <row r="52" spans="1:5" x14ac:dyDescent="0.35">
      <c r="A52" s="1" t="s">
        <v>253</v>
      </c>
      <c r="B52" s="1">
        <v>2</v>
      </c>
    </row>
    <row r="53" spans="1:5" x14ac:dyDescent="0.35">
      <c r="A53" s="1" t="s">
        <v>187</v>
      </c>
      <c r="B53" s="1">
        <v>10</v>
      </c>
      <c r="C53" s="1" t="s">
        <v>188</v>
      </c>
    </row>
    <row r="54" spans="1:5" x14ac:dyDescent="0.35">
      <c r="A54" s="1" t="s">
        <v>255</v>
      </c>
      <c r="B54" s="1">
        <f>B52*B53</f>
        <v>20</v>
      </c>
      <c r="C54" s="1" t="s">
        <v>188</v>
      </c>
    </row>
    <row r="55" spans="1:5" x14ac:dyDescent="0.35">
      <c r="A55" s="1" t="s">
        <v>256</v>
      </c>
      <c r="B55" s="18">
        <f>B54/B47</f>
        <v>1.3793103448275861</v>
      </c>
      <c r="C55" s="1" t="s">
        <v>257</v>
      </c>
      <c r="E55" t="s">
        <v>259</v>
      </c>
    </row>
    <row r="56" spans="1:5" x14ac:dyDescent="0.35">
      <c r="E56" t="s">
        <v>258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59E90-5038-49ED-8390-21427EA2CC06}">
  <dimension ref="A1:F43"/>
  <sheetViews>
    <sheetView topLeftCell="A37" zoomScale="70" zoomScaleNormal="70" workbookViewId="0">
      <selection activeCell="B37" sqref="B37"/>
    </sheetView>
  </sheetViews>
  <sheetFormatPr defaultRowHeight="14.5" x14ac:dyDescent="0.35"/>
  <cols>
    <col min="1" max="1" width="45.81640625" customWidth="1"/>
    <col min="2" max="2" width="26.26953125" customWidth="1"/>
    <col min="3" max="3" width="21.08984375" customWidth="1"/>
    <col min="4" max="4" width="22.1796875" customWidth="1"/>
    <col min="5" max="5" width="24.6328125" customWidth="1"/>
    <col min="6" max="6" width="25.1796875" customWidth="1"/>
  </cols>
  <sheetData>
    <row r="1" spans="1:6" x14ac:dyDescent="0.35">
      <c r="A1" s="1" t="s">
        <v>264</v>
      </c>
    </row>
    <row r="2" spans="1:6" ht="15" thickBot="1" x14ac:dyDescent="0.4"/>
    <row r="3" spans="1:6" ht="48" customHeight="1" x14ac:dyDescent="0.35">
      <c r="A3" s="36" t="s">
        <v>265</v>
      </c>
      <c r="B3" s="37" t="s">
        <v>266</v>
      </c>
      <c r="C3" s="37" t="s">
        <v>267</v>
      </c>
      <c r="D3" s="37" t="s">
        <v>268</v>
      </c>
      <c r="E3" s="37" t="s">
        <v>269</v>
      </c>
      <c r="F3" s="38" t="s">
        <v>270</v>
      </c>
    </row>
    <row r="4" spans="1:6" x14ac:dyDescent="0.35">
      <c r="A4" s="56" t="s">
        <v>30</v>
      </c>
      <c r="B4" s="2">
        <f>'1.3 Quality and loading rate'!I3</f>
        <v>36450</v>
      </c>
      <c r="C4" s="2">
        <v>50</v>
      </c>
      <c r="D4" s="2">
        <f>B4*C4%</f>
        <v>18225</v>
      </c>
      <c r="E4" s="2">
        <f>B4-D4</f>
        <v>18225</v>
      </c>
      <c r="F4" s="5">
        <f>(E4/$B$10)*10^3</f>
        <v>202.5</v>
      </c>
    </row>
    <row r="5" spans="1:6" x14ac:dyDescent="0.35">
      <c r="A5" s="56" t="s">
        <v>271</v>
      </c>
      <c r="B5" s="2">
        <f>'1.3 Quality and loading rate'!I4</f>
        <v>63900</v>
      </c>
      <c r="C5" s="2">
        <v>30</v>
      </c>
      <c r="D5" s="2">
        <f t="shared" ref="D5:D8" si="0">B5*C5%</f>
        <v>19170</v>
      </c>
      <c r="E5" s="2">
        <f t="shared" ref="E5:E8" si="1">B5-D5</f>
        <v>44730</v>
      </c>
      <c r="F5" s="5">
        <f t="shared" ref="F5:F8" si="2">(E5/$B$10)*10^3</f>
        <v>497</v>
      </c>
    </row>
    <row r="6" spans="1:6" x14ac:dyDescent="0.35">
      <c r="A6" s="56" t="s">
        <v>58</v>
      </c>
      <c r="B6" s="2">
        <f>'1.3 Quality and loading rate'!I5</f>
        <v>22950</v>
      </c>
      <c r="C6" s="2">
        <v>30</v>
      </c>
      <c r="D6" s="2">
        <f t="shared" si="0"/>
        <v>6885</v>
      </c>
      <c r="E6" s="2">
        <f t="shared" si="1"/>
        <v>16065</v>
      </c>
      <c r="F6" s="5">
        <f t="shared" si="2"/>
        <v>178.5</v>
      </c>
    </row>
    <row r="7" spans="1:6" x14ac:dyDescent="0.35">
      <c r="A7" s="56" t="s">
        <v>59</v>
      </c>
      <c r="B7" s="2">
        <f>'1.3 Quality and loading rate'!I6</f>
        <v>846</v>
      </c>
      <c r="C7" s="2">
        <v>30</v>
      </c>
      <c r="D7" s="2">
        <f t="shared" si="0"/>
        <v>253.79999999999998</v>
      </c>
      <c r="E7" s="2">
        <f t="shared" si="1"/>
        <v>592.20000000000005</v>
      </c>
      <c r="F7" s="5">
        <f t="shared" si="2"/>
        <v>6.580000000000001</v>
      </c>
    </row>
    <row r="8" spans="1:6" ht="15" thickBot="1" x14ac:dyDescent="0.4">
      <c r="A8" s="53" t="s">
        <v>60</v>
      </c>
      <c r="B8" s="35">
        <f>'1.3 Quality and loading rate'!I7</f>
        <v>5940</v>
      </c>
      <c r="C8" s="35">
        <v>0</v>
      </c>
      <c r="D8" s="35">
        <f t="shared" si="0"/>
        <v>0</v>
      </c>
      <c r="E8" s="2">
        <f t="shared" si="1"/>
        <v>5940</v>
      </c>
      <c r="F8" s="5">
        <f t="shared" si="2"/>
        <v>66</v>
      </c>
    </row>
    <row r="10" spans="1:6" x14ac:dyDescent="0.35">
      <c r="A10" t="s">
        <v>22</v>
      </c>
      <c r="B10">
        <f>'1.2 Wastewater flowrate'!B5</f>
        <v>90000</v>
      </c>
      <c r="C10" t="s">
        <v>11</v>
      </c>
    </row>
    <row r="12" spans="1:6" ht="15" thickBot="1" x14ac:dyDescent="0.4">
      <c r="A12" s="1" t="s">
        <v>272</v>
      </c>
      <c r="E12" s="1" t="s">
        <v>275</v>
      </c>
    </row>
    <row r="13" spans="1:6" x14ac:dyDescent="0.35">
      <c r="A13" s="3"/>
      <c r="B13" s="23" t="s">
        <v>10</v>
      </c>
      <c r="E13" s="3"/>
      <c r="F13" s="23" t="s">
        <v>10</v>
      </c>
    </row>
    <row r="14" spans="1:6" x14ac:dyDescent="0.35">
      <c r="A14" s="56" t="s">
        <v>273</v>
      </c>
      <c r="B14" s="5">
        <f>B24</f>
        <v>100</v>
      </c>
      <c r="E14" s="56" t="s">
        <v>276</v>
      </c>
      <c r="F14" s="5">
        <f>B27</f>
        <v>725</v>
      </c>
    </row>
    <row r="15" spans="1:6" x14ac:dyDescent="0.35">
      <c r="A15" s="56" t="s">
        <v>121</v>
      </c>
      <c r="B15" s="5">
        <f>B29</f>
        <v>4.3</v>
      </c>
      <c r="E15" s="56" t="s">
        <v>277</v>
      </c>
      <c r="F15" s="10">
        <f>B28</f>
        <v>30.382538898732491</v>
      </c>
    </row>
    <row r="16" spans="1:6" x14ac:dyDescent="0.35">
      <c r="A16" s="56" t="s">
        <v>274</v>
      </c>
      <c r="B16" s="5">
        <v>20</v>
      </c>
      <c r="E16" s="56" t="s">
        <v>278</v>
      </c>
      <c r="F16" s="5">
        <f>4.3</f>
        <v>4.3</v>
      </c>
    </row>
    <row r="17" spans="1:6" ht="15" thickBot="1" x14ac:dyDescent="0.4">
      <c r="A17" s="53" t="s">
        <v>207</v>
      </c>
      <c r="B17" s="7">
        <v>2</v>
      </c>
      <c r="C17" t="s">
        <v>308</v>
      </c>
      <c r="E17" s="56" t="s">
        <v>208</v>
      </c>
      <c r="F17" s="10">
        <f>B34</f>
        <v>347.22222222222223</v>
      </c>
    </row>
    <row r="18" spans="1:6" x14ac:dyDescent="0.35">
      <c r="E18" s="56" t="s">
        <v>279</v>
      </c>
      <c r="F18" s="10">
        <f>B37</f>
        <v>14.339684147930075</v>
      </c>
    </row>
    <row r="19" spans="1:6" x14ac:dyDescent="0.35">
      <c r="E19" s="56" t="s">
        <v>281</v>
      </c>
      <c r="F19" s="10">
        <f>B40</f>
        <v>190.89912200332824</v>
      </c>
    </row>
    <row r="20" spans="1:6" ht="15" thickBot="1" x14ac:dyDescent="0.4">
      <c r="E20" s="53" t="s">
        <v>280</v>
      </c>
      <c r="F20" s="40">
        <f>B43</f>
        <v>15.824239009756505</v>
      </c>
    </row>
    <row r="23" spans="1:6" x14ac:dyDescent="0.35">
      <c r="A23" s="1" t="s">
        <v>282</v>
      </c>
    </row>
    <row r="24" spans="1:6" x14ac:dyDescent="0.35">
      <c r="A24" s="1" t="s">
        <v>283</v>
      </c>
      <c r="B24" s="1">
        <f>100</f>
        <v>100</v>
      </c>
      <c r="C24" s="1" t="s">
        <v>284</v>
      </c>
      <c r="D24" t="s">
        <v>285</v>
      </c>
    </row>
    <row r="25" spans="1:6" x14ac:dyDescent="0.35">
      <c r="A25" t="s">
        <v>286</v>
      </c>
      <c r="B25" s="9">
        <f>'1.2 Wastewater flowrate'!B7/2</f>
        <v>3020.8333333333335</v>
      </c>
      <c r="C25" t="s">
        <v>15</v>
      </c>
      <c r="D25" t="s">
        <v>198</v>
      </c>
    </row>
    <row r="26" spans="1:6" x14ac:dyDescent="0.35">
      <c r="B26">
        <f>B25*24</f>
        <v>72500</v>
      </c>
      <c r="C26" t="s">
        <v>11</v>
      </c>
    </row>
    <row r="27" spans="1:6" x14ac:dyDescent="0.35">
      <c r="A27" s="1" t="s">
        <v>287</v>
      </c>
      <c r="B27" s="1">
        <f>B26/B24</f>
        <v>725</v>
      </c>
      <c r="C27" s="1" t="s">
        <v>142</v>
      </c>
    </row>
    <row r="28" spans="1:6" x14ac:dyDescent="0.35">
      <c r="A28" s="1" t="s">
        <v>288</v>
      </c>
      <c r="B28" s="18">
        <f>SQRT((B27*4)/PI())</f>
        <v>30.382538898732491</v>
      </c>
      <c r="C28" s="1" t="s">
        <v>83</v>
      </c>
      <c r="D28" t="s">
        <v>289</v>
      </c>
    </row>
    <row r="29" spans="1:6" x14ac:dyDescent="0.35">
      <c r="A29" s="1" t="s">
        <v>293</v>
      </c>
      <c r="B29" s="1">
        <v>4.3</v>
      </c>
      <c r="C29" s="1" t="s">
        <v>83</v>
      </c>
      <c r="D29" t="s">
        <v>285</v>
      </c>
    </row>
    <row r="31" spans="1:6" x14ac:dyDescent="0.35">
      <c r="A31" s="1" t="s">
        <v>290</v>
      </c>
      <c r="B31" s="1">
        <v>20</v>
      </c>
      <c r="C31" s="1" t="s">
        <v>291</v>
      </c>
      <c r="D31" t="s">
        <v>292</v>
      </c>
    </row>
    <row r="32" spans="1:6" x14ac:dyDescent="0.35">
      <c r="A32" t="s">
        <v>89</v>
      </c>
      <c r="B32" s="8">
        <f>'1.2 Wastewater flowrate'!B4/2</f>
        <v>1041.6666666666667</v>
      </c>
      <c r="C32" t="s">
        <v>15</v>
      </c>
    </row>
    <row r="33" spans="1:4" x14ac:dyDescent="0.35">
      <c r="B33">
        <f>B32*24</f>
        <v>25000</v>
      </c>
      <c r="C33" t="s">
        <v>11</v>
      </c>
    </row>
    <row r="34" spans="1:4" x14ac:dyDescent="0.35">
      <c r="A34" s="1" t="s">
        <v>294</v>
      </c>
      <c r="B34" s="18">
        <f>B32*(20/60)</f>
        <v>347.22222222222223</v>
      </c>
      <c r="C34" s="1" t="s">
        <v>188</v>
      </c>
    </row>
    <row r="35" spans="1:4" x14ac:dyDescent="0.35">
      <c r="A35" s="1" t="s">
        <v>295</v>
      </c>
      <c r="B35" s="1">
        <f>0.5*B29</f>
        <v>2.15</v>
      </c>
      <c r="C35" s="1" t="s">
        <v>83</v>
      </c>
      <c r="D35" t="s">
        <v>296</v>
      </c>
    </row>
    <row r="36" spans="1:4" x14ac:dyDescent="0.35">
      <c r="A36" t="s">
        <v>297</v>
      </c>
      <c r="B36" s="8">
        <f>B34/B35</f>
        <v>161.49870801033592</v>
      </c>
      <c r="C36" t="s">
        <v>142</v>
      </c>
    </row>
    <row r="37" spans="1:4" x14ac:dyDescent="0.35">
      <c r="A37" s="1" t="s">
        <v>298</v>
      </c>
      <c r="B37" s="18">
        <f>SQRT((B36*4)/PI())</f>
        <v>14.339684147930075</v>
      </c>
      <c r="C37" s="1" t="s">
        <v>83</v>
      </c>
      <c r="D37" t="s">
        <v>299</v>
      </c>
    </row>
    <row r="39" spans="1:4" ht="18" customHeight="1" x14ac:dyDescent="0.35">
      <c r="A39" t="s">
        <v>300</v>
      </c>
      <c r="B39" s="8">
        <f>PI()*B28</f>
        <v>95.449561001664122</v>
      </c>
      <c r="C39" t="s">
        <v>83</v>
      </c>
      <c r="D39" t="s">
        <v>301</v>
      </c>
    </row>
    <row r="40" spans="1:4" x14ac:dyDescent="0.35">
      <c r="A40" s="1" t="s">
        <v>303</v>
      </c>
      <c r="B40" s="18">
        <f>B39*2</f>
        <v>190.89912200332824</v>
      </c>
      <c r="C40" s="1" t="s">
        <v>83</v>
      </c>
      <c r="D40" s="39" t="s">
        <v>304</v>
      </c>
    </row>
    <row r="41" spans="1:4" x14ac:dyDescent="0.35">
      <c r="D41" s="39" t="s">
        <v>305</v>
      </c>
    </row>
    <row r="42" spans="1:4" x14ac:dyDescent="0.35">
      <c r="A42" s="1" t="s">
        <v>302</v>
      </c>
      <c r="B42" s="18">
        <f>B26/B40</f>
        <v>379.78173623415614</v>
      </c>
      <c r="C42" s="1" t="s">
        <v>306</v>
      </c>
    </row>
    <row r="43" spans="1:4" x14ac:dyDescent="0.35">
      <c r="B43" s="18">
        <f>B42/24</f>
        <v>15.824239009756505</v>
      </c>
      <c r="C43" s="1" t="s">
        <v>307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1.1 Wastewater source</vt:lpstr>
      <vt:lpstr>1.2 Wastewater flowrate</vt:lpstr>
      <vt:lpstr>1.3 Quality and loading rate</vt:lpstr>
      <vt:lpstr>2 Discharge limit</vt:lpstr>
      <vt:lpstr>3 WWT process</vt:lpstr>
      <vt:lpstr>4.1 Pumping station</vt:lpstr>
      <vt:lpstr>4.2 Bar rack</vt:lpstr>
      <vt:lpstr>4.3 Grit removal</vt:lpstr>
      <vt:lpstr>4.4 Primary Settling</vt:lpstr>
      <vt:lpstr>4.6 Activated sludge process</vt:lpstr>
      <vt:lpstr>4.6.1 Aerobic stage</vt:lpstr>
      <vt:lpstr>4.6.2 Anoxic stage</vt:lpstr>
      <vt:lpstr>4.7 Secondary settling</vt:lpstr>
      <vt:lpstr>4.8 Chemical precipitation of P</vt:lpstr>
      <vt:lpstr>5.1 Sampling and measurement</vt:lpstr>
      <vt:lpstr>5.2 Bypassing water</vt:lpstr>
      <vt:lpstr>6 Process flowchart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2022-02-11T08:00:35Z</dcterms:created>
  <dcterms:modified xsi:type="dcterms:W3CDTF">2022-03-21T14:12:56Z</dcterms:modified>
</cp:coreProperties>
</file>