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wnloads\Design of Water Treatment Process-20210915T113819Z-001\"/>
    </mc:Choice>
  </mc:AlternateContent>
  <xr:revisionPtr revIDLastSave="0" documentId="13_ncr:1_{C6AF5676-DDDE-4AE4-B596-96628AA3EC95}" xr6:coauthVersionLast="47" xr6:coauthVersionMax="47" xr10:uidLastSave="{00000000-0000-0000-0000-000000000000}"/>
  <bookViews>
    <workbookView xWindow="-110" yWindow="-110" windowWidth="19420" windowHeight="10300" activeTab="2" xr2:uid="{9DCD3C36-37A4-4FC2-B36A-3A6B12B39B02}"/>
  </bookViews>
  <sheets>
    <sheet name="1.1 Quantity of sludge" sheetId="1" r:id="rId1"/>
    <sheet name="1.2 Sludge thickening" sheetId="2" r:id="rId2"/>
    <sheet name="1.3 Stabilization by anaerobic" sheetId="3" r:id="rId3"/>
    <sheet name="Process flowchart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18" i="2" l="1"/>
  <c r="H7" i="3" l="1"/>
  <c r="H6" i="3"/>
  <c r="H5" i="3"/>
  <c r="H4" i="3"/>
  <c r="H3" i="3"/>
  <c r="B10" i="3"/>
  <c r="B9" i="3"/>
  <c r="B8" i="3"/>
  <c r="B7" i="3"/>
  <c r="B43" i="3"/>
  <c r="B42" i="3"/>
  <c r="B39" i="3"/>
  <c r="B38" i="3"/>
  <c r="B37" i="3"/>
  <c r="B36" i="3"/>
  <c r="B35" i="3"/>
  <c r="B46" i="1"/>
  <c r="B27" i="3" l="1"/>
  <c r="B32" i="3" s="1"/>
  <c r="B31" i="3"/>
  <c r="B21" i="3"/>
  <c r="B22" i="3"/>
  <c r="B23" i="3" s="1"/>
  <c r="B19" i="3"/>
  <c r="B18" i="3"/>
  <c r="B28" i="3" l="1"/>
  <c r="G7" i="2" l="1"/>
  <c r="G5" i="2"/>
  <c r="G3" i="2"/>
  <c r="B9" i="2"/>
  <c r="B8" i="2"/>
  <c r="B7" i="2"/>
  <c r="B6" i="2"/>
  <c r="B3" i="2"/>
  <c r="B56" i="2"/>
  <c r="B53" i="2"/>
  <c r="B17" i="2"/>
  <c r="B16" i="2"/>
  <c r="B4" i="1" l="1"/>
  <c r="B3" i="1"/>
  <c r="B47" i="1" l="1"/>
  <c r="B42" i="1"/>
  <c r="B40" i="1"/>
  <c r="B39" i="1"/>
  <c r="B5" i="1" l="1"/>
  <c r="B35" i="1"/>
  <c r="B34" i="1"/>
  <c r="B33" i="1"/>
  <c r="B32" i="1"/>
  <c r="B30" i="1"/>
  <c r="B29" i="1"/>
  <c r="B27" i="1"/>
  <c r="B26" i="1"/>
  <c r="B25" i="1"/>
  <c r="B24" i="1"/>
  <c r="B23" i="1"/>
  <c r="B22" i="1"/>
  <c r="B19" i="1"/>
  <c r="B19" i="2" l="1"/>
  <c r="B4" i="2" s="1"/>
  <c r="B40" i="2"/>
  <c r="B54" i="2" l="1"/>
  <c r="B42" i="2"/>
  <c r="B43" i="2" s="1"/>
  <c r="B57" i="2" l="1"/>
  <c r="G6" i="2"/>
  <c r="G8" i="2" l="1"/>
  <c r="B58" i="2"/>
</calcChain>
</file>

<file path=xl/sharedStrings.xml><?xml version="1.0" encoding="utf-8"?>
<sst xmlns="http://schemas.openxmlformats.org/spreadsheetml/2006/main" count="235" uniqueCount="179">
  <si>
    <t>Table 1. The quantity of sludge</t>
  </si>
  <si>
    <t>Value</t>
  </si>
  <si>
    <t>Total solids in the influent sludge (kgTS/d)</t>
  </si>
  <si>
    <t>Total solids concentration in the influent sludge (%)</t>
  </si>
  <si>
    <t>Sludge volumetric loading (m3/d)</t>
  </si>
  <si>
    <t>*Calculation of total solid</t>
  </si>
  <si>
    <t>Suspended solid from primary settling</t>
  </si>
  <si>
    <t>kg/d</t>
  </si>
  <si>
    <t>Sludge from secondary settling</t>
  </si>
  <si>
    <t>(From project work 2, section 4.4 Primary Settling)</t>
  </si>
  <si>
    <t>(From project work 2, section 4.6.2 Aerobic stage)</t>
  </si>
  <si>
    <t>Qd</t>
  </si>
  <si>
    <t>m3/d</t>
  </si>
  <si>
    <t>(Daily design flowrate in wastewater plant)</t>
  </si>
  <si>
    <t>Molar mass of Fe3+</t>
  </si>
  <si>
    <t>g/mol</t>
  </si>
  <si>
    <t>Molar mass of OH-</t>
  </si>
  <si>
    <t>Molar mass of H2PO4-</t>
  </si>
  <si>
    <t>Influent P-tot</t>
  </si>
  <si>
    <t>mg/L</t>
  </si>
  <si>
    <t>Effluent P-tot</t>
  </si>
  <si>
    <t>(From project work 2, section 4.8 Chemical precipitation of P)</t>
  </si>
  <si>
    <t>Amount of P removed</t>
  </si>
  <si>
    <t xml:space="preserve">Based on the reaction </t>
  </si>
  <si>
    <t>1 mol of P-removed will form 1 mol of precipitation</t>
  </si>
  <si>
    <t>Mol of P-removed</t>
  </si>
  <si>
    <t>Molar mass of P</t>
  </si>
  <si>
    <t>g/m3</t>
  </si>
  <si>
    <t>Mol of precipitation</t>
  </si>
  <si>
    <t>mol/m3</t>
  </si>
  <si>
    <t>Mass of precipitation</t>
  </si>
  <si>
    <t>Mass of precipitation per day</t>
  </si>
  <si>
    <t>g/d</t>
  </si>
  <si>
    <t>Amount of reacting Fe</t>
  </si>
  <si>
    <t>(This is the amount of Fe in the reaction</t>
  </si>
  <si>
    <t>Fe3+ dosage</t>
  </si>
  <si>
    <t>(From project work 2, section 4.8 Chemical precipitation of P. This is the amount of Fe that were added)</t>
  </si>
  <si>
    <t>Mol of Fe3+ dosage</t>
  </si>
  <si>
    <t>Mol of Fe that are not reacted in P-removal</t>
  </si>
  <si>
    <t>The amount of Fe that are not reacted in P-removal will form Fe(OH)3. The mol of Fe(OH)3 will be equal to the mol  of those Fe that are not reacted. Hence, the mass of Fe(OH)3 will be:</t>
  </si>
  <si>
    <t>m_Fe(OH)3</t>
  </si>
  <si>
    <t>m_Fe(OH)3 per day</t>
  </si>
  <si>
    <t>The total amount of solid at this stage</t>
  </si>
  <si>
    <t>Influent BOD</t>
  </si>
  <si>
    <t>Effluent BOD</t>
  </si>
  <si>
    <t>BOD removed</t>
  </si>
  <si>
    <t>(From project 2, section 1.3 Quality and loading rate)</t>
  </si>
  <si>
    <t>(From project 2, section 2 Discharge limit)</t>
  </si>
  <si>
    <t>BOD removed per day</t>
  </si>
  <si>
    <t>Ratio of TS/BOD-removed</t>
  </si>
  <si>
    <t>(OK. This is in the typical range of 1-1.6 kgTS/kg BOD-removed)</t>
  </si>
  <si>
    <t>Solid content</t>
  </si>
  <si>
    <t>%</t>
  </si>
  <si>
    <t>Sludge density</t>
  </si>
  <si>
    <t>kg/L</t>
  </si>
  <si>
    <t>Amount of sludge</t>
  </si>
  <si>
    <t>Table 2. Design parameter of thickener</t>
  </si>
  <si>
    <t>Solid loading rate in the thickener (kgTS/(m2*d))</t>
  </si>
  <si>
    <t>Hydraulic loading rate in the thickener (m3/(m2*d))</t>
  </si>
  <si>
    <t>Number of thickeners</t>
  </si>
  <si>
    <t>Surface area (m2)</t>
  </si>
  <si>
    <t>Diameter (per thickener, m)</t>
  </si>
  <si>
    <t>Depth of sludge (m)</t>
  </si>
  <si>
    <t>Volume (m3)</t>
  </si>
  <si>
    <t>Table 3. The mass balance of the thickener</t>
  </si>
  <si>
    <t>Solids in the effluent sludge (kgTS/d)</t>
  </si>
  <si>
    <t>Solid content in the effluent sludge (%)</t>
  </si>
  <si>
    <t>Effluent sludge flowrate (m3/d)</t>
  </si>
  <si>
    <t>Reject water flowrate (m3/d)</t>
  </si>
  <si>
    <t>Reject water solids content (g/L)</t>
  </si>
  <si>
    <t>Reject water solids loading (kg/d)</t>
  </si>
  <si>
    <t>Solid loading rate</t>
  </si>
  <si>
    <t>kgTS/(m2*d)</t>
  </si>
  <si>
    <t>Depth</t>
  </si>
  <si>
    <t>m</t>
  </si>
  <si>
    <t>(Selecting from the range 40-80 kgTS/(m2*d) from the instruction)</t>
  </si>
  <si>
    <t>Choosing from the range 3-5m as in the instruction)</t>
  </si>
  <si>
    <t>Diameter</t>
  </si>
  <si>
    <t>(Diameter is selected from value which are less than 10m)</t>
  </si>
  <si>
    <t>Area</t>
  </si>
  <si>
    <t>m2</t>
  </si>
  <si>
    <t>Volume</t>
  </si>
  <si>
    <t>m3</t>
  </si>
  <si>
    <t>Hydraulic loading</t>
  </si>
  <si>
    <t>Influent flowrate</t>
  </si>
  <si>
    <t>(The flowrate is divided by 2 so as to fulfill the requirement of hydraulic loading rate. This means there will be 2 thickener in the process)</t>
  </si>
  <si>
    <t>(OK. In typical range of 6-12)</t>
  </si>
  <si>
    <t>*Design of thickener</t>
  </si>
  <si>
    <t>*Calculation of effluent sludge flowrate and reject water flowrate</t>
  </si>
  <si>
    <t>TS, reject water</t>
  </si>
  <si>
    <t>g/L</t>
  </si>
  <si>
    <t>TS, sludge in</t>
  </si>
  <si>
    <t>TS, thickened sludge</t>
  </si>
  <si>
    <t xml:space="preserve">roo, sludge in </t>
  </si>
  <si>
    <t>roo, thickened sludge</t>
  </si>
  <si>
    <t>kg/m3</t>
  </si>
  <si>
    <t>Q in</t>
  </si>
  <si>
    <t>Mass solid 1</t>
  </si>
  <si>
    <t>TS, 1</t>
  </si>
  <si>
    <t>We have a mass balance equation</t>
  </si>
  <si>
    <t>Q,1 = Q, reject + Q, thickened sludge  =&gt; Q,reject = Q,1 - Q, thickened sludge = 516.07 - Q, thickened sludge</t>
  </si>
  <si>
    <t>Solids are distributed between reject water and thickened sludge.</t>
  </si>
  <si>
    <t>TS,1 = TS, reject + TS, thickened sludge</t>
  </si>
  <si>
    <t>0.025 * 1020 kg/m3 * 516.07 m3/d = 1 kg/m3 * Q, reject m3/d + 0.04 * 1020 kg/m3 * Q, thickened sludge m3/d</t>
  </si>
  <si>
    <t>0.025 * 1020 * 516.07 = 1 * (516.07 - Q, thickened sludge) + 0.04 * 1020 * Q, thickened sludge</t>
  </si>
  <si>
    <t>13159.79 = 516.07 - Q,thickened sludge + 40.8 * Q, thickened sludge</t>
  </si>
  <si>
    <t>12643. 72 =39.8 * Q, thickened sludge</t>
  </si>
  <si>
    <t>Q, thickened sludge</t>
  </si>
  <si>
    <t>Q, reject</t>
  </si>
  <si>
    <t>TS, reject</t>
  </si>
  <si>
    <t>Total</t>
  </si>
  <si>
    <t>(This is calculated by Q, reject * TS, reject = Q, reject * 1 = Q, reject)</t>
  </si>
  <si>
    <t>m3/(m2*d)</t>
  </si>
  <si>
    <t>Table 4. The input values to design anaerobic digestion</t>
  </si>
  <si>
    <t>Temperature (oC)</t>
  </si>
  <si>
    <t>Influent bCOD (g/m3)</t>
  </si>
  <si>
    <t>Effluent bCOD (g/m3)</t>
  </si>
  <si>
    <t>Safety factor</t>
  </si>
  <si>
    <t>Y</t>
  </si>
  <si>
    <t>K_s</t>
  </si>
  <si>
    <t>μ_m</t>
  </si>
  <si>
    <t>k_d</t>
  </si>
  <si>
    <t>Table 5. The design parameters of anaerobic digestion</t>
  </si>
  <si>
    <t>Sludge retention time (d)</t>
  </si>
  <si>
    <t>Volume of reactor (m3)</t>
  </si>
  <si>
    <t>Px (kg/d)</t>
  </si>
  <si>
    <t>Methane production (m3/d)</t>
  </si>
  <si>
    <t>Km driven with biogas produced (km)</t>
  </si>
  <si>
    <t>* Selection of input value to design anaerobic digestion</t>
  </si>
  <si>
    <t>g VSS/g COD</t>
  </si>
  <si>
    <t>(Solid yields, from table 27-13 Davis 2010)</t>
  </si>
  <si>
    <t>(Half velocity constant, from table 27-13 Davis 2010)</t>
  </si>
  <si>
    <t>(Max specific growth rate, table 27-13 Davis 2010)</t>
  </si>
  <si>
    <t>(Decay coefficient, table 27-13 Davis 2010)</t>
  </si>
  <si>
    <t>g/(g*d)</t>
  </si>
  <si>
    <t>bCOD_influent</t>
  </si>
  <si>
    <t>bCOD_effluent</t>
  </si>
  <si>
    <t>1/θc</t>
  </si>
  <si>
    <t>d^-1</t>
  </si>
  <si>
    <t>θc</t>
  </si>
  <si>
    <t>d</t>
  </si>
  <si>
    <t>(Equation 27-23 in Davis 2010)</t>
  </si>
  <si>
    <t>By using equation 27-23 in Davis 2010, the solid retention time (SRT) is calculated</t>
  </si>
  <si>
    <t>θc (with safety factor)</t>
  </si>
  <si>
    <t>(Assuming safety factor = 5 as in example 27-6 in Davis 2010)</t>
  </si>
  <si>
    <t>By comparing the SRT with table 18-15 for the requirement of process to significantly reduce pathogens (PSRP), we</t>
  </si>
  <si>
    <t>could see that the SRT exceeds the PSRP as typical value for SRT at 35oC is 15 days.</t>
  </si>
  <si>
    <t>Volume of digester</t>
  </si>
  <si>
    <t>Sludge volumetric loading</t>
  </si>
  <si>
    <t>Q_sludge in</t>
  </si>
  <si>
    <t>* Estimating the mass of biological solids synthesized</t>
  </si>
  <si>
    <t>Y_obs</t>
  </si>
  <si>
    <t>kg MLVSS/kg BOD5 removed</t>
  </si>
  <si>
    <t>(Observed yield, equation 23-37 Davis 2010)</t>
  </si>
  <si>
    <t>Px</t>
  </si>
  <si>
    <t>(Equation 23-38, net waste activated sludge produced each day in terms of VSS)</t>
  </si>
  <si>
    <t>* Estimating methane production</t>
  </si>
  <si>
    <t>(This is the amount of sludge after thickening and from 1 thickener)</t>
  </si>
  <si>
    <t>(Selecting from range 0.5-3% from the instruction)</t>
  </si>
  <si>
    <t>CH4 equivalent of COD converted</t>
  </si>
  <si>
    <t>L/g COD</t>
  </si>
  <si>
    <t>(Equation 27-22 in Davis 2010. This is the amount of CH4 equivalent of COD converted under anaerobic condition)</t>
  </si>
  <si>
    <t>Actual gas production</t>
  </si>
  <si>
    <t>L CH4/g COD</t>
  </si>
  <si>
    <t>Methane production</t>
  </si>
  <si>
    <t>Biogas production</t>
  </si>
  <si>
    <t>(As in the instruction the biogas contain 65% of CH4)</t>
  </si>
  <si>
    <t>Consumption of 1 vehicle</t>
  </si>
  <si>
    <t>Total biogas production</t>
  </si>
  <si>
    <t>kg biogas/km</t>
  </si>
  <si>
    <t>(As in the instruction, 1 vehicle consumes 4.6 kg biogas/100 km)</t>
  </si>
  <si>
    <t>Biogas density</t>
  </si>
  <si>
    <t>(Source: Teferra, D. M., Wubu, W. (2018). Biogas for Clean Energy. IntechOpen. DOI: 10.5772/intechopen.79534)</t>
  </si>
  <si>
    <t>Amount of biogas</t>
  </si>
  <si>
    <t>Amount of km that a vehicle can travel</t>
  </si>
  <si>
    <t>km/d</t>
  </si>
  <si>
    <t>(Based on equation 27-24 in Davis 2010)</t>
  </si>
  <si>
    <t>(V = Q*t. This is volume of 1 digester)</t>
  </si>
  <si>
    <t>(This is total amount of biogas produced from 2 digesters in this project work)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</si>
</sst>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0" fillId="0" borderId="4" xfId="0" applyBorder="1"/>
    <xf numFmtId="0" fontId="0" fillId="0" borderId="6" xfId="0" applyBorder="1"/>
    <xf numFmtId="0" fontId="0" fillId="0" borderId="0" xfId="0" applyBorder="1"/>
    <xf numFmtId="0" fontId="1" fillId="0" borderId="2" xfId="0" applyFont="1" applyBorder="1"/>
    <xf numFmtId="0" fontId="1" fillId="0" borderId="0" xfId="0" applyFont="1"/>
    <xf numFmtId="2" fontId="0" fillId="0" borderId="0" xfId="0" applyNumberFormat="1"/>
    <xf numFmtId="2" fontId="1" fillId="0" borderId="0" xfId="0" applyNumberFormat="1" applyFont="1"/>
    <xf numFmtId="0" fontId="1" fillId="0" borderId="0" xfId="0" applyNumberFormat="1" applyFont="1"/>
    <xf numFmtId="2" fontId="0" fillId="0" borderId="0" xfId="0" applyNumberFormat="1" applyFont="1"/>
    <xf numFmtId="0" fontId="0" fillId="0" borderId="0" xfId="0" applyFont="1"/>
    <xf numFmtId="2" fontId="0" fillId="0" borderId="4" xfId="0" applyNumberFormat="1" applyBorder="1"/>
    <xf numFmtId="2" fontId="0" fillId="0" borderId="6" xfId="0" applyNumberFormat="1" applyBorder="1"/>
    <xf numFmtId="0" fontId="1" fillId="0" borderId="3" xfId="0" applyFont="1" applyBorder="1"/>
    <xf numFmtId="0" fontId="1" fillId="0" borderId="5" xfId="0" applyFont="1" applyBorder="1"/>
    <xf numFmtId="0" fontId="2" fillId="0" borderId="0" xfId="0" applyFont="1" applyFill="1" applyBorder="1"/>
    <xf numFmtId="164" fontId="0" fillId="0" borderId="0" xfId="0" applyNumberFormat="1"/>
    <xf numFmtId="0" fontId="3" fillId="0" borderId="3" xfId="0" applyFont="1" applyBorder="1"/>
    <xf numFmtId="0" fontId="3" fillId="0" borderId="5" xfId="0" applyFont="1" applyBorder="1"/>
    <xf numFmtId="0" fontId="3" fillId="0" borderId="0" xfId="0" applyFont="1" applyBorder="1"/>
    <xf numFmtId="0" fontId="3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1333501</xdr:colOff>
      <xdr:row>19</xdr:row>
      <xdr:rowOff>5409</xdr:rowOff>
    </xdr:from>
    <xdr:to>
      <xdr:col>1</xdr:col>
      <xdr:colOff>171450</xdr:colOff>
      <xdr:row>19</xdr:row>
      <xdr:rowOff>182573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7883CA6-53FB-4DD2-8F70-9584A47E56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01" y="3516959"/>
          <a:ext cx="2298699" cy="177164"/>
        </a:xfrm>
        <a:prstGeom prst="rect">
          <a:avLst/>
        </a:prstGeom>
      </xdr:spPr>
    </xdr:pic>
    <xdr:clientData/>
  </xdr:twoCellAnchor>
  <xdr:twoCellAnchor editAs="oneCell">
    <xdr:from>
      <xdr:col>7</xdr:col>
      <xdr:colOff>539750</xdr:colOff>
      <xdr:row>26</xdr:row>
      <xdr:rowOff>12700</xdr:rowOff>
    </xdr:from>
    <xdr:to>
      <xdr:col>11</xdr:col>
      <xdr:colOff>400049</xdr:colOff>
      <xdr:row>27</xdr:row>
      <xdr:rowOff>5714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B66CDC5-6B1B-4A74-8731-1A1FCFF02F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59800" y="4813300"/>
          <a:ext cx="2298699" cy="17716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6350</xdr:colOff>
      <xdr:row>22</xdr:row>
      <xdr:rowOff>6350</xdr:rowOff>
    </xdr:from>
    <xdr:to>
      <xdr:col>3</xdr:col>
      <xdr:colOff>190501</xdr:colOff>
      <xdr:row>31</xdr:row>
      <xdr:rowOff>38100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7837A5FE-4D9B-41DB-BBE0-3DEFB98FD9CD}"/>
            </a:ext>
          </a:extLst>
        </xdr:cNvPr>
        <xdr:cNvGrpSpPr/>
      </xdr:nvGrpSpPr>
      <xdr:grpSpPr>
        <a:xfrm>
          <a:off x="6350" y="4046538"/>
          <a:ext cx="6073776" cy="1674812"/>
          <a:chOff x="14297122" y="5452019"/>
          <a:chExt cx="6068506" cy="1707156"/>
        </a:xfrm>
      </xdr:grpSpPr>
      <xdr:sp macro="" textlink="">
        <xdr:nvSpPr>
          <xdr:cNvPr id="3" name="Rectangle 13">
            <a:extLst>
              <a:ext uri="{FF2B5EF4-FFF2-40B4-BE49-F238E27FC236}">
                <a16:creationId xmlns:a16="http://schemas.microsoft.com/office/drawing/2014/main" id="{4ED3BDC2-6ADA-4BC4-84C2-9A436526760D}"/>
              </a:ext>
            </a:extLst>
          </xdr:cNvPr>
          <xdr:cNvSpPr/>
        </xdr:nvSpPr>
        <xdr:spPr>
          <a:xfrm>
            <a:off x="14297122" y="5452019"/>
            <a:ext cx="1851585" cy="810558"/>
          </a:xfrm>
          <a:prstGeom prst="rect">
            <a:avLst/>
          </a:prstGeom>
          <a:solidFill>
            <a:sysClr val="window" lastClr="FFFFFF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fi-FI" sz="1100">
                <a:solidFill>
                  <a:sysClr val="windowText" lastClr="000000"/>
                </a:solidFill>
              </a:rPr>
              <a:t>Sludge to thickening:</a:t>
            </a:r>
          </a:p>
          <a:p>
            <a:pPr algn="l"/>
            <a:r>
              <a:rPr lang="fi-FI" sz="1100">
                <a:solidFill>
                  <a:sysClr val="windowText" lastClr="000000"/>
                </a:solidFill>
              </a:rPr>
              <a:t>Q = 516.07 m3/d</a:t>
            </a:r>
          </a:p>
          <a:p>
            <a:pPr algn="l"/>
            <a:r>
              <a:rPr lang="fi-FI" sz="1100">
                <a:solidFill>
                  <a:sysClr val="windowText" lastClr="000000"/>
                </a:solidFill>
              </a:rPr>
              <a:t>roo</a:t>
            </a:r>
            <a:r>
              <a:rPr lang="fi-FI" sz="1100" baseline="0">
                <a:solidFill>
                  <a:sysClr val="windowText" lastClr="000000"/>
                </a:solidFill>
              </a:rPr>
              <a:t> = 1020 kg/m3</a:t>
            </a:r>
          </a:p>
          <a:p>
            <a:pPr algn="l"/>
            <a:r>
              <a:rPr lang="fi-FI" sz="1100" baseline="0">
                <a:solidFill>
                  <a:sysClr val="windowText" lastClr="000000"/>
                </a:solidFill>
              </a:rPr>
              <a:t>TS = 2,5 m-%</a:t>
            </a:r>
            <a:endParaRPr lang="en-FI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" name="Rectangle 14">
            <a:extLst>
              <a:ext uri="{FF2B5EF4-FFF2-40B4-BE49-F238E27FC236}">
                <a16:creationId xmlns:a16="http://schemas.microsoft.com/office/drawing/2014/main" id="{B1E8FAAC-68C7-410A-805F-F77A866AE67E}"/>
              </a:ext>
            </a:extLst>
          </xdr:cNvPr>
          <xdr:cNvSpPr/>
        </xdr:nvSpPr>
        <xdr:spPr>
          <a:xfrm>
            <a:off x="17006581" y="5539258"/>
            <a:ext cx="1152337" cy="613131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fi-FI" sz="1100"/>
              <a:t>Gravity</a:t>
            </a:r>
            <a:r>
              <a:rPr lang="fi-FI" sz="1100" baseline="0"/>
              <a:t> thickener</a:t>
            </a:r>
            <a:endParaRPr lang="fi-FI" sz="1100"/>
          </a:p>
        </xdr:txBody>
      </xdr:sp>
      <xdr:sp macro="" textlink="">
        <xdr:nvSpPr>
          <xdr:cNvPr id="5" name="Rectangle 15">
            <a:extLst>
              <a:ext uri="{FF2B5EF4-FFF2-40B4-BE49-F238E27FC236}">
                <a16:creationId xmlns:a16="http://schemas.microsoft.com/office/drawing/2014/main" id="{CCEDBF92-CE31-40CF-B13F-C23CF55E34A6}"/>
              </a:ext>
            </a:extLst>
          </xdr:cNvPr>
          <xdr:cNvSpPr/>
        </xdr:nvSpPr>
        <xdr:spPr>
          <a:xfrm>
            <a:off x="19034777" y="5520072"/>
            <a:ext cx="1330851" cy="613131"/>
          </a:xfrm>
          <a:prstGeom prst="rect">
            <a:avLst/>
          </a:prstGeom>
          <a:solidFill>
            <a:sysClr val="window" lastClr="FFFFFF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fi-FI" sz="1100">
                <a:solidFill>
                  <a:sysClr val="windowText" lastClr="000000"/>
                </a:solidFill>
              </a:rPr>
              <a:t>Thickened sludge</a:t>
            </a:r>
            <a:endParaRPr lang="fi-FI" sz="1100">
              <a:solidFill>
                <a:schemeClr val="lt1"/>
              </a:solidFill>
              <a:effectLst/>
              <a:latin typeface="+mn-lt"/>
              <a:ea typeface="+mn-ea"/>
              <a:cs typeface="+mn-cs"/>
            </a:endParaRPr>
          </a:p>
          <a:p>
            <a:pPr algn="l"/>
            <a:r>
              <a:rPr lang="fi-FI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roo</a:t>
            </a:r>
            <a:r>
              <a:rPr lang="fi-FI" sz="1100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 =</a:t>
            </a:r>
            <a:r>
              <a:rPr lang="fi-FI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 1020 kg/m3</a:t>
            </a:r>
            <a:endParaRPr lang="fi-FI" sz="1100" baseline="0">
              <a:solidFill>
                <a:sysClr val="windowText" lastClr="000000"/>
              </a:solidFill>
            </a:endParaRP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fi-FI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TS = 4 m-%</a:t>
            </a:r>
          </a:p>
        </xdr:txBody>
      </xdr:sp>
      <xdr:sp macro="" textlink="">
        <xdr:nvSpPr>
          <xdr:cNvPr id="6" name="Rectangle 16">
            <a:extLst>
              <a:ext uri="{FF2B5EF4-FFF2-40B4-BE49-F238E27FC236}">
                <a16:creationId xmlns:a16="http://schemas.microsoft.com/office/drawing/2014/main" id="{2D8CA082-F8B9-4967-8256-187E7D086043}"/>
              </a:ext>
            </a:extLst>
          </xdr:cNvPr>
          <xdr:cNvSpPr/>
        </xdr:nvSpPr>
        <xdr:spPr>
          <a:xfrm>
            <a:off x="16894809" y="6541553"/>
            <a:ext cx="1404469" cy="617622"/>
          </a:xfrm>
          <a:prstGeom prst="rect">
            <a:avLst/>
          </a:prstGeom>
          <a:solidFill>
            <a:sysClr val="window" lastClr="FFFFFF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fi-FI" sz="1100">
                <a:solidFill>
                  <a:sysClr val="windowText" lastClr="000000"/>
                </a:solidFill>
              </a:rPr>
              <a:t>Reject water</a:t>
            </a:r>
          </a:p>
          <a:p>
            <a:pPr algn="l"/>
            <a:r>
              <a:rPr lang="fi-FI" sz="1100">
                <a:solidFill>
                  <a:sysClr val="windowText" lastClr="000000"/>
                </a:solidFill>
              </a:rPr>
              <a:t>TS = 1 g/L = 1 kg/m3</a:t>
            </a:r>
          </a:p>
          <a:p>
            <a:pPr algn="l"/>
            <a:endParaRPr lang="en-FI" sz="1100"/>
          </a:p>
        </xdr:txBody>
      </xdr:sp>
      <xdr:cxnSp macro="">
        <xdr:nvCxnSpPr>
          <xdr:cNvPr id="7" name="Straight Arrow Connector 17">
            <a:extLst>
              <a:ext uri="{FF2B5EF4-FFF2-40B4-BE49-F238E27FC236}">
                <a16:creationId xmlns:a16="http://schemas.microsoft.com/office/drawing/2014/main" id="{08943E1D-3448-4B51-9AA2-6881E1E1445C}"/>
              </a:ext>
            </a:extLst>
          </xdr:cNvPr>
          <xdr:cNvCxnSpPr>
            <a:stCxn id="3" idx="3"/>
            <a:endCxn id="4" idx="1"/>
          </xdr:cNvCxnSpPr>
        </xdr:nvCxnSpPr>
        <xdr:spPr>
          <a:xfrm flipV="1">
            <a:off x="16148707" y="5845823"/>
            <a:ext cx="857874" cy="11475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" name="Straight Arrow Connector 18">
            <a:extLst>
              <a:ext uri="{FF2B5EF4-FFF2-40B4-BE49-F238E27FC236}">
                <a16:creationId xmlns:a16="http://schemas.microsoft.com/office/drawing/2014/main" id="{D95ED60E-9D93-4650-8A83-74648C0CEC59}"/>
              </a:ext>
            </a:extLst>
          </xdr:cNvPr>
          <xdr:cNvCxnSpPr>
            <a:stCxn id="4" idx="3"/>
            <a:endCxn id="5" idx="1"/>
          </xdr:cNvCxnSpPr>
        </xdr:nvCxnSpPr>
        <xdr:spPr>
          <a:xfrm flipV="1">
            <a:off x="18158918" y="5826637"/>
            <a:ext cx="875860" cy="19186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" name="Straight Arrow Connector 18">
            <a:extLst>
              <a:ext uri="{FF2B5EF4-FFF2-40B4-BE49-F238E27FC236}">
                <a16:creationId xmlns:a16="http://schemas.microsoft.com/office/drawing/2014/main" id="{8F760794-2B43-440E-BF3B-CAB5E3F11923}"/>
              </a:ext>
            </a:extLst>
          </xdr:cNvPr>
          <xdr:cNvCxnSpPr>
            <a:stCxn id="4" idx="2"/>
          </xdr:cNvCxnSpPr>
        </xdr:nvCxnSpPr>
        <xdr:spPr>
          <a:xfrm>
            <a:off x="17582749" y="6152389"/>
            <a:ext cx="10927" cy="395578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171450</xdr:colOff>
      <xdr:row>10</xdr:row>
      <xdr:rowOff>19050</xdr:rowOff>
    </xdr:from>
    <xdr:to>
      <xdr:col>13</xdr:col>
      <xdr:colOff>393032</xdr:colOff>
      <xdr:row>39</xdr:row>
      <xdr:rowOff>126052</xdr:rowOff>
    </xdr:to>
    <xdr:pic>
      <xdr:nvPicPr>
        <xdr:cNvPr id="2" name="Picture 29">
          <a:extLst>
            <a:ext uri="{FF2B5EF4-FFF2-40B4-BE49-F238E27FC236}">
              <a16:creationId xmlns:a16="http://schemas.microsoft.com/office/drawing/2014/main" id="{184AF06C-CE39-4D80-A701-DF18E66135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13700" y="1879600"/>
          <a:ext cx="4526882" cy="5447352"/>
        </a:xfrm>
        <a:prstGeom prst="rect">
          <a:avLst/>
        </a:prstGeom>
      </xdr:spPr>
    </xdr:pic>
    <xdr:clientData/>
  </xdr:twoCellAnchor>
  <xdr:twoCellAnchor editAs="oneCell">
    <xdr:from>
      <xdr:col>7</xdr:col>
      <xdr:colOff>120651</xdr:colOff>
      <xdr:row>41</xdr:row>
      <xdr:rowOff>63501</xdr:rowOff>
    </xdr:from>
    <xdr:to>
      <xdr:col>10</xdr:col>
      <xdr:colOff>234951</xdr:colOff>
      <xdr:row>49</xdr:row>
      <xdr:rowOff>139701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0D07821-C7B1-4C66-B76D-4A4DF2FBF7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962901" y="7632701"/>
          <a:ext cx="2590800" cy="1549400"/>
        </a:xfrm>
        <a:prstGeom prst="rect">
          <a:avLst/>
        </a:prstGeom>
      </xdr:spPr>
    </xdr:pic>
    <xdr:clientData/>
  </xdr:twoCellAnchor>
  <xdr:twoCellAnchor editAs="oneCell">
    <xdr:from>
      <xdr:col>7</xdr:col>
      <xdr:colOff>1</xdr:colOff>
      <xdr:row>67</xdr:row>
      <xdr:rowOff>0</xdr:rowOff>
    </xdr:from>
    <xdr:to>
      <xdr:col>10</xdr:col>
      <xdr:colOff>520701</xdr:colOff>
      <xdr:row>70</xdr:row>
      <xdr:rowOff>148535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EF565DF7-C322-4862-A4F6-A695C464E1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033001" y="12357100"/>
          <a:ext cx="2997200" cy="700985"/>
        </a:xfrm>
        <a:prstGeom prst="rect">
          <a:avLst/>
        </a:prstGeom>
      </xdr:spPr>
    </xdr:pic>
    <xdr:clientData/>
  </xdr:twoCellAnchor>
  <xdr:twoCellAnchor editAs="oneCell">
    <xdr:from>
      <xdr:col>7</xdr:col>
      <xdr:colOff>6350</xdr:colOff>
      <xdr:row>72</xdr:row>
      <xdr:rowOff>6350</xdr:rowOff>
    </xdr:from>
    <xdr:to>
      <xdr:col>10</xdr:col>
      <xdr:colOff>527050</xdr:colOff>
      <xdr:row>77</xdr:row>
      <xdr:rowOff>330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4E98D456-C2CA-43A2-AF6E-2614C945A8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039350" y="13284200"/>
          <a:ext cx="2997200" cy="914730"/>
        </a:xfrm>
        <a:prstGeom prst="rect">
          <a:avLst/>
        </a:prstGeom>
      </xdr:spPr>
    </xdr:pic>
    <xdr:clientData/>
  </xdr:twoCellAnchor>
  <xdr:twoCellAnchor editAs="oneCell">
    <xdr:from>
      <xdr:col>7</xdr:col>
      <xdr:colOff>25400</xdr:colOff>
      <xdr:row>77</xdr:row>
      <xdr:rowOff>177800</xdr:rowOff>
    </xdr:from>
    <xdr:to>
      <xdr:col>10</xdr:col>
      <xdr:colOff>216493</xdr:colOff>
      <xdr:row>81</xdr:row>
      <xdr:rowOff>177800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9E70687C-B0D2-4C51-A4C8-EE7E7A1F15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2661900" y="14376400"/>
          <a:ext cx="2667593" cy="7366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83</xdr:row>
      <xdr:rowOff>1</xdr:rowOff>
    </xdr:from>
    <xdr:to>
      <xdr:col>10</xdr:col>
      <xdr:colOff>357564</xdr:colOff>
      <xdr:row>90</xdr:row>
      <xdr:rowOff>177801</xdr:rowOff>
    </xdr:to>
    <xdr:pic>
      <xdr:nvPicPr>
        <xdr:cNvPr id="8" name="Picture 51">
          <a:extLst>
            <a:ext uri="{FF2B5EF4-FFF2-40B4-BE49-F238E27FC236}">
              <a16:creationId xmlns:a16="http://schemas.microsoft.com/office/drawing/2014/main" id="{61960C4E-C6CF-4EB9-9735-EBB1429BA4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3036550" y="15303501"/>
          <a:ext cx="2834064" cy="146685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51</xdr:row>
      <xdr:rowOff>1</xdr:rowOff>
    </xdr:from>
    <xdr:to>
      <xdr:col>17</xdr:col>
      <xdr:colOff>0</xdr:colOff>
      <xdr:row>65</xdr:row>
      <xdr:rowOff>114893</xdr:rowOff>
    </xdr:to>
    <xdr:grpSp>
      <xdr:nvGrpSpPr>
        <xdr:cNvPr id="10" name="Group 9">
          <a:extLst>
            <a:ext uri="{FF2B5EF4-FFF2-40B4-BE49-F238E27FC236}">
              <a16:creationId xmlns:a16="http://schemas.microsoft.com/office/drawing/2014/main" id="{EC2ED5F2-04E2-4243-A6D7-52751E735C06}"/>
            </a:ext>
          </a:extLst>
        </xdr:cNvPr>
        <xdr:cNvGrpSpPr/>
      </xdr:nvGrpSpPr>
      <xdr:grpSpPr>
        <a:xfrm>
          <a:off x="13041313" y="9334501"/>
          <a:ext cx="6754812" cy="2670767"/>
          <a:chOff x="13036550" y="9410701"/>
          <a:chExt cx="6743700" cy="2692992"/>
        </a:xfrm>
      </xdr:grpSpPr>
      <xdr:pic>
        <xdr:nvPicPr>
          <xdr:cNvPr id="4" name="Picture 3">
            <a:extLst>
              <a:ext uri="{FF2B5EF4-FFF2-40B4-BE49-F238E27FC236}">
                <a16:creationId xmlns:a16="http://schemas.microsoft.com/office/drawing/2014/main" id="{B684A0E9-BE1A-4BD6-AB2E-71A6281F6D64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/>
          <a:stretch>
            <a:fillRect/>
          </a:stretch>
        </xdr:blipFill>
        <xdr:spPr>
          <a:xfrm>
            <a:off x="13036550" y="9410701"/>
            <a:ext cx="6743700" cy="2692992"/>
          </a:xfrm>
          <a:prstGeom prst="rect">
            <a:avLst/>
          </a:prstGeom>
        </xdr:spPr>
      </xdr:pic>
      <xdr:sp macro="" textlink="">
        <xdr:nvSpPr>
          <xdr:cNvPr id="9" name="Rectangle 8">
            <a:extLst>
              <a:ext uri="{FF2B5EF4-FFF2-40B4-BE49-F238E27FC236}">
                <a16:creationId xmlns:a16="http://schemas.microsoft.com/office/drawing/2014/main" id="{3257010C-8407-41BB-8A3D-D3AC0081EDFA}"/>
              </a:ext>
            </a:extLst>
          </xdr:cNvPr>
          <xdr:cNvSpPr/>
        </xdr:nvSpPr>
        <xdr:spPr>
          <a:xfrm>
            <a:off x="13150850" y="10598150"/>
            <a:ext cx="6515100" cy="533400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FI" sz="1100"/>
          </a:p>
        </xdr:txBody>
      </xdr:sp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19</xdr:col>
      <xdr:colOff>184150</xdr:colOff>
      <xdr:row>30</xdr:row>
      <xdr:rowOff>140023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6FBA0AF-9B01-4281-B5C2-16DD1DF03C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1766550" cy="566452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EB327-510D-46B6-AA47-9194C9E76A62}">
  <dimension ref="A1:E47"/>
  <sheetViews>
    <sheetView zoomScale="80" zoomScaleNormal="80" workbookViewId="0">
      <selection activeCell="F9" sqref="F9"/>
    </sheetView>
  </sheetViews>
  <sheetFormatPr defaultRowHeight="14.5" x14ac:dyDescent="0.35"/>
  <cols>
    <col min="1" max="1" width="49.54296875" customWidth="1"/>
    <col min="2" max="2" width="21.6328125" customWidth="1"/>
  </cols>
  <sheetData>
    <row r="1" spans="1:5" ht="15" thickBot="1" x14ac:dyDescent="0.4">
      <c r="A1" s="6" t="s">
        <v>0</v>
      </c>
    </row>
    <row r="2" spans="1:5" x14ac:dyDescent="0.35">
      <c r="A2" s="1"/>
      <c r="B2" s="5" t="s">
        <v>1</v>
      </c>
    </row>
    <row r="3" spans="1:5" x14ac:dyDescent="0.35">
      <c r="A3" s="14" t="s">
        <v>2</v>
      </c>
      <c r="B3" s="12">
        <f>B35</f>
        <v>26319.501035170375</v>
      </c>
    </row>
    <row r="4" spans="1:5" x14ac:dyDescent="0.35">
      <c r="A4" s="14" t="s">
        <v>3</v>
      </c>
      <c r="B4" s="2">
        <f>B44</f>
        <v>2.5</v>
      </c>
    </row>
    <row r="5" spans="1:5" ht="15" thickBot="1" x14ac:dyDescent="0.4">
      <c r="A5" s="15" t="s">
        <v>4</v>
      </c>
      <c r="B5" s="13">
        <f>B47</f>
        <v>1032.1372954968774</v>
      </c>
    </row>
    <row r="6" spans="1:5" x14ac:dyDescent="0.35">
      <c r="A6" s="4"/>
      <c r="B6" s="4"/>
    </row>
    <row r="8" spans="1:5" x14ac:dyDescent="0.35">
      <c r="A8" s="6" t="s">
        <v>5</v>
      </c>
    </row>
    <row r="9" spans="1:5" x14ac:dyDescent="0.35">
      <c r="A9" s="6" t="s">
        <v>6</v>
      </c>
      <c r="B9" s="6">
        <v>18225</v>
      </c>
      <c r="C9" s="6" t="s">
        <v>7</v>
      </c>
      <c r="E9" t="s">
        <v>9</v>
      </c>
    </row>
    <row r="10" spans="1:5" x14ac:dyDescent="0.35">
      <c r="A10" s="6" t="s">
        <v>8</v>
      </c>
      <c r="B10" s="6">
        <v>2344.63</v>
      </c>
      <c r="C10" s="6" t="s">
        <v>7</v>
      </c>
      <c r="E10" t="s">
        <v>10</v>
      </c>
    </row>
    <row r="12" spans="1:5" x14ac:dyDescent="0.35">
      <c r="A12" t="s">
        <v>11</v>
      </c>
      <c r="B12">
        <v>90000</v>
      </c>
      <c r="C12" t="s">
        <v>12</v>
      </c>
      <c r="E12" t="s">
        <v>13</v>
      </c>
    </row>
    <row r="13" spans="1:5" x14ac:dyDescent="0.35">
      <c r="A13" t="s">
        <v>14</v>
      </c>
      <c r="B13">
        <v>55.844999999999999</v>
      </c>
      <c r="C13" t="s">
        <v>15</v>
      </c>
    </row>
    <row r="14" spans="1:5" x14ac:dyDescent="0.35">
      <c r="A14" t="s">
        <v>17</v>
      </c>
      <c r="B14">
        <v>96.986999999999995</v>
      </c>
      <c r="C14" t="s">
        <v>15</v>
      </c>
    </row>
    <row r="15" spans="1:5" x14ac:dyDescent="0.35">
      <c r="A15" t="s">
        <v>16</v>
      </c>
      <c r="B15">
        <v>17.007999999999999</v>
      </c>
      <c r="C15" t="s">
        <v>15</v>
      </c>
    </row>
    <row r="16" spans="1:5" x14ac:dyDescent="0.35">
      <c r="A16" t="s">
        <v>26</v>
      </c>
      <c r="B16" s="7">
        <v>30.97</v>
      </c>
      <c r="C16" t="s">
        <v>15</v>
      </c>
    </row>
    <row r="17" spans="1:5" x14ac:dyDescent="0.35">
      <c r="A17" t="s">
        <v>18</v>
      </c>
      <c r="B17">
        <v>6.58</v>
      </c>
      <c r="C17" t="s">
        <v>19</v>
      </c>
      <c r="E17" t="s">
        <v>9</v>
      </c>
    </row>
    <row r="18" spans="1:5" x14ac:dyDescent="0.35">
      <c r="A18" t="s">
        <v>20</v>
      </c>
      <c r="B18">
        <v>0.3</v>
      </c>
      <c r="C18" t="s">
        <v>19</v>
      </c>
      <c r="E18" t="s">
        <v>21</v>
      </c>
    </row>
    <row r="19" spans="1:5" x14ac:dyDescent="0.35">
      <c r="A19" t="s">
        <v>22</v>
      </c>
      <c r="B19" s="7">
        <f>B17-B18</f>
        <v>6.28</v>
      </c>
      <c r="C19" t="s">
        <v>19</v>
      </c>
    </row>
    <row r="20" spans="1:5" x14ac:dyDescent="0.35">
      <c r="A20" t="s">
        <v>23</v>
      </c>
      <c r="B20" s="7"/>
    </row>
    <row r="21" spans="1:5" x14ac:dyDescent="0.35">
      <c r="A21" t="s">
        <v>24</v>
      </c>
      <c r="B21" s="7"/>
    </row>
    <row r="22" spans="1:5" x14ac:dyDescent="0.35">
      <c r="A22" t="s">
        <v>25</v>
      </c>
      <c r="B22" s="7">
        <f>B19/B16</f>
        <v>0.20277688085243786</v>
      </c>
      <c r="C22" t="s">
        <v>29</v>
      </c>
    </row>
    <row r="23" spans="1:5" x14ac:dyDescent="0.35">
      <c r="A23" t="s">
        <v>28</v>
      </c>
      <c r="B23" s="7">
        <f>B22</f>
        <v>0.20277688085243786</v>
      </c>
      <c r="C23" t="s">
        <v>29</v>
      </c>
    </row>
    <row r="24" spans="1:5" x14ac:dyDescent="0.35">
      <c r="A24" t="s">
        <v>30</v>
      </c>
      <c r="B24" s="7">
        <f>B23*(B13*1.6+B14+B15*3.8)</f>
        <v>50.89079212140782</v>
      </c>
      <c r="C24" t="s">
        <v>27</v>
      </c>
    </row>
    <row r="25" spans="1:5" x14ac:dyDescent="0.35">
      <c r="A25" s="6" t="s">
        <v>31</v>
      </c>
      <c r="B25" s="10">
        <f>B24*B12</f>
        <v>4580171.2909267042</v>
      </c>
      <c r="C25" s="11" t="s">
        <v>32</v>
      </c>
    </row>
    <row r="26" spans="1:5" x14ac:dyDescent="0.35">
      <c r="B26" s="8">
        <f>B25*10^-3</f>
        <v>4580.1712909267044</v>
      </c>
      <c r="C26" s="6" t="s">
        <v>7</v>
      </c>
    </row>
    <row r="27" spans="1:5" x14ac:dyDescent="0.35">
      <c r="A27" t="s">
        <v>33</v>
      </c>
      <c r="B27" s="7">
        <f>B23*1.6</f>
        <v>0.32444300936390058</v>
      </c>
      <c r="C27" t="s">
        <v>29</v>
      </c>
      <c r="E27" t="s">
        <v>34</v>
      </c>
    </row>
    <row r="28" spans="1:5" x14ac:dyDescent="0.35">
      <c r="A28" t="s">
        <v>35</v>
      </c>
      <c r="B28">
        <v>24.91</v>
      </c>
      <c r="C28" t="s">
        <v>27</v>
      </c>
      <c r="E28" t="s">
        <v>36</v>
      </c>
    </row>
    <row r="29" spans="1:5" x14ac:dyDescent="0.35">
      <c r="A29" t="s">
        <v>37</v>
      </c>
      <c r="B29" s="7">
        <f>B28/B13</f>
        <v>0.44605604798997228</v>
      </c>
      <c r="C29" t="s">
        <v>29</v>
      </c>
    </row>
    <row r="30" spans="1:5" x14ac:dyDescent="0.35">
      <c r="A30" t="s">
        <v>38</v>
      </c>
      <c r="B30" s="7">
        <f>B29-B27</f>
        <v>0.1216130386260717</v>
      </c>
      <c r="C30" t="s">
        <v>29</v>
      </c>
    </row>
    <row r="31" spans="1:5" x14ac:dyDescent="0.35">
      <c r="A31" t="s">
        <v>39</v>
      </c>
    </row>
    <row r="32" spans="1:5" x14ac:dyDescent="0.35">
      <c r="A32" t="s">
        <v>40</v>
      </c>
      <c r="B32" s="7">
        <f>B30*(B13+B15*3)</f>
        <v>12.996663824929657</v>
      </c>
      <c r="C32" t="s">
        <v>27</v>
      </c>
    </row>
    <row r="33" spans="1:5" x14ac:dyDescent="0.35">
      <c r="A33" s="6" t="s">
        <v>41</v>
      </c>
      <c r="B33" s="10">
        <f>B32*B12</f>
        <v>1169699.7442436691</v>
      </c>
      <c r="C33" s="11" t="s">
        <v>32</v>
      </c>
    </row>
    <row r="34" spans="1:5" x14ac:dyDescent="0.35">
      <c r="B34" s="8">
        <f>B33*10^-3</f>
        <v>1169.6997442436691</v>
      </c>
      <c r="C34" s="6" t="s">
        <v>7</v>
      </c>
    </row>
    <row r="35" spans="1:5" x14ac:dyDescent="0.35">
      <c r="A35" s="6" t="s">
        <v>42</v>
      </c>
      <c r="B35" s="8">
        <f>B9+B10+B26+B34</f>
        <v>26319.501035170375</v>
      </c>
      <c r="C35" s="6" t="s">
        <v>7</v>
      </c>
    </row>
    <row r="37" spans="1:5" x14ac:dyDescent="0.35">
      <c r="A37" t="s">
        <v>43</v>
      </c>
      <c r="B37">
        <v>255</v>
      </c>
      <c r="C37" t="s">
        <v>27</v>
      </c>
      <c r="E37" t="s">
        <v>46</v>
      </c>
    </row>
    <row r="38" spans="1:5" x14ac:dyDescent="0.35">
      <c r="A38" t="s">
        <v>44</v>
      </c>
      <c r="B38">
        <v>10</v>
      </c>
      <c r="C38" t="s">
        <v>27</v>
      </c>
      <c r="E38" t="s">
        <v>47</v>
      </c>
    </row>
    <row r="39" spans="1:5" x14ac:dyDescent="0.35">
      <c r="A39" t="s">
        <v>45</v>
      </c>
      <c r="B39">
        <f>B37-B38</f>
        <v>245</v>
      </c>
      <c r="C39" t="s">
        <v>27</v>
      </c>
    </row>
    <row r="40" spans="1:5" x14ac:dyDescent="0.35">
      <c r="A40" t="s">
        <v>48</v>
      </c>
      <c r="B40">
        <f>(B39*B12)*10^-3</f>
        <v>22050</v>
      </c>
      <c r="C40" t="s">
        <v>7</v>
      </c>
    </row>
    <row r="42" spans="1:5" x14ac:dyDescent="0.35">
      <c r="A42" t="s">
        <v>49</v>
      </c>
      <c r="B42" s="7">
        <f>B35/B40</f>
        <v>1.1936281648603344</v>
      </c>
      <c r="E42" t="s">
        <v>50</v>
      </c>
    </row>
    <row r="44" spans="1:5" x14ac:dyDescent="0.35">
      <c r="A44" s="6" t="s">
        <v>51</v>
      </c>
      <c r="B44" s="9">
        <v>2.5</v>
      </c>
      <c r="C44" s="6" t="s">
        <v>52</v>
      </c>
      <c r="E44" t="s">
        <v>158</v>
      </c>
    </row>
    <row r="45" spans="1:5" x14ac:dyDescent="0.35">
      <c r="A45" t="s">
        <v>53</v>
      </c>
      <c r="B45">
        <v>1.02</v>
      </c>
      <c r="C45" t="s">
        <v>54</v>
      </c>
    </row>
    <row r="46" spans="1:5" x14ac:dyDescent="0.35">
      <c r="A46" t="s">
        <v>55</v>
      </c>
      <c r="B46" s="7">
        <f>(B35*100)/2.5</f>
        <v>1052780.0414068149</v>
      </c>
      <c r="C46" t="s">
        <v>7</v>
      </c>
    </row>
    <row r="47" spans="1:5" x14ac:dyDescent="0.35">
      <c r="A47" s="6" t="s">
        <v>148</v>
      </c>
      <c r="B47" s="8">
        <f>(B46/B45)*10^-3</f>
        <v>1032.1372954968774</v>
      </c>
      <c r="C47" s="6" t="s">
        <v>12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471C4-5DE1-4647-8A8C-5D48F45C5BB1}">
  <dimension ref="A1:G58"/>
  <sheetViews>
    <sheetView zoomScale="80" zoomScaleNormal="80" workbookViewId="0">
      <selection activeCell="B19" sqref="B19"/>
    </sheetView>
  </sheetViews>
  <sheetFormatPr defaultRowHeight="14.5" x14ac:dyDescent="0.35"/>
  <cols>
    <col min="1" max="1" width="49.54296875" customWidth="1"/>
    <col min="2" max="2" width="19.6328125" customWidth="1"/>
    <col min="3" max="3" width="15.08984375" customWidth="1"/>
    <col min="6" max="6" width="33.6328125" customWidth="1"/>
    <col min="7" max="7" width="16.7265625" customWidth="1"/>
  </cols>
  <sheetData>
    <row r="1" spans="1:7" ht="15" thickBot="1" x14ac:dyDescent="0.4">
      <c r="A1" s="6" t="s">
        <v>56</v>
      </c>
      <c r="F1" s="6" t="s">
        <v>64</v>
      </c>
      <c r="G1" s="6"/>
    </row>
    <row r="2" spans="1:7" x14ac:dyDescent="0.35">
      <c r="A2" s="1"/>
      <c r="B2" s="5" t="s">
        <v>1</v>
      </c>
      <c r="F2" s="1"/>
      <c r="G2" s="5" t="s">
        <v>1</v>
      </c>
    </row>
    <row r="3" spans="1:7" x14ac:dyDescent="0.35">
      <c r="A3" s="14" t="s">
        <v>57</v>
      </c>
      <c r="B3" s="2">
        <f>B13</f>
        <v>40</v>
      </c>
      <c r="F3" s="14" t="s">
        <v>65</v>
      </c>
      <c r="G3" s="12">
        <f>B56</f>
        <v>12961.401407035177</v>
      </c>
    </row>
    <row r="4" spans="1:7" x14ac:dyDescent="0.35">
      <c r="A4" s="14" t="s">
        <v>58</v>
      </c>
      <c r="B4" s="12">
        <f>B19</f>
        <v>8.1120865445841126</v>
      </c>
      <c r="F4" s="14" t="s">
        <v>66</v>
      </c>
      <c r="G4" s="2">
        <v>4</v>
      </c>
    </row>
    <row r="5" spans="1:7" x14ac:dyDescent="0.35">
      <c r="A5" s="14" t="s">
        <v>59</v>
      </c>
      <c r="B5" s="2">
        <v>2</v>
      </c>
      <c r="F5" s="14" t="s">
        <v>67</v>
      </c>
      <c r="G5" s="12">
        <f>B53</f>
        <v>317.68140703517588</v>
      </c>
    </row>
    <row r="6" spans="1:7" x14ac:dyDescent="0.35">
      <c r="A6" s="14" t="s">
        <v>60</v>
      </c>
      <c r="B6" s="12">
        <f>B16</f>
        <v>63.617251235193308</v>
      </c>
      <c r="F6" s="14" t="s">
        <v>68</v>
      </c>
      <c r="G6" s="12">
        <f>B54</f>
        <v>198.38724071326283</v>
      </c>
    </row>
    <row r="7" spans="1:7" x14ac:dyDescent="0.35">
      <c r="A7" s="14" t="s">
        <v>61</v>
      </c>
      <c r="B7" s="2">
        <f>B15</f>
        <v>9</v>
      </c>
      <c r="F7" s="14" t="s">
        <v>69</v>
      </c>
      <c r="G7" s="2">
        <f>B34</f>
        <v>1</v>
      </c>
    </row>
    <row r="8" spans="1:7" ht="15" thickBot="1" x14ac:dyDescent="0.4">
      <c r="A8" s="14" t="s">
        <v>62</v>
      </c>
      <c r="B8" s="2">
        <f>B14</f>
        <v>5</v>
      </c>
      <c r="F8" s="15" t="s">
        <v>70</v>
      </c>
      <c r="G8" s="13">
        <f>B57</f>
        <v>198.38724071326283</v>
      </c>
    </row>
    <row r="9" spans="1:7" ht="15" thickBot="1" x14ac:dyDescent="0.4">
      <c r="A9" s="15" t="s">
        <v>63</v>
      </c>
      <c r="B9" s="13">
        <f>B17</f>
        <v>318.08625617596653</v>
      </c>
    </row>
    <row r="12" spans="1:7" x14ac:dyDescent="0.35">
      <c r="A12" s="6" t="s">
        <v>87</v>
      </c>
    </row>
    <row r="13" spans="1:7" x14ac:dyDescent="0.35">
      <c r="A13" s="6" t="s">
        <v>71</v>
      </c>
      <c r="B13" s="6">
        <v>40</v>
      </c>
      <c r="C13" s="6" t="s">
        <v>72</v>
      </c>
      <c r="E13" t="s">
        <v>75</v>
      </c>
    </row>
    <row r="14" spans="1:7" x14ac:dyDescent="0.35">
      <c r="A14" s="6" t="s">
        <v>73</v>
      </c>
      <c r="B14" s="6">
        <v>5</v>
      </c>
      <c r="C14" s="6" t="s">
        <v>74</v>
      </c>
      <c r="E14" t="s">
        <v>76</v>
      </c>
    </row>
    <row r="15" spans="1:7" x14ac:dyDescent="0.35">
      <c r="A15" s="6" t="s">
        <v>77</v>
      </c>
      <c r="B15" s="6">
        <v>9</v>
      </c>
      <c r="C15" s="6" t="s">
        <v>74</v>
      </c>
      <c r="E15" t="s">
        <v>78</v>
      </c>
    </row>
    <row r="16" spans="1:7" x14ac:dyDescent="0.35">
      <c r="A16" s="6" t="s">
        <v>79</v>
      </c>
      <c r="B16" s="8">
        <f>PI()*(B15^2)/4</f>
        <v>63.617251235193308</v>
      </c>
      <c r="C16" s="6" t="s">
        <v>80</v>
      </c>
    </row>
    <row r="17" spans="1:5" x14ac:dyDescent="0.35">
      <c r="A17" s="6" t="s">
        <v>81</v>
      </c>
      <c r="B17" s="8">
        <f>B14*B16</f>
        <v>318.08625617596653</v>
      </c>
      <c r="C17" s="6" t="s">
        <v>82</v>
      </c>
    </row>
    <row r="18" spans="1:5" x14ac:dyDescent="0.35">
      <c r="A18" t="s">
        <v>84</v>
      </c>
      <c r="B18" s="7">
        <f>'1.1 Quantity of sludge'!B47/2</f>
        <v>516.06864774843871</v>
      </c>
      <c r="C18" t="s">
        <v>12</v>
      </c>
      <c r="E18" t="s">
        <v>85</v>
      </c>
    </row>
    <row r="19" spans="1:5" x14ac:dyDescent="0.35">
      <c r="A19" s="6" t="s">
        <v>83</v>
      </c>
      <c r="B19" s="8">
        <f>B18/B16</f>
        <v>8.1120865445841126</v>
      </c>
      <c r="C19" s="6" t="s">
        <v>112</v>
      </c>
      <c r="E19" t="s">
        <v>86</v>
      </c>
    </row>
    <row r="21" spans="1:5" x14ac:dyDescent="0.35">
      <c r="A21" s="6" t="s">
        <v>88</v>
      </c>
    </row>
    <row r="34" spans="1:3" x14ac:dyDescent="0.35">
      <c r="A34" s="6" t="s">
        <v>89</v>
      </c>
      <c r="B34" s="6">
        <v>1</v>
      </c>
      <c r="C34" s="6" t="s">
        <v>90</v>
      </c>
    </row>
    <row r="35" spans="1:3" x14ac:dyDescent="0.35">
      <c r="A35" t="s">
        <v>91</v>
      </c>
      <c r="B35">
        <v>2.5000000000000001E-2</v>
      </c>
    </row>
    <row r="36" spans="1:3" x14ac:dyDescent="0.35">
      <c r="A36" t="s">
        <v>92</v>
      </c>
      <c r="B36">
        <v>0.04</v>
      </c>
    </row>
    <row r="37" spans="1:3" x14ac:dyDescent="0.35">
      <c r="A37" t="s">
        <v>93</v>
      </c>
      <c r="B37">
        <v>1020</v>
      </c>
      <c r="C37" t="s">
        <v>95</v>
      </c>
    </row>
    <row r="38" spans="1:3" x14ac:dyDescent="0.35">
      <c r="A38" t="s">
        <v>94</v>
      </c>
      <c r="B38">
        <v>1020</v>
      </c>
      <c r="C38" t="s">
        <v>95</v>
      </c>
    </row>
    <row r="40" spans="1:3" x14ac:dyDescent="0.35">
      <c r="A40" t="s">
        <v>96</v>
      </c>
      <c r="B40" s="7">
        <f>B18</f>
        <v>516.06864774843871</v>
      </c>
      <c r="C40" t="s">
        <v>12</v>
      </c>
    </row>
    <row r="42" spans="1:3" x14ac:dyDescent="0.35">
      <c r="A42" t="s">
        <v>97</v>
      </c>
      <c r="B42" s="7">
        <f>B40*B37</f>
        <v>526390.02070340747</v>
      </c>
      <c r="C42" t="s">
        <v>7</v>
      </c>
    </row>
    <row r="43" spans="1:3" x14ac:dyDescent="0.35">
      <c r="A43" t="s">
        <v>98</v>
      </c>
      <c r="B43" s="7">
        <f>B42*B35</f>
        <v>13159.750517585187</v>
      </c>
      <c r="C43" t="s">
        <v>7</v>
      </c>
    </row>
    <row r="44" spans="1:3" x14ac:dyDescent="0.35">
      <c r="A44" t="s">
        <v>99</v>
      </c>
    </row>
    <row r="45" spans="1:3" x14ac:dyDescent="0.35">
      <c r="A45" t="s">
        <v>100</v>
      </c>
    </row>
    <row r="47" spans="1:3" x14ac:dyDescent="0.35">
      <c r="A47" t="s">
        <v>101</v>
      </c>
    </row>
    <row r="48" spans="1:3" x14ac:dyDescent="0.35">
      <c r="A48" t="s">
        <v>102</v>
      </c>
    </row>
    <row r="49" spans="1:5" x14ac:dyDescent="0.35">
      <c r="A49" t="s">
        <v>103</v>
      </c>
    </row>
    <row r="50" spans="1:5" x14ac:dyDescent="0.35">
      <c r="A50" t="s">
        <v>104</v>
      </c>
    </row>
    <row r="51" spans="1:5" x14ac:dyDescent="0.35">
      <c r="A51" t="s">
        <v>105</v>
      </c>
    </row>
    <row r="52" spans="1:5" x14ac:dyDescent="0.35">
      <c r="A52" t="s">
        <v>106</v>
      </c>
    </row>
    <row r="53" spans="1:5" x14ac:dyDescent="0.35">
      <c r="A53" s="6" t="s">
        <v>107</v>
      </c>
      <c r="B53" s="8">
        <f>12643.72/39.8</f>
        <v>317.68140703517588</v>
      </c>
      <c r="C53" s="6" t="s">
        <v>12</v>
      </c>
    </row>
    <row r="54" spans="1:5" x14ac:dyDescent="0.35">
      <c r="A54" s="6" t="s">
        <v>108</v>
      </c>
      <c r="B54" s="8">
        <f>B40-B53</f>
        <v>198.38724071326283</v>
      </c>
      <c r="C54" s="6" t="s">
        <v>12</v>
      </c>
    </row>
    <row r="56" spans="1:5" x14ac:dyDescent="0.35">
      <c r="A56" s="6" t="s">
        <v>92</v>
      </c>
      <c r="B56" s="8">
        <f>B36*B38*B53</f>
        <v>12961.401407035177</v>
      </c>
      <c r="C56" s="6" t="s">
        <v>7</v>
      </c>
    </row>
    <row r="57" spans="1:5" x14ac:dyDescent="0.35">
      <c r="A57" s="6" t="s">
        <v>109</v>
      </c>
      <c r="B57" s="8">
        <f>B34*B54</f>
        <v>198.38724071326283</v>
      </c>
      <c r="C57" s="6" t="s">
        <v>7</v>
      </c>
      <c r="E57" t="s">
        <v>111</v>
      </c>
    </row>
    <row r="58" spans="1:5" x14ac:dyDescent="0.35">
      <c r="A58" t="s">
        <v>110</v>
      </c>
      <c r="B58" s="7">
        <f>B56+B57</f>
        <v>13159.788647748439</v>
      </c>
      <c r="C58" t="s">
        <v>7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29625-912B-4F53-906C-595F5159ED87}">
  <dimension ref="A1:H43"/>
  <sheetViews>
    <sheetView tabSelected="1" zoomScale="80" zoomScaleNormal="80" workbookViewId="0">
      <selection activeCell="E14" sqref="E14"/>
    </sheetView>
  </sheetViews>
  <sheetFormatPr defaultRowHeight="14.5" x14ac:dyDescent="0.35"/>
  <cols>
    <col min="1" max="1" width="35.453125" customWidth="1"/>
    <col min="2" max="2" width="17.6328125" customWidth="1"/>
    <col min="3" max="3" width="28.08984375" customWidth="1"/>
    <col min="7" max="7" width="79.26953125" customWidth="1"/>
    <col min="8" max="8" width="18" customWidth="1"/>
  </cols>
  <sheetData>
    <row r="1" spans="1:8" ht="15" thickBot="1" x14ac:dyDescent="0.4">
      <c r="A1" s="6" t="s">
        <v>113</v>
      </c>
      <c r="G1" s="6" t="s">
        <v>122</v>
      </c>
    </row>
    <row r="2" spans="1:8" x14ac:dyDescent="0.35">
      <c r="A2" s="1"/>
      <c r="B2" s="5" t="s">
        <v>1</v>
      </c>
      <c r="G2" s="1"/>
      <c r="H2" s="5" t="s">
        <v>1</v>
      </c>
    </row>
    <row r="3" spans="1:8" x14ac:dyDescent="0.35">
      <c r="A3" s="14" t="s">
        <v>114</v>
      </c>
      <c r="B3" s="2">
        <v>35</v>
      </c>
      <c r="G3" s="14" t="s">
        <v>123</v>
      </c>
      <c r="H3" s="12">
        <f>B23</f>
        <v>20.299145299145298</v>
      </c>
    </row>
    <row r="4" spans="1:8" x14ac:dyDescent="0.35">
      <c r="A4" s="14" t="s">
        <v>115</v>
      </c>
      <c r="B4" s="2">
        <v>6000</v>
      </c>
      <c r="G4" s="14" t="s">
        <v>124</v>
      </c>
      <c r="H4" s="12">
        <f>B28</f>
        <v>6448.6610402439546</v>
      </c>
    </row>
    <row r="5" spans="1:8" x14ac:dyDescent="0.35">
      <c r="A5" s="14" t="s">
        <v>116</v>
      </c>
      <c r="B5" s="2">
        <v>600</v>
      </c>
      <c r="G5" s="14" t="s">
        <v>125</v>
      </c>
      <c r="H5" s="12">
        <f>B32</f>
        <v>85.29555929448037</v>
      </c>
    </row>
    <row r="6" spans="1:8" x14ac:dyDescent="0.35">
      <c r="A6" s="14" t="s">
        <v>117</v>
      </c>
      <c r="B6" s="2">
        <v>5</v>
      </c>
      <c r="G6" s="14" t="s">
        <v>126</v>
      </c>
      <c r="H6" s="12">
        <f>B37</f>
        <v>556.6558872380449</v>
      </c>
    </row>
    <row r="7" spans="1:8" ht="15" thickBot="1" x14ac:dyDescent="0.4">
      <c r="A7" s="14" t="s">
        <v>118</v>
      </c>
      <c r="B7" s="2">
        <f>B14</f>
        <v>0.08</v>
      </c>
      <c r="G7" s="15" t="s">
        <v>127</v>
      </c>
      <c r="H7" s="13">
        <f>B43</f>
        <v>46543.134384451914</v>
      </c>
    </row>
    <row r="8" spans="1:8" x14ac:dyDescent="0.35">
      <c r="A8" s="14" t="s">
        <v>119</v>
      </c>
      <c r="B8" s="2">
        <f>B15</f>
        <v>160</v>
      </c>
    </row>
    <row r="9" spans="1:8" x14ac:dyDescent="0.35">
      <c r="A9" s="18" t="s">
        <v>120</v>
      </c>
      <c r="B9" s="2">
        <f>B16</f>
        <v>0.35</v>
      </c>
    </row>
    <row r="10" spans="1:8" ht="15" thickBot="1" x14ac:dyDescent="0.4">
      <c r="A10" s="19" t="s">
        <v>121</v>
      </c>
      <c r="B10" s="3">
        <f>B17</f>
        <v>0.03</v>
      </c>
    </row>
    <row r="13" spans="1:8" x14ac:dyDescent="0.35">
      <c r="A13" s="6" t="s">
        <v>128</v>
      </c>
    </row>
    <row r="14" spans="1:8" x14ac:dyDescent="0.35">
      <c r="A14" s="6" t="s">
        <v>118</v>
      </c>
      <c r="B14" s="6">
        <v>0.08</v>
      </c>
      <c r="C14" s="6" t="s">
        <v>129</v>
      </c>
      <c r="E14" t="s">
        <v>130</v>
      </c>
    </row>
    <row r="15" spans="1:8" x14ac:dyDescent="0.35">
      <c r="A15" s="6" t="s">
        <v>119</v>
      </c>
      <c r="B15" s="6">
        <v>160</v>
      </c>
      <c r="C15" s="6" t="s">
        <v>19</v>
      </c>
      <c r="E15" t="s">
        <v>131</v>
      </c>
    </row>
    <row r="16" spans="1:8" x14ac:dyDescent="0.35">
      <c r="A16" s="20" t="s">
        <v>120</v>
      </c>
      <c r="B16" s="6">
        <v>0.35</v>
      </c>
      <c r="C16" s="6" t="s">
        <v>134</v>
      </c>
      <c r="E16" t="s">
        <v>132</v>
      </c>
    </row>
    <row r="17" spans="1:5" x14ac:dyDescent="0.35">
      <c r="A17" s="21" t="s">
        <v>121</v>
      </c>
      <c r="B17" s="6">
        <v>0.03</v>
      </c>
      <c r="C17" s="6" t="s">
        <v>134</v>
      </c>
      <c r="E17" t="s">
        <v>133</v>
      </c>
    </row>
    <row r="18" spans="1:5" x14ac:dyDescent="0.35">
      <c r="A18" s="16" t="s">
        <v>135</v>
      </c>
      <c r="B18">
        <f>B4</f>
        <v>6000</v>
      </c>
      <c r="C18" t="s">
        <v>27</v>
      </c>
    </row>
    <row r="19" spans="1:5" x14ac:dyDescent="0.35">
      <c r="A19" s="16" t="s">
        <v>136</v>
      </c>
      <c r="B19">
        <f>B5</f>
        <v>600</v>
      </c>
      <c r="C19" t="s">
        <v>27</v>
      </c>
    </row>
    <row r="20" spans="1:5" x14ac:dyDescent="0.35">
      <c r="A20" s="16" t="s">
        <v>142</v>
      </c>
    </row>
    <row r="21" spans="1:5" x14ac:dyDescent="0.35">
      <c r="A21" s="16" t="s">
        <v>137</v>
      </c>
      <c r="B21" s="7">
        <f>(B16*B19)/(B15+B19)-B17</f>
        <v>0.24631578947368424</v>
      </c>
      <c r="C21" t="s">
        <v>138</v>
      </c>
      <c r="E21" t="s">
        <v>141</v>
      </c>
    </row>
    <row r="22" spans="1:5" x14ac:dyDescent="0.35">
      <c r="A22" s="16" t="s">
        <v>139</v>
      </c>
      <c r="B22" s="7">
        <f>1/B21</f>
        <v>4.0598290598290596</v>
      </c>
      <c r="C22" t="s">
        <v>140</v>
      </c>
    </row>
    <row r="23" spans="1:5" x14ac:dyDescent="0.35">
      <c r="A23" s="21" t="s">
        <v>143</v>
      </c>
      <c r="B23" s="8">
        <f>B22*5</f>
        <v>20.299145299145298</v>
      </c>
      <c r="C23" s="6" t="s">
        <v>140</v>
      </c>
      <c r="E23" t="s">
        <v>144</v>
      </c>
    </row>
    <row r="24" spans="1:5" x14ac:dyDescent="0.35">
      <c r="A24" s="16" t="s">
        <v>145</v>
      </c>
    </row>
    <row r="25" spans="1:5" x14ac:dyDescent="0.35">
      <c r="A25" s="16" t="s">
        <v>146</v>
      </c>
    </row>
    <row r="27" spans="1:5" x14ac:dyDescent="0.35">
      <c r="A27" t="s">
        <v>149</v>
      </c>
      <c r="B27" s="7">
        <f>'1.2 Sludge thickening'!G5</f>
        <v>317.68140703517588</v>
      </c>
      <c r="C27" t="s">
        <v>12</v>
      </c>
      <c r="E27" t="s">
        <v>157</v>
      </c>
    </row>
    <row r="28" spans="1:5" x14ac:dyDescent="0.35">
      <c r="A28" s="6" t="s">
        <v>147</v>
      </c>
      <c r="B28" s="8">
        <f>B27*B23</f>
        <v>6448.6610402439546</v>
      </c>
      <c r="C28" s="6" t="s">
        <v>82</v>
      </c>
      <c r="E28" t="s">
        <v>177</v>
      </c>
    </row>
    <row r="30" spans="1:5" x14ac:dyDescent="0.35">
      <c r="A30" s="6" t="s">
        <v>150</v>
      </c>
    </row>
    <row r="31" spans="1:5" x14ac:dyDescent="0.35">
      <c r="A31" t="s">
        <v>151</v>
      </c>
      <c r="B31" s="17">
        <f>B14/(1+(B17*B23))</f>
        <v>4.9721115537848602E-2</v>
      </c>
      <c r="C31" t="s">
        <v>152</v>
      </c>
      <c r="E31" t="s">
        <v>153</v>
      </c>
    </row>
    <row r="32" spans="1:5" x14ac:dyDescent="0.35">
      <c r="A32" s="6" t="s">
        <v>154</v>
      </c>
      <c r="B32" s="8">
        <f>B31*B27*(B18-B19)*10^-3</f>
        <v>85.29555929448037</v>
      </c>
      <c r="C32" s="6" t="s">
        <v>7</v>
      </c>
      <c r="E32" t="s">
        <v>155</v>
      </c>
    </row>
    <row r="34" spans="1:5" x14ac:dyDescent="0.35">
      <c r="A34" s="6" t="s">
        <v>156</v>
      </c>
    </row>
    <row r="35" spans="1:5" x14ac:dyDescent="0.35">
      <c r="A35" t="s">
        <v>159</v>
      </c>
      <c r="B35" s="7">
        <f>22.414/64</f>
        <v>0.35021875000000002</v>
      </c>
      <c r="C35" t="s">
        <v>160</v>
      </c>
      <c r="E35" t="s">
        <v>161</v>
      </c>
    </row>
    <row r="36" spans="1:5" x14ac:dyDescent="0.35">
      <c r="A36" t="s">
        <v>162</v>
      </c>
      <c r="B36" s="17">
        <f>B35*((B3+273.15)/273.15)</f>
        <v>0.39509393304960649</v>
      </c>
      <c r="C36" t="s">
        <v>163</v>
      </c>
      <c r="E36" t="s">
        <v>176</v>
      </c>
    </row>
    <row r="37" spans="1:5" x14ac:dyDescent="0.35">
      <c r="A37" s="6" t="s">
        <v>164</v>
      </c>
      <c r="B37" s="8">
        <f>(B36*(B18-B19)*B27*10^-3)-(1.42*B32)</f>
        <v>556.6558872380449</v>
      </c>
      <c r="C37" s="6" t="s">
        <v>12</v>
      </c>
    </row>
    <row r="38" spans="1:5" x14ac:dyDescent="0.35">
      <c r="A38" t="s">
        <v>165</v>
      </c>
      <c r="B38" s="7">
        <f>B37/0.65</f>
        <v>856.39367267391515</v>
      </c>
      <c r="C38" t="s">
        <v>12</v>
      </c>
      <c r="E38" t="s">
        <v>166</v>
      </c>
    </row>
    <row r="39" spans="1:5" x14ac:dyDescent="0.35">
      <c r="A39" t="s">
        <v>168</v>
      </c>
      <c r="B39" s="7">
        <f>B38*2</f>
        <v>1712.7873453478303</v>
      </c>
      <c r="C39" t="s">
        <v>12</v>
      </c>
      <c r="E39" t="s">
        <v>178</v>
      </c>
    </row>
    <row r="40" spans="1:5" x14ac:dyDescent="0.35">
      <c r="A40" t="s">
        <v>167</v>
      </c>
      <c r="B40">
        <v>4.5999999999999999E-2</v>
      </c>
      <c r="C40" t="s">
        <v>169</v>
      </c>
      <c r="E40" t="s">
        <v>170</v>
      </c>
    </row>
    <row r="41" spans="1:5" x14ac:dyDescent="0.35">
      <c r="A41" t="s">
        <v>171</v>
      </c>
      <c r="B41">
        <v>1.25</v>
      </c>
      <c r="C41" t="s">
        <v>95</v>
      </c>
      <c r="E41" t="s">
        <v>172</v>
      </c>
    </row>
    <row r="42" spans="1:5" x14ac:dyDescent="0.35">
      <c r="A42" t="s">
        <v>173</v>
      </c>
      <c r="B42" s="7">
        <f>B41*B39</f>
        <v>2140.9841816847879</v>
      </c>
      <c r="C42" t="s">
        <v>7</v>
      </c>
    </row>
    <row r="43" spans="1:5" x14ac:dyDescent="0.35">
      <c r="A43" s="6" t="s">
        <v>174</v>
      </c>
      <c r="B43" s="8">
        <f>B42/B40</f>
        <v>46543.134384451914</v>
      </c>
      <c r="C43" s="6" t="s">
        <v>175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8873C-A14A-4CE0-B5AE-2B3BADD39F29}">
  <dimension ref="A1"/>
  <sheetViews>
    <sheetView topLeftCell="A13" zoomScaleNormal="100" workbookViewId="0"/>
  </sheetViews>
  <sheetFormatPr defaultRowHeight="14.5" x14ac:dyDescent="0.3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1.1 Quantity of sludge</vt:lpstr>
      <vt:lpstr>1.2 Sludge thickening</vt:lpstr>
      <vt:lpstr>1.3 Stabilization by anaerobic</vt:lpstr>
      <vt:lpstr>Process flowchart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2022-03-15T08:22:28Z</dcterms:created>
  <dcterms:modified xsi:type="dcterms:W3CDTF">2022-03-28T18:02:55Z</dcterms:modified>
</cp:coreProperties>
</file>