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gettysburg-my.sharepoint.com/personal/caohi01_gettysburg_edu/Documents/Desktop/Financ/"/>
    </mc:Choice>
  </mc:AlternateContent>
  <xr:revisionPtr revIDLastSave="487" documentId="11_F25DC773A252ABDACC10484E719F41905ADE58ED" xr6:coauthVersionLast="47" xr6:coauthVersionMax="47" xr10:uidLastSave="{439AC86B-A1A3-4D7F-8947-209F33A632A7}"/>
  <bookViews>
    <workbookView xWindow="-120" yWindow="-120" windowWidth="20730" windowHeight="11040" xr2:uid="{00000000-000D-0000-FFFF-FFFF00000000}"/>
  </bookViews>
  <sheets>
    <sheet name="Sheet2" sheetId="2" r:id="rId1"/>
    <sheet name="Sheet4" sheetId="4" r:id="rId2"/>
  </sheets>
  <externalReferences>
    <externalReference r:id="rId3"/>
    <externalReference r:id="rId4"/>
  </externalReferenc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1" i="2" l="1"/>
  <c r="D18" i="2"/>
  <c r="G10" i="4"/>
  <c r="G18" i="4" s="1"/>
  <c r="P6" i="2"/>
  <c r="P7" i="2"/>
  <c r="O7" i="2"/>
  <c r="P11" i="2"/>
  <c r="I7" i="2"/>
  <c r="J7" i="2"/>
  <c r="K7" i="2"/>
  <c r="L7" i="2"/>
  <c r="M7" i="2"/>
  <c r="N7" i="2"/>
  <c r="H7" i="2"/>
  <c r="G9" i="2"/>
  <c r="H9" i="2" s="1"/>
  <c r="H10" i="2" s="1"/>
  <c r="P8" i="2"/>
  <c r="I8" i="2"/>
  <c r="J8" i="2" s="1"/>
  <c r="K8" i="2" s="1"/>
  <c r="L8" i="2" s="1"/>
  <c r="M8" i="2" s="1"/>
  <c r="N8" i="2" s="1"/>
  <c r="O8" i="2" s="1"/>
  <c r="H8" i="2"/>
  <c r="I14" i="2"/>
  <c r="J14" i="2" s="1"/>
  <c r="K14" i="2" s="1"/>
  <c r="L14" i="2" s="1"/>
  <c r="M14" i="2" s="1"/>
  <c r="N14" i="2" s="1"/>
  <c r="O14" i="2" s="1"/>
  <c r="P14" i="2" s="1"/>
  <c r="H14" i="2"/>
  <c r="D7" i="2"/>
  <c r="K1" i="2" a="1"/>
  <c r="K1" i="2" s="1"/>
  <c r="P23" i="2" s="1"/>
  <c r="G9" i="4"/>
  <c r="G15" i="4"/>
  <c r="G17" i="4" s="1"/>
  <c r="G7" i="4" a="1"/>
  <c r="G7" i="4" s="1"/>
  <c r="I9" i="2" l="1"/>
  <c r="J9" i="2" s="1"/>
  <c r="K9" i="2" s="1"/>
  <c r="L9" i="2" s="1"/>
  <c r="M9" i="2" s="1"/>
  <c r="N9" i="2" s="1"/>
  <c r="O9" i="2" s="1"/>
  <c r="P9" i="2" s="1"/>
  <c r="G6" i="4"/>
  <c r="G23" i="4"/>
  <c r="G13" i="2"/>
  <c r="I12" i="2"/>
  <c r="J12" i="2" s="1"/>
  <c r="K12" i="2" s="1"/>
  <c r="L12" i="2" s="1"/>
  <c r="M12" i="2" s="1"/>
  <c r="N12" i="2" s="1"/>
  <c r="O12" i="2" s="1"/>
  <c r="P12" i="2" s="1"/>
  <c r="H12" i="2"/>
  <c r="G12" i="2"/>
  <c r="G11" i="2"/>
  <c r="G8" i="2"/>
  <c r="H6" i="2"/>
  <c r="D12" i="2"/>
  <c r="D13" i="2"/>
  <c r="D14" i="2" s="1"/>
  <c r="D8" i="2"/>
  <c r="C2" i="2" a="1"/>
  <c r="C2" i="2" s="1"/>
  <c r="I1" i="2" a="1"/>
  <c r="I1" i="2" s="1"/>
  <c r="I3" i="2" s="1"/>
  <c r="F1" i="2" a="1"/>
  <c r="F1" i="2" s="1"/>
  <c r="G5" i="4" s="1"/>
  <c r="D1" i="2" a="1"/>
  <c r="D1" i="2" s="1"/>
  <c r="B1" i="2" a="1"/>
  <c r="B1" i="2" s="1"/>
  <c r="D9" i="2" l="1"/>
  <c r="G14" i="2"/>
  <c r="H13" i="2"/>
  <c r="G26" i="4"/>
  <c r="D17" i="2" s="1"/>
  <c r="J3" i="2"/>
  <c r="D10" i="2"/>
  <c r="I6" i="2" l="1"/>
  <c r="G15" i="2"/>
  <c r="H15" i="2"/>
  <c r="J6" i="2" l="1"/>
  <c r="I10" i="2"/>
  <c r="H11" i="2" l="1"/>
  <c r="I13" i="2"/>
  <c r="I15" i="2" s="1"/>
  <c r="J10" i="2"/>
  <c r="K6" i="2"/>
  <c r="K10" i="2" l="1"/>
  <c r="L6" i="2"/>
  <c r="J13" i="2"/>
  <c r="J15" i="2" s="1"/>
  <c r="I11" i="2"/>
  <c r="L10" i="2" l="1"/>
  <c r="M6" i="2"/>
  <c r="J11" i="2"/>
  <c r="K13" i="2"/>
  <c r="K15" i="2" s="1"/>
  <c r="M10" i="2" l="1"/>
  <c r="N6" i="2"/>
  <c r="L13" i="2"/>
  <c r="L15" i="2" s="1"/>
  <c r="K11" i="2"/>
  <c r="N10" i="2" l="1"/>
  <c r="O6" i="2"/>
  <c r="L11" i="2"/>
  <c r="M13" i="2"/>
  <c r="M15" i="2" s="1"/>
  <c r="O10" i="2" l="1"/>
  <c r="P10" i="2"/>
  <c r="M11" i="2"/>
  <c r="N13" i="2"/>
  <c r="N15" i="2" s="1"/>
  <c r="P13" i="2" l="1"/>
  <c r="O11" i="2"/>
  <c r="N11" i="2"/>
  <c r="O13" i="2"/>
  <c r="O15" i="2" s="1"/>
  <c r="P15" i="2" l="1"/>
  <c r="G16" i="2" l="1"/>
  <c r="H16" i="2"/>
  <c r="I16" i="2"/>
  <c r="J16" i="2"/>
  <c r="K16" i="2"/>
  <c r="L16" i="2"/>
  <c r="M16" i="2"/>
  <c r="N16" i="2"/>
  <c r="O16" i="2"/>
  <c r="P16" i="2"/>
  <c r="P17" i="2" s="1"/>
  <c r="P18" i="2" l="1"/>
  <c r="P22" i="2" s="1"/>
  <c r="P2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<sst xmlns="http://schemas.openxmlformats.org/spreadsheetml/2006/main" count="58" uniqueCount="49">
  <si>
    <t>WACC</t>
  </si>
  <si>
    <t>Equity</t>
  </si>
  <si>
    <t>Cost of equity</t>
  </si>
  <si>
    <t>Beta</t>
  </si>
  <si>
    <t>Market Risk Premium</t>
  </si>
  <si>
    <t>Lamda 1</t>
  </si>
  <si>
    <t>US Premium</t>
  </si>
  <si>
    <t>PV of CF</t>
  </si>
  <si>
    <t>Lamda 2</t>
  </si>
  <si>
    <t>Terminal value</t>
  </si>
  <si>
    <t>EU</t>
  </si>
  <si>
    <t>EV</t>
  </si>
  <si>
    <t>Lamda 3</t>
  </si>
  <si>
    <t>Debt</t>
  </si>
  <si>
    <t>cost of debt</t>
  </si>
  <si>
    <t>tax rate</t>
  </si>
  <si>
    <t>APAC</t>
  </si>
  <si>
    <t>Lamda 4</t>
  </si>
  <si>
    <t>Vietnam</t>
  </si>
  <si>
    <t>Difference in inflation</t>
  </si>
  <si>
    <t>Rating</t>
  </si>
  <si>
    <t>Debt premium</t>
  </si>
  <si>
    <t>Growth</t>
  </si>
  <si>
    <t>Reinvestment</t>
  </si>
  <si>
    <t>P/E</t>
  </si>
  <si>
    <t>Makt cap</t>
  </si>
  <si>
    <t>shares oustanding</t>
  </si>
  <si>
    <t>IC</t>
  </si>
  <si>
    <t>EBIT(1-t)</t>
  </si>
  <si>
    <t>ROIC</t>
  </si>
  <si>
    <t>Year</t>
  </si>
  <si>
    <t>div</t>
  </si>
  <si>
    <t>Payout</t>
  </si>
  <si>
    <t>EBIT</t>
  </si>
  <si>
    <t>REV</t>
  </si>
  <si>
    <t>%operating margin</t>
  </si>
  <si>
    <t>tax-rate</t>
  </si>
  <si>
    <t>payout</t>
  </si>
  <si>
    <t>%growth</t>
  </si>
  <si>
    <t>Cash flow</t>
  </si>
  <si>
    <t>AA</t>
  </si>
  <si>
    <t>Price per share</t>
  </si>
  <si>
    <t>Price now</t>
  </si>
  <si>
    <t>Upside</t>
  </si>
  <si>
    <t>Price</t>
  </si>
  <si>
    <t>terminal growth</t>
  </si>
  <si>
    <t>cash</t>
  </si>
  <si>
    <t>debt</t>
  </si>
  <si>
    <t>Market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</si>
</sst>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_(&quot;$&quot;* #,##0.000_);_(&quot;$&quot;* \(#,##0.000\);_(&quot;$&quot;* &quot;-&quot;??_);_(@_)"/>
    <numFmt numFmtId="166" formatCode="_-* #,##0.00\ [$₫-42A]_-;\-* #,##0.00\ [$₫-42A]_-;_-* &quot;-&quot;??\ [$₫-42A]_-;_-@_-"/>
    <numFmt numFmtId="167" formatCode="_-* #,##0\ [$₫-42A]_-;\-* #,##0\ [$₫-42A]_-;_-* &quot;-&quot;\ [$₫-42A]_-;_-@_-"/>
    <numFmt numFmtId="168"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0" fillId="0" borderId="1" xfId="0" applyBorder="1"/>
    <xf numFmtId="0" fontId="0" fillId="0" borderId="3" xfId="1" applyNumberFormat="1" applyFont="1" applyBorder="1" applyAlignment="1"/>
    <xf numFmtId="164" fontId="0" fillId="0" borderId="3" xfId="1" applyNumberFormat="1" applyFont="1" applyBorder="1" applyAlignment="1"/>
    <xf numFmtId="164" fontId="0" fillId="0" borderId="3" xfId="0" applyNumberFormat="1" applyBorder="1"/>
    <xf numFmtId="0" fontId="0" fillId="0" borderId="3" xfId="0" applyBorder="1"/>
    <xf numFmtId="0" fontId="0" fillId="0" borderId="2" xfId="1" applyNumberFormat="1" applyFont="1" applyBorder="1" applyAlignment="1"/>
    <xf numFmtId="0" fontId="2" fillId="0" borderId="1" xfId="0" applyFont="1" applyBorder="1"/>
    <xf numFmtId="0" fontId="0" fillId="2" borderId="0" xfId="0" applyFill="1"/>
    <xf numFmtId="4" fontId="0" fillId="0" borderId="3" xfId="1" applyNumberFormat="1" applyFont="1" applyBorder="1"/>
    <xf numFmtId="10" fontId="0" fillId="0" borderId="2" xfId="1" applyNumberFormat="1" applyFont="1" applyBorder="1" applyAlignment="1"/>
    <xf numFmtId="165" fontId="0" fillId="0" borderId="3" xfId="1" applyNumberFormat="1" applyFont="1" applyBorder="1" applyAlignment="1"/>
    <xf numFmtId="164" fontId="0" fillId="0" borderId="0" xfId="1" applyNumberFormat="1" applyFont="1"/>
    <xf numFmtId="9" fontId="0" fillId="0" borderId="0" xfId="0" applyNumberFormat="1"/>
    <xf numFmtId="164" fontId="0" fillId="0" borderId="0" xfId="0" applyNumberFormat="1"/>
    <xf numFmtId="166" fontId="0" fillId="0" borderId="0" xfId="0" applyNumberFormat="1"/>
    <xf numFmtId="0" fontId="3" fillId="0" borderId="0" xfId="0" applyFont="1"/>
    <xf numFmtId="4" fontId="0" fillId="0" borderId="0" xfId="0" applyNumberFormat="1"/>
    <xf numFmtId="167" fontId="0" fillId="0" borderId="0" xfId="0" applyNumberFormat="1"/>
    <xf numFmtId="3" fontId="0" fillId="0" borderId="0" xfId="0" applyNumberFormat="1"/>
    <xf numFmtId="9" fontId="0" fillId="0" borderId="0" xfId="1" applyFont="1"/>
    <xf numFmtId="168" fontId="0" fillId="0" borderId="0" xfId="0" applyNumberFormat="1"/>
    <xf numFmtId="10" fontId="0" fillId="0" borderId="3" xfId="0" applyNumberFormat="1" applyBorder="1"/>
    <xf numFmtId="10" fontId="0" fillId="0" borderId="0" xfId="1" applyNumberFormat="1" applyFont="1"/>
    <xf numFmtId="0" fontId="2" fillId="0" borderId="1" xfId="0" applyFont="1" applyBorder="1" applyAlignment="1">
      <alignment horizontal="center"/>
    </xf>
    <xf numFmtId="0" fontId="2" fillId="0" borderId="2"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10" fontId="0" fillId="0" borderId="0" xfId="0" applyNumberFormat="1"/>
  </cellXfs>
  <cellStyles count="2">
    <cellStyle name="Normal" xfId="0" builtinId="0"/>
    <cellStyle name="Percent" xfId="1" builtinId="5"/>
  </cellStyles>
  <dxfs count="3">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1" defaultTableStyle="TableStyleMedium2" defaultPivotStyle="PivotStyleLight16">
    <tableStyle name="Invisible" pivot="0" table="0" count="0" xr9:uid="{EF0B7B39-BF2F-4967-AE96-2DFF4BAA7A4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externalLink" Target="externalLinks/externalLink1.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2.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gettysburg-my.sharepoint.com/personal/caohi01_gettysburg_edu/Documents/Valuation/VN%20Stock/VNM.xlsx" TargetMode="External"/><Relationship Id="rId1" Type="http://schemas.openxmlformats.org/officeDocument/2006/relationships/externalLinkPath" Target="/personal/caohi01_gettysburg_edu/Documents/Valuation/VN%20Stock/VNM.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gettysburg-my.sharepoint.com/personal/caohi01_gettysburg_edu/Documents/ProjectVL/Historical%20and%20Expected%20Return.xlsx" TargetMode="External"/><Relationship Id="rId1" Type="http://schemas.openxmlformats.org/officeDocument/2006/relationships/externalLinkPath" Target="/personal/caohi01_gettysburg_edu/Documents/ProjectVL/Historical%20and%20Expected%20Retur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s>
    <sheetDataSet>
      <sheetData sheetId="0"/>
      <sheetData sheetId="1">
        <row r="5">
          <cell r="B5">
            <v>144185.5</v>
          </cell>
        </row>
        <row r="18">
          <cell r="D18">
            <v>9.4758098193683721E-2</v>
          </cell>
        </row>
        <row r="26">
          <cell r="B26">
            <v>0.10212735989773161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ASDAQ Past"/>
      <sheetName val="S&amp;P500Past"/>
      <sheetName val="US30past"/>
      <sheetName val="ER for NASDAQ"/>
      <sheetName val="ER SP500"/>
      <sheetName val="ER US30"/>
      <sheetName val="Expected Return Adjusted"/>
    </sheetNames>
    <sheetDataSet>
      <sheetData sheetId="0" refreshError="1"/>
      <sheetData sheetId="1" refreshError="1"/>
      <sheetData sheetId="2" refreshError="1"/>
      <sheetData sheetId="3" refreshError="1"/>
      <sheetData sheetId="4">
        <row r="15">
          <cell r="G15">
            <v>3.8808041699999261E-2</v>
          </cell>
        </row>
      </sheetData>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https://www.bing.com/financeapi/forcetrigger?t=aqji2w&amp;q=XSTC%3aFPT&amp;form=skydnc</v>
    <v>Learn more on Bing</v>
  </rv>
  <rv s="1">
    <v>en-US</v>
    <v>aqji2w</v>
    <v>268435456</v>
    <v>1</v>
    <v>Powered by Refinitiv</v>
    <v>0</v>
    <v>FPT CORPORATION (XSTC:FPT)</v>
    <v>2</v>
    <v>3</v>
    <v>Finance</v>
    <v>4</v>
    <v>118900</v>
    <v>37621</v>
    <v>0.89959999999999996</v>
    <v>1800</v>
    <v>1.8947000000000002E-2</v>
    <v>VND</v>
    <v>FPT Corp is a Vietnam-based conglomerate. The Company's operations are divided into three segments: Technology, Telecommunications and Investment &amp; Education. Under the Technology segment, the Company provides digitalized solutions and services for finance and banking, public finance, telecommunications, health, transport, and electric, water and gas utilities, etc. Apart from that, it also publishes software, manufactures microcircuits and retails computers and other electronic equipment. Under the Telecommunications segment, the Company is an Internet Service Provider with various value-added services, and it also offers broadcasting services via FPT Play and e-newspapers and advertising services. Under the Investment &amp; Education segment, it is engaged in the operations of elementary, secondary and high schools, college and e-university, along with professional training classes. The Company manages its new investments in various subsidiaries and affiliates.</v>
    <v>47084</v>
    <v>Hochiminh Stock Exchange</v>
    <v>XSTC</v>
    <v>XSTC</v>
    <v>Toa nha FPT, so 10 pho Pham Van Bach, phuong Dich Vong, quan Cau Giay, HANOI, HANOI VN</v>
    <v>96800</v>
    <v>Consumer Goods Conglomerates</v>
    <v>Stock</v>
    <v>45272.329733796294</v>
    <v>0</v>
    <v>95300</v>
    <v>120647000000000</v>
    <v>FPT CORPORATION</v>
    <v>FPT CORPORATION</v>
    <v>95400</v>
    <v>21.7</v>
    <v>95000</v>
    <v>96800</v>
    <v>1269969000</v>
    <v>FPT</v>
    <v>FPT CORPORATION (XSTC:FPT)</v>
    <v>4084900</v>
    <v>2041010</v>
    <v>2002</v>
  </rv>
  <rv s="2">
    <v>1</v>
  </rv>
  <rv s="0">
    <v>https://www.bing.com/financeapi/forcetrigger?t=r6dwra&amp;q=US10Y&amp;form=skydnc</v>
    <v>Learn more on Bing</v>
  </rv>
  <rv s="3">
    <v>en-US</v>
    <v>r6dwra</v>
    <v>268435456</v>
    <v>1</v>
    <v>Powered by Refinitiv</v>
    <v>5</v>
    <v>US Treasury 10Y</v>
    <v>6</v>
    <v>7</v>
    <v>Finance</v>
    <v>8</v>
    <v>0.1094</v>
    <v>1.0689999999999999E-3</v>
    <v>US</v>
    <v>USD</v>
    <v>Bond</v>
    <v>45273.075266203705</v>
    <v>3</v>
    <v>48898</v>
    <v>US Treasury 10Y</v>
    <v>102.35939999999999</v>
    <v>102.4688</v>
    <v>US10Y</v>
    <v>US Treasury 10Y</v>
    <v>4.6459E-2</v>
    <v>4.2859999999999995E-2</v>
    <v>3.5855999999999999E-2</v>
    <v>4.2450000000000002E-2</v>
  </rv>
  <rv s="2">
    <v>4</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v>
      <v>1</v>
      <v>1</v>
    </spb>
    <spb s="6">
      <v>3</v>
      <v>10</v>
      <v>10</v>
      <v>11</v>
      <v>5</v>
      <v>10</v>
      <v>7</v>
      <v>5</v>
      <v>5</v>
      <v>5</v>
      <v>5</v>
      <v>9</v>
    </spb>
    <spb s="7">
      <v>GMT</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yy"/>
    </x:dxf>
    <x:dxf>
      <x:numFmt numFmtId="14" formatCode="0.00%"/>
    </x:dxf>
    <x:dxf>
      <x:numFmt numFmtId="27" formatCode="m/d/yyyy\ h:mm"/>
    </x:dxf>
    <x:dxf>
      <x:numFmt numFmtId="2" formatCode="0.00"/>
    </x:dxf>
    <x:dxf>
      <x:numFmt numFmtId="3" formatCode="#,##0"/>
    </x:dxf>
    <x:dxf>
      <x:numFmt numFmtId="4" formatCode="#,##0.00"/>
    </x:dxf>
    <x:dxf>
      <x:numFmt numFmtId="1" formatCode="0"/>
    </x:dxf>
  </dxfs>
  <richProperties>
    <rPr n="NumberFormat" t="s"/>
    <rPr n="IsTitleField" t="b"/>
  </richProperties>
  <richStyles>
    <rSty dxfid="0">
      <rpv i="0">_-* #,##0.00 [$₫-vi-VN]_-;-* #,##0.00 [$₫-vi-VN]_-;_-* "-"?? [$₫-vi-VN]_-;_-@_-</rpv>
    </rSty>
    <rSty dxfid="6">
      <rpv i="0">#,##0.00</rpv>
    </rSty>
    <rSty>
      <rpv i="1">1</rpv>
    </rSty>
    <rSty dxfid="5">
      <rpv i="0">#,##0</rpv>
    </rSty>
    <rSty dxfid="2"/>
    <rSty dxfid="0">
      <rpv i="0">_-* #,##0 [$₫-vi-VN]_-;-* #,##0 [$₫-vi-VN]_-;_-* "-" [$₫-vi-VN]_-;_-@_-</rpv>
    </rSty>
    <rSty dxfid="3"/>
    <rSty dxfid="7">
      <rpv i="0">0</rpv>
    </rSty>
    <rSty dxfid="4">
      <rpv i="0">0.00</rpv>
    </rSty>
    <rSty dxfid="0">
      <rpv i="0">_([$$-en-US]* #,##0.00_);_([$$-en-US]* (#,##0.00);_([$$-en-US]* "-"??_);_(@_)</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4E3E0-A0A2-476A-8B69-7274CD5C5805}">
  <dimension ref="A1:W24"/>
  <sheetViews>
    <sheetView tabSelected="1" topLeftCell="C7" workbookViewId="0">
      <selection activeCell="I23" sqref="I23"/>
    </sheetView>
  </sheetViews>
  <sheetFormatPr defaultRowHeight="15" x14ac:dyDescent="0.25"/>
  <cols>
    <col min="1" max="1" width="20.85546875" bestFit="1" customWidth="1"/>
    <col min="2" max="2" width="12.5703125" bestFit="1" customWidth="1"/>
    <col min="6" max="6" width="23.28515625" bestFit="1" customWidth="1"/>
    <col min="8" max="8" width="21.5703125" bestFit="1" customWidth="1"/>
    <col min="9" max="9" width="12.7109375" bestFit="1" customWidth="1"/>
    <col min="11" max="11" width="21.5703125" bestFit="1" customWidth="1"/>
    <col min="15" max="15" width="16.42578125" bestFit="1" customWidth="1"/>
  </cols>
  <sheetData>
    <row r="1" spans="1:23" x14ac:dyDescent="0.25">
      <c r="A1" s="16" t="e" vm="1">
        <v>#VALUE!</v>
      </c>
      <c r="B1" t="str" cm="1">
        <f t="array" ref="B1">_FV(A1,"Ticker symbol",TRUE)</f>
        <v>FPT</v>
      </c>
      <c r="C1" t="s">
        <v>24</v>
      </c>
      <c r="D1" s="17" cm="1">
        <f t="array" ref="D1">_FV(A1,"P/E",TRUE)</f>
        <v>21.7</v>
      </c>
      <c r="E1" t="s">
        <v>25</v>
      </c>
      <c r="F1" s="18" cm="1">
        <f t="array" ref="F1">_FV(A1,"Market cap",TRUE)</f>
        <v>120647000000000</v>
      </c>
      <c r="H1" t="s">
        <v>26</v>
      </c>
      <c r="I1" s="19" cm="1">
        <f t="array" ref="I1">_FV(A1,"Shares outstanding",TRUE)</f>
        <v>1269969000</v>
      </c>
      <c r="J1" t="s">
        <v>44</v>
      </c>
      <c r="K1" s="15" cm="1">
        <f t="array" ref="K1">_FV(A1,"Price")</f>
        <v>96800</v>
      </c>
    </row>
    <row r="2" spans="1:23" x14ac:dyDescent="0.25">
      <c r="B2" t="s">
        <v>3</v>
      </c>
      <c r="C2" s="17" cm="1">
        <f t="array" ref="C2">_FV(A1,"Beta")</f>
        <v>0.89959999999999996</v>
      </c>
      <c r="G2" t="s">
        <v>31</v>
      </c>
      <c r="I2">
        <v>2000</v>
      </c>
    </row>
    <row r="3" spans="1:23" x14ac:dyDescent="0.25">
      <c r="I3">
        <f>I1*I2</f>
        <v>2539938000000</v>
      </c>
      <c r="J3" s="12">
        <f>I3/F1</f>
        <v>2.1052641176324317E-2</v>
      </c>
    </row>
    <row r="5" spans="1:23" x14ac:dyDescent="0.25">
      <c r="F5" t="s">
        <v>30</v>
      </c>
      <c r="G5">
        <v>2022</v>
      </c>
      <c r="H5">
        <v>2023</v>
      </c>
      <c r="I5">
        <v>2024</v>
      </c>
      <c r="J5">
        <v>2025</v>
      </c>
      <c r="K5">
        <v>2026</v>
      </c>
      <c r="L5">
        <v>2027</v>
      </c>
      <c r="M5">
        <v>2028</v>
      </c>
      <c r="N5">
        <v>2029</v>
      </c>
      <c r="O5">
        <v>2030</v>
      </c>
      <c r="P5" t="s">
        <v>9</v>
      </c>
    </row>
    <row r="6" spans="1:23" x14ac:dyDescent="0.25">
      <c r="C6" t="s">
        <v>27</v>
      </c>
      <c r="D6">
        <v>24.411000000000001</v>
      </c>
      <c r="F6" t="s">
        <v>34</v>
      </c>
      <c r="G6">
        <v>44</v>
      </c>
      <c r="H6" s="21">
        <f>G6*(1+G7)</f>
        <v>50.599999999999994</v>
      </c>
      <c r="I6" s="21">
        <f t="shared" ref="I6:O6" si="0">H6*(1+H7)</f>
        <v>58.530850845930104</v>
      </c>
      <c r="J6" s="21">
        <f t="shared" si="0"/>
        <v>67.237818259379992</v>
      </c>
      <c r="K6" s="21">
        <f t="shared" si="0"/>
        <v>76.645531686609985</v>
      </c>
      <c r="L6" s="21">
        <f t="shared" si="0"/>
        <v>86.619140295436267</v>
      </c>
      <c r="M6" s="21">
        <f t="shared" si="0"/>
        <v>96.952248243274255</v>
      </c>
      <c r="N6" s="21">
        <f t="shared" si="0"/>
        <v>107.35678033354647</v>
      </c>
      <c r="O6" s="21">
        <f t="shared" si="0"/>
        <v>117.45704508547274</v>
      </c>
      <c r="P6" s="21">
        <f>O6*(1+O7)</f>
        <v>126.7908597154954</v>
      </c>
    </row>
    <row r="7" spans="1:23" x14ac:dyDescent="0.25">
      <c r="C7" t="s">
        <v>28</v>
      </c>
      <c r="D7">
        <f>6</f>
        <v>6</v>
      </c>
      <c r="F7" t="s">
        <v>38</v>
      </c>
      <c r="G7" s="13">
        <v>0.15</v>
      </c>
      <c r="H7" s="14">
        <f>(1-G14)*G8</f>
        <v>0.15673618272589154</v>
      </c>
      <c r="I7" s="14">
        <f t="shared" ref="I7:N7" si="1">(1-H14)*H8</f>
        <v>0.1487585997403166</v>
      </c>
      <c r="J7" s="14">
        <f t="shared" si="1"/>
        <v>0.13991699419719902</v>
      </c>
      <c r="K7" s="14">
        <f t="shared" si="1"/>
        <v>0.13012641949705048</v>
      </c>
      <c r="L7" s="14">
        <f t="shared" si="1"/>
        <v>0.11929358699006173</v>
      </c>
      <c r="M7" s="14">
        <f t="shared" si="1"/>
        <v>0.10731604762960199</v>
      </c>
      <c r="N7" s="14">
        <f t="shared" si="1"/>
        <v>9.4081293426887341E-2</v>
      </c>
      <c r="O7" s="14">
        <f>(1-N14)*N8</f>
        <v>7.9465770854617521E-2</v>
      </c>
      <c r="P7" s="14">
        <f>(1-O14)*O8</f>
        <v>6.3333797579256515E-2</v>
      </c>
    </row>
    <row r="8" spans="1:23" x14ac:dyDescent="0.25">
      <c r="C8" t="s">
        <v>29</v>
      </c>
      <c r="D8" s="20">
        <f>D7/D6</f>
        <v>0.2457908320019663</v>
      </c>
      <c r="F8" t="s">
        <v>29</v>
      </c>
      <c r="G8" s="14">
        <f>D8</f>
        <v>0.2457908320019663</v>
      </c>
      <c r="H8" s="12">
        <f>G8+0.08%</f>
        <v>0.2465908320019663</v>
      </c>
      <c r="I8" s="12">
        <f t="shared" ref="I8:O8" si="2">H8+0.08%</f>
        <v>0.24739083200196629</v>
      </c>
      <c r="J8" s="12">
        <f t="shared" si="2"/>
        <v>0.24819083200196629</v>
      </c>
      <c r="K8" s="12">
        <f t="shared" si="2"/>
        <v>0.24899083200196628</v>
      </c>
      <c r="L8" s="12">
        <f t="shared" si="2"/>
        <v>0.24979083200196628</v>
      </c>
      <c r="M8" s="12">
        <f t="shared" si="2"/>
        <v>0.2505908320019663</v>
      </c>
      <c r="N8" s="12">
        <f t="shared" si="2"/>
        <v>0.25139083200196632</v>
      </c>
      <c r="O8" s="12">
        <f t="shared" si="2"/>
        <v>0.25219083200196635</v>
      </c>
      <c r="P8" s="12">
        <f>O8+0.08%</f>
        <v>0.25299083200196637</v>
      </c>
    </row>
    <row r="9" spans="1:23" x14ac:dyDescent="0.25">
      <c r="C9" t="s">
        <v>23</v>
      </c>
      <c r="D9" s="13">
        <f>1-D14</f>
        <v>0.6376811594202898</v>
      </c>
      <c r="F9" t="s">
        <v>35</v>
      </c>
      <c r="G9" s="12">
        <f>G10/G6</f>
        <v>0.13863636363636364</v>
      </c>
      <c r="H9" s="12">
        <f>G9+0.12%</f>
        <v>0.13983636363636365</v>
      </c>
      <c r="I9" s="12">
        <f t="shared" ref="I9:P9" si="3">H9+0.12%</f>
        <v>0.14103636363636365</v>
      </c>
      <c r="J9" s="12">
        <f t="shared" si="3"/>
        <v>0.14223636363636366</v>
      </c>
      <c r="K9" s="12">
        <f t="shared" si="3"/>
        <v>0.14343636363636367</v>
      </c>
      <c r="L9" s="12">
        <f t="shared" si="3"/>
        <v>0.14463636363636367</v>
      </c>
      <c r="M9" s="12">
        <f t="shared" si="3"/>
        <v>0.14583636363636368</v>
      </c>
      <c r="N9" s="12">
        <f t="shared" si="3"/>
        <v>0.14703636363636369</v>
      </c>
      <c r="O9" s="12">
        <f t="shared" si="3"/>
        <v>0.14823636363636369</v>
      </c>
      <c r="P9" s="12">
        <f t="shared" si="3"/>
        <v>0.1494363636363637</v>
      </c>
    </row>
    <row r="10" spans="1:23" x14ac:dyDescent="0.25">
      <c r="C10" t="s">
        <v>22</v>
      </c>
      <c r="D10" s="14">
        <f>D9*D8</f>
        <v>0.15673618272589154</v>
      </c>
      <c r="F10" t="s">
        <v>33</v>
      </c>
      <c r="G10">
        <v>6.1</v>
      </c>
      <c r="H10">
        <f>H6*H9</f>
        <v>7.0757199999999996</v>
      </c>
      <c r="I10">
        <f t="shared" ref="I10:P10" si="4">I6*I9</f>
        <v>8.2549783638523611</v>
      </c>
      <c r="J10">
        <f t="shared" si="4"/>
        <v>9.5636627680569042</v>
      </c>
      <c r="K10">
        <f t="shared" si="4"/>
        <v>10.993756354103024</v>
      </c>
      <c r="L10">
        <f t="shared" si="4"/>
        <v>12.528277473639921</v>
      </c>
      <c r="M10">
        <f t="shared" si="4"/>
        <v>14.139163330169145</v>
      </c>
      <c r="N10">
        <f t="shared" si="4"/>
        <v>15.785350591952556</v>
      </c>
      <c r="O10">
        <f t="shared" si="4"/>
        <v>17.411405246942902</v>
      </c>
      <c r="P10">
        <f t="shared" si="4"/>
        <v>18.947165018211948</v>
      </c>
    </row>
    <row r="11" spans="1:23" x14ac:dyDescent="0.25">
      <c r="F11" t="s">
        <v>38</v>
      </c>
      <c r="G11" s="20">
        <f>H10/G10-1</f>
        <v>0.15995409836065577</v>
      </c>
      <c r="H11" s="20">
        <f t="shared" ref="H11:O11" si="5">I10/H10-1</f>
        <v>0.1666626666759512</v>
      </c>
      <c r="I11" s="20">
        <f t="shared" si="5"/>
        <v>0.15853274793973138</v>
      </c>
      <c r="J11" s="20">
        <f t="shared" si="5"/>
        <v>0.14953408759065634</v>
      </c>
      <c r="K11" s="20">
        <f t="shared" si="5"/>
        <v>0.13958114679921874</v>
      </c>
      <c r="L11" s="20">
        <f t="shared" si="5"/>
        <v>0.12857999512850848</v>
      </c>
      <c r="M11" s="20">
        <f t="shared" si="5"/>
        <v>0.11642748749290499</v>
      </c>
      <c r="N11" s="20">
        <f t="shared" si="5"/>
        <v>0.10301036049331191</v>
      </c>
      <c r="O11" s="12">
        <f t="shared" si="5"/>
        <v>8.8204240237225839E-2</v>
      </c>
      <c r="P11" s="23">
        <f>(1-P14)*P8</f>
        <v>4.5536373058431723E-2</v>
      </c>
    </row>
    <row r="12" spans="1:23" x14ac:dyDescent="0.25">
      <c r="C12" t="s">
        <v>32</v>
      </c>
      <c r="D12">
        <f>2.5/1.15</f>
        <v>2.1739130434782612</v>
      </c>
      <c r="F12" t="s">
        <v>36</v>
      </c>
      <c r="G12" s="20">
        <f>15%</f>
        <v>0.15</v>
      </c>
      <c r="H12" s="20">
        <f>G12+0.2%</f>
        <v>0.152</v>
      </c>
      <c r="I12" s="20">
        <f t="shared" ref="I12:P12" si="6">H12+0.2%</f>
        <v>0.154</v>
      </c>
      <c r="J12" s="20">
        <f t="shared" si="6"/>
        <v>0.156</v>
      </c>
      <c r="K12" s="20">
        <f t="shared" si="6"/>
        <v>0.158</v>
      </c>
      <c r="L12" s="20">
        <f t="shared" si="6"/>
        <v>0.16</v>
      </c>
      <c r="M12" s="20">
        <f t="shared" si="6"/>
        <v>0.16200000000000001</v>
      </c>
      <c r="N12" s="20">
        <f t="shared" si="6"/>
        <v>0.16400000000000001</v>
      </c>
      <c r="O12" s="20">
        <f t="shared" si="6"/>
        <v>0.16600000000000001</v>
      </c>
      <c r="P12" s="20">
        <f t="shared" si="6"/>
        <v>0.16800000000000001</v>
      </c>
    </row>
    <row r="13" spans="1:23" x14ac:dyDescent="0.25">
      <c r="C13" t="s">
        <v>28</v>
      </c>
      <c r="D13">
        <f>D7</f>
        <v>6</v>
      </c>
      <c r="F13" t="s">
        <v>28</v>
      </c>
      <c r="G13">
        <f>G10*(1-G12)</f>
        <v>5.1849999999999996</v>
      </c>
      <c r="H13">
        <f t="shared" ref="H13:P13" si="7">H10*(1-H12)</f>
        <v>6.0002105599999993</v>
      </c>
      <c r="I13">
        <f t="shared" si="7"/>
        <v>6.983711695819097</v>
      </c>
      <c r="J13">
        <f t="shared" si="7"/>
        <v>8.0717313762400273</v>
      </c>
      <c r="K13">
        <f t="shared" si="7"/>
        <v>9.2567428501547457</v>
      </c>
      <c r="L13">
        <f t="shared" si="7"/>
        <v>10.523753077857533</v>
      </c>
      <c r="M13">
        <f t="shared" si="7"/>
        <v>11.848618870681744</v>
      </c>
      <c r="N13">
        <f t="shared" si="7"/>
        <v>13.196553094872336</v>
      </c>
      <c r="O13">
        <f t="shared" si="7"/>
        <v>14.52111197595038</v>
      </c>
      <c r="P13">
        <f t="shared" si="7"/>
        <v>15.764041295152339</v>
      </c>
      <c r="Q13" s="20"/>
      <c r="R13" s="20"/>
      <c r="S13" s="20"/>
      <c r="T13" s="20"/>
      <c r="U13" s="20"/>
      <c r="V13" s="20"/>
      <c r="W13" s="20"/>
    </row>
    <row r="14" spans="1:23" x14ac:dyDescent="0.25">
      <c r="C14" t="s">
        <v>32</v>
      </c>
      <c r="D14">
        <f>D12/D13</f>
        <v>0.3623188405797102</v>
      </c>
      <c r="F14" t="s">
        <v>37</v>
      </c>
      <c r="G14" s="13">
        <f>D14</f>
        <v>0.3623188405797102</v>
      </c>
      <c r="H14" s="20">
        <f>G14*1.095</f>
        <v>0.39673913043478265</v>
      </c>
      <c r="I14" s="20">
        <f t="shared" ref="I14:P14" si="8">H14*1.095</f>
        <v>0.434429347826087</v>
      </c>
      <c r="J14" s="20">
        <f t="shared" si="8"/>
        <v>0.47570013586956528</v>
      </c>
      <c r="K14" s="20">
        <f t="shared" si="8"/>
        <v>0.52089164877717398</v>
      </c>
      <c r="L14" s="20">
        <f t="shared" si="8"/>
        <v>0.57037635541100551</v>
      </c>
      <c r="M14" s="20">
        <f t="shared" si="8"/>
        <v>0.62456210917505106</v>
      </c>
      <c r="N14" s="20">
        <f t="shared" si="8"/>
        <v>0.68389550954668088</v>
      </c>
      <c r="O14" s="20">
        <f t="shared" si="8"/>
        <v>0.74886558295361549</v>
      </c>
      <c r="P14" s="20">
        <f t="shared" si="8"/>
        <v>0.82000781333420891</v>
      </c>
    </row>
    <row r="15" spans="1:23" x14ac:dyDescent="0.25">
      <c r="F15" t="s">
        <v>39</v>
      </c>
      <c r="G15">
        <f>G13*G14</f>
        <v>1.8786231884057973</v>
      </c>
      <c r="H15">
        <f t="shared" ref="H15:P15" si="9">H13*H14</f>
        <v>2.3805183200000002</v>
      </c>
      <c r="I15">
        <f t="shared" si="9"/>
        <v>3.0339293174201063</v>
      </c>
      <c r="J15">
        <f t="shared" si="9"/>
        <v>3.8397237123800143</v>
      </c>
      <c r="K15">
        <f t="shared" si="9"/>
        <v>4.8217600455234226</v>
      </c>
      <c r="L15">
        <f t="shared" si="9"/>
        <v>6.0024999257937317</v>
      </c>
      <c r="M15">
        <f t="shared" si="9"/>
        <v>7.4001983926843016</v>
      </c>
      <c r="N15">
        <f t="shared" si="9"/>
        <v>9.0250634030775441</v>
      </c>
      <c r="O15">
        <f t="shared" si="9"/>
        <v>10.874360985004808</v>
      </c>
      <c r="P15">
        <f t="shared" si="9"/>
        <v>12.92663703174804</v>
      </c>
    </row>
    <row r="16" spans="1:23" x14ac:dyDescent="0.25">
      <c r="F16" t="s">
        <v>7</v>
      </c>
      <c r="G16">
        <f>G15/(1+[1]Sheet2!$B$26)^(Sheet2!G5-2022.5)</f>
        <v>1.9722209623496463</v>
      </c>
      <c r="H16">
        <f>H15/(1+[1]Sheet2!$B$26)^(Sheet2!H5-2022.5)</f>
        <v>2.2675435469709679</v>
      </c>
      <c r="I16">
        <f>I15/(1+[1]Sheet2!$B$26)^(Sheet2!I5-2022.5)</f>
        <v>2.6221515166801841</v>
      </c>
      <c r="J16">
        <f>J15/(1+[1]Sheet2!$B$26)^(Sheet2!J5-2022.5)</f>
        <v>3.0110676744632645</v>
      </c>
      <c r="K16">
        <f>K15/(1+[1]Sheet2!$B$26)^(Sheet2!K5-2022.5)</f>
        <v>3.4307917015257168</v>
      </c>
      <c r="L16">
        <f>L15/(1+[1]Sheet2!$B$26)^(Sheet2!L5-2022.5)</f>
        <v>3.8751555205493227</v>
      </c>
      <c r="M16">
        <f>M15/((1+[1]Sheet2!$B$26)^4.5*(1+Sheet4!$G$26)^(Sheet2!M5-2027))</f>
        <v>4.3412357679143492</v>
      </c>
      <c r="N16">
        <f>N15/((1+[1]Sheet2!$B$26)^4.5*(1+Sheet4!$G$26)^(Sheet2!N5-2027))</f>
        <v>4.8109772983081269</v>
      </c>
      <c r="O16">
        <f>O15/((1+[1]Sheet2!$B$26)^4.5*(1+Sheet4!$G$26)^(Sheet2!O5-2027))</f>
        <v>5.2674427982228273</v>
      </c>
      <c r="P16">
        <f>P15/((1+[1]Sheet2!$B$26)^4.5*(1+Sheet4!$G$26)^4)</f>
        <v>5.6897695024787023</v>
      </c>
    </row>
    <row r="17" spans="3:16" x14ac:dyDescent="0.25">
      <c r="C17" t="s">
        <v>0</v>
      </c>
      <c r="D17" s="12">
        <f>Sheet4!G26</f>
        <v>0.10049218707258908</v>
      </c>
      <c r="O17" t="s">
        <v>9</v>
      </c>
      <c r="P17">
        <f>P16/(Sheet4!G26-Sheet2!P11)</f>
        <v>103.53353152066751</v>
      </c>
    </row>
    <row r="18" spans="3:16" x14ac:dyDescent="0.25">
      <c r="C18" t="s">
        <v>45</v>
      </c>
      <c r="D18" s="28">
        <f>P11</f>
        <v>4.5536373058431723E-2</v>
      </c>
      <c r="O18" t="s">
        <v>11</v>
      </c>
      <c r="P18">
        <f>SUM(H16:P17)</f>
        <v>138.84966684778098</v>
      </c>
    </row>
    <row r="19" spans="3:16" x14ac:dyDescent="0.25">
      <c r="O19" t="s">
        <v>46</v>
      </c>
      <c r="P19">
        <v>26.6</v>
      </c>
    </row>
    <row r="20" spans="3:16" x14ac:dyDescent="0.25">
      <c r="O20" t="s">
        <v>47</v>
      </c>
      <c r="P20">
        <v>22.446000000000002</v>
      </c>
    </row>
    <row r="21" spans="3:16" x14ac:dyDescent="0.25">
      <c r="O21" t="s">
        <v>48</v>
      </c>
      <c r="P21">
        <f>P18+P19-P20</f>
        <v>143.00366684778098</v>
      </c>
    </row>
    <row r="22" spans="3:16" x14ac:dyDescent="0.25">
      <c r="O22" t="s">
        <v>41</v>
      </c>
      <c r="P22" s="8">
        <f>P21/I1*1000000000000</f>
        <v>112604.06108163347</v>
      </c>
    </row>
    <row r="23" spans="3:16" x14ac:dyDescent="0.25">
      <c r="O23" t="s">
        <v>42</v>
      </c>
      <c r="P23">
        <f>K1</f>
        <v>96800</v>
      </c>
    </row>
    <row r="24" spans="3:16" x14ac:dyDescent="0.25">
      <c r="O24" t="s">
        <v>43</v>
      </c>
      <c r="P24" s="20">
        <f>P22/P23-1</f>
        <v>0.16326509381852761</v>
      </c>
    </row>
  </sheetData>
  <conditionalFormatting sqref="P24">
    <cfRule type="cellIs" dxfId="2" priority="1" operator="between">
      <formula>0</formula>
      <formula>0.15</formula>
    </cfRule>
    <cfRule type="cellIs" dxfId="1" priority="2" operator="lessThan">
      <formula>0</formula>
    </cfRule>
    <cfRule type="cellIs" dxfId="0" priority="3" operator="greaterThan">
      <formula>0.15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14B01-5FD2-441B-A740-7BCB0E0D23D9}">
  <dimension ref="F3:G26"/>
  <sheetViews>
    <sheetView topLeftCell="A13" workbookViewId="0">
      <selection activeCell="G18" sqref="G18"/>
    </sheetView>
  </sheetViews>
  <sheetFormatPr defaultRowHeight="15" x14ac:dyDescent="0.25"/>
  <cols>
    <col min="1" max="1" width="20.85546875" bestFit="1" customWidth="1"/>
    <col min="2" max="2" width="13.7109375" bestFit="1" customWidth="1"/>
    <col min="6" max="6" width="20.140625" bestFit="1" customWidth="1"/>
    <col min="7" max="7" width="13.7109375" bestFit="1" customWidth="1"/>
  </cols>
  <sheetData>
    <row r="3" spans="6:7" x14ac:dyDescent="0.25">
      <c r="F3" s="24" t="s">
        <v>0</v>
      </c>
      <c r="G3" s="25"/>
    </row>
    <row r="4" spans="6:7" x14ac:dyDescent="0.25">
      <c r="F4" s="26"/>
      <c r="G4" s="27"/>
    </row>
    <row r="5" spans="6:7" x14ac:dyDescent="0.25">
      <c r="F5" s="1" t="s">
        <v>1</v>
      </c>
      <c r="G5" s="11">
        <f>[1]Sheet2!B5</f>
        <v>144185.5</v>
      </c>
    </row>
    <row r="6" spans="6:7" x14ac:dyDescent="0.25">
      <c r="F6" s="1" t="s">
        <v>2</v>
      </c>
      <c r="G6" s="3">
        <f>G7+G9*G10+G11*G12+G13*G14+G15*G16+G17*G18</f>
        <v>0.1069614672562101</v>
      </c>
    </row>
    <row r="7" spans="6:7" x14ac:dyDescent="0.25">
      <c r="F7" s="1" t="e" vm="2">
        <v>#VALUE!</v>
      </c>
      <c r="G7" s="3" cm="1">
        <f t="array" ref="G7">_FV(F7,"Yield yesterday",TRUE)</f>
        <v>4.2450000000000002E-2</v>
      </c>
    </row>
    <row r="8" spans="6:7" x14ac:dyDescent="0.25">
      <c r="F8" s="1" t="s">
        <v>19</v>
      </c>
      <c r="G8" s="3">
        <v>1.2500000000000001E-2</v>
      </c>
    </row>
    <row r="9" spans="6:7" x14ac:dyDescent="0.25">
      <c r="F9" s="1" t="s">
        <v>3</v>
      </c>
      <c r="G9" s="9">
        <f>0.8</f>
        <v>0.8</v>
      </c>
    </row>
    <row r="10" spans="6:7" x14ac:dyDescent="0.25">
      <c r="F10" s="5" t="s">
        <v>4</v>
      </c>
      <c r="G10" s="22">
        <f>'[2]ER SP500'!$G$15</f>
        <v>3.8808041699999261E-2</v>
      </c>
    </row>
    <row r="11" spans="6:7" x14ac:dyDescent="0.25">
      <c r="F11" s="5" t="s">
        <v>5</v>
      </c>
      <c r="G11" s="5">
        <v>0.2</v>
      </c>
    </row>
    <row r="12" spans="6:7" x14ac:dyDescent="0.25">
      <c r="F12" s="1" t="s">
        <v>6</v>
      </c>
      <c r="G12" s="4">
        <v>0</v>
      </c>
    </row>
    <row r="13" spans="6:7" x14ac:dyDescent="0.25">
      <c r="F13" s="1" t="s">
        <v>8</v>
      </c>
      <c r="G13" s="5">
        <v>3.5000000000000003E-2</v>
      </c>
    </row>
    <row r="14" spans="6:7" x14ac:dyDescent="0.25">
      <c r="F14" s="5" t="s">
        <v>10</v>
      </c>
      <c r="G14" s="4">
        <v>1.2E-2</v>
      </c>
    </row>
    <row r="15" spans="6:7" x14ac:dyDescent="0.25">
      <c r="F15" s="5" t="s">
        <v>12</v>
      </c>
      <c r="G15" s="5">
        <f>0.33/2</f>
        <v>0.16500000000000001</v>
      </c>
    </row>
    <row r="16" spans="6:7" x14ac:dyDescent="0.25">
      <c r="F16" s="1" t="s">
        <v>16</v>
      </c>
      <c r="G16" s="4">
        <v>1.4999999999999999E-2</v>
      </c>
    </row>
    <row r="17" spans="6:7" x14ac:dyDescent="0.25">
      <c r="F17" s="1" t="s">
        <v>17</v>
      </c>
      <c r="G17" s="5">
        <f>1-G11-G13-G15</f>
        <v>0.6</v>
      </c>
    </row>
    <row r="18" spans="6:7" x14ac:dyDescent="0.25">
      <c r="F18" s="1" t="s">
        <v>18</v>
      </c>
      <c r="G18" s="4">
        <f>[1]Sheet2!D18-G10-0.5%</f>
        <v>5.0950056493684462E-2</v>
      </c>
    </row>
    <row r="19" spans="6:7" x14ac:dyDescent="0.25">
      <c r="F19" s="1"/>
      <c r="G19" s="4"/>
    </row>
    <row r="20" spans="6:7" x14ac:dyDescent="0.25">
      <c r="F20" s="1" t="s">
        <v>13</v>
      </c>
      <c r="G20" s="6">
        <v>19500</v>
      </c>
    </row>
    <row r="21" spans="6:7" x14ac:dyDescent="0.25">
      <c r="F21" s="5" t="s">
        <v>20</v>
      </c>
      <c r="G21" s="2" t="s">
        <v>40</v>
      </c>
    </row>
    <row r="22" spans="6:7" x14ac:dyDescent="0.25">
      <c r="F22" s="1" t="s">
        <v>21</v>
      </c>
      <c r="G22" s="10">
        <v>7.0000000000000001E-3</v>
      </c>
    </row>
    <row r="23" spans="6:7" x14ac:dyDescent="0.25">
      <c r="F23" s="1" t="s">
        <v>14</v>
      </c>
      <c r="G23" s="3">
        <f>G7+G22+G8</f>
        <v>6.1950000000000005E-2</v>
      </c>
    </row>
    <row r="24" spans="6:7" x14ac:dyDescent="0.25">
      <c r="F24" s="1" t="s">
        <v>15</v>
      </c>
      <c r="G24" s="3">
        <v>0.15</v>
      </c>
    </row>
    <row r="25" spans="6:7" x14ac:dyDescent="0.25">
      <c r="F25" s="26"/>
      <c r="G25" s="27"/>
    </row>
    <row r="26" spans="6:7" x14ac:dyDescent="0.25">
      <c r="F26" s="7" t="s">
        <v>0</v>
      </c>
      <c r="G26" s="3">
        <f>(G5*G6+G20*G23*(1-G24))/(G5+G20)</f>
        <v>0.10049218707258908</v>
      </c>
    </row>
  </sheetData>
  <mergeCells count="3">
    <mergeCell ref="F3:G3"/>
    <mergeCell ref="F4:G4"/>
    <mergeCell ref="F25: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Hieu Cao</dc:creator>
  <cp:lastModifiedBy>Hieu Q. Cao</cp:lastModifiedBy>
  <dcterms:created xsi:type="dcterms:W3CDTF">2015-06-05T18:17:20Z</dcterms:created>
  <dcterms:modified xsi:type="dcterms:W3CDTF">2023-12-13T01:56:26Z</dcterms:modified>
</cp:coreProperties>
</file>