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APITAL RISQUE\zPerso\22 Hugo\Misc\"/>
    </mc:Choice>
  </mc:AlternateContent>
  <xr:revisionPtr revIDLastSave="0" documentId="13_ncr:1_{DFCE281A-28F2-41C5-A074-59E8E9037AE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ap table post B T3" sheetId="13" r:id="rId1"/>
  </sheets>
  <definedNames>
    <definedName name="_xlnm.Print_Area" localSheetId="0">'Cap table post B T3'!$A$1:$N$124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0" i="13" l="1"/>
  <c r="P60" i="13" s="1"/>
  <c r="L61" i="13"/>
  <c r="L65" i="13"/>
  <c r="L67" i="13"/>
  <c r="L68" i="13"/>
  <c r="P68" i="13" s="1"/>
  <c r="L69" i="13"/>
  <c r="L70" i="13"/>
  <c r="L71" i="13"/>
  <c r="L72" i="13"/>
  <c r="P72" i="13" s="1"/>
  <c r="L77" i="13"/>
  <c r="L96" i="13"/>
  <c r="P96" i="13" s="1"/>
  <c r="L113" i="13"/>
  <c r="L118" i="13"/>
  <c r="W6" i="13"/>
  <c r="W5" i="13"/>
  <c r="W4" i="13"/>
  <c r="AD11" i="13"/>
  <c r="AE11" i="13" s="1"/>
  <c r="AF11" i="13" s="1"/>
  <c r="AG11" i="13" s="1"/>
  <c r="AH11" i="13" s="1"/>
  <c r="AI11" i="13" s="1"/>
  <c r="AJ11" i="13" s="1"/>
  <c r="AK11" i="13" s="1"/>
  <c r="AL11" i="13" s="1"/>
  <c r="AM11" i="13" s="1"/>
  <c r="AN11" i="13" s="1"/>
  <c r="AO11" i="13" s="1"/>
  <c r="AP11" i="13" s="1"/>
  <c r="S10" i="13"/>
  <c r="Q10" i="13"/>
  <c r="R10" i="13"/>
  <c r="P61" i="13"/>
  <c r="P65" i="13"/>
  <c r="P67" i="13"/>
  <c r="P69" i="13"/>
  <c r="P70" i="13"/>
  <c r="P71" i="13"/>
  <c r="P77" i="13"/>
  <c r="P113" i="13"/>
  <c r="P118" i="13"/>
  <c r="P54" i="13"/>
  <c r="P52" i="13"/>
  <c r="P50" i="13"/>
  <c r="P51" i="13"/>
  <c r="P49" i="13"/>
  <c r="P47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23" i="13"/>
  <c r="P21" i="13"/>
  <c r="P19" i="13"/>
  <c r="P18" i="13"/>
  <c r="P14" i="13"/>
  <c r="P15" i="13"/>
  <c r="P16" i="13"/>
  <c r="P17" i="13"/>
  <c r="P13" i="13"/>
  <c r="P10" i="13"/>
  <c r="J84" i="13" l="1"/>
  <c r="L84" i="13" s="1"/>
  <c r="I64" i="13"/>
  <c r="L64" i="13" s="1"/>
  <c r="P64" i="13" s="1"/>
  <c r="I75" i="13"/>
  <c r="J89" i="13"/>
  <c r="L89" i="13"/>
  <c r="P89" i="13" s="1"/>
  <c r="K110" i="13"/>
  <c r="L110" i="13" s="1"/>
  <c r="P110" i="13" s="1"/>
  <c r="J92" i="13"/>
  <c r="K108" i="13"/>
  <c r="L108" i="13" s="1"/>
  <c r="I80" i="13"/>
  <c r="K99" i="13"/>
  <c r="L99" i="13" s="1"/>
  <c r="I73" i="13"/>
  <c r="I119" i="13"/>
  <c r="L119" i="13" s="1"/>
  <c r="K106" i="13"/>
  <c r="L106" i="13" s="1"/>
  <c r="I58" i="13"/>
  <c r="L58" i="13" s="1"/>
  <c r="K105" i="13"/>
  <c r="L105" i="13" s="1"/>
  <c r="P105" i="13" s="1"/>
  <c r="J93" i="13"/>
  <c r="L93" i="13" s="1"/>
  <c r="K101" i="13"/>
  <c r="L101" i="13" s="1"/>
  <c r="J83" i="13"/>
  <c r="K111" i="13"/>
  <c r="L111" i="13" s="1"/>
  <c r="P111" i="13" s="1"/>
  <c r="I66" i="13"/>
  <c r="K116" i="13"/>
  <c r="L116" i="13" s="1"/>
  <c r="P116" i="13" s="1"/>
  <c r="J94" i="13"/>
  <c r="L94" i="13" s="1"/>
  <c r="P94" i="13" s="1"/>
  <c r="I59" i="13"/>
  <c r="I76" i="13"/>
  <c r="K117" i="13"/>
  <c r="L117" i="13" s="1"/>
  <c r="P117" i="13" s="1"/>
  <c r="J87" i="13"/>
  <c r="L87" i="13" s="1"/>
  <c r="P87" i="13" s="1"/>
  <c r="I79" i="13"/>
  <c r="K103" i="13"/>
  <c r="L103" i="13"/>
  <c r="P103" i="13" s="1"/>
  <c r="J82" i="13"/>
  <c r="L82" i="13" s="1"/>
  <c r="K80" i="13"/>
  <c r="I78" i="13"/>
  <c r="J90" i="13"/>
  <c r="L90" i="13" s="1"/>
  <c r="P90" i="13" s="1"/>
  <c r="J91" i="13"/>
  <c r="J88" i="13"/>
  <c r="L88" i="13" s="1"/>
  <c r="K109" i="13"/>
  <c r="L109" i="13" s="1"/>
  <c r="K102" i="13"/>
  <c r="L102" i="13" s="1"/>
  <c r="P102" i="13" s="1"/>
  <c r="J98" i="13"/>
  <c r="L98" i="13" s="1"/>
  <c r="K112" i="13"/>
  <c r="L112" i="13" s="1"/>
  <c r="P112" i="13" s="1"/>
  <c r="J97" i="13"/>
  <c r="L97" i="13" s="1"/>
  <c r="P97" i="13"/>
  <c r="K100" i="13"/>
  <c r="L100" i="13" s="1"/>
  <c r="K104" i="13"/>
  <c r="L104" i="13" s="1"/>
  <c r="K107" i="13"/>
  <c r="L107" i="13"/>
  <c r="K114" i="13"/>
  <c r="L114" i="13" s="1"/>
  <c r="I74" i="13"/>
  <c r="I63" i="13"/>
  <c r="L63" i="13" s="1"/>
  <c r="P63" i="13" s="1"/>
  <c r="J95" i="13"/>
  <c r="J85" i="13"/>
  <c r="L85" i="13" s="1"/>
  <c r="P85" i="13" s="1"/>
  <c r="J86" i="13"/>
  <c r="L86" i="13" s="1"/>
  <c r="J120" i="13"/>
  <c r="L120" i="13" s="1"/>
  <c r="J81" i="13"/>
  <c r="L81" i="13" s="1"/>
  <c r="P81" i="13" s="1"/>
  <c r="J115" i="13"/>
  <c r="L115" i="13" s="1"/>
  <c r="I62" i="13"/>
  <c r="L62" i="13" s="1"/>
  <c r="P62" i="13" s="1"/>
  <c r="J57" i="13"/>
  <c r="J74" i="13"/>
  <c r="J66" i="13"/>
  <c r="L66" i="13" s="1"/>
  <c r="K95" i="13"/>
  <c r="J59" i="13"/>
  <c r="Z6" i="13"/>
  <c r="J73" i="13"/>
  <c r="Z4" i="13"/>
  <c r="K91" i="13"/>
  <c r="K92" i="13"/>
  <c r="J79" i="13"/>
  <c r="Z5" i="13"/>
  <c r="K83" i="13"/>
  <c r="L83" i="13" s="1"/>
  <c r="J76" i="13"/>
  <c r="J78" i="13"/>
  <c r="I57" i="13"/>
  <c r="J75" i="13"/>
  <c r="L79" i="13" l="1"/>
  <c r="P79" i="13" s="1"/>
  <c r="L91" i="13"/>
  <c r="P91" i="13" s="1"/>
  <c r="L95" i="13"/>
  <c r="P95" i="13" s="1"/>
  <c r="L78" i="13"/>
  <c r="P78" i="13" s="1"/>
  <c r="L57" i="13"/>
  <c r="P57" i="13" s="1"/>
  <c r="J56" i="13"/>
  <c r="J121" i="13" s="1"/>
  <c r="J123" i="13" s="1"/>
  <c r="L59" i="13"/>
  <c r="P86" i="13"/>
  <c r="P104" i="13"/>
  <c r="P59" i="13"/>
  <c r="P58" i="13"/>
  <c r="L73" i="13"/>
  <c r="P115" i="13"/>
  <c r="P98" i="13"/>
  <c r="P106" i="13"/>
  <c r="L74" i="13"/>
  <c r="P107" i="13"/>
  <c r="P100" i="13"/>
  <c r="P119" i="13"/>
  <c r="P83" i="13"/>
  <c r="P120" i="13"/>
  <c r="P109" i="13"/>
  <c r="K56" i="13"/>
  <c r="K121" i="13" s="1"/>
  <c r="P66" i="13"/>
  <c r="P114" i="13"/>
  <c r="P82" i="13"/>
  <c r="P88" i="13"/>
  <c r="L76" i="13"/>
  <c r="P101" i="13"/>
  <c r="P99" i="13"/>
  <c r="P93" i="13"/>
  <c r="P84" i="13"/>
  <c r="I56" i="13"/>
  <c r="L80" i="13"/>
  <c r="L75" i="13"/>
  <c r="P108" i="13"/>
  <c r="L92" i="13"/>
  <c r="X5" i="13" l="1"/>
  <c r="P80" i="13"/>
  <c r="K123" i="13"/>
  <c r="X6" i="13"/>
  <c r="P74" i="13"/>
  <c r="P75" i="13"/>
  <c r="P76" i="13"/>
  <c r="I121" i="13"/>
  <c r="L56" i="13"/>
  <c r="P92" i="13"/>
  <c r="P73" i="13"/>
  <c r="P56" i="13" l="1"/>
  <c r="L121" i="13"/>
  <c r="I123" i="13"/>
  <c r="X4" i="13"/>
  <c r="Q5" i="13" s="1"/>
  <c r="Q6" i="13" s="1"/>
  <c r="P121" i="13" l="1"/>
  <c r="L123" i="13"/>
  <c r="M121" i="13" s="1"/>
  <c r="S6" i="13"/>
  <c r="M60" i="13" l="1"/>
  <c r="M70" i="13"/>
  <c r="M40" i="13"/>
  <c r="M69" i="13"/>
  <c r="M25" i="13"/>
  <c r="M32" i="13"/>
  <c r="M31" i="13"/>
  <c r="M35" i="13"/>
  <c r="M123" i="13"/>
  <c r="M29" i="13"/>
  <c r="M37" i="13"/>
  <c r="M16" i="13"/>
  <c r="M36" i="13"/>
  <c r="M118" i="13"/>
  <c r="M77" i="13"/>
  <c r="M68" i="13"/>
  <c r="P123" i="13"/>
  <c r="M30" i="13"/>
  <c r="M14" i="13"/>
  <c r="M41" i="13"/>
  <c r="M71" i="13"/>
  <c r="M54" i="13"/>
  <c r="M46" i="13"/>
  <c r="M27" i="13"/>
  <c r="M17" i="13"/>
  <c r="M52" i="13"/>
  <c r="M113" i="13"/>
  <c r="M72" i="13"/>
  <c r="M96" i="13"/>
  <c r="M50" i="13"/>
  <c r="M51" i="13"/>
  <c r="M21" i="13"/>
  <c r="M47" i="13"/>
  <c r="M49" i="13"/>
  <c r="M15" i="13"/>
  <c r="M44" i="13"/>
  <c r="M39" i="13"/>
  <c r="M28" i="13"/>
  <c r="M33" i="13"/>
  <c r="M26" i="13"/>
  <c r="M105" i="13"/>
  <c r="M19" i="13"/>
  <c r="M23" i="13"/>
  <c r="M13" i="13"/>
  <c r="M42" i="13"/>
  <c r="M62" i="13"/>
  <c r="M43" i="13"/>
  <c r="M87" i="13"/>
  <c r="M103" i="13"/>
  <c r="M90" i="13"/>
  <c r="M102" i="13"/>
  <c r="M45" i="13"/>
  <c r="M85" i="13"/>
  <c r="M64" i="13"/>
  <c r="M61" i="13"/>
  <c r="M67" i="13"/>
  <c r="M38" i="13"/>
  <c r="M91" i="13"/>
  <c r="M112" i="13"/>
  <c r="M34" i="13"/>
  <c r="M24" i="13"/>
  <c r="M65" i="13"/>
  <c r="M18" i="13"/>
  <c r="M79" i="13"/>
  <c r="M114" i="13"/>
  <c r="M95" i="13"/>
  <c r="M115" i="13"/>
  <c r="M97" i="13"/>
  <c r="M106" i="13"/>
  <c r="M66" i="13"/>
  <c r="M82" i="13"/>
  <c r="M99" i="13"/>
  <c r="M89" i="13"/>
  <c r="M111" i="13"/>
  <c r="M57" i="13"/>
  <c r="M117" i="13"/>
  <c r="M101" i="13"/>
  <c r="M109" i="13"/>
  <c r="M116" i="13"/>
  <c r="M104" i="13"/>
  <c r="M78" i="13"/>
  <c r="M59" i="13"/>
  <c r="M63" i="13"/>
  <c r="M100" i="13"/>
  <c r="M119" i="13"/>
  <c r="M120" i="13"/>
  <c r="M88" i="13"/>
  <c r="M93" i="13"/>
  <c r="M84" i="13"/>
  <c r="M108" i="13"/>
  <c r="M110" i="13"/>
  <c r="M58" i="13"/>
  <c r="M81" i="13"/>
  <c r="M98" i="13"/>
  <c r="M94" i="13"/>
  <c r="M86" i="13"/>
  <c r="M107" i="13"/>
  <c r="M83" i="13"/>
  <c r="M92" i="13"/>
  <c r="M80" i="13"/>
  <c r="M75" i="13"/>
  <c r="M74" i="13"/>
  <c r="M76" i="13"/>
  <c r="M73" i="13"/>
  <c r="M56" i="13"/>
  <c r="P124" i="13" l="1"/>
  <c r="Q32" i="13" l="1"/>
  <c r="Q67" i="13"/>
  <c r="Q35" i="13"/>
  <c r="Q19" i="13"/>
  <c r="Q30" i="13"/>
  <c r="Q61" i="13"/>
  <c r="Q28" i="13"/>
  <c r="Q17" i="13"/>
  <c r="Q37" i="13"/>
  <c r="Q33" i="13"/>
  <c r="Q39" i="13"/>
  <c r="Q18" i="13"/>
  <c r="Q14" i="13"/>
  <c r="Q38" i="13"/>
  <c r="Q54" i="13"/>
  <c r="Q96" i="13"/>
  <c r="Q46" i="13"/>
  <c r="Q27" i="13"/>
  <c r="Q41" i="13"/>
  <c r="Q36" i="13"/>
  <c r="Q45" i="13"/>
  <c r="Q29" i="13"/>
  <c r="Q77" i="13"/>
  <c r="Q72" i="13"/>
  <c r="Q26" i="13"/>
  <c r="Q70" i="13"/>
  <c r="Q113" i="13"/>
  <c r="Q25" i="13"/>
  <c r="Q47" i="13"/>
  <c r="Q108" i="13"/>
  <c r="Q81" i="13"/>
  <c r="Q85" i="13"/>
  <c r="Q64" i="13"/>
  <c r="Q98" i="13"/>
  <c r="Q120" i="13"/>
  <c r="Q94" i="13"/>
  <c r="Q73" i="13"/>
  <c r="Q105" i="13"/>
  <c r="Q56" i="13"/>
  <c r="Q123" i="13"/>
  <c r="Q121" i="13"/>
  <c r="Q79" i="13"/>
  <c r="Q49" i="13"/>
  <c r="Q118" i="13"/>
  <c r="Q40" i="13"/>
  <c r="Q60" i="13"/>
  <c r="Q52" i="13"/>
  <c r="Q68" i="13"/>
  <c r="Q31" i="13"/>
  <c r="Q24" i="13"/>
  <c r="Q34" i="13"/>
  <c r="Q99" i="13"/>
  <c r="Q57" i="13"/>
  <c r="Q83" i="13"/>
  <c r="Q87" i="13"/>
  <c r="Q95" i="13"/>
  <c r="Q59" i="13"/>
  <c r="Q117" i="13"/>
  <c r="Q62" i="13"/>
  <c r="Q115" i="13"/>
  <c r="Q111" i="13"/>
  <c r="Q116" i="13"/>
  <c r="Q91" i="13"/>
  <c r="Q119" i="13"/>
  <c r="Q114" i="13"/>
  <c r="Q13" i="13"/>
  <c r="Q42" i="13"/>
  <c r="Q69" i="13"/>
  <c r="Q80" i="13"/>
  <c r="Q92" i="13"/>
  <c r="Q58" i="13"/>
  <c r="Q84" i="13"/>
  <c r="Q74" i="13"/>
  <c r="Q89" i="13"/>
  <c r="Q93" i="13"/>
  <c r="Q124" i="13"/>
  <c r="Q63" i="13"/>
  <c r="Q109" i="13"/>
  <c r="Q103" i="13"/>
  <c r="Q106" i="13"/>
  <c r="Q101" i="13"/>
  <c r="Q102" i="13"/>
  <c r="Q112" i="13"/>
  <c r="Q44" i="13"/>
  <c r="Q71" i="13"/>
  <c r="Q50" i="13"/>
  <c r="Q23" i="13"/>
  <c r="Q21" i="13"/>
  <c r="Q78" i="13"/>
  <c r="Q104" i="13"/>
  <c r="Q90" i="13"/>
  <c r="Q110" i="13"/>
  <c r="Q100" i="13"/>
  <c r="Q88" i="13"/>
  <c r="Q43" i="13"/>
  <c r="Q16" i="13"/>
  <c r="Q65" i="13"/>
  <c r="Q75" i="13"/>
  <c r="Q107" i="13"/>
  <c r="Q66" i="13"/>
  <c r="Q86" i="13"/>
  <c r="Q76" i="13"/>
  <c r="Q97" i="13"/>
  <c r="Q82" i="13"/>
  <c r="Q15" i="13"/>
  <c r="Q51" i="13"/>
  <c r="R69" i="13" l="1"/>
  <c r="R19" i="13"/>
  <c r="R26" i="13"/>
  <c r="R35" i="13"/>
  <c r="R111" i="13"/>
  <c r="R23" i="13"/>
  <c r="R39" i="13"/>
  <c r="R21" i="13"/>
  <c r="R81" i="13"/>
  <c r="R117" i="13"/>
  <c r="R46" i="13"/>
  <c r="R65" i="13"/>
  <c r="R42" i="13"/>
  <c r="R79" i="13"/>
  <c r="R47" i="13"/>
  <c r="R14" i="13"/>
  <c r="R82" i="13"/>
  <c r="R84" i="13"/>
  <c r="R109" i="13"/>
  <c r="R105" i="13"/>
  <c r="R85" i="13"/>
  <c r="R28" i="13"/>
  <c r="R40" i="13"/>
  <c r="R88" i="13"/>
  <c r="R119" i="13"/>
  <c r="R50" i="13"/>
  <c r="R58" i="13"/>
  <c r="R18" i="13"/>
  <c r="R115" i="13"/>
  <c r="R29" i="13"/>
  <c r="R76" i="13"/>
  <c r="R116" i="13"/>
  <c r="R103" i="13"/>
  <c r="R102" i="13"/>
  <c r="R87" i="13"/>
  <c r="R96" i="13"/>
  <c r="R59" i="13"/>
  <c r="R31" i="13"/>
  <c r="R67" i="13"/>
  <c r="R100" i="13"/>
  <c r="R89" i="13"/>
  <c r="R106" i="13"/>
  <c r="R27" i="13"/>
  <c r="R114" i="13"/>
  <c r="R75" i="13"/>
  <c r="R113" i="13"/>
  <c r="R101" i="13"/>
  <c r="R62" i="13"/>
  <c r="R41" i="13"/>
  <c r="R34" i="13"/>
  <c r="R123" i="13"/>
  <c r="R124" i="13" s="1"/>
  <c r="R44" i="13"/>
  <c r="R110" i="13"/>
  <c r="R15" i="13"/>
  <c r="R63" i="13"/>
  <c r="R121" i="13"/>
  <c r="R51" i="13"/>
  <c r="R120" i="13"/>
  <c r="R56" i="13"/>
  <c r="R94" i="13"/>
  <c r="R61" i="13"/>
  <c r="R60" i="13"/>
  <c r="R92" i="13"/>
  <c r="R93" i="13"/>
  <c r="R98" i="13"/>
  <c r="R33" i="13"/>
  <c r="R52" i="13"/>
  <c r="R83" i="13"/>
  <c r="R68" i="13"/>
  <c r="R49" i="13"/>
  <c r="R70" i="13"/>
  <c r="R72" i="13"/>
  <c r="R71" i="13"/>
  <c r="R25" i="13"/>
  <c r="R118" i="13"/>
  <c r="R66" i="13"/>
  <c r="R90" i="13"/>
  <c r="R17" i="13"/>
  <c r="R95" i="13"/>
  <c r="R64" i="13"/>
  <c r="R30" i="13"/>
  <c r="R104" i="13"/>
  <c r="R32" i="13"/>
  <c r="R108" i="13"/>
  <c r="R54" i="13"/>
  <c r="R112" i="13"/>
  <c r="R97" i="13"/>
  <c r="R24" i="13"/>
  <c r="R45" i="13"/>
  <c r="R91" i="13"/>
  <c r="R74" i="13"/>
  <c r="R107" i="13"/>
  <c r="R37" i="13"/>
  <c r="R43" i="13"/>
  <c r="R99" i="13"/>
  <c r="R77" i="13"/>
  <c r="R57" i="13"/>
  <c r="R13" i="13"/>
  <c r="R78" i="13"/>
  <c r="R36" i="13"/>
  <c r="R73" i="13"/>
  <c r="R38" i="13"/>
  <c r="R86" i="13"/>
  <c r="R80" i="13"/>
  <c r="R16" i="13"/>
  <c r="S101" i="13" l="1"/>
  <c r="S27" i="13"/>
  <c r="S61" i="13"/>
  <c r="S47" i="13"/>
  <c r="S16" i="13"/>
  <c r="S59" i="13"/>
  <c r="S66" i="13"/>
  <c r="S67" i="13"/>
  <c r="S78" i="13"/>
  <c r="S115" i="13"/>
  <c r="S106" i="13"/>
  <c r="S86" i="13"/>
  <c r="S36" i="13"/>
  <c r="S13" i="13"/>
  <c r="S40" i="13"/>
  <c r="S21" i="13"/>
  <c r="S108" i="13"/>
  <c r="S80" i="13"/>
  <c r="S120" i="13"/>
  <c r="S24" i="13"/>
  <c r="S87" i="13"/>
  <c r="S107" i="13"/>
  <c r="S28" i="13"/>
  <c r="S42" i="13"/>
  <c r="S92" i="13"/>
  <c r="S26" i="13"/>
  <c r="S19" i="13"/>
  <c r="S37" i="13"/>
  <c r="S18" i="13"/>
  <c r="S71" i="13"/>
  <c r="S31" i="13"/>
  <c r="S72" i="13"/>
  <c r="S90" i="13"/>
  <c r="S114" i="13"/>
  <c r="S94" i="13"/>
  <c r="S23" i="13"/>
  <c r="S100" i="13"/>
  <c r="S69" i="13"/>
  <c r="S85" i="13"/>
  <c r="S79" i="13"/>
  <c r="S41" i="13"/>
  <c r="S54" i="13"/>
  <c r="S91" i="13"/>
  <c r="S49" i="13"/>
  <c r="S121" i="13"/>
  <c r="S102" i="13"/>
  <c r="S96" i="13"/>
  <c r="S68" i="13"/>
  <c r="S57" i="13"/>
  <c r="S17" i="13"/>
  <c r="S70" i="13"/>
  <c r="S45" i="13"/>
  <c r="S15" i="13"/>
  <c r="S111" i="13"/>
  <c r="S62" i="13"/>
  <c r="S51" i="13"/>
  <c r="S33" i="13"/>
  <c r="S76" i="13"/>
  <c r="S34" i="13"/>
  <c r="S112" i="13"/>
  <c r="S52" i="13"/>
  <c r="S95" i="13"/>
  <c r="S97" i="13"/>
  <c r="S74" i="13"/>
  <c r="S30" i="13"/>
  <c r="S32" i="13"/>
  <c r="S65" i="13"/>
  <c r="S38" i="13"/>
  <c r="S14" i="13"/>
  <c r="S103" i="13"/>
  <c r="S75" i="13"/>
  <c r="S63" i="13"/>
  <c r="S44" i="13"/>
  <c r="S104" i="13"/>
  <c r="S50" i="13"/>
  <c r="S119" i="13"/>
  <c r="S116" i="13"/>
  <c r="S43" i="13"/>
  <c r="S29" i="13"/>
  <c r="S89" i="13"/>
  <c r="S117" i="13"/>
  <c r="S56" i="13"/>
  <c r="S39" i="13"/>
  <c r="S109" i="13"/>
  <c r="S118" i="13"/>
  <c r="S88" i="13"/>
  <c r="S82" i="13"/>
  <c r="S113" i="13"/>
  <c r="S60" i="13"/>
  <c r="S98" i="13"/>
  <c r="S35" i="13"/>
  <c r="S64" i="13"/>
  <c r="S46" i="13"/>
  <c r="S84" i="13"/>
  <c r="S81" i="13"/>
  <c r="S93" i="13"/>
  <c r="S105" i="13"/>
  <c r="S77" i="13"/>
  <c r="S25" i="13"/>
  <c r="S58" i="13"/>
  <c r="S99" i="13"/>
  <c r="S123" i="13"/>
  <c r="S83" i="13"/>
  <c r="S124" i="13"/>
  <c r="S73" i="13"/>
  <c r="S110" i="13"/>
  <c r="T121" i="13" l="1"/>
  <c r="V121" i="13" s="1"/>
  <c r="AC121" i="13" s="1"/>
  <c r="T84" i="13"/>
  <c r="T89" i="13"/>
  <c r="T38" i="13"/>
  <c r="V38" i="13" s="1"/>
  <c r="AC38" i="13" s="1"/>
  <c r="T105" i="13"/>
  <c r="V105" i="13" s="1"/>
  <c r="AC105" i="13" s="1"/>
  <c r="T17" i="13"/>
  <c r="V17" i="13" s="1"/>
  <c r="AC17" i="13" s="1"/>
  <c r="T36" i="13"/>
  <c r="V36" i="13" s="1"/>
  <c r="AC36" i="13" s="1"/>
  <c r="T76" i="13"/>
  <c r="V76" i="13" s="1"/>
  <c r="AC76" i="13" s="1"/>
  <c r="T88" i="13"/>
  <c r="V88" i="13" s="1"/>
  <c r="AC88" i="13" s="1"/>
  <c r="T82" i="13"/>
  <c r="V82" i="13" s="1"/>
  <c r="AC82" i="13" s="1"/>
  <c r="T61" i="13"/>
  <c r="V61" i="13" s="1"/>
  <c r="AC61" i="13" s="1"/>
  <c r="T33" i="13"/>
  <c r="V33" i="13" s="1"/>
  <c r="AC33" i="13" s="1"/>
  <c r="T46" i="13"/>
  <c r="V46" i="13" s="1"/>
  <c r="AC46" i="13" s="1"/>
  <c r="T31" i="13"/>
  <c r="T98" i="13"/>
  <c r="V98" i="13" s="1"/>
  <c r="AC98" i="13" s="1"/>
  <c r="T109" i="13"/>
  <c r="V109" i="13" s="1"/>
  <c r="AC109" i="13" s="1"/>
  <c r="T65" i="13"/>
  <c r="V65" i="13" s="1"/>
  <c r="AC65" i="13" s="1"/>
  <c r="T62" i="13"/>
  <c r="V62" i="13" s="1"/>
  <c r="AC62" i="13" s="1"/>
  <c r="T50" i="13"/>
  <c r="T118" i="13"/>
  <c r="V118" i="13" s="1"/>
  <c r="AC118" i="13" s="1"/>
  <c r="T56" i="13"/>
  <c r="V56" i="13" s="1"/>
  <c r="AC56" i="13" s="1"/>
  <c r="T73" i="13"/>
  <c r="T93" i="13"/>
  <c r="V93" i="13" s="1"/>
  <c r="AC93" i="13" s="1"/>
  <c r="T99" i="13"/>
  <c r="V99" i="13" s="1"/>
  <c r="AC99" i="13" s="1"/>
  <c r="T67" i="13"/>
  <c r="V67" i="13" s="1"/>
  <c r="AC67" i="13" s="1"/>
  <c r="T26" i="13"/>
  <c r="V26" i="13" s="1"/>
  <c r="AC26" i="13" s="1"/>
  <c r="T27" i="13"/>
  <c r="V27" i="13" s="1"/>
  <c r="AC27" i="13" s="1"/>
  <c r="T35" i="13"/>
  <c r="V35" i="13" s="1"/>
  <c r="AC35" i="13" s="1"/>
  <c r="T114" i="13"/>
  <c r="V114" i="13" s="1"/>
  <c r="AC114" i="13" s="1"/>
  <c r="T103" i="13"/>
  <c r="T43" i="13"/>
  <c r="V43" i="13" s="1"/>
  <c r="AC43" i="13" s="1"/>
  <c r="T77" i="13"/>
  <c r="V77" i="13" s="1"/>
  <c r="AC77" i="13" s="1"/>
  <c r="T120" i="13"/>
  <c r="V120" i="13" s="1"/>
  <c r="AC120" i="13" s="1"/>
  <c r="T64" i="13"/>
  <c r="V64" i="13" s="1"/>
  <c r="AC64" i="13" s="1"/>
  <c r="T54" i="13"/>
  <c r="T86" i="13"/>
  <c r="V86" i="13" s="1"/>
  <c r="AC86" i="13" s="1"/>
  <c r="T79" i="13"/>
  <c r="V79" i="13" s="1"/>
  <c r="AC79" i="13" s="1"/>
  <c r="T21" i="13"/>
  <c r="V21" i="13" s="1"/>
  <c r="AC21" i="13" s="1"/>
  <c r="T101" i="13"/>
  <c r="V101" i="13" s="1"/>
  <c r="AC101" i="13" s="1"/>
  <c r="T96" i="13"/>
  <c r="V96" i="13" s="1"/>
  <c r="AC96" i="13" s="1"/>
  <c r="T60" i="13"/>
  <c r="V60" i="13" s="1"/>
  <c r="AC60" i="13" s="1"/>
  <c r="T110" i="13"/>
  <c r="T112" i="13"/>
  <c r="V112" i="13" s="1"/>
  <c r="AC112" i="13" s="1"/>
  <c r="T113" i="13"/>
  <c r="V113" i="13" s="1"/>
  <c r="AC113" i="13" s="1"/>
  <c r="T83" i="13"/>
  <c r="V83" i="13" s="1"/>
  <c r="AC83" i="13" s="1"/>
  <c r="T95" i="13"/>
  <c r="V95" i="13" s="1"/>
  <c r="AC95" i="13" s="1"/>
  <c r="T30" i="13"/>
  <c r="V30" i="13" s="1"/>
  <c r="AC30" i="13" s="1"/>
  <c r="T81" i="13"/>
  <c r="V81" i="13" s="1"/>
  <c r="AC81" i="13" s="1"/>
  <c r="T117" i="13"/>
  <c r="V117" i="13" s="1"/>
  <c r="AC117" i="13" s="1"/>
  <c r="T13" i="13"/>
  <c r="T16" i="13"/>
  <c r="V16" i="13" s="1"/>
  <c r="AC16" i="13" s="1"/>
  <c r="T119" i="13"/>
  <c r="V119" i="13" s="1"/>
  <c r="AC119" i="13" s="1"/>
  <c r="T106" i="13"/>
  <c r="T85" i="13"/>
  <c r="V85" i="13" s="1"/>
  <c r="AC85" i="13" s="1"/>
  <c r="T39" i="13"/>
  <c r="V39" i="13" s="1"/>
  <c r="AC39" i="13" s="1"/>
  <c r="T71" i="13"/>
  <c r="V71" i="13" s="1"/>
  <c r="AC71" i="13" s="1"/>
  <c r="T123" i="13"/>
  <c r="V123" i="13" s="1"/>
  <c r="AC123" i="13" s="1"/>
  <c r="T92" i="13"/>
  <c r="V92" i="13" s="1"/>
  <c r="AC92" i="13" s="1"/>
  <c r="T63" i="13"/>
  <c r="V63" i="13" s="1"/>
  <c r="AC63" i="13" s="1"/>
  <c r="T115" i="13"/>
  <c r="V115" i="13" s="1"/>
  <c r="AC115" i="13" s="1"/>
  <c r="T102" i="13"/>
  <c r="V102" i="13" s="1"/>
  <c r="AC102" i="13" s="1"/>
  <c r="T15" i="13"/>
  <c r="V15" i="13" s="1"/>
  <c r="AC15" i="13" s="1"/>
  <c r="T14" i="13"/>
  <c r="T40" i="13"/>
  <c r="V40" i="13" s="1"/>
  <c r="AC40" i="13" s="1"/>
  <c r="T108" i="13"/>
  <c r="V108" i="13" s="1"/>
  <c r="AC108" i="13" s="1"/>
  <c r="T111" i="13"/>
  <c r="T91" i="13"/>
  <c r="V91" i="13" s="1"/>
  <c r="AC91" i="13" s="1"/>
  <c r="T19" i="13"/>
  <c r="V19" i="13" s="1"/>
  <c r="AC19" i="13" s="1"/>
  <c r="T52" i="13"/>
  <c r="V52" i="13" s="1"/>
  <c r="AC52" i="13" s="1"/>
  <c r="T29" i="13"/>
  <c r="T75" i="13"/>
  <c r="V75" i="13" s="1"/>
  <c r="AC75" i="13" s="1"/>
  <c r="T80" i="13"/>
  <c r="V80" i="13" s="1"/>
  <c r="AC80" i="13" s="1"/>
  <c r="T100" i="13"/>
  <c r="V100" i="13" s="1"/>
  <c r="AC100" i="13" s="1"/>
  <c r="T97" i="13"/>
  <c r="V97" i="13" s="1"/>
  <c r="AC97" i="13" s="1"/>
  <c r="T45" i="13"/>
  <c r="V45" i="13" s="1"/>
  <c r="AC45" i="13" s="1"/>
  <c r="T44" i="13"/>
  <c r="V44" i="13" s="1"/>
  <c r="AC44" i="13" s="1"/>
  <c r="T41" i="13"/>
  <c r="V41" i="13" s="1"/>
  <c r="AC41" i="13" s="1"/>
  <c r="T69" i="13"/>
  <c r="V69" i="13" s="1"/>
  <c r="AC69" i="13" s="1"/>
  <c r="T78" i="13"/>
  <c r="V78" i="13" s="1"/>
  <c r="AC78" i="13" s="1"/>
  <c r="T47" i="13"/>
  <c r="V47" i="13" s="1"/>
  <c r="AC47" i="13" s="1"/>
  <c r="T25" i="13"/>
  <c r="V25" i="13" s="1"/>
  <c r="AC25" i="13" s="1"/>
  <c r="T94" i="13"/>
  <c r="V94" i="13" s="1"/>
  <c r="AC94" i="13" s="1"/>
  <c r="T116" i="13"/>
  <c r="V116" i="13" s="1"/>
  <c r="AC116" i="13" s="1"/>
  <c r="T18" i="13"/>
  <c r="V18" i="13" s="1"/>
  <c r="AC18" i="13" s="1"/>
  <c r="T51" i="13"/>
  <c r="V51" i="13" s="1"/>
  <c r="AC51" i="13" s="1"/>
  <c r="T74" i="13"/>
  <c r="V74" i="13" s="1"/>
  <c r="AC74" i="13" s="1"/>
  <c r="T66" i="13"/>
  <c r="V66" i="13" s="1"/>
  <c r="AC66" i="13" s="1"/>
  <c r="T28" i="13"/>
  <c r="V28" i="13" s="1"/>
  <c r="AC28" i="13" s="1"/>
  <c r="T32" i="13"/>
  <c r="V32" i="13" s="1"/>
  <c r="AC32" i="13" s="1"/>
  <c r="T107" i="13"/>
  <c r="V107" i="13" s="1"/>
  <c r="AC107" i="13" s="1"/>
  <c r="T104" i="13"/>
  <c r="V104" i="13" s="1"/>
  <c r="AC104" i="13" s="1"/>
  <c r="T87" i="13"/>
  <c r="V87" i="13" s="1"/>
  <c r="AC87" i="13" s="1"/>
  <c r="T68" i="13"/>
  <c r="V68" i="13" s="1"/>
  <c r="AC68" i="13" s="1"/>
  <c r="T24" i="13"/>
  <c r="V24" i="13" s="1"/>
  <c r="AC24" i="13" s="1"/>
  <c r="T42" i="13"/>
  <c r="V42" i="13" s="1"/>
  <c r="AC42" i="13" s="1"/>
  <c r="T57" i="13"/>
  <c r="V57" i="13" s="1"/>
  <c r="AC57" i="13" s="1"/>
  <c r="T23" i="13"/>
  <c r="V23" i="13" s="1"/>
  <c r="AC23" i="13" s="1"/>
  <c r="T37" i="13"/>
  <c r="T59" i="13"/>
  <c r="T90" i="13"/>
  <c r="V90" i="13" s="1"/>
  <c r="AC90" i="13" s="1"/>
  <c r="T49" i="13"/>
  <c r="V49" i="13" s="1"/>
  <c r="AC49" i="13" s="1"/>
  <c r="T70" i="13"/>
  <c r="V70" i="13" s="1"/>
  <c r="AC70" i="13" s="1"/>
  <c r="T58" i="13"/>
  <c r="V58" i="13" s="1"/>
  <c r="AC58" i="13" s="1"/>
  <c r="T34" i="13"/>
  <c r="V34" i="13" s="1"/>
  <c r="AC34" i="13" s="1"/>
  <c r="T72" i="13"/>
  <c r="V72" i="13" s="1"/>
  <c r="AC72" i="13" s="1"/>
  <c r="V37" i="13"/>
  <c r="AC37" i="13" s="1"/>
  <c r="V50" i="13"/>
  <c r="AC50" i="13" s="1"/>
  <c r="V31" i="13"/>
  <c r="AC31" i="13" s="1"/>
  <c r="V106" i="13"/>
  <c r="AC106" i="13" s="1"/>
  <c r="V73" i="13"/>
  <c r="AC73" i="13" s="1"/>
  <c r="V14" i="13"/>
  <c r="AC14" i="13" s="1"/>
  <c r="V89" i="13"/>
  <c r="AC89" i="13" s="1"/>
  <c r="V29" i="13"/>
  <c r="AC29" i="13" s="1"/>
  <c r="V110" i="13"/>
  <c r="AC110" i="13" s="1"/>
  <c r="V84" i="13"/>
  <c r="AC84" i="13" s="1"/>
  <c r="V103" i="13"/>
  <c r="AC103" i="13" s="1"/>
  <c r="V111" i="13"/>
  <c r="AC111" i="13" s="1"/>
  <c r="V54" i="13"/>
  <c r="AC54" i="13" s="1"/>
  <c r="V13" i="13"/>
  <c r="AC13" i="13" s="1"/>
  <c r="V59" i="13"/>
  <c r="AC59" i="13" s="1"/>
  <c r="T124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tc={DAE0678A-059A-4018-ACDF-4AB75AD99C2A}</author>
    <author>tc={FDD4029D-8536-4254-B0F6-669D75A52FB1}</author>
    <author>tc={1B784FB3-EE9B-4C97-B165-6B7C2B6AE714}</author>
    <author>tc={BEF5F6E1-B8DA-48F7-8397-36E1CE61D540}</author>
    <author>tc={C34A6AC1-0709-4F39-93EB-08D6CDA28388}</author>
    <author>tc={6ED2D238-955F-4D9F-8663-230CE10F569C}</author>
    <author>tc={5E0E137A-AFB2-4896-8D11-9DB98F531E99}</author>
    <author>tc={26DC0E73-B642-415D-8627-8B44632BC34A}</author>
    <author>tc={330A6F60-82D1-4746-AB3A-0C472A8DC833}</author>
  </authors>
  <commentList>
    <comment ref="L56" authorId="0" shapeId="0" xr:uid="{DAE0678A-059A-4018-ACDF-4AB75AD99C2A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Correction formule</t>
      </text>
    </comment>
    <comment ref="L80" authorId="1" shapeId="0" xr:uid="{FDD4029D-8536-4254-B0F6-669D75A52FB1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Correction formule</t>
      </text>
    </comment>
    <comment ref="L83" authorId="2" shapeId="0" xr:uid="{1B784FB3-EE9B-4C97-B165-6B7C2B6AE714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Correction formule</t>
      </text>
    </comment>
    <comment ref="L91" authorId="3" shapeId="0" xr:uid="{BEF5F6E1-B8DA-48F7-8397-36E1CE61D540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Correction formule</t>
      </text>
    </comment>
    <comment ref="L92" authorId="4" shapeId="0" xr:uid="{C34A6AC1-0709-4F39-93EB-08D6CDA28388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Correction formule</t>
      </text>
    </comment>
    <comment ref="L95" authorId="5" shapeId="0" xr:uid="{6ED2D238-955F-4D9F-8663-230CE10F569C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Correction formule</t>
      </text>
    </comment>
    <comment ref="L99" authorId="6" shapeId="0" xr:uid="{5E0E137A-AFB2-4896-8D11-9DB98F531E99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Correction formule</t>
      </text>
    </comment>
    <comment ref="L116" authorId="7" shapeId="0" xr:uid="{26DC0E73-B642-415D-8627-8B44632BC34A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Correction formule</t>
      </text>
    </comment>
    <comment ref="I121" authorId="8" shapeId="0" xr:uid="{330A6F60-82D1-4746-AB3A-0C472A8DC833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Correction formule</t>
      </text>
    </comment>
  </commentList>
</comments>
</file>

<file path=xl/sharedStrings.xml><?xml version="1.0" encoding="utf-8"?>
<sst xmlns="http://schemas.openxmlformats.org/spreadsheetml/2006/main" count="153" uniqueCount="139">
  <si>
    <t>Investors</t>
  </si>
  <si>
    <t>Common shares</t>
  </si>
  <si>
    <t>Preferred A Shares</t>
  </si>
  <si>
    <t>Preferred A2 Shares</t>
  </si>
  <si>
    <t>Total (Undiluted)</t>
  </si>
  <si>
    <t>% (Undiluted)</t>
  </si>
  <si>
    <t>Total   (Diluted)</t>
  </si>
  <si>
    <t>% (Diluted)</t>
  </si>
  <si>
    <t>Christophe Bancel</t>
  </si>
  <si>
    <t>Bernard Gilly</t>
  </si>
  <si>
    <t>Jeff Karp</t>
  </si>
  <si>
    <t>Robert Langer</t>
  </si>
  <si>
    <t>Jacques Marescaux</t>
  </si>
  <si>
    <t>Patrick Houvet</t>
  </si>
  <si>
    <t xml:space="preserve">Founders </t>
  </si>
  <si>
    <t xml:space="preserve">Total Founders </t>
  </si>
  <si>
    <t>FCPI Innovation 12</t>
  </si>
  <si>
    <t>FCPI Innovation 13</t>
  </si>
  <si>
    <t>Capital Invest PME 2012</t>
  </si>
  <si>
    <t>Capital Invest PME 2013</t>
  </si>
  <si>
    <t>Capital Invest PME 2014</t>
  </si>
  <si>
    <t>Capital Invest PME 2015</t>
  </si>
  <si>
    <t>Total Omnes Capital</t>
  </si>
  <si>
    <t>CM-CIC Capital Innovation</t>
  </si>
  <si>
    <t>Total CM-CIC Capital finance</t>
  </si>
  <si>
    <t>FCPR Cap Decisif 3</t>
  </si>
  <si>
    <t>Total Cap Decisif</t>
  </si>
  <si>
    <t>Total Sofinnova</t>
  </si>
  <si>
    <t>Total Bpifrance</t>
  </si>
  <si>
    <t>Total Investors</t>
  </si>
  <si>
    <t>Total Undiluted</t>
  </si>
  <si>
    <t>Warrants</t>
  </si>
  <si>
    <t>Option pool granted</t>
  </si>
  <si>
    <t>BSA</t>
  </si>
  <si>
    <t xml:space="preserve">Nitza Thomasson </t>
  </si>
  <si>
    <t>Laurent Nobilé</t>
  </si>
  <si>
    <t>Catherine Viard</t>
  </si>
  <si>
    <t>Sylvie Murgo</t>
  </si>
  <si>
    <t>Elsa Brillaud</t>
  </si>
  <si>
    <t>Maria Pereira</t>
  </si>
  <si>
    <t>Arnaud Cocheteux</t>
  </si>
  <si>
    <t>Gaelle Salaun</t>
  </si>
  <si>
    <t>Marianne Bonja</t>
  </si>
  <si>
    <t>Option available for grant</t>
  </si>
  <si>
    <t>Total Warrants</t>
  </si>
  <si>
    <t>Total Diluted</t>
  </si>
  <si>
    <t>FCPR Sofinnova Capital VIII</t>
  </si>
  <si>
    <t>Ericka Dinis</t>
  </si>
  <si>
    <t>Julie Dubois</t>
  </si>
  <si>
    <t>Ludovic Dendane</t>
  </si>
  <si>
    <t>Salim Adjili</t>
  </si>
  <si>
    <t>Miguel Lopez</t>
  </si>
  <si>
    <t>Employees</t>
  </si>
  <si>
    <t>Total Employees</t>
  </si>
  <si>
    <t>Elisa Brilaud</t>
  </si>
  <si>
    <t>Silvia Noiraux</t>
  </si>
  <si>
    <t>Brice Epry</t>
  </si>
  <si>
    <t>Felix Fournier</t>
  </si>
  <si>
    <t>Youssef Biadillah</t>
  </si>
  <si>
    <t>Simon Menand</t>
  </si>
  <si>
    <t>Emmanuel Thomas</t>
  </si>
  <si>
    <t>Option Pool A+A2</t>
  </si>
  <si>
    <t>Option Pool B</t>
  </si>
  <si>
    <t>Preferred B Shares</t>
  </si>
  <si>
    <t>ValQuest I</t>
  </si>
  <si>
    <t>Total ValQuest</t>
  </si>
  <si>
    <t>New Option Pool from B Round</t>
  </si>
  <si>
    <t>EIF</t>
  </si>
  <si>
    <t>Total EIF</t>
  </si>
  <si>
    <t>Options exercised</t>
  </si>
  <si>
    <t>Capital Invest PME 2016</t>
  </si>
  <si>
    <t>Capital Invest PME 2017</t>
  </si>
  <si>
    <t>Innovation Pluriel n°4</t>
  </si>
  <si>
    <t xml:space="preserve">M&amp;L Healthcare Investments Pte Ltd </t>
  </si>
  <si>
    <t xml:space="preserve">FPS Bpifrance Innovation I </t>
  </si>
  <si>
    <t>Clara Defraye</t>
  </si>
  <si>
    <t>Laeticia Bouzi</t>
  </si>
  <si>
    <t>Benoît Rhone</t>
  </si>
  <si>
    <t>Isabelle Deregnaucourt</t>
  </si>
  <si>
    <t xml:space="preserve">Estelle Collin </t>
  </si>
  <si>
    <t>Imane Nouaoui</t>
  </si>
  <si>
    <t>Nassim Chikh</t>
  </si>
  <si>
    <t>Djamel Abderrahmani</t>
  </si>
  <si>
    <t>Namyr  Chikh</t>
  </si>
  <si>
    <t>Louise Vagueslsy</t>
  </si>
  <si>
    <t>David Moreau</t>
  </si>
  <si>
    <t>Camille Legros</t>
  </si>
  <si>
    <t>Oladjidé Honorine Tchabi Amoussou-Guenou</t>
  </si>
  <si>
    <t>Christophe Naz</t>
  </si>
  <si>
    <t>Elisa Bitton</t>
  </si>
  <si>
    <t>Kiem Tran Ngoc An</t>
  </si>
  <si>
    <t>Fernande Peyembouo Petingmve</t>
  </si>
  <si>
    <t>Joao Maia E Silva</t>
  </si>
  <si>
    <t>Jay Watkins (PCA)</t>
  </si>
  <si>
    <t>BNP Paribas Investissement</t>
  </si>
  <si>
    <t>Natalie Casey</t>
  </si>
  <si>
    <t>Valentina Cirillo</t>
  </si>
  <si>
    <t>Marion Frances</t>
  </si>
  <si>
    <t>Cassandre Gaillot</t>
  </si>
  <si>
    <t>Prune Gerbouin</t>
  </si>
  <si>
    <t>Pauline Le Bars</t>
  </si>
  <si>
    <t>Adrien-Charles Lepoutre</t>
  </si>
  <si>
    <t>Elodie Llusar</t>
  </si>
  <si>
    <t>Franck-Aurèle Medegan</t>
  </si>
  <si>
    <t>Florian Messmer</t>
  </si>
  <si>
    <t>Thibault Paris</t>
  </si>
  <si>
    <t>Charlotte Pelletier</t>
  </si>
  <si>
    <t>Mathilde Port Robach</t>
  </si>
  <si>
    <t>Aissata Sacko</t>
  </si>
  <si>
    <t>Guillaume Schacht</t>
  </si>
  <si>
    <t>Eudoxie Siama</t>
  </si>
  <si>
    <t>Option Pool B (part 2)</t>
  </si>
  <si>
    <t xml:space="preserve">Elise Devries (Stock Option) </t>
  </si>
  <si>
    <t xml:space="preserve">Joanna Xylas (Stock Option) </t>
  </si>
  <si>
    <t>SO</t>
  </si>
  <si>
    <t>TISSIUM - Cap table - Post Series B - Tranche 3 -  January 2021</t>
  </si>
  <si>
    <t>Simulation waterfall</t>
  </si>
  <si>
    <t>Nominal</t>
  </si>
  <si>
    <t>Pref B</t>
  </si>
  <si>
    <t>Pref A2</t>
  </si>
  <si>
    <t>Pref A</t>
  </si>
  <si>
    <t>Prorata</t>
  </si>
  <si>
    <t>Paramètre à rentrer</t>
  </si>
  <si>
    <t>PPS</t>
  </si>
  <si>
    <t>Equity value (excl. cash from options)</t>
  </si>
  <si>
    <t>Cash from stock options</t>
  </si>
  <si>
    <t>Exit proceeds</t>
  </si>
  <si>
    <t>Option exercise</t>
  </si>
  <si>
    <t>Options</t>
  </si>
  <si>
    <t>Strike price</t>
  </si>
  <si>
    <t>Amount</t>
  </si>
  <si>
    <t>PPS threshold</t>
  </si>
  <si>
    <t>Active</t>
  </si>
  <si>
    <t>Solde</t>
  </si>
  <si>
    <t>Sensibilité proceeds</t>
  </si>
  <si>
    <t>Pas</t>
  </si>
  <si>
    <t>Total</t>
  </si>
  <si>
    <t>Equity value (exc. Cash from stock options</t>
  </si>
  <si>
    <t>Exit Proceeds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</si>
</sst>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&quot;€&quot;* #,##0_);_(&quot;€&quot;* \(#,##0\);_(&quot;€&quot;* &quot;-&quot;_);_(@_)"/>
    <numFmt numFmtId="165" formatCode="_(* #,##0_);_(* \(#,##0\);_(* &quot;-&quot;_);_(@_)"/>
    <numFmt numFmtId="166" formatCode="_(* #,##0.00_);_(* \(#,##0.00\);_(* &quot;-&quot;??_);_(@_)"/>
    <numFmt numFmtId="167" formatCode="_(&quot;€&quot;* #,##0.00_);_(&quot;€&quot;* \(#,##0.00\);_(&quot;€&quot;* &quot;-&quot;??_);_(@_)"/>
    <numFmt numFmtId="168" formatCode="_-* #,##0_-;\-* #,##0_-;_-* &quot;-&quot;??_-;_-@_-"/>
    <numFmt numFmtId="169" formatCode="_-* #,##0.00\ [$€-40C]_-;\-* #,##0.00\ [$€-40C]_-;_-* &quot;-&quot;??\ [$€-40C]_-;_-@_-"/>
    <numFmt numFmtId="170" formatCode="#,##0\ &quot;€&quot;"/>
    <numFmt numFmtId="171" formatCode="#,##0.00\ &quot;€&quot;"/>
    <numFmt numFmtId="172" formatCode="_-&quot;€&quot;* #,##0.00_-;\-&quot;€&quot;* #,##0.00_-;_-&quot;€&quot;* &quot;-&quot;??_-;_-@_-"/>
    <numFmt numFmtId="174" formatCode="_-* #,##0\ [$€-40C]_-;\-* #,##0\ [$€-40C]_-;_-* &quot;-&quot;??\ [$€-40C]_-;_-@_-"/>
    <numFmt numFmtId="179" formatCode="_-&quot;€&quot;* #,##0_-;\-&quot;€&quot;* #,##0_-;_-&quot;€&quot;* &quot;-&quot;??_-;_-@_-"/>
  </numFmts>
  <fonts count="28" x14ac:knownFonts="1"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i/>
      <sz val="11"/>
      <color indexed="9"/>
      <name val="Calibri"/>
      <family val="2"/>
    </font>
    <font>
      <b/>
      <i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i/>
      <sz val="11"/>
      <color indexed="8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  <font>
      <b/>
      <sz val="11"/>
      <color rgb="FFC00000"/>
      <name val="Calibri"/>
      <family val="2"/>
    </font>
    <font>
      <i/>
      <sz val="11"/>
      <color rgb="FFC00000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i/>
      <sz val="11"/>
      <color theme="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9"/>
      <color indexed="8"/>
      <name val="Calibri"/>
      <family val="2"/>
    </font>
    <font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4" tint="-0.24994659260841701"/>
      <name val="Calibri"/>
      <family val="2"/>
      <scheme val="minor"/>
    </font>
    <font>
      <i/>
      <sz val="10"/>
      <name val="Calibri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58800012207406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168" fontId="6" fillId="0" borderId="0" xfId="4" applyNumberFormat="1" applyFont="1"/>
    <xf numFmtId="168" fontId="7" fillId="0" borderId="0" xfId="4" applyNumberFormat="1" applyFont="1"/>
    <xf numFmtId="10" fontId="8" fillId="0" borderId="0" xfId="1" applyNumberFormat="1" applyFont="1"/>
    <xf numFmtId="0" fontId="5" fillId="0" borderId="0" xfId="0" applyFont="1"/>
    <xf numFmtId="168" fontId="5" fillId="0" borderId="0" xfId="0" applyNumberFormat="1" applyFont="1"/>
    <xf numFmtId="10" fontId="5" fillId="0" borderId="0" xfId="1" applyNumberFormat="1" applyFont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168" fontId="3" fillId="2" borderId="0" xfId="4" applyNumberFormat="1" applyFont="1" applyFill="1"/>
    <xf numFmtId="10" fontId="4" fillId="2" borderId="0" xfId="1" applyNumberFormat="1" applyFont="1" applyFill="1"/>
    <xf numFmtId="3" fontId="8" fillId="0" borderId="0" xfId="0" applyNumberFormat="1" applyFont="1"/>
    <xf numFmtId="3" fontId="0" fillId="0" borderId="0" xfId="0" applyNumberFormat="1"/>
    <xf numFmtId="3" fontId="2" fillId="0" borderId="0" xfId="0" applyNumberFormat="1" applyFont="1"/>
    <xf numFmtId="0" fontId="4" fillId="2" borderId="0" xfId="0" applyFont="1" applyFill="1"/>
    <xf numFmtId="3" fontId="5" fillId="0" borderId="0" xfId="0" applyNumberFormat="1" applyFont="1"/>
    <xf numFmtId="0" fontId="8" fillId="0" borderId="0" xfId="0" applyFont="1"/>
    <xf numFmtId="168" fontId="9" fillId="0" borderId="0" xfId="4" applyNumberFormat="1" applyFont="1"/>
    <xf numFmtId="168" fontId="10" fillId="0" borderId="0" xfId="4" applyNumberFormat="1" applyFont="1"/>
    <xf numFmtId="0" fontId="0" fillId="0" borderId="0" xfId="0" applyFill="1"/>
    <xf numFmtId="168" fontId="6" fillId="0" borderId="0" xfId="4" applyNumberFormat="1" applyFont="1" applyFill="1"/>
    <xf numFmtId="0" fontId="3" fillId="0" borderId="0" xfId="0" applyFont="1" applyFill="1" applyAlignment="1">
      <alignment horizontal="right"/>
    </xf>
    <xf numFmtId="168" fontId="3" fillId="0" borderId="0" xfId="4" applyNumberFormat="1" applyFont="1" applyFill="1"/>
    <xf numFmtId="10" fontId="4" fillId="0" borderId="0" xfId="1" applyNumberFormat="1" applyFont="1" applyFill="1"/>
    <xf numFmtId="3" fontId="0" fillId="0" borderId="0" xfId="0" applyNumberFormat="1" applyFill="1"/>
    <xf numFmtId="168" fontId="10" fillId="0" borderId="0" xfId="4" applyNumberFormat="1" applyFont="1" applyFill="1"/>
    <xf numFmtId="0" fontId="11" fillId="0" borderId="0" xfId="0" applyFont="1"/>
    <xf numFmtId="3" fontId="11" fillId="0" borderId="0" xfId="0" applyNumberFormat="1" applyFont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6" fillId="0" borderId="0" xfId="0" applyFont="1"/>
    <xf numFmtId="3" fontId="9" fillId="0" borderId="0" xfId="0" applyNumberFormat="1" applyFont="1"/>
    <xf numFmtId="10" fontId="9" fillId="0" borderId="0" xfId="1" applyNumberFormat="1" applyFont="1"/>
    <xf numFmtId="0" fontId="9" fillId="0" borderId="0" xfId="0" applyFont="1"/>
    <xf numFmtId="10" fontId="10" fillId="0" borderId="0" xfId="1" applyNumberFormat="1" applyFont="1"/>
    <xf numFmtId="168" fontId="10" fillId="0" borderId="0" xfId="0" applyNumberFormat="1" applyFont="1"/>
    <xf numFmtId="0" fontId="7" fillId="0" borderId="0" xfId="0" applyFont="1" applyFill="1" applyAlignment="1">
      <alignment horizontal="right"/>
    </xf>
    <xf numFmtId="168" fontId="7" fillId="0" borderId="0" xfId="4" applyNumberFormat="1" applyFont="1" applyFill="1"/>
    <xf numFmtId="3" fontId="6" fillId="0" borderId="0" xfId="0" applyNumberFormat="1" applyFont="1" applyFill="1"/>
    <xf numFmtId="0" fontId="6" fillId="0" borderId="0" xfId="0" applyFont="1" applyFill="1"/>
    <xf numFmtId="0" fontId="7" fillId="0" borderId="0" xfId="0" applyFont="1"/>
    <xf numFmtId="3" fontId="6" fillId="0" borderId="0" xfId="0" applyNumberFormat="1" applyFont="1"/>
    <xf numFmtId="0" fontId="9" fillId="0" borderId="0" xfId="0" applyFont="1" applyFill="1"/>
    <xf numFmtId="0" fontId="0" fillId="0" borderId="0" xfId="0" applyFont="1"/>
    <xf numFmtId="168" fontId="6" fillId="0" borderId="0" xfId="0" applyNumberFormat="1" applyFont="1"/>
    <xf numFmtId="10" fontId="3" fillId="2" borderId="0" xfId="1" applyNumberFormat="1" applyFont="1" applyFill="1"/>
    <xf numFmtId="10" fontId="6" fillId="0" borderId="0" xfId="1" applyNumberFormat="1" applyFont="1"/>
    <xf numFmtId="0" fontId="2" fillId="0" borderId="0" xfId="0" applyFont="1" applyAlignment="1">
      <alignment horizontal="left"/>
    </xf>
    <xf numFmtId="10" fontId="8" fillId="0" borderId="0" xfId="1" applyNumberFormat="1" applyFont="1" applyFill="1"/>
    <xf numFmtId="10" fontId="9" fillId="0" borderId="0" xfId="1" applyNumberFormat="1" applyFont="1" applyFill="1"/>
    <xf numFmtId="0" fontId="10" fillId="0" borderId="0" xfId="0" applyFont="1"/>
    <xf numFmtId="17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/>
    <xf numFmtId="3" fontId="7" fillId="0" borderId="0" xfId="0" applyNumberFormat="1" applyFont="1" applyFill="1"/>
    <xf numFmtId="168" fontId="16" fillId="0" borderId="0" xfId="4" applyNumberFormat="1" applyFont="1" applyFill="1"/>
    <xf numFmtId="0" fontId="3" fillId="0" borderId="0" xfId="0" applyFont="1" applyFill="1" applyAlignment="1">
      <alignment horizontal="center" wrapText="1"/>
    </xf>
    <xf numFmtId="168" fontId="7" fillId="0" borderId="0" xfId="1" applyNumberFormat="1" applyFont="1" applyFill="1"/>
    <xf numFmtId="168" fontId="6" fillId="0" borderId="0" xfId="0" applyNumberFormat="1" applyFont="1" applyFill="1"/>
    <xf numFmtId="168" fontId="5" fillId="0" borderId="0" xfId="0" applyNumberFormat="1" applyFont="1" applyFill="1"/>
    <xf numFmtId="168" fontId="10" fillId="0" borderId="0" xfId="0" applyNumberFormat="1" applyFont="1" applyFill="1"/>
    <xf numFmtId="3" fontId="9" fillId="0" borderId="0" xfId="0" applyNumberFormat="1" applyFont="1" applyFill="1"/>
    <xf numFmtId="0" fontId="2" fillId="0" borderId="0" xfId="0" applyFont="1" applyFill="1" applyAlignment="1">
      <alignment horizontal="left"/>
    </xf>
    <xf numFmtId="168" fontId="17" fillId="2" borderId="0" xfId="4" applyNumberFormat="1" applyFont="1" applyFill="1"/>
    <xf numFmtId="168" fontId="14" fillId="2" borderId="0" xfId="4" applyNumberFormat="1" applyFont="1" applyFill="1"/>
    <xf numFmtId="10" fontId="15" fillId="2" borderId="0" xfId="1" applyNumberFormat="1" applyFont="1" applyFill="1"/>
    <xf numFmtId="0" fontId="0" fillId="0" borderId="0" xfId="0" applyFont="1" applyBorder="1" applyAlignment="1">
      <alignment horizontal="justify" vertical="center" wrapText="1"/>
    </xf>
    <xf numFmtId="0" fontId="18" fillId="0" borderId="0" xfId="0" applyFont="1" applyBorder="1" applyAlignment="1">
      <alignment horizontal="justify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9" fontId="0" fillId="0" borderId="0" xfId="0" applyNumberFormat="1" applyFont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20" fillId="0" borderId="1" xfId="0" applyFont="1" applyBorder="1" applyAlignment="1">
      <alignment horizontal="left" vertical="center" wrapText="1"/>
    </xf>
    <xf numFmtId="170" fontId="21" fillId="0" borderId="2" xfId="0" applyNumberFormat="1" applyFont="1" applyBorder="1" applyAlignment="1">
      <alignment horizontal="right" vertical="center" wrapText="1"/>
    </xf>
    <xf numFmtId="0" fontId="22" fillId="0" borderId="4" xfId="0" applyFont="1" applyBorder="1"/>
    <xf numFmtId="0" fontId="20" fillId="0" borderId="5" xfId="0" applyFont="1" applyBorder="1"/>
    <xf numFmtId="0" fontId="22" fillId="0" borderId="5" xfId="0" applyFont="1" applyBorder="1"/>
    <xf numFmtId="0" fontId="22" fillId="0" borderId="0" xfId="0" applyFont="1"/>
    <xf numFmtId="0" fontId="23" fillId="4" borderId="0" xfId="0" applyFont="1" applyFill="1"/>
    <xf numFmtId="168" fontId="22" fillId="0" borderId="0" xfId="4" applyNumberFormat="1" applyFont="1"/>
    <xf numFmtId="168" fontId="24" fillId="6" borderId="0" xfId="4" applyNumberFormat="1" applyFont="1" applyFill="1" applyBorder="1"/>
    <xf numFmtId="169" fontId="25" fillId="0" borderId="0" xfId="0" applyNumberFormat="1" applyFont="1" applyFill="1" applyAlignment="1">
      <alignment horizontal="center"/>
    </xf>
    <xf numFmtId="174" fontId="3" fillId="2" borderId="0" xfId="4" applyNumberFormat="1" applyFont="1" applyFill="1"/>
    <xf numFmtId="174" fontId="6" fillId="0" borderId="0" xfId="1" applyNumberFormat="1" applyFont="1" applyFill="1"/>
    <xf numFmtId="174" fontId="7" fillId="0" borderId="0" xfId="1" applyNumberFormat="1" applyFont="1" applyFill="1"/>
    <xf numFmtId="170" fontId="9" fillId="0" borderId="0" xfId="0" applyNumberFormat="1" applyFont="1" applyFill="1"/>
    <xf numFmtId="0" fontId="20" fillId="3" borderId="1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3" fillId="0" borderId="2" xfId="0" applyFont="1" applyBorder="1"/>
    <xf numFmtId="0" fontId="13" fillId="0" borderId="3" xfId="0" applyFont="1" applyBorder="1"/>
    <xf numFmtId="0" fontId="2" fillId="0" borderId="6" xfId="0" applyFont="1" applyFill="1" applyBorder="1" applyAlignment="1">
      <alignment horizontal="center"/>
    </xf>
    <xf numFmtId="0" fontId="20" fillId="0" borderId="7" xfId="0" applyFont="1" applyBorder="1" applyAlignment="1">
      <alignment horizontal="left" vertical="center" wrapText="1"/>
    </xf>
    <xf numFmtId="170" fontId="2" fillId="0" borderId="5" xfId="0" applyNumberFormat="1" applyFont="1" applyFill="1" applyBorder="1" applyAlignment="1">
      <alignment horizontal="center"/>
    </xf>
    <xf numFmtId="0" fontId="20" fillId="0" borderId="5" xfId="0" applyFont="1" applyBorder="1" applyAlignment="1">
      <alignment horizontal="left" vertical="center" wrapText="1"/>
    </xf>
    <xf numFmtId="171" fontId="22" fillId="0" borderId="8" xfId="0" applyNumberFormat="1" applyFont="1" applyBorder="1" applyAlignment="1">
      <alignment horizontal="right" vertical="center" wrapText="1"/>
    </xf>
    <xf numFmtId="0" fontId="3" fillId="2" borderId="0" xfId="0" applyFont="1" applyFill="1" applyAlignment="1">
      <alignment horizontal="center" wrapText="1"/>
    </xf>
    <xf numFmtId="174" fontId="3" fillId="2" borderId="0" xfId="0" applyNumberFormat="1" applyFont="1" applyFill="1" applyAlignment="1">
      <alignment horizontal="center" wrapText="1"/>
    </xf>
    <xf numFmtId="174" fontId="27" fillId="0" borderId="0" xfId="4" applyNumberFormat="1" applyFont="1"/>
    <xf numFmtId="174" fontId="13" fillId="0" borderId="0" xfId="0" applyNumberFormat="1" applyFont="1"/>
    <xf numFmtId="168" fontId="13" fillId="0" borderId="0" xfId="0" applyNumberFormat="1" applyFont="1" applyFill="1"/>
    <xf numFmtId="168" fontId="2" fillId="0" borderId="0" xfId="0" applyNumberFormat="1" applyFont="1" applyFill="1" applyBorder="1" applyAlignment="1">
      <alignment horizontal="center"/>
    </xf>
    <xf numFmtId="172" fontId="22" fillId="5" borderId="0" xfId="0" applyNumberFormat="1" applyFont="1" applyFill="1"/>
    <xf numFmtId="179" fontId="22" fillId="5" borderId="0" xfId="0" applyNumberFormat="1" applyFont="1" applyFill="1"/>
    <xf numFmtId="174" fontId="14" fillId="0" borderId="0" xfId="0" applyNumberFormat="1" applyFont="1"/>
    <xf numFmtId="166" fontId="2" fillId="0" borderId="0" xfId="4" applyFont="1" applyFill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bert Hugo (OMNES CAPITAL)" id="{1095C0B1-30BF-406D-8AB9-92204DA97280}" userId="S::hugo.hubert@omnescapital.com::4178585f-35a8-4a8d-a64e-306b885d26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6" dT="2021-05-10T17:53:00.12" personId="{1095C0B1-30BF-406D-8AB9-92204DA97280}" id="{DAE0678A-059A-4018-ACDF-4AB75AD99C2A}">
    <text>Correction formule</text>
  </threadedComment>
  <threadedComment ref="L80" dT="2021-05-10T17:49:57.00" personId="{1095C0B1-30BF-406D-8AB9-92204DA97280}" id="{FDD4029D-8536-4254-B0F6-669D75A52FB1}">
    <text>Correction formule</text>
  </threadedComment>
  <threadedComment ref="L83" dT="2021-05-10T17:50:15.63" personId="{1095C0B1-30BF-406D-8AB9-92204DA97280}" id="{1B784FB3-EE9B-4C97-B165-6B7C2B6AE714}">
    <text>Correction formule</text>
  </threadedComment>
  <threadedComment ref="L91" dT="2021-05-10T17:50:37.17" personId="{1095C0B1-30BF-406D-8AB9-92204DA97280}" id="{BEF5F6E1-B8DA-48F7-8397-36E1CE61D540}">
    <text>Correction formule</text>
  </threadedComment>
  <threadedComment ref="L92" dT="2021-05-10T17:50:51.90" personId="{1095C0B1-30BF-406D-8AB9-92204DA97280}" id="{C34A6AC1-0709-4F39-93EB-08D6CDA28388}">
    <text>Correction formule</text>
  </threadedComment>
  <threadedComment ref="L95" dT="2021-05-10T17:51:37.27" personId="{1095C0B1-30BF-406D-8AB9-92204DA97280}" id="{6ED2D238-955F-4D9F-8663-230CE10F569C}">
    <text>Correction formule</text>
  </threadedComment>
  <threadedComment ref="L99" dT="2021-05-10T17:52:11.95" personId="{1095C0B1-30BF-406D-8AB9-92204DA97280}" id="{5E0E137A-AFB2-4896-8D11-9DB98F531E99}">
    <text>Correction formule</text>
  </threadedComment>
  <threadedComment ref="L116" dT="2021-05-10T17:52:23.18" personId="{1095C0B1-30BF-406D-8AB9-92204DA97280}" id="{26DC0E73-B642-415D-8627-8B44632BC34A}">
    <text>Correction formule</text>
  </threadedComment>
  <threadedComment ref="I121" dT="2021-05-10T17:56:03.29" personId="{1095C0B1-30BF-406D-8AB9-92204DA97280}" id="{330A6F60-82D1-4746-AB3A-0C472A8DC833}">
    <text>Correction formule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  <pageSetUpPr fitToPage="1"/>
  </sheetPr>
  <dimension ref="A1:AP124"/>
  <sheetViews>
    <sheetView showGridLines="0" tabSelected="1" zoomScale="80" zoomScaleNormal="80" zoomScaleSheetLayoutView="80" workbookViewId="0">
      <pane xSplit="1" ySplit="11" topLeftCell="L12" activePane="bottomRight" state="frozen"/>
      <selection pane="topRight" activeCell="B1" sqref="B1"/>
      <selection pane="bottomLeft" activeCell="A5" sqref="A5"/>
      <selection pane="bottomRight" activeCell="Y9" sqref="Y9"/>
    </sheetView>
  </sheetViews>
  <sheetFormatPr defaultColWidth="11.42578125" defaultRowHeight="15" outlineLevelRow="1" x14ac:dyDescent="0.25"/>
  <cols>
    <col min="1" max="1" width="29.42578125" bestFit="1" customWidth="1"/>
    <col min="2" max="2" width="14.140625" bestFit="1" customWidth="1"/>
    <col min="3" max="3" width="10.42578125" customWidth="1"/>
    <col min="4" max="4" width="12.85546875" customWidth="1"/>
    <col min="5" max="5" width="17.85546875" customWidth="1"/>
    <col min="6" max="6" width="15.140625" bestFit="1" customWidth="1"/>
    <col min="7" max="7" width="23.140625" style="1" bestFit="1" customWidth="1"/>
    <col min="8" max="8" width="11.85546875" style="22" customWidth="1"/>
    <col min="9" max="11" width="11.140625" customWidth="1"/>
    <col min="12" max="12" width="11.85546875" style="1" customWidth="1"/>
    <col min="13" max="13" width="12.85546875" style="22" customWidth="1"/>
    <col min="14" max="14" width="5.140625" customWidth="1"/>
    <col min="15" max="15" width="9" style="1" customWidth="1"/>
    <col min="16" max="16" width="32.28515625" style="1" bestFit="1" customWidth="1"/>
    <col min="17" max="17" width="16.140625" style="35" customWidth="1"/>
    <col min="18" max="18" width="18" style="35" customWidth="1"/>
    <col min="19" max="19" width="19.5703125" style="35" bestFit="1" customWidth="1"/>
    <col min="20" max="20" width="15.28515625" bestFit="1" customWidth="1"/>
    <col min="22" max="22" width="24.140625" bestFit="1" customWidth="1"/>
    <col min="24" max="24" width="13.85546875" bestFit="1" customWidth="1"/>
    <col min="25" max="25" width="15.5703125" bestFit="1" customWidth="1"/>
    <col min="28" max="28" width="13" bestFit="1" customWidth="1"/>
    <col min="29" max="29" width="15.140625" bestFit="1" customWidth="1"/>
    <col min="30" max="30" width="13.85546875" bestFit="1" customWidth="1"/>
    <col min="31" max="33" width="13.5703125" bestFit="1" customWidth="1"/>
    <col min="34" max="42" width="14.85546875" bestFit="1" customWidth="1"/>
  </cols>
  <sheetData>
    <row r="1" spans="1:42" ht="36.75" customHeight="1" x14ac:dyDescent="0.25">
      <c r="A1" s="79" t="s">
        <v>115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O1" s="81"/>
      <c r="P1" s="108" t="s">
        <v>116</v>
      </c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82"/>
      <c r="AB1" s="82"/>
      <c r="AD1" s="108" t="s">
        <v>134</v>
      </c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</row>
    <row r="2" spans="1:42" x14ac:dyDescent="0.25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O2" s="81"/>
      <c r="P2" s="82"/>
      <c r="Q2" s="82"/>
      <c r="R2" s="82"/>
      <c r="S2" s="82"/>
      <c r="T2" s="82"/>
      <c r="U2" s="82"/>
      <c r="V2" s="86" t="s">
        <v>127</v>
      </c>
      <c r="W2" s="87"/>
      <c r="X2" s="87"/>
      <c r="Y2" s="87"/>
      <c r="Z2" s="87"/>
      <c r="AA2" s="82"/>
      <c r="AB2" s="82"/>
    </row>
    <row r="3" spans="1:42" x14ac:dyDescent="0.25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O3" s="81"/>
      <c r="P3" s="97" t="s">
        <v>122</v>
      </c>
      <c r="Q3" s="98"/>
      <c r="R3" s="98"/>
      <c r="S3" s="99"/>
      <c r="T3" s="82"/>
      <c r="U3" s="82"/>
      <c r="V3" s="89" t="s">
        <v>128</v>
      </c>
      <c r="W3" s="89" t="s">
        <v>129</v>
      </c>
      <c r="X3" s="89" t="s">
        <v>130</v>
      </c>
      <c r="Y3" s="89" t="s">
        <v>131</v>
      </c>
      <c r="Z3" s="89" t="s">
        <v>132</v>
      </c>
      <c r="AA3" s="82"/>
      <c r="AB3" s="82"/>
      <c r="AD3" s="89" t="s">
        <v>135</v>
      </c>
    </row>
    <row r="4" spans="1:42" x14ac:dyDescent="0.25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O4" s="81"/>
      <c r="P4" s="83" t="s">
        <v>124</v>
      </c>
      <c r="Q4" s="84">
        <v>100000000</v>
      </c>
      <c r="R4" s="101"/>
      <c r="S4" s="102"/>
      <c r="T4" s="82"/>
      <c r="U4" s="82"/>
      <c r="V4" s="88" t="s">
        <v>61</v>
      </c>
      <c r="W4" s="114">
        <f>E10</f>
        <v>45</v>
      </c>
      <c r="X4" s="90">
        <f>I121</f>
        <v>131533</v>
      </c>
      <c r="Y4" s="115">
        <v>68347215</v>
      </c>
      <c r="Z4" s="91">
        <f>IF(Y4&lt;=$Q$4,1,0)</f>
        <v>1</v>
      </c>
      <c r="AA4" s="82"/>
      <c r="AB4" s="82"/>
      <c r="AD4" s="110">
        <v>20000000</v>
      </c>
    </row>
    <row r="5" spans="1:42" x14ac:dyDescent="0.25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O5" s="81"/>
      <c r="P5" s="85" t="s">
        <v>125</v>
      </c>
      <c r="Q5" s="113">
        <f>W4*X4*Z4+W5*X5*Z5+W6*X6*Z6</f>
        <v>13779562.5</v>
      </c>
      <c r="R5" s="100"/>
      <c r="S5" s="103"/>
      <c r="T5" s="82"/>
      <c r="U5" s="82"/>
      <c r="V5" s="88" t="s">
        <v>62</v>
      </c>
      <c r="W5" s="114">
        <f>F10</f>
        <v>67.5</v>
      </c>
      <c r="X5" s="90">
        <f>J121</f>
        <v>104653</v>
      </c>
      <c r="Y5" s="115">
        <v>97619737.5</v>
      </c>
      <c r="Z5" s="91">
        <f t="shared" ref="Z5:Z6" si="0">IF(Y5&lt;=$Q$4,1,0)</f>
        <v>1</v>
      </c>
      <c r="AA5" s="82"/>
      <c r="AB5" s="82"/>
    </row>
    <row r="6" spans="1:42" x14ac:dyDescent="0.25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O6" s="81"/>
      <c r="P6" s="104" t="s">
        <v>126</v>
      </c>
      <c r="Q6" s="105">
        <f>SUM(Q4:Q5)</f>
        <v>113779562.5</v>
      </c>
      <c r="R6" s="106" t="s">
        <v>123</v>
      </c>
      <c r="S6" s="107">
        <f>Q6/L123</f>
        <v>68.942268656535546</v>
      </c>
      <c r="T6" s="82"/>
      <c r="U6" s="82"/>
      <c r="V6" s="88" t="s">
        <v>111</v>
      </c>
      <c r="W6" s="114">
        <f>F10</f>
        <v>67.5</v>
      </c>
      <c r="X6" s="90">
        <f>K121</f>
        <v>11800</v>
      </c>
      <c r="Y6" s="115">
        <v>97619737.5</v>
      </c>
      <c r="Z6" s="91">
        <f t="shared" si="0"/>
        <v>1</v>
      </c>
      <c r="AA6" s="82"/>
      <c r="AB6" s="82"/>
    </row>
    <row r="7" spans="1:42" x14ac:dyDescent="0.25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O7" s="81"/>
      <c r="P7" s="82"/>
      <c r="Q7" s="82"/>
      <c r="R7" s="82"/>
      <c r="S7" s="82"/>
      <c r="T7" s="82"/>
      <c r="U7" s="82"/>
      <c r="AA7" s="82"/>
      <c r="AB7" s="82"/>
    </row>
    <row r="8" spans="1:42" x14ac:dyDescent="0.25">
      <c r="A8" s="78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O8" s="81"/>
      <c r="P8" s="36"/>
      <c r="Q8" s="82"/>
      <c r="R8" s="82"/>
      <c r="S8" s="82"/>
      <c r="T8" s="82"/>
      <c r="U8" s="82"/>
      <c r="V8" s="82"/>
      <c r="W8" s="82"/>
      <c r="X8" s="117"/>
      <c r="Y8" s="82"/>
      <c r="Z8" s="82"/>
      <c r="AA8" s="82"/>
      <c r="AB8" s="82"/>
    </row>
    <row r="9" spans="1:42" x14ac:dyDescent="0.25">
      <c r="A9" s="1"/>
      <c r="C9" s="59">
        <v>43282</v>
      </c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3"/>
      <c r="P9" s="36"/>
      <c r="Q9" s="36"/>
      <c r="R9" s="36"/>
    </row>
    <row r="10" spans="1:42" x14ac:dyDescent="0.25">
      <c r="A10" s="59"/>
      <c r="B10" s="60"/>
      <c r="C10" s="80">
        <v>0.1</v>
      </c>
      <c r="D10" s="80">
        <v>38</v>
      </c>
      <c r="E10" s="80">
        <v>45</v>
      </c>
      <c r="F10" s="80">
        <v>67.5</v>
      </c>
      <c r="G10" s="60"/>
      <c r="H10" s="60"/>
      <c r="I10" s="60"/>
      <c r="J10" s="60"/>
      <c r="K10" s="60"/>
      <c r="L10" s="60"/>
      <c r="M10" s="60"/>
      <c r="N10" s="55"/>
      <c r="O10" s="72"/>
      <c r="P10" s="92">
        <f>C10</f>
        <v>0.1</v>
      </c>
      <c r="Q10" s="92">
        <f>MAX(0,F10-$P10)</f>
        <v>67.400000000000006</v>
      </c>
      <c r="R10" s="92">
        <f t="shared" ref="R10:S10" si="1">MAX(0,E10-$P10)</f>
        <v>44.9</v>
      </c>
      <c r="S10" s="92">
        <f>MAX(0,D10-$P10)</f>
        <v>37.9</v>
      </c>
    </row>
    <row r="11" spans="1:42" s="4" customFormat="1" ht="48.75" customHeight="1" x14ac:dyDescent="0.25">
      <c r="A11" s="2" t="s">
        <v>0</v>
      </c>
      <c r="B11" s="2"/>
      <c r="C11" s="2" t="s">
        <v>1</v>
      </c>
      <c r="D11" s="2" t="s">
        <v>2</v>
      </c>
      <c r="E11" s="2" t="s">
        <v>3</v>
      </c>
      <c r="F11" s="2" t="s">
        <v>63</v>
      </c>
      <c r="G11" s="2" t="s">
        <v>4</v>
      </c>
      <c r="H11" s="3" t="s">
        <v>5</v>
      </c>
      <c r="I11" s="2" t="s">
        <v>61</v>
      </c>
      <c r="J11" s="2" t="s">
        <v>62</v>
      </c>
      <c r="K11" s="2" t="s">
        <v>111</v>
      </c>
      <c r="L11" s="2" t="s">
        <v>6</v>
      </c>
      <c r="M11" s="3" t="s">
        <v>7</v>
      </c>
      <c r="O11" s="66"/>
      <c r="P11" s="2" t="s">
        <v>117</v>
      </c>
      <c r="Q11" s="2" t="s">
        <v>118</v>
      </c>
      <c r="R11" s="2" t="s">
        <v>119</v>
      </c>
      <c r="S11" s="2" t="s">
        <v>120</v>
      </c>
      <c r="T11" s="2" t="s">
        <v>121</v>
      </c>
      <c r="V11" s="2" t="s">
        <v>136</v>
      </c>
      <c r="AC11" s="4" t="s">
        <v>137</v>
      </c>
      <c r="AD11" s="109">
        <f>AD4</f>
        <v>20000000</v>
      </c>
      <c r="AE11" s="109">
        <f>AD11+$AD$4</f>
        <v>40000000</v>
      </c>
      <c r="AF11" s="109">
        <f t="shared" ref="AF11:AP11" si="2">AE11+$AD$4</f>
        <v>60000000</v>
      </c>
      <c r="AG11" s="109">
        <f t="shared" si="2"/>
        <v>80000000</v>
      </c>
      <c r="AH11" s="109">
        <f t="shared" si="2"/>
        <v>100000000</v>
      </c>
      <c r="AI11" s="109">
        <f t="shared" si="2"/>
        <v>120000000</v>
      </c>
      <c r="AJ11" s="109">
        <f t="shared" si="2"/>
        <v>140000000</v>
      </c>
      <c r="AK11" s="109">
        <f t="shared" si="2"/>
        <v>160000000</v>
      </c>
      <c r="AL11" s="109">
        <f t="shared" si="2"/>
        <v>180000000</v>
      </c>
      <c r="AM11" s="109">
        <f t="shared" si="2"/>
        <v>200000000</v>
      </c>
      <c r="AN11" s="109">
        <f t="shared" si="2"/>
        <v>220000000</v>
      </c>
      <c r="AO11" s="109">
        <f t="shared" si="2"/>
        <v>240000000</v>
      </c>
      <c r="AP11" s="109">
        <f t="shared" si="2"/>
        <v>260000000</v>
      </c>
    </row>
    <row r="12" spans="1:42" s="61" customFormat="1" x14ac:dyDescent="0.25">
      <c r="H12" s="5"/>
      <c r="I12" s="6"/>
      <c r="J12" s="6"/>
      <c r="K12" s="6"/>
      <c r="M12" s="5"/>
      <c r="O12" s="62"/>
      <c r="AD12" s="37">
        <f t="dataTable" ref="AD12:AP123" dt2D="0" dtr="1" r1="Q4"/>
        <v>0</v>
      </c>
      <c r="AE12" s="37">
        <v>0</v>
      </c>
      <c r="AF12" s="37">
        <v>0</v>
      </c>
      <c r="AG12" s="37">
        <v>0</v>
      </c>
      <c r="AH12" s="37">
        <v>0</v>
      </c>
      <c r="AI12" s="37">
        <v>0</v>
      </c>
      <c r="AJ12" s="37">
        <v>0</v>
      </c>
      <c r="AK12" s="37">
        <v>0</v>
      </c>
      <c r="AL12" s="37">
        <v>0</v>
      </c>
      <c r="AM12" s="37">
        <v>0</v>
      </c>
      <c r="AN12" s="37">
        <v>0</v>
      </c>
      <c r="AO12" s="37">
        <v>0</v>
      </c>
      <c r="AP12" s="37">
        <v>0</v>
      </c>
    </row>
    <row r="13" spans="1:42" outlineLevel="1" x14ac:dyDescent="0.25">
      <c r="A13" t="s">
        <v>8</v>
      </c>
      <c r="C13" s="7">
        <v>25690</v>
      </c>
      <c r="D13" s="7"/>
      <c r="E13" s="7"/>
      <c r="F13" s="7"/>
      <c r="G13" s="8">
        <v>25690</v>
      </c>
      <c r="H13" s="9">
        <v>1.8318936317986499E-2</v>
      </c>
      <c r="I13" s="7"/>
      <c r="J13" s="7"/>
      <c r="K13" s="7"/>
      <c r="L13" s="8">
        <v>25690</v>
      </c>
      <c r="M13" s="9">
        <f>L13/L$123</f>
        <v>1.5566300685910953E-2</v>
      </c>
      <c r="N13" s="9"/>
      <c r="O13" s="67"/>
      <c r="P13" s="94">
        <f>P$10*$L13</f>
        <v>2569</v>
      </c>
      <c r="Q13" s="94">
        <f>MIN(Q$10*F13,P$124*F13/F$54)</f>
        <v>0</v>
      </c>
      <c r="R13" s="94">
        <f>MIN(R$10*E13,Q$124*E13/E$54)</f>
        <v>0</v>
      </c>
      <c r="S13" s="94">
        <f>MIN(S$10*D13,R$124*D13/D$54)</f>
        <v>0</v>
      </c>
      <c r="T13" s="94">
        <f>M13*S$124</f>
        <v>692586.57374209259</v>
      </c>
      <c r="V13" s="94">
        <f>SUM(P13:T13)</f>
        <v>695155.57374209259</v>
      </c>
      <c r="AC13" s="111">
        <f>V13</f>
        <v>695155.57374209259</v>
      </c>
      <c r="AD13" s="94">
        <v>2569</v>
      </c>
      <c r="AE13" s="94">
        <v>2569</v>
      </c>
      <c r="AF13" s="94">
        <v>2569</v>
      </c>
      <c r="AG13" s="94">
        <v>281319.99965186935</v>
      </c>
      <c r="AH13" s="94">
        <v>695155.57374209259</v>
      </c>
      <c r="AI13" s="94">
        <v>1006481.5874603117</v>
      </c>
      <c r="AJ13" s="94">
        <v>1317807.6011785306</v>
      </c>
      <c r="AK13" s="94">
        <v>1629133.6148967496</v>
      </c>
      <c r="AL13" s="94">
        <v>1940459.6286149689</v>
      </c>
      <c r="AM13" s="94">
        <v>2251785.6423331881</v>
      </c>
      <c r="AN13" s="94">
        <v>2563111.6560514071</v>
      </c>
      <c r="AO13" s="94">
        <v>2874437.6697696261</v>
      </c>
      <c r="AP13" s="94">
        <v>3185763.6834878451</v>
      </c>
    </row>
    <row r="14" spans="1:42" outlineLevel="1" x14ac:dyDescent="0.25">
      <c r="A14" t="s">
        <v>9</v>
      </c>
      <c r="C14" s="7">
        <v>25687</v>
      </c>
      <c r="D14" s="7"/>
      <c r="E14" s="7"/>
      <c r="F14" s="7"/>
      <c r="G14" s="8">
        <v>25687</v>
      </c>
      <c r="H14" s="9">
        <v>1.8316797088365869E-2</v>
      </c>
      <c r="I14" s="7"/>
      <c r="J14" s="7"/>
      <c r="K14" s="7"/>
      <c r="L14" s="8">
        <v>25687</v>
      </c>
      <c r="M14" s="9">
        <f t="shared" ref="M14:M19" si="3">L14/L$123</f>
        <v>1.5564482900700453E-2</v>
      </c>
      <c r="N14" s="9"/>
      <c r="O14" s="67"/>
      <c r="P14" s="94">
        <f t="shared" ref="P14:P17" si="4">P$10*$L14</f>
        <v>2568.7000000000003</v>
      </c>
      <c r="Q14" s="94">
        <f>MIN(Q$10*F14,P$124*F14/F$54)</f>
        <v>0</v>
      </c>
      <c r="R14" s="94">
        <f t="shared" ref="R14:R19" si="5">MIN(R$10*E14,Q$124*E14/E$54)</f>
        <v>0</v>
      </c>
      <c r="S14" s="94">
        <f t="shared" ref="S14:S19" si="6">MIN(S$10*D14,R$124*D14/D$54)</f>
        <v>0</v>
      </c>
      <c r="T14" s="94">
        <f t="shared" ref="T14:T19" si="7">M14*S$124</f>
        <v>692505.69559023483</v>
      </c>
      <c r="V14" s="94">
        <f t="shared" ref="V14:V19" si="8">SUM(P14:T14)</f>
        <v>695074.39559023478</v>
      </c>
      <c r="AC14" s="111">
        <f t="shared" ref="AC14:AC77" si="9">V14</f>
        <v>695074.39559023478</v>
      </c>
      <c r="AD14" s="94">
        <v>2568.7000000000003</v>
      </c>
      <c r="AE14" s="94">
        <v>2568.7000000000003</v>
      </c>
      <c r="AF14" s="94">
        <v>2568.7000000000003</v>
      </c>
      <c r="AG14" s="94">
        <v>281287.1479586442</v>
      </c>
      <c r="AH14" s="94">
        <v>695074.39559023478</v>
      </c>
      <c r="AI14" s="94">
        <v>1006364.0536042438</v>
      </c>
      <c r="AJ14" s="94">
        <v>1317653.7116182528</v>
      </c>
      <c r="AK14" s="94">
        <v>1628943.3696322618</v>
      </c>
      <c r="AL14" s="94">
        <v>1940233.0276462708</v>
      </c>
      <c r="AM14" s="94">
        <v>2251522.6856602803</v>
      </c>
      <c r="AN14" s="94">
        <v>2562812.3436742895</v>
      </c>
      <c r="AO14" s="94">
        <v>2874102.0016882983</v>
      </c>
      <c r="AP14" s="94">
        <v>3185391.6597023075</v>
      </c>
    </row>
    <row r="15" spans="1:42" outlineLevel="1" x14ac:dyDescent="0.25">
      <c r="A15" t="s">
        <v>10</v>
      </c>
      <c r="C15" s="7">
        <v>27812</v>
      </c>
      <c r="D15" s="7"/>
      <c r="E15" s="7"/>
      <c r="F15" s="7"/>
      <c r="G15" s="8">
        <v>27812</v>
      </c>
      <c r="H15" s="9">
        <v>1.9832084736311425E-2</v>
      </c>
      <c r="I15" s="7"/>
      <c r="J15" s="7"/>
      <c r="K15" s="7"/>
      <c r="L15" s="8">
        <v>27812</v>
      </c>
      <c r="M15" s="9">
        <f t="shared" si="3"/>
        <v>1.6852080758137617E-2</v>
      </c>
      <c r="N15" s="9"/>
      <c r="O15" s="67"/>
      <c r="P15" s="94">
        <f t="shared" si="4"/>
        <v>2781.2000000000003</v>
      </c>
      <c r="Q15" s="94">
        <f t="shared" ref="Q15:Q78" si="10">MIN(Q$10*F15,P$124*F15/F$54)</f>
        <v>0</v>
      </c>
      <c r="R15" s="94">
        <f t="shared" si="5"/>
        <v>0</v>
      </c>
      <c r="S15" s="94">
        <f t="shared" si="6"/>
        <v>0</v>
      </c>
      <c r="T15" s="94">
        <f t="shared" si="7"/>
        <v>749794.38648949307</v>
      </c>
      <c r="V15" s="94">
        <f t="shared" si="8"/>
        <v>752575.58648949303</v>
      </c>
      <c r="AC15" s="111">
        <f t="shared" si="9"/>
        <v>752575.58648949303</v>
      </c>
      <c r="AD15" s="94">
        <v>2781.2000000000003</v>
      </c>
      <c r="AE15" s="94">
        <v>2781.2000000000003</v>
      </c>
      <c r="AF15" s="94">
        <v>2781.2000000000003</v>
      </c>
      <c r="AG15" s="94">
        <v>304557.09732650022</v>
      </c>
      <c r="AH15" s="94">
        <v>752575.58648949303</v>
      </c>
      <c r="AI15" s="94">
        <v>1089617.2016522454</v>
      </c>
      <c r="AJ15" s="94">
        <v>1426658.8168149977</v>
      </c>
      <c r="AK15" s="94">
        <v>1763700.43197775</v>
      </c>
      <c r="AL15" s="94">
        <v>2100742.0471405024</v>
      </c>
      <c r="AM15" s="94">
        <v>2437783.6623032549</v>
      </c>
      <c r="AN15" s="94">
        <v>2774825.2774660075</v>
      </c>
      <c r="AO15" s="94">
        <v>3111866.8926287596</v>
      </c>
      <c r="AP15" s="94">
        <v>3448908.5077915122</v>
      </c>
    </row>
    <row r="16" spans="1:42" outlineLevel="1" x14ac:dyDescent="0.25">
      <c r="A16" t="s">
        <v>11</v>
      </c>
      <c r="C16" s="7">
        <v>26500</v>
      </c>
      <c r="D16" s="7"/>
      <c r="E16" s="7"/>
      <c r="F16" s="7"/>
      <c r="G16" s="8">
        <v>26500</v>
      </c>
      <c r="H16" s="9">
        <v>1.8896528315556334E-2</v>
      </c>
      <c r="I16" s="7"/>
      <c r="J16" s="7"/>
      <c r="K16" s="7"/>
      <c r="L16" s="8">
        <v>26500</v>
      </c>
      <c r="M16" s="9">
        <f t="shared" si="3"/>
        <v>1.6057102692745826E-2</v>
      </c>
      <c r="N16" s="9"/>
      <c r="O16" s="67"/>
      <c r="P16" s="94">
        <f t="shared" si="4"/>
        <v>2650</v>
      </c>
      <c r="Q16" s="94">
        <f t="shared" si="10"/>
        <v>0</v>
      </c>
      <c r="R16" s="94">
        <f t="shared" si="5"/>
        <v>0</v>
      </c>
      <c r="S16" s="94">
        <f t="shared" si="6"/>
        <v>0</v>
      </c>
      <c r="T16" s="94">
        <f t="shared" si="7"/>
        <v>714423.67474369227</v>
      </c>
      <c r="V16" s="94">
        <f t="shared" si="8"/>
        <v>717073.67474369227</v>
      </c>
      <c r="AC16" s="111">
        <f t="shared" si="9"/>
        <v>717073.67474369227</v>
      </c>
      <c r="AD16" s="94">
        <v>2650</v>
      </c>
      <c r="AE16" s="94">
        <v>2650</v>
      </c>
      <c r="AF16" s="94">
        <v>2650</v>
      </c>
      <c r="AG16" s="94">
        <v>290189.95682267565</v>
      </c>
      <c r="AH16" s="94">
        <v>717073.67474369227</v>
      </c>
      <c r="AI16" s="94">
        <v>1038215.7285986089</v>
      </c>
      <c r="AJ16" s="94">
        <v>1359357.7824535253</v>
      </c>
      <c r="AK16" s="94">
        <v>1680499.8363084418</v>
      </c>
      <c r="AL16" s="94">
        <v>2001641.8901633583</v>
      </c>
      <c r="AM16" s="94">
        <v>2322783.944018275</v>
      </c>
      <c r="AN16" s="94">
        <v>2643925.9978731917</v>
      </c>
      <c r="AO16" s="94">
        <v>2965068.051728108</v>
      </c>
      <c r="AP16" s="94">
        <v>3286210.1055830247</v>
      </c>
    </row>
    <row r="17" spans="1:42" outlineLevel="1" x14ac:dyDescent="0.25">
      <c r="A17" t="s">
        <v>12</v>
      </c>
      <c r="C17" s="7">
        <v>6000</v>
      </c>
      <c r="D17" s="7"/>
      <c r="E17" s="7"/>
      <c r="F17" s="7"/>
      <c r="G17" s="8">
        <v>6000</v>
      </c>
      <c r="H17" s="9">
        <v>4.2784592412580379E-3</v>
      </c>
      <c r="I17" s="7"/>
      <c r="J17" s="7"/>
      <c r="K17" s="7"/>
      <c r="L17" s="8">
        <v>6000</v>
      </c>
      <c r="M17" s="9">
        <f t="shared" si="3"/>
        <v>3.6355704209990549E-3</v>
      </c>
      <c r="N17" s="9"/>
      <c r="O17" s="67"/>
      <c r="P17" s="94">
        <f t="shared" si="4"/>
        <v>600</v>
      </c>
      <c r="Q17" s="94">
        <f t="shared" si="10"/>
        <v>0</v>
      </c>
      <c r="R17" s="94">
        <f t="shared" si="5"/>
        <v>0</v>
      </c>
      <c r="S17" s="94">
        <f t="shared" si="6"/>
        <v>0</v>
      </c>
      <c r="T17" s="94">
        <f t="shared" si="7"/>
        <v>161756.30371555296</v>
      </c>
      <c r="V17" s="94">
        <f t="shared" si="8"/>
        <v>162356.30371555296</v>
      </c>
      <c r="AC17" s="111">
        <f t="shared" si="9"/>
        <v>162356.30371555296</v>
      </c>
      <c r="AD17" s="94">
        <v>600</v>
      </c>
      <c r="AE17" s="94">
        <v>600</v>
      </c>
      <c r="AF17" s="94">
        <v>600</v>
      </c>
      <c r="AG17" s="94">
        <v>65703.386450417136</v>
      </c>
      <c r="AH17" s="94">
        <v>162356.30371555296</v>
      </c>
      <c r="AI17" s="94">
        <v>235067.71213553406</v>
      </c>
      <c r="AJ17" s="94">
        <v>307779.12055551517</v>
      </c>
      <c r="AK17" s="94">
        <v>380490.52897549624</v>
      </c>
      <c r="AL17" s="94">
        <v>453201.93739547732</v>
      </c>
      <c r="AM17" s="94">
        <v>525913.34581545845</v>
      </c>
      <c r="AN17" s="94">
        <v>598624.75423543958</v>
      </c>
      <c r="AO17" s="94">
        <v>671336.16265542072</v>
      </c>
      <c r="AP17" s="94">
        <v>744047.57107540173</v>
      </c>
    </row>
    <row r="18" spans="1:42" outlineLevel="1" x14ac:dyDescent="0.25">
      <c r="A18" t="s">
        <v>13</v>
      </c>
      <c r="C18" s="7">
        <v>4000</v>
      </c>
      <c r="D18" s="7"/>
      <c r="E18" s="7"/>
      <c r="F18" s="7"/>
      <c r="G18" s="8">
        <v>4000</v>
      </c>
      <c r="H18" s="9">
        <v>2.852306160838692E-3</v>
      </c>
      <c r="I18" s="7"/>
      <c r="J18" s="7"/>
      <c r="K18" s="7"/>
      <c r="L18" s="8">
        <v>4000</v>
      </c>
      <c r="M18" s="9">
        <f>L18/L$123</f>
        <v>2.4237136139993697E-3</v>
      </c>
      <c r="N18" s="9"/>
      <c r="O18" s="67"/>
      <c r="P18" s="94">
        <f>P$10*$L18</f>
        <v>400</v>
      </c>
      <c r="Q18" s="94">
        <f t="shared" si="10"/>
        <v>0</v>
      </c>
      <c r="R18" s="94">
        <f t="shared" si="5"/>
        <v>0</v>
      </c>
      <c r="S18" s="94">
        <f t="shared" si="6"/>
        <v>0</v>
      </c>
      <c r="T18" s="94">
        <f t="shared" si="7"/>
        <v>107837.53581036863</v>
      </c>
      <c r="V18" s="94">
        <f t="shared" si="8"/>
        <v>108237.53581036863</v>
      </c>
      <c r="AC18" s="111">
        <f t="shared" si="9"/>
        <v>108237.53581036863</v>
      </c>
      <c r="AD18" s="94">
        <v>400</v>
      </c>
      <c r="AE18" s="94">
        <v>400</v>
      </c>
      <c r="AF18" s="94">
        <v>400</v>
      </c>
      <c r="AG18" s="94">
        <v>43802.257633611422</v>
      </c>
      <c r="AH18" s="94">
        <v>108237.53581036863</v>
      </c>
      <c r="AI18" s="94">
        <v>156711.80809035603</v>
      </c>
      <c r="AJ18" s="94">
        <v>205186.08037034341</v>
      </c>
      <c r="AK18" s="94">
        <v>253660.35265033081</v>
      </c>
      <c r="AL18" s="94">
        <v>302134.62493031821</v>
      </c>
      <c r="AM18" s="94">
        <v>350608.89721030561</v>
      </c>
      <c r="AN18" s="94">
        <v>399083.16949029302</v>
      </c>
      <c r="AO18" s="94">
        <v>447557.44177028042</v>
      </c>
      <c r="AP18" s="94">
        <v>496031.71405026782</v>
      </c>
    </row>
    <row r="19" spans="1:42" s="10" customFormat="1" x14ac:dyDescent="0.25">
      <c r="A19" s="10" t="s">
        <v>14</v>
      </c>
      <c r="C19" s="11">
        <v>115689</v>
      </c>
      <c r="D19" s="11">
        <v>0</v>
      </c>
      <c r="E19" s="11">
        <v>0</v>
      </c>
      <c r="F19" s="11"/>
      <c r="G19" s="11">
        <v>115689</v>
      </c>
      <c r="H19" s="12">
        <v>8.2495111860316855E-2</v>
      </c>
      <c r="I19" s="11">
        <v>0</v>
      </c>
      <c r="J19" s="11"/>
      <c r="K19" s="11"/>
      <c r="L19" s="11">
        <v>115689</v>
      </c>
      <c r="M19" s="12">
        <f t="shared" si="3"/>
        <v>7.0099251072493277E-2</v>
      </c>
      <c r="N19" s="9"/>
      <c r="O19" s="69"/>
      <c r="P19" s="95">
        <f>P$10*$L19</f>
        <v>11568.900000000001</v>
      </c>
      <c r="Q19" s="95">
        <f t="shared" si="10"/>
        <v>0</v>
      </c>
      <c r="R19" s="95">
        <f t="shared" si="5"/>
        <v>0</v>
      </c>
      <c r="S19" s="95">
        <f t="shared" si="6"/>
        <v>0</v>
      </c>
      <c r="T19" s="95">
        <f t="shared" si="7"/>
        <v>3118904.1700914344</v>
      </c>
      <c r="V19" s="95">
        <f t="shared" si="8"/>
        <v>3130473.0700914343</v>
      </c>
      <c r="AC19" s="111">
        <f t="shared" si="9"/>
        <v>3130473.0700914343</v>
      </c>
      <c r="AD19" s="95">
        <v>11568.900000000001</v>
      </c>
      <c r="AE19" s="95">
        <v>11568.900000000001</v>
      </c>
      <c r="AF19" s="95">
        <v>11568.900000000001</v>
      </c>
      <c r="AG19" s="95">
        <v>1266859.8458437179</v>
      </c>
      <c r="AH19" s="95">
        <v>3130473.0700914343</v>
      </c>
      <c r="AI19" s="95">
        <v>4532458.0915413005</v>
      </c>
      <c r="AJ19" s="95">
        <v>5934443.1129911654</v>
      </c>
      <c r="AK19" s="95">
        <v>7336428.1344410311</v>
      </c>
      <c r="AL19" s="95">
        <v>8738413.1558908969</v>
      </c>
      <c r="AM19" s="95">
        <v>10140398.177340763</v>
      </c>
      <c r="AN19" s="95">
        <v>11542383.198790628</v>
      </c>
      <c r="AO19" s="95">
        <v>12944368.220240494</v>
      </c>
      <c r="AP19" s="95">
        <v>14346353.24169036</v>
      </c>
    </row>
    <row r="20" spans="1:42" x14ac:dyDescent="0.25">
      <c r="C20" s="7"/>
      <c r="D20" s="7"/>
      <c r="E20" s="7"/>
      <c r="F20" s="7"/>
      <c r="G20" s="8"/>
      <c r="H20" s="9"/>
      <c r="I20" s="7"/>
      <c r="J20" s="7"/>
      <c r="K20" s="7"/>
      <c r="L20" s="8"/>
      <c r="M20" s="9"/>
      <c r="N20" s="9"/>
      <c r="O20" s="57"/>
      <c r="P20" s="68"/>
      <c r="Q20" s="68"/>
      <c r="R20" s="68"/>
      <c r="S20" s="68"/>
      <c r="T20" s="68"/>
      <c r="V20" s="68"/>
      <c r="AC20" s="35"/>
      <c r="AD20" s="112">
        <v>0</v>
      </c>
      <c r="AE20" s="112">
        <v>0</v>
      </c>
      <c r="AF20" s="112">
        <v>0</v>
      </c>
      <c r="AG20" s="112">
        <v>0</v>
      </c>
      <c r="AH20" s="112">
        <v>0</v>
      </c>
      <c r="AI20" s="112">
        <v>0</v>
      </c>
      <c r="AJ20" s="112">
        <v>0</v>
      </c>
      <c r="AK20" s="112">
        <v>0</v>
      </c>
      <c r="AL20" s="112">
        <v>0</v>
      </c>
      <c r="AM20" s="112">
        <v>0</v>
      </c>
      <c r="AN20" s="112">
        <v>0</v>
      </c>
      <c r="AO20" s="112">
        <v>0</v>
      </c>
      <c r="AP20" s="112">
        <v>0</v>
      </c>
    </row>
    <row r="21" spans="1:42" x14ac:dyDescent="0.25">
      <c r="A21" s="13"/>
      <c r="B21" s="14" t="s">
        <v>15</v>
      </c>
      <c r="C21" s="15">
        <v>115689</v>
      </c>
      <c r="D21" s="15">
        <v>0</v>
      </c>
      <c r="E21" s="15">
        <v>0</v>
      </c>
      <c r="F21" s="15"/>
      <c r="G21" s="15">
        <v>115689</v>
      </c>
      <c r="H21" s="16">
        <v>8.2495111860316869E-2</v>
      </c>
      <c r="I21" s="15">
        <v>0</v>
      </c>
      <c r="J21" s="15"/>
      <c r="K21" s="15"/>
      <c r="L21" s="15">
        <v>115689</v>
      </c>
      <c r="M21" s="16">
        <f>L21/L$123</f>
        <v>7.0099251072493277E-2</v>
      </c>
      <c r="N21" s="9"/>
      <c r="O21" s="28"/>
      <c r="P21" s="93">
        <f>P$10*$L21</f>
        <v>11568.900000000001</v>
      </c>
      <c r="Q21" s="93">
        <f t="shared" si="10"/>
        <v>0</v>
      </c>
      <c r="R21" s="93">
        <f>MIN(R$10*E21,Q$124*E21/E$54)</f>
        <v>0</v>
      </c>
      <c r="S21" s="93">
        <f>MIN(S$10*D21,R$124*D21/D$54)</f>
        <v>0</v>
      </c>
      <c r="T21" s="93">
        <f>M21*S$124</f>
        <v>3118904.1700914344</v>
      </c>
      <c r="V21" s="93">
        <f>SUM(P21:T21)</f>
        <v>3130473.0700914343</v>
      </c>
      <c r="AC21" s="111">
        <f t="shared" si="9"/>
        <v>3130473.0700914343</v>
      </c>
      <c r="AD21" s="93">
        <v>11568.900000000001</v>
      </c>
      <c r="AE21" s="93">
        <v>11568.900000000001</v>
      </c>
      <c r="AF21" s="93">
        <v>11568.900000000001</v>
      </c>
      <c r="AG21" s="93">
        <v>1266859.8458437179</v>
      </c>
      <c r="AH21" s="93">
        <v>3130473.0700914343</v>
      </c>
      <c r="AI21" s="93">
        <v>4532458.0915413005</v>
      </c>
      <c r="AJ21" s="93">
        <v>5934443.1129911654</v>
      </c>
      <c r="AK21" s="93">
        <v>7336428.1344410311</v>
      </c>
      <c r="AL21" s="93">
        <v>8738413.1558908969</v>
      </c>
      <c r="AM21" s="93">
        <v>10140398.177340763</v>
      </c>
      <c r="AN21" s="93">
        <v>11542383.198790628</v>
      </c>
      <c r="AO21" s="93">
        <v>12944368.220240494</v>
      </c>
      <c r="AP21" s="93">
        <v>14346353.24169036</v>
      </c>
    </row>
    <row r="22" spans="1:42" x14ac:dyDescent="0.25">
      <c r="A22" s="10" t="s">
        <v>0</v>
      </c>
      <c r="C22" s="7"/>
      <c r="D22" s="7"/>
      <c r="E22" s="7"/>
      <c r="F22" s="7"/>
      <c r="G22" s="8"/>
      <c r="H22" s="17"/>
      <c r="I22" s="7"/>
      <c r="J22" s="7"/>
      <c r="K22" s="7"/>
      <c r="L22" s="8"/>
      <c r="M22" s="17"/>
      <c r="N22" s="18"/>
      <c r="O22" s="46"/>
      <c r="P22" s="47"/>
      <c r="Q22" s="47"/>
      <c r="R22" s="47"/>
      <c r="S22" s="47"/>
      <c r="T22" s="47"/>
      <c r="V22" s="47"/>
      <c r="AC22" s="35"/>
      <c r="AD22" s="36">
        <v>0</v>
      </c>
      <c r="AE22" s="36">
        <v>0</v>
      </c>
      <c r="AF22" s="36">
        <v>0</v>
      </c>
      <c r="AG22" s="36">
        <v>0</v>
      </c>
      <c r="AH22" s="36">
        <v>0</v>
      </c>
      <c r="AI22" s="36">
        <v>0</v>
      </c>
      <c r="AJ22" s="36">
        <v>0</v>
      </c>
      <c r="AK22" s="36">
        <v>0</v>
      </c>
      <c r="AL22" s="36">
        <v>0</v>
      </c>
      <c r="AM22" s="36">
        <v>0</v>
      </c>
      <c r="AN22" s="36">
        <v>0</v>
      </c>
      <c r="AO22" s="36">
        <v>0</v>
      </c>
      <c r="AP22" s="36">
        <v>0</v>
      </c>
    </row>
    <row r="23" spans="1:42" x14ac:dyDescent="0.25">
      <c r="A23" t="s">
        <v>16</v>
      </c>
      <c r="C23" s="7"/>
      <c r="D23" s="7">
        <v>15296</v>
      </c>
      <c r="E23" s="7">
        <v>0</v>
      </c>
      <c r="F23" s="7">
        <v>0</v>
      </c>
      <c r="G23" s="7">
        <v>15296</v>
      </c>
      <c r="H23" s="9">
        <v>1.0907218759047158E-2</v>
      </c>
      <c r="I23" s="7"/>
      <c r="J23" s="7"/>
      <c r="K23" s="7"/>
      <c r="L23" s="7">
        <v>15296</v>
      </c>
      <c r="M23" s="9">
        <f>L23/L$123</f>
        <v>9.2682808599335899E-3</v>
      </c>
      <c r="N23" s="18"/>
      <c r="O23" s="46"/>
      <c r="P23" s="94">
        <f>P$10*$L23</f>
        <v>1529.6000000000001</v>
      </c>
      <c r="Q23" s="94">
        <f t="shared" si="10"/>
        <v>0</v>
      </c>
      <c r="R23" s="94">
        <f t="shared" ref="R23:R47" si="11">MIN(R$10*E23,Q$124*E23/E$54)</f>
        <v>0</v>
      </c>
      <c r="S23" s="94">
        <f t="shared" ref="S23:S86" si="12">MIN(S$10*D23,R$124*D23/D$54)</f>
        <v>579718.40000000002</v>
      </c>
      <c r="T23" s="94">
        <f t="shared" ref="T23:T47" si="13">M23*S$124</f>
        <v>412370.73693884967</v>
      </c>
      <c r="V23" s="94">
        <f t="shared" ref="V23:V86" si="14">SUM(P23:T23)</f>
        <v>993618.73693884967</v>
      </c>
      <c r="AC23" s="111">
        <f t="shared" si="9"/>
        <v>993618.73693884967</v>
      </c>
      <c r="AD23" s="94">
        <v>1529.6000000000001</v>
      </c>
      <c r="AE23" s="94">
        <v>1529.6000000000001</v>
      </c>
      <c r="AF23" s="94">
        <v>1529.6000000000001</v>
      </c>
      <c r="AG23" s="94">
        <v>747218.2331909301</v>
      </c>
      <c r="AH23" s="94">
        <v>993618.73693884967</v>
      </c>
      <c r="AI23" s="94">
        <v>1178984.3541375215</v>
      </c>
      <c r="AJ23" s="94">
        <v>1364349.9713361931</v>
      </c>
      <c r="AK23" s="94">
        <v>1549715.5885348651</v>
      </c>
      <c r="AL23" s="94">
        <v>1735081.2057335367</v>
      </c>
      <c r="AM23" s="94">
        <v>1920446.8229322087</v>
      </c>
      <c r="AN23" s="94">
        <v>2105812.4401308806</v>
      </c>
      <c r="AO23" s="94">
        <v>2291178.0573295522</v>
      </c>
      <c r="AP23" s="94">
        <v>2476543.6745282244</v>
      </c>
    </row>
    <row r="24" spans="1:42" x14ac:dyDescent="0.25">
      <c r="A24" t="s">
        <v>17</v>
      </c>
      <c r="C24" s="7"/>
      <c r="D24" s="7">
        <v>16283</v>
      </c>
      <c r="E24" s="7">
        <v>0</v>
      </c>
      <c r="F24" s="7">
        <v>0</v>
      </c>
      <c r="G24" s="7">
        <v>16283</v>
      </c>
      <c r="H24" s="9">
        <v>1.1611025304234105E-2</v>
      </c>
      <c r="I24" s="7"/>
      <c r="J24" s="7"/>
      <c r="K24" s="7"/>
      <c r="L24" s="7">
        <v>16283</v>
      </c>
      <c r="M24" s="9">
        <f t="shared" ref="M24:M46" si="15">L24/L$123</f>
        <v>9.8663321941879351E-3</v>
      </c>
      <c r="N24" s="18"/>
      <c r="O24" s="46"/>
      <c r="P24" s="94">
        <f t="shared" ref="P24:P46" si="16">P$10*$L24</f>
        <v>1628.3000000000002</v>
      </c>
      <c r="Q24" s="94">
        <f t="shared" si="10"/>
        <v>0</v>
      </c>
      <c r="R24" s="94">
        <f t="shared" si="11"/>
        <v>0</v>
      </c>
      <c r="S24" s="94">
        <f t="shared" si="12"/>
        <v>617125.69999999995</v>
      </c>
      <c r="T24" s="94">
        <f t="shared" si="13"/>
        <v>438979.64890005818</v>
      </c>
      <c r="V24" s="94">
        <f t="shared" si="14"/>
        <v>1057733.6489000581</v>
      </c>
      <c r="AC24" s="111">
        <f t="shared" si="9"/>
        <v>1057733.6489000581</v>
      </c>
      <c r="AD24" s="94">
        <v>1628.3000000000002</v>
      </c>
      <c r="AE24" s="94">
        <v>1628.3000000000002</v>
      </c>
      <c r="AF24" s="94">
        <v>1628.3000000000002</v>
      </c>
      <c r="AG24" s="94">
        <v>795433.74026202364</v>
      </c>
      <c r="AH24" s="94">
        <v>1057733.6489000581</v>
      </c>
      <c r="AI24" s="94">
        <v>1255060.2927838168</v>
      </c>
      <c r="AJ24" s="94">
        <v>1452386.9366675755</v>
      </c>
      <c r="AK24" s="94">
        <v>1649713.5805513342</v>
      </c>
      <c r="AL24" s="94">
        <v>1847040.2244350929</v>
      </c>
      <c r="AM24" s="94">
        <v>2044366.8683188518</v>
      </c>
      <c r="AN24" s="94">
        <v>2241693.5122026103</v>
      </c>
      <c r="AO24" s="94">
        <v>2439020.1560863694</v>
      </c>
      <c r="AP24" s="94">
        <v>2636346.7999701276</v>
      </c>
    </row>
    <row r="25" spans="1:42" x14ac:dyDescent="0.25">
      <c r="A25" t="s">
        <v>18</v>
      </c>
      <c r="C25" s="7"/>
      <c r="D25" s="7">
        <v>17763</v>
      </c>
      <c r="E25" s="7">
        <v>0</v>
      </c>
      <c r="F25" s="7">
        <v>0</v>
      </c>
      <c r="G25" s="7">
        <v>17763</v>
      </c>
      <c r="H25" s="9">
        <v>1.2666378583744422E-2</v>
      </c>
      <c r="I25" s="7"/>
      <c r="J25" s="7"/>
      <c r="K25" s="7"/>
      <c r="L25" s="7">
        <v>17763</v>
      </c>
      <c r="M25" s="9">
        <f t="shared" si="15"/>
        <v>1.0763106231367701E-2</v>
      </c>
      <c r="N25" s="18"/>
      <c r="O25" s="46"/>
      <c r="P25" s="94">
        <f t="shared" si="16"/>
        <v>1776.3000000000002</v>
      </c>
      <c r="Q25" s="94">
        <f t="shared" si="10"/>
        <v>0</v>
      </c>
      <c r="R25" s="94">
        <f t="shared" si="11"/>
        <v>0</v>
      </c>
      <c r="S25" s="94">
        <f t="shared" si="12"/>
        <v>673217.7</v>
      </c>
      <c r="T25" s="94">
        <f t="shared" si="13"/>
        <v>478879.53714989452</v>
      </c>
      <c r="V25" s="94">
        <f t="shared" si="14"/>
        <v>1153873.5371498945</v>
      </c>
      <c r="AC25" s="111">
        <f t="shared" si="9"/>
        <v>1153873.5371498945</v>
      </c>
      <c r="AD25" s="94">
        <v>1776.3000000000002</v>
      </c>
      <c r="AE25" s="94">
        <v>1776.3000000000002</v>
      </c>
      <c r="AF25" s="94">
        <v>1776.3000000000002</v>
      </c>
      <c r="AG25" s="94">
        <v>867732.57558645995</v>
      </c>
      <c r="AH25" s="94">
        <v>1153873.5371498945</v>
      </c>
      <c r="AI25" s="94">
        <v>1369135.6617772486</v>
      </c>
      <c r="AJ25" s="94">
        <v>1584397.7864046025</v>
      </c>
      <c r="AK25" s="94">
        <v>1799659.9110319566</v>
      </c>
      <c r="AL25" s="94">
        <v>2014922.0356593104</v>
      </c>
      <c r="AM25" s="94">
        <v>2230184.160286665</v>
      </c>
      <c r="AN25" s="94">
        <v>2445446.2849140186</v>
      </c>
      <c r="AO25" s="94">
        <v>2660708.4095413727</v>
      </c>
      <c r="AP25" s="94">
        <v>2875970.5341687268</v>
      </c>
    </row>
    <row r="26" spans="1:42" x14ac:dyDescent="0.25">
      <c r="A26" t="s">
        <v>19</v>
      </c>
      <c r="C26" s="7"/>
      <c r="D26" s="7">
        <v>29605</v>
      </c>
      <c r="E26" s="7">
        <v>0</v>
      </c>
      <c r="F26" s="7">
        <v>0</v>
      </c>
      <c r="G26" s="7">
        <v>29605</v>
      </c>
      <c r="H26" s="9">
        <v>2.1110630972907371E-2</v>
      </c>
      <c r="I26" s="7"/>
      <c r="J26" s="7"/>
      <c r="K26" s="7"/>
      <c r="L26" s="7">
        <v>29605</v>
      </c>
      <c r="M26" s="9">
        <f t="shared" si="15"/>
        <v>1.7938510385612835E-2</v>
      </c>
      <c r="N26" s="18"/>
      <c r="O26" s="46"/>
      <c r="P26" s="94">
        <f t="shared" si="16"/>
        <v>2960.5</v>
      </c>
      <c r="Q26" s="94">
        <f t="shared" si="10"/>
        <v>0</v>
      </c>
      <c r="R26" s="94">
        <f t="shared" si="11"/>
        <v>0</v>
      </c>
      <c r="S26" s="94">
        <f t="shared" si="12"/>
        <v>1122029.5</v>
      </c>
      <c r="T26" s="94">
        <f t="shared" si="13"/>
        <v>798132.5619164909</v>
      </c>
      <c r="V26" s="94">
        <f t="shared" si="14"/>
        <v>1923122.561916491</v>
      </c>
      <c r="AC26" s="111">
        <f t="shared" si="9"/>
        <v>1923122.561916491</v>
      </c>
      <c r="AD26" s="94">
        <v>2960.5</v>
      </c>
      <c r="AE26" s="94">
        <v>2960.5</v>
      </c>
      <c r="AF26" s="94">
        <v>2960.5</v>
      </c>
      <c r="AG26" s="94">
        <v>1446220.9593107665</v>
      </c>
      <c r="AH26" s="94">
        <v>1923122.561916491</v>
      </c>
      <c r="AI26" s="94">
        <v>2281892.7696287474</v>
      </c>
      <c r="AJ26" s="94">
        <v>2640662.9773410042</v>
      </c>
      <c r="AK26" s="94">
        <v>2999433.185053261</v>
      </c>
      <c r="AL26" s="94">
        <v>3358203.3927655173</v>
      </c>
      <c r="AM26" s="94">
        <v>3716973.6004777746</v>
      </c>
      <c r="AN26" s="94">
        <v>4075743.808190031</v>
      </c>
      <c r="AO26" s="94">
        <v>4434514.0159022883</v>
      </c>
      <c r="AP26" s="94">
        <v>4793284.2236145446</v>
      </c>
    </row>
    <row r="27" spans="1:42" x14ac:dyDescent="0.25">
      <c r="A27" t="s">
        <v>20</v>
      </c>
      <c r="C27" s="7"/>
      <c r="D27" s="7">
        <v>0</v>
      </c>
      <c r="E27" s="7">
        <v>16333</v>
      </c>
      <c r="F27" s="7">
        <v>0</v>
      </c>
      <c r="G27" s="7">
        <v>16333</v>
      </c>
      <c r="H27" s="9">
        <v>1.164667913124459E-2</v>
      </c>
      <c r="I27" s="7"/>
      <c r="J27" s="7"/>
      <c r="K27" s="7"/>
      <c r="L27" s="7">
        <v>16333</v>
      </c>
      <c r="M27" s="9">
        <f t="shared" si="15"/>
        <v>9.8966286143629262E-3</v>
      </c>
      <c r="N27" s="18"/>
      <c r="O27" s="46"/>
      <c r="P27" s="94">
        <f t="shared" si="16"/>
        <v>1633.3000000000002</v>
      </c>
      <c r="Q27" s="94">
        <f t="shared" si="10"/>
        <v>0</v>
      </c>
      <c r="R27" s="94">
        <f t="shared" si="11"/>
        <v>733351.7</v>
      </c>
      <c r="S27" s="94">
        <f t="shared" si="12"/>
        <v>0</v>
      </c>
      <c r="T27" s="94">
        <f t="shared" si="13"/>
        <v>440327.61809768772</v>
      </c>
      <c r="V27" s="94">
        <f t="shared" si="14"/>
        <v>1175312.6180976876</v>
      </c>
      <c r="AC27" s="111">
        <f t="shared" si="9"/>
        <v>1175312.6180976876</v>
      </c>
      <c r="AD27" s="94">
        <v>1633.3000000000002</v>
      </c>
      <c r="AE27" s="94">
        <v>39747.180875123559</v>
      </c>
      <c r="AF27" s="94">
        <v>693069.79416557681</v>
      </c>
      <c r="AG27" s="94">
        <v>912207.26848244388</v>
      </c>
      <c r="AH27" s="94">
        <v>1175312.6180976876</v>
      </c>
      <c r="AI27" s="94">
        <v>1373245.1903849463</v>
      </c>
      <c r="AJ27" s="94">
        <v>1571177.7626722048</v>
      </c>
      <c r="AK27" s="94">
        <v>1769110.3349594632</v>
      </c>
      <c r="AL27" s="94">
        <v>1967042.9072467217</v>
      </c>
      <c r="AM27" s="94">
        <v>2164975.4795339806</v>
      </c>
      <c r="AN27" s="94">
        <v>2362908.0518212393</v>
      </c>
      <c r="AO27" s="94">
        <v>2560840.6241084975</v>
      </c>
      <c r="AP27" s="94">
        <v>2758773.1963957557</v>
      </c>
    </row>
    <row r="28" spans="1:42" x14ac:dyDescent="0.25">
      <c r="A28" t="s">
        <v>21</v>
      </c>
      <c r="C28" s="7"/>
      <c r="D28" s="7">
        <v>0</v>
      </c>
      <c r="E28" s="7">
        <v>17001</v>
      </c>
      <c r="F28" s="7">
        <v>0</v>
      </c>
      <c r="G28" s="7">
        <v>17001</v>
      </c>
      <c r="H28" s="9">
        <v>1.2123014260104651E-2</v>
      </c>
      <c r="I28" s="7"/>
      <c r="J28" s="7"/>
      <c r="K28" s="7"/>
      <c r="L28" s="7">
        <v>17001</v>
      </c>
      <c r="M28" s="9">
        <f t="shared" si="15"/>
        <v>1.0301388787900821E-2</v>
      </c>
      <c r="N28" s="18"/>
      <c r="O28" s="46"/>
      <c r="P28" s="94">
        <f t="shared" si="16"/>
        <v>1700.1000000000001</v>
      </c>
      <c r="Q28" s="94">
        <f t="shared" si="10"/>
        <v>0</v>
      </c>
      <c r="R28" s="94">
        <f t="shared" si="11"/>
        <v>763344.9</v>
      </c>
      <c r="S28" s="94">
        <f t="shared" si="12"/>
        <v>0</v>
      </c>
      <c r="T28" s="94">
        <f t="shared" si="13"/>
        <v>458336.48657801928</v>
      </c>
      <c r="V28" s="94">
        <f t="shared" si="14"/>
        <v>1223381.4865780193</v>
      </c>
      <c r="AC28" s="111">
        <f t="shared" si="9"/>
        <v>1223381.4865780193</v>
      </c>
      <c r="AD28" s="94">
        <v>1700.1000000000001</v>
      </c>
      <c r="AE28" s="94">
        <v>41372.79263197058</v>
      </c>
      <c r="AF28" s="94">
        <v>721415.51280285127</v>
      </c>
      <c r="AG28" s="94">
        <v>949515.4455072569</v>
      </c>
      <c r="AH28" s="94">
        <v>1223381.4865780193</v>
      </c>
      <c r="AI28" s="94">
        <v>1429409.2623360357</v>
      </c>
      <c r="AJ28" s="94">
        <v>1635437.0380940521</v>
      </c>
      <c r="AK28" s="94">
        <v>1841464.8138520685</v>
      </c>
      <c r="AL28" s="94">
        <v>2047492.5896100849</v>
      </c>
      <c r="AM28" s="94">
        <v>2253520.3653681017</v>
      </c>
      <c r="AN28" s="94">
        <v>2459548.1411261177</v>
      </c>
      <c r="AO28" s="94">
        <v>2665575.9168841345</v>
      </c>
      <c r="AP28" s="94">
        <v>2871603.6926421509</v>
      </c>
    </row>
    <row r="29" spans="1:42" x14ac:dyDescent="0.25">
      <c r="A29" t="s">
        <v>70</v>
      </c>
      <c r="C29" s="7"/>
      <c r="D29" s="7">
        <v>0</v>
      </c>
      <c r="E29" s="7">
        <v>0</v>
      </c>
      <c r="F29" s="7">
        <v>4445</v>
      </c>
      <c r="G29" s="7">
        <v>4445</v>
      </c>
      <c r="H29" s="9">
        <v>3.1696252212319964E-3</v>
      </c>
      <c r="I29" s="7"/>
      <c r="J29" s="7"/>
      <c r="K29" s="7"/>
      <c r="L29" s="7">
        <v>4445</v>
      </c>
      <c r="M29" s="9">
        <f t="shared" si="15"/>
        <v>2.6933517535567999E-3</v>
      </c>
      <c r="N29" s="18"/>
      <c r="O29" s="46"/>
      <c r="P29" s="94">
        <f t="shared" si="16"/>
        <v>444.5</v>
      </c>
      <c r="Q29" s="94">
        <f t="shared" si="10"/>
        <v>299593</v>
      </c>
      <c r="R29" s="94">
        <f t="shared" si="11"/>
        <v>0</v>
      </c>
      <c r="S29" s="94">
        <f t="shared" si="12"/>
        <v>0</v>
      </c>
      <c r="T29" s="94">
        <f t="shared" si="13"/>
        <v>119834.46166927216</v>
      </c>
      <c r="V29" s="94">
        <f t="shared" si="14"/>
        <v>419871.96166927216</v>
      </c>
      <c r="AC29" s="111">
        <f t="shared" si="9"/>
        <v>419871.96166927216</v>
      </c>
      <c r="AD29" s="94">
        <v>154215.13258953457</v>
      </c>
      <c r="AE29" s="94">
        <v>300037.5</v>
      </c>
      <c r="AF29" s="94">
        <v>300037.5</v>
      </c>
      <c r="AG29" s="94">
        <v>348268.25879535067</v>
      </c>
      <c r="AH29" s="94">
        <v>419871.96166927216</v>
      </c>
      <c r="AI29" s="94">
        <v>473738.99674040813</v>
      </c>
      <c r="AJ29" s="94">
        <v>527606.03181154421</v>
      </c>
      <c r="AK29" s="94">
        <v>581473.06688268017</v>
      </c>
      <c r="AL29" s="94">
        <v>635340.10195381613</v>
      </c>
      <c r="AM29" s="94">
        <v>689207.1370249521</v>
      </c>
      <c r="AN29" s="94">
        <v>743074.17209608818</v>
      </c>
      <c r="AO29" s="94">
        <v>796941.20716722426</v>
      </c>
      <c r="AP29" s="94">
        <v>850808.24223836022</v>
      </c>
    </row>
    <row r="30" spans="1:42" x14ac:dyDescent="0.25">
      <c r="A30" t="s">
        <v>71</v>
      </c>
      <c r="C30" s="7"/>
      <c r="D30" s="7">
        <v>0</v>
      </c>
      <c r="E30" s="7">
        <v>0</v>
      </c>
      <c r="F30" s="7">
        <v>7408</v>
      </c>
      <c r="G30" s="7">
        <v>7408</v>
      </c>
      <c r="H30" s="9">
        <v>5.282471009873258E-3</v>
      </c>
      <c r="I30" s="7"/>
      <c r="J30" s="7"/>
      <c r="K30" s="7"/>
      <c r="L30" s="7">
        <v>7408</v>
      </c>
      <c r="M30" s="9">
        <f t="shared" si="15"/>
        <v>4.4887176131268329E-3</v>
      </c>
      <c r="N30" s="18"/>
      <c r="O30" s="46"/>
      <c r="P30" s="94">
        <f t="shared" si="16"/>
        <v>740.80000000000007</v>
      </c>
      <c r="Q30" s="94">
        <f t="shared" si="10"/>
        <v>499299.20000000007</v>
      </c>
      <c r="R30" s="94">
        <f t="shared" si="11"/>
        <v>0</v>
      </c>
      <c r="S30" s="94">
        <f t="shared" si="12"/>
        <v>0</v>
      </c>
      <c r="T30" s="94">
        <f t="shared" si="13"/>
        <v>199715.11632080271</v>
      </c>
      <c r="V30" s="94">
        <f t="shared" si="14"/>
        <v>699755.11632080283</v>
      </c>
      <c r="AC30" s="111">
        <f t="shared" si="9"/>
        <v>699755.11632080283</v>
      </c>
      <c r="AD30" s="94">
        <v>257013.65629319957</v>
      </c>
      <c r="AE30" s="94">
        <v>500040.00000000006</v>
      </c>
      <c r="AF30" s="94">
        <v>500040.00000000006</v>
      </c>
      <c r="AG30" s="94">
        <v>580420.98113744846</v>
      </c>
      <c r="AH30" s="94">
        <v>699755.11632080283</v>
      </c>
      <c r="AI30" s="94">
        <v>789529.46858333936</v>
      </c>
      <c r="AJ30" s="94">
        <v>879303.82084587612</v>
      </c>
      <c r="AK30" s="94">
        <v>969078.17310841265</v>
      </c>
      <c r="AL30" s="94">
        <v>1058852.5253709494</v>
      </c>
      <c r="AM30" s="94">
        <v>1148626.8776334862</v>
      </c>
      <c r="AN30" s="94">
        <v>1238401.2298960227</v>
      </c>
      <c r="AO30" s="94">
        <v>1328175.5821585595</v>
      </c>
      <c r="AP30" s="94">
        <v>1417949.934421096</v>
      </c>
    </row>
    <row r="31" spans="1:42" x14ac:dyDescent="0.25">
      <c r="A31" t="s">
        <v>72</v>
      </c>
      <c r="C31" s="7"/>
      <c r="D31" s="7">
        <v>0</v>
      </c>
      <c r="E31" s="7">
        <v>0</v>
      </c>
      <c r="F31" s="7">
        <v>2963</v>
      </c>
      <c r="G31" s="7">
        <v>2963</v>
      </c>
      <c r="H31" s="9">
        <v>2.1128457886412612E-3</v>
      </c>
      <c r="I31" s="7"/>
      <c r="J31" s="7"/>
      <c r="K31" s="7"/>
      <c r="L31" s="7">
        <v>2963</v>
      </c>
      <c r="M31" s="9">
        <f t="shared" si="15"/>
        <v>1.7953658595700331E-3</v>
      </c>
      <c r="N31" s="18"/>
      <c r="O31" s="46"/>
      <c r="P31" s="94">
        <f t="shared" si="16"/>
        <v>296.3</v>
      </c>
      <c r="Q31" s="94">
        <f t="shared" si="10"/>
        <v>199706.2</v>
      </c>
      <c r="R31" s="94">
        <f t="shared" si="11"/>
        <v>0</v>
      </c>
      <c r="S31" s="94">
        <f t="shared" si="12"/>
        <v>0</v>
      </c>
      <c r="T31" s="94">
        <f t="shared" si="13"/>
        <v>79880.654651530567</v>
      </c>
      <c r="V31" s="94">
        <f t="shared" si="14"/>
        <v>279883.15465153055</v>
      </c>
      <c r="AC31" s="111">
        <f t="shared" si="9"/>
        <v>279883.15465153055</v>
      </c>
      <c r="AD31" s="94">
        <v>102798.52370366501</v>
      </c>
      <c r="AE31" s="94">
        <v>200002.5</v>
      </c>
      <c r="AF31" s="94">
        <v>200002.5</v>
      </c>
      <c r="AG31" s="94">
        <v>232152.72234209767</v>
      </c>
      <c r="AH31" s="94">
        <v>279883.15465153055</v>
      </c>
      <c r="AI31" s="94">
        <v>315790.47184293123</v>
      </c>
      <c r="AJ31" s="94">
        <v>351697.78903433192</v>
      </c>
      <c r="AK31" s="94">
        <v>387605.10622573254</v>
      </c>
      <c r="AL31" s="94">
        <v>423512.42341713322</v>
      </c>
      <c r="AM31" s="94">
        <v>459419.7406085339</v>
      </c>
      <c r="AN31" s="94">
        <v>495327.05779993458</v>
      </c>
      <c r="AO31" s="94">
        <v>531234.37499133521</v>
      </c>
      <c r="AP31" s="94">
        <v>567141.69218273589</v>
      </c>
    </row>
    <row r="32" spans="1:42" s="10" customFormat="1" x14ac:dyDescent="0.25">
      <c r="A32" s="10" t="s">
        <v>22</v>
      </c>
      <c r="C32" s="11">
        <v>0</v>
      </c>
      <c r="D32" s="43">
        <v>78947</v>
      </c>
      <c r="E32" s="43">
        <v>33334</v>
      </c>
      <c r="F32" s="43">
        <v>14816</v>
      </c>
      <c r="G32" s="43">
        <v>127097</v>
      </c>
      <c r="H32" s="42">
        <v>9.062988903102881E-2</v>
      </c>
      <c r="I32" s="43">
        <v>0</v>
      </c>
      <c r="J32" s="43"/>
      <c r="K32" s="43"/>
      <c r="L32" s="43">
        <v>127097</v>
      </c>
      <c r="M32" s="12">
        <f t="shared" si="15"/>
        <v>7.701168229961948E-2</v>
      </c>
      <c r="O32" s="70"/>
      <c r="P32" s="95">
        <f t="shared" si="16"/>
        <v>12709.7</v>
      </c>
      <c r="Q32" s="95">
        <f t="shared" si="10"/>
        <v>998598.40000000014</v>
      </c>
      <c r="R32" s="95">
        <f t="shared" si="11"/>
        <v>1496696.5999999999</v>
      </c>
      <c r="S32" s="95">
        <f t="shared" si="12"/>
        <v>2992091.3</v>
      </c>
      <c r="T32" s="95">
        <f t="shared" si="13"/>
        <v>3426456.8222226058</v>
      </c>
      <c r="V32" s="95">
        <f t="shared" si="14"/>
        <v>8926552.8222226053</v>
      </c>
      <c r="AC32" s="111">
        <f t="shared" si="9"/>
        <v>8926552.8222226053</v>
      </c>
      <c r="AD32" s="95">
        <v>525255.41258639912</v>
      </c>
      <c r="AE32" s="95">
        <v>1089094.6735070942</v>
      </c>
      <c r="AF32" s="95">
        <v>2422460.0069684279</v>
      </c>
      <c r="AG32" s="95">
        <v>6879170.1846147776</v>
      </c>
      <c r="AH32" s="95">
        <v>8926552.8222226053</v>
      </c>
      <c r="AI32" s="95">
        <v>10466786.468214996</v>
      </c>
      <c r="AJ32" s="95">
        <v>12007020.114207383</v>
      </c>
      <c r="AK32" s="95">
        <v>13547253.760199774</v>
      </c>
      <c r="AL32" s="95">
        <v>15087487.406192163</v>
      </c>
      <c r="AM32" s="95">
        <v>16627721.052184554</v>
      </c>
      <c r="AN32" s="95">
        <v>18167954.698176943</v>
      </c>
      <c r="AO32" s="95">
        <v>19708188.344169334</v>
      </c>
      <c r="AP32" s="95">
        <v>21248421.990161724</v>
      </c>
    </row>
    <row r="33" spans="1:42" x14ac:dyDescent="0.25">
      <c r="A33" t="s">
        <v>23</v>
      </c>
      <c r="C33" s="7"/>
      <c r="D33" s="7">
        <v>78947</v>
      </c>
      <c r="E33" s="7">
        <v>33333</v>
      </c>
      <c r="F33" s="7">
        <v>81482</v>
      </c>
      <c r="G33" s="7">
        <v>193762</v>
      </c>
      <c r="H33" s="9">
        <v>0.13816713658410668</v>
      </c>
      <c r="I33" s="7"/>
      <c r="J33" s="7"/>
      <c r="K33" s="7"/>
      <c r="L33" s="7">
        <v>193762</v>
      </c>
      <c r="M33" s="9">
        <f t="shared" si="15"/>
        <v>0.11740589931893647</v>
      </c>
      <c r="N33" s="18"/>
      <c r="O33" s="46"/>
      <c r="P33" s="94">
        <f t="shared" si="16"/>
        <v>19376.2</v>
      </c>
      <c r="Q33" s="94">
        <f t="shared" si="10"/>
        <v>5491886.8000000007</v>
      </c>
      <c r="R33" s="94">
        <f t="shared" si="11"/>
        <v>1496651.7</v>
      </c>
      <c r="S33" s="94">
        <f t="shared" si="12"/>
        <v>2992091.3</v>
      </c>
      <c r="T33" s="94">
        <f t="shared" si="13"/>
        <v>5223704.1534221619</v>
      </c>
      <c r="V33" s="94">
        <f t="shared" si="14"/>
        <v>15223710.153422162</v>
      </c>
      <c r="AC33" s="111">
        <f t="shared" si="9"/>
        <v>15223710.153422162</v>
      </c>
      <c r="AD33" s="94">
        <v>2838170.0548167508</v>
      </c>
      <c r="AE33" s="94">
        <v>5589047.2399565605</v>
      </c>
      <c r="AF33" s="94">
        <v>6922372.5732578943</v>
      </c>
      <c r="AG33" s="94">
        <v>12102433.060900955</v>
      </c>
      <c r="AH33" s="94">
        <v>15223710.153422162</v>
      </c>
      <c r="AI33" s="94">
        <v>17571828.139800891</v>
      </c>
      <c r="AJ33" s="94">
        <v>19919946.126179621</v>
      </c>
      <c r="AK33" s="94">
        <v>22268064.11255835</v>
      </c>
      <c r="AL33" s="94">
        <v>24616182.098937079</v>
      </c>
      <c r="AM33" s="94">
        <v>26964300.085315809</v>
      </c>
      <c r="AN33" s="94">
        <v>29312418.071694538</v>
      </c>
      <c r="AO33" s="94">
        <v>31660536.058073267</v>
      </c>
      <c r="AP33" s="94">
        <v>34008654.044451997</v>
      </c>
    </row>
    <row r="34" spans="1:42" s="10" customFormat="1" x14ac:dyDescent="0.25">
      <c r="A34" s="10" t="s">
        <v>24</v>
      </c>
      <c r="C34" s="11">
        <v>0</v>
      </c>
      <c r="D34" s="11">
        <v>78947</v>
      </c>
      <c r="E34" s="43">
        <v>33333</v>
      </c>
      <c r="F34" s="43">
        <v>81482</v>
      </c>
      <c r="G34" s="43">
        <v>193762</v>
      </c>
      <c r="H34" s="12">
        <v>0.13816713658410668</v>
      </c>
      <c r="I34" s="11">
        <v>0</v>
      </c>
      <c r="J34" s="11"/>
      <c r="K34" s="11"/>
      <c r="L34" s="11">
        <v>193762</v>
      </c>
      <c r="M34" s="12">
        <f t="shared" si="15"/>
        <v>0.11740589931893647</v>
      </c>
      <c r="O34" s="70"/>
      <c r="P34" s="95">
        <f t="shared" si="16"/>
        <v>19376.2</v>
      </c>
      <c r="Q34" s="95">
        <f t="shared" si="10"/>
        <v>5491886.8000000007</v>
      </c>
      <c r="R34" s="95">
        <f t="shared" si="11"/>
        <v>1496651.7</v>
      </c>
      <c r="S34" s="95">
        <f t="shared" si="12"/>
        <v>2992091.3</v>
      </c>
      <c r="T34" s="95">
        <f t="shared" si="13"/>
        <v>5223704.1534221619</v>
      </c>
      <c r="V34" s="95">
        <f t="shared" si="14"/>
        <v>15223710.153422162</v>
      </c>
      <c r="AC34" s="111">
        <f t="shared" si="9"/>
        <v>15223710.153422162</v>
      </c>
      <c r="AD34" s="95">
        <v>2838170.0548167508</v>
      </c>
      <c r="AE34" s="95">
        <v>5589047.2399565605</v>
      </c>
      <c r="AF34" s="95">
        <v>6922372.5732578943</v>
      </c>
      <c r="AG34" s="95">
        <v>12102433.060900955</v>
      </c>
      <c r="AH34" s="95">
        <v>15223710.153422162</v>
      </c>
      <c r="AI34" s="95">
        <v>17571828.139800891</v>
      </c>
      <c r="AJ34" s="95">
        <v>19919946.126179621</v>
      </c>
      <c r="AK34" s="95">
        <v>22268064.11255835</v>
      </c>
      <c r="AL34" s="95">
        <v>24616182.098937079</v>
      </c>
      <c r="AM34" s="95">
        <v>26964300.085315809</v>
      </c>
      <c r="AN34" s="95">
        <v>29312418.071694538</v>
      </c>
      <c r="AO34" s="95">
        <v>31660536.058073267</v>
      </c>
      <c r="AP34" s="95">
        <v>34008654.044451997</v>
      </c>
    </row>
    <row r="35" spans="1:42" x14ac:dyDescent="0.25">
      <c r="A35" t="s">
        <v>25</v>
      </c>
      <c r="C35" s="7"/>
      <c r="D35" s="7">
        <v>52632</v>
      </c>
      <c r="E35" s="7">
        <v>22222</v>
      </c>
      <c r="F35" s="7">
        <v>5925</v>
      </c>
      <c r="G35" s="7">
        <v>80779</v>
      </c>
      <c r="H35" s="9">
        <v>5.7601609841597179E-2</v>
      </c>
      <c r="I35" s="7"/>
      <c r="J35" s="7"/>
      <c r="K35" s="7"/>
      <c r="L35" s="7">
        <v>80779</v>
      </c>
      <c r="M35" s="9">
        <f t="shared" si="15"/>
        <v>4.8946290506313772E-2</v>
      </c>
      <c r="N35" s="18"/>
      <c r="O35" s="46"/>
      <c r="P35" s="94">
        <f t="shared" si="16"/>
        <v>8077.9000000000005</v>
      </c>
      <c r="Q35" s="94">
        <f t="shared" si="10"/>
        <v>399345.00000000006</v>
      </c>
      <c r="R35" s="94">
        <f t="shared" si="11"/>
        <v>997767.79999999993</v>
      </c>
      <c r="S35" s="94">
        <f t="shared" si="12"/>
        <v>1994752.7999999998</v>
      </c>
      <c r="T35" s="94">
        <f t="shared" si="13"/>
        <v>2177752.0763064423</v>
      </c>
      <c r="V35" s="94">
        <f t="shared" si="14"/>
        <v>5577695.5763064418</v>
      </c>
      <c r="AC35" s="111">
        <f t="shared" si="9"/>
        <v>5577695.5763064418</v>
      </c>
      <c r="AD35" s="94">
        <v>213047.75333925587</v>
      </c>
      <c r="AE35" s="94">
        <v>459279.05997104</v>
      </c>
      <c r="AF35" s="94">
        <v>1348162.615505262</v>
      </c>
      <c r="AG35" s="94">
        <v>4276441.2423463743</v>
      </c>
      <c r="AH35" s="94">
        <v>5577695.5763064418</v>
      </c>
      <c r="AI35" s="94">
        <v>6556621.3864327176</v>
      </c>
      <c r="AJ35" s="94">
        <v>7535547.1965589924</v>
      </c>
      <c r="AK35" s="94">
        <v>8514473.0066852681</v>
      </c>
      <c r="AL35" s="94">
        <v>9493398.816811543</v>
      </c>
      <c r="AM35" s="94">
        <v>10472324.62693782</v>
      </c>
      <c r="AN35" s="94">
        <v>11451250.437064096</v>
      </c>
      <c r="AO35" s="94">
        <v>12430176.247190371</v>
      </c>
      <c r="AP35" s="94">
        <v>13409102.057316646</v>
      </c>
    </row>
    <row r="36" spans="1:42" x14ac:dyDescent="0.25">
      <c r="A36" s="10" t="s">
        <v>26</v>
      </c>
      <c r="C36" s="7"/>
      <c r="D36" s="11">
        <v>52632</v>
      </c>
      <c r="E36" s="43">
        <v>22222</v>
      </c>
      <c r="F36" s="43">
        <v>5925</v>
      </c>
      <c r="G36" s="43">
        <v>80779</v>
      </c>
      <c r="H36" s="12">
        <v>5.7601609841597179E-2</v>
      </c>
      <c r="I36" s="11">
        <v>0</v>
      </c>
      <c r="J36" s="11"/>
      <c r="K36" s="11"/>
      <c r="L36" s="11">
        <v>80779</v>
      </c>
      <c r="M36" s="12">
        <f t="shared" si="15"/>
        <v>4.8946290506313772E-2</v>
      </c>
      <c r="N36" s="18"/>
      <c r="O36" s="70"/>
      <c r="P36" s="95">
        <f t="shared" si="16"/>
        <v>8077.9000000000005</v>
      </c>
      <c r="Q36" s="95">
        <f t="shared" si="10"/>
        <v>399345.00000000006</v>
      </c>
      <c r="R36" s="95">
        <f t="shared" si="11"/>
        <v>997767.79999999993</v>
      </c>
      <c r="S36" s="95">
        <f t="shared" si="12"/>
        <v>1994752.7999999998</v>
      </c>
      <c r="T36" s="95">
        <f t="shared" si="13"/>
        <v>2177752.0763064423</v>
      </c>
      <c r="V36" s="95">
        <f t="shared" si="14"/>
        <v>5577695.5763064418</v>
      </c>
      <c r="AC36" s="111">
        <f t="shared" si="9"/>
        <v>5577695.5763064418</v>
      </c>
      <c r="AD36" s="95">
        <v>213047.75333925587</v>
      </c>
      <c r="AE36" s="95">
        <v>459279.05997104</v>
      </c>
      <c r="AF36" s="95">
        <v>1348162.615505262</v>
      </c>
      <c r="AG36" s="95">
        <v>4276441.2423463743</v>
      </c>
      <c r="AH36" s="95">
        <v>5577695.5763064418</v>
      </c>
      <c r="AI36" s="95">
        <v>6556621.3864327176</v>
      </c>
      <c r="AJ36" s="95">
        <v>7535547.1965589924</v>
      </c>
      <c r="AK36" s="95">
        <v>8514473.0066852681</v>
      </c>
      <c r="AL36" s="95">
        <v>9493398.816811543</v>
      </c>
      <c r="AM36" s="95">
        <v>10472324.62693782</v>
      </c>
      <c r="AN36" s="95">
        <v>11451250.437064096</v>
      </c>
      <c r="AO36" s="95">
        <v>12430176.247190371</v>
      </c>
      <c r="AP36" s="95">
        <v>13409102.057316646</v>
      </c>
    </row>
    <row r="37" spans="1:42" s="25" customFormat="1" x14ac:dyDescent="0.25">
      <c r="A37" s="47" t="s">
        <v>46</v>
      </c>
      <c r="C37" s="26"/>
      <c r="D37" s="7">
        <v>0</v>
      </c>
      <c r="E37" s="26">
        <v>296913</v>
      </c>
      <c r="F37" s="26">
        <v>118517</v>
      </c>
      <c r="G37" s="26">
        <v>415430</v>
      </c>
      <c r="H37" s="56">
        <v>0.29623338709930447</v>
      </c>
      <c r="I37" s="26"/>
      <c r="J37" s="26"/>
      <c r="K37" s="26"/>
      <c r="L37" s="26">
        <v>415430</v>
      </c>
      <c r="M37" s="9">
        <f t="shared" si="15"/>
        <v>0.25172083666593953</v>
      </c>
      <c r="N37" s="30"/>
      <c r="O37" s="46"/>
      <c r="P37" s="94">
        <f t="shared" si="16"/>
        <v>41543</v>
      </c>
      <c r="Q37" s="94">
        <f t="shared" si="10"/>
        <v>7988045.8000000007</v>
      </c>
      <c r="R37" s="94">
        <f t="shared" si="11"/>
        <v>13331393.699999999</v>
      </c>
      <c r="S37" s="94">
        <f t="shared" si="12"/>
        <v>0</v>
      </c>
      <c r="T37" s="94">
        <f t="shared" si="13"/>
        <v>11199736.875425361</v>
      </c>
      <c r="V37" s="94">
        <f t="shared" si="14"/>
        <v>32560719.375425361</v>
      </c>
      <c r="AC37" s="111">
        <f t="shared" si="9"/>
        <v>32560719.375425361</v>
      </c>
      <c r="AD37" s="94">
        <v>4141528.1659423779</v>
      </c>
      <c r="AE37" s="94">
        <v>8722450.28976156</v>
      </c>
      <c r="AF37" s="94">
        <v>20599017.796031587</v>
      </c>
      <c r="AG37" s="94">
        <v>25868632.472182799</v>
      </c>
      <c r="AH37" s="94">
        <v>32560719.375425361</v>
      </c>
      <c r="AI37" s="94">
        <v>37595136.108744152</v>
      </c>
      <c r="AJ37" s="94">
        <v>42629552.842062935</v>
      </c>
      <c r="AK37" s="94">
        <v>47663969.575381726</v>
      </c>
      <c r="AL37" s="94">
        <v>52698386.308700517</v>
      </c>
      <c r="AM37" s="94">
        <v>57732803.042019315</v>
      </c>
      <c r="AN37" s="94">
        <v>62767219.775338106</v>
      </c>
      <c r="AO37" s="94">
        <v>67801636.508656889</v>
      </c>
      <c r="AP37" s="94">
        <v>72836053.241975695</v>
      </c>
    </row>
    <row r="38" spans="1:42" x14ac:dyDescent="0.25">
      <c r="A38" s="10" t="s">
        <v>27</v>
      </c>
      <c r="C38" s="7"/>
      <c r="D38" s="11">
        <v>0</v>
      </c>
      <c r="E38" s="43">
        <v>296913</v>
      </c>
      <c r="F38" s="43">
        <v>118517</v>
      </c>
      <c r="G38" s="43">
        <v>415430</v>
      </c>
      <c r="H38" s="12">
        <v>0.29623338709930447</v>
      </c>
      <c r="I38" s="11">
        <v>0</v>
      </c>
      <c r="J38" s="11"/>
      <c r="K38" s="11"/>
      <c r="L38" s="11">
        <v>415430</v>
      </c>
      <c r="M38" s="12">
        <f t="shared" si="15"/>
        <v>0.25172083666593953</v>
      </c>
      <c r="N38" s="18"/>
      <c r="O38" s="70"/>
      <c r="P38" s="95">
        <f t="shared" si="16"/>
        <v>41543</v>
      </c>
      <c r="Q38" s="95">
        <f t="shared" si="10"/>
        <v>7988045.8000000007</v>
      </c>
      <c r="R38" s="95">
        <f t="shared" si="11"/>
        <v>13331393.699999999</v>
      </c>
      <c r="S38" s="95">
        <f t="shared" si="12"/>
        <v>0</v>
      </c>
      <c r="T38" s="95">
        <f t="shared" si="13"/>
        <v>11199736.875425361</v>
      </c>
      <c r="V38" s="95">
        <f t="shared" si="14"/>
        <v>32560719.375425361</v>
      </c>
      <c r="AC38" s="111">
        <f t="shared" si="9"/>
        <v>32560719.375425361</v>
      </c>
      <c r="AD38" s="95">
        <v>4141528.1659423779</v>
      </c>
      <c r="AE38" s="95">
        <v>8722450.28976156</v>
      </c>
      <c r="AF38" s="95">
        <v>20599017.796031587</v>
      </c>
      <c r="AG38" s="95">
        <v>25868632.472182799</v>
      </c>
      <c r="AH38" s="95">
        <v>32560719.375425361</v>
      </c>
      <c r="AI38" s="95">
        <v>37595136.108744152</v>
      </c>
      <c r="AJ38" s="95">
        <v>42629552.842062935</v>
      </c>
      <c r="AK38" s="95">
        <v>47663969.575381726</v>
      </c>
      <c r="AL38" s="95">
        <v>52698386.308700517</v>
      </c>
      <c r="AM38" s="95">
        <v>57732803.042019315</v>
      </c>
      <c r="AN38" s="95">
        <v>62767219.775338106</v>
      </c>
      <c r="AO38" s="95">
        <v>67801636.508656889</v>
      </c>
      <c r="AP38" s="95">
        <v>72836053.241975695</v>
      </c>
    </row>
    <row r="39" spans="1:42" x14ac:dyDescent="0.25">
      <c r="A39" t="s">
        <v>74</v>
      </c>
      <c r="C39" s="7"/>
      <c r="D39" s="7">
        <v>0</v>
      </c>
      <c r="E39" s="7">
        <v>114196</v>
      </c>
      <c r="F39" s="7">
        <v>118517</v>
      </c>
      <c r="G39" s="7">
        <v>232713</v>
      </c>
      <c r="H39" s="9">
        <v>0.16594218090181365</v>
      </c>
      <c r="I39" s="7"/>
      <c r="J39" s="7"/>
      <c r="K39" s="7"/>
      <c r="L39" s="7">
        <v>232713</v>
      </c>
      <c r="M39" s="9">
        <f t="shared" si="15"/>
        <v>0.14100741656365884</v>
      </c>
      <c r="N39" s="18"/>
      <c r="O39" s="46"/>
      <c r="P39" s="94">
        <f t="shared" si="16"/>
        <v>23271.300000000003</v>
      </c>
      <c r="Q39" s="94">
        <f t="shared" si="10"/>
        <v>7988045.8000000007</v>
      </c>
      <c r="R39" s="94">
        <f t="shared" si="11"/>
        <v>5127400.3999999994</v>
      </c>
      <c r="S39" s="94">
        <f t="shared" si="12"/>
        <v>0</v>
      </c>
      <c r="T39" s="94">
        <f t="shared" si="13"/>
        <v>6273799.1177595798</v>
      </c>
      <c r="V39" s="94">
        <f t="shared" si="14"/>
        <v>19412516.617759578</v>
      </c>
      <c r="AC39" s="111">
        <f t="shared" si="9"/>
        <v>19412516.617759578</v>
      </c>
      <c r="AD39" s="94">
        <v>4123256.4659423777</v>
      </c>
      <c r="AE39" s="94">
        <v>8277799.2368037477</v>
      </c>
      <c r="AF39" s="94">
        <v>12845657.508236833</v>
      </c>
      <c r="AG39" s="94">
        <v>15663784.895172654</v>
      </c>
      <c r="AH39" s="94">
        <v>19412516.617759578</v>
      </c>
      <c r="AI39" s="94">
        <v>22232664.949032754</v>
      </c>
      <c r="AJ39" s="94">
        <v>25052813.280305929</v>
      </c>
      <c r="AK39" s="94">
        <v>27872961.611579109</v>
      </c>
      <c r="AL39" s="94">
        <v>30693109.942852285</v>
      </c>
      <c r="AM39" s="94">
        <v>33513258.274125464</v>
      </c>
      <c r="AN39" s="94">
        <v>36333406.60539864</v>
      </c>
      <c r="AO39" s="94">
        <v>39153554.936671823</v>
      </c>
      <c r="AP39" s="94">
        <v>41973703.267944992</v>
      </c>
    </row>
    <row r="40" spans="1:42" x14ac:dyDescent="0.25">
      <c r="A40" s="10" t="s">
        <v>28</v>
      </c>
      <c r="C40" s="7"/>
      <c r="D40" s="11">
        <v>0</v>
      </c>
      <c r="E40" s="43">
        <v>114196</v>
      </c>
      <c r="F40" s="43">
        <v>118517</v>
      </c>
      <c r="G40" s="43">
        <v>232713</v>
      </c>
      <c r="H40" s="12">
        <v>0.16594218090181365</v>
      </c>
      <c r="I40" s="11">
        <v>0</v>
      </c>
      <c r="J40" s="11"/>
      <c r="K40" s="11"/>
      <c r="L40" s="8">
        <v>232713</v>
      </c>
      <c r="M40" s="12">
        <f t="shared" si="15"/>
        <v>0.14100741656365884</v>
      </c>
      <c r="N40" s="18"/>
      <c r="O40" s="70"/>
      <c r="P40" s="95">
        <f t="shared" si="16"/>
        <v>23271.300000000003</v>
      </c>
      <c r="Q40" s="95">
        <f t="shared" si="10"/>
        <v>7988045.8000000007</v>
      </c>
      <c r="R40" s="95">
        <f t="shared" si="11"/>
        <v>5127400.3999999994</v>
      </c>
      <c r="S40" s="95">
        <f t="shared" si="12"/>
        <v>0</v>
      </c>
      <c r="T40" s="95">
        <f t="shared" si="13"/>
        <v>6273799.1177595798</v>
      </c>
      <c r="V40" s="95">
        <f t="shared" si="14"/>
        <v>19412516.617759578</v>
      </c>
      <c r="AC40" s="111">
        <f t="shared" si="9"/>
        <v>19412516.617759578</v>
      </c>
      <c r="AD40" s="95">
        <v>4123256.4659423777</v>
      </c>
      <c r="AE40" s="95">
        <v>8277799.2368037477</v>
      </c>
      <c r="AF40" s="95">
        <v>12845657.508236833</v>
      </c>
      <c r="AG40" s="95">
        <v>15663784.895172654</v>
      </c>
      <c r="AH40" s="95">
        <v>19412516.617759578</v>
      </c>
      <c r="AI40" s="95">
        <v>22232664.949032754</v>
      </c>
      <c r="AJ40" s="95">
        <v>25052813.280305929</v>
      </c>
      <c r="AK40" s="95">
        <v>27872961.611579109</v>
      </c>
      <c r="AL40" s="95">
        <v>30693109.942852285</v>
      </c>
      <c r="AM40" s="95">
        <v>33513258.274125464</v>
      </c>
      <c r="AN40" s="95">
        <v>36333406.60539864</v>
      </c>
      <c r="AO40" s="95">
        <v>39153554.936671823</v>
      </c>
      <c r="AP40" s="95">
        <v>41973703.267944992</v>
      </c>
    </row>
    <row r="41" spans="1:42" x14ac:dyDescent="0.25">
      <c r="A41" s="51" t="s">
        <v>64</v>
      </c>
      <c r="C41" s="7"/>
      <c r="D41" s="7"/>
      <c r="E41" s="43"/>
      <c r="F41" s="52">
        <v>58525</v>
      </c>
      <c r="G41" s="7">
        <v>58525</v>
      </c>
      <c r="H41" s="9">
        <v>4.1732804515771112E-2</v>
      </c>
      <c r="I41" s="11"/>
      <c r="J41" s="11"/>
      <c r="K41" s="11"/>
      <c r="L41" s="7">
        <v>58525</v>
      </c>
      <c r="M41" s="9">
        <f t="shared" si="15"/>
        <v>3.5461959814828282E-2</v>
      </c>
      <c r="N41" s="18"/>
      <c r="O41" s="46"/>
      <c r="P41" s="94">
        <f t="shared" si="16"/>
        <v>5852.5</v>
      </c>
      <c r="Q41" s="94">
        <f t="shared" si="10"/>
        <v>3944585.0000000005</v>
      </c>
      <c r="R41" s="94">
        <f t="shared" si="11"/>
        <v>0</v>
      </c>
      <c r="S41" s="94">
        <f t="shared" si="12"/>
        <v>0</v>
      </c>
      <c r="T41" s="94">
        <f t="shared" si="13"/>
        <v>1577797.9458254564</v>
      </c>
      <c r="V41" s="94">
        <f t="shared" si="14"/>
        <v>5528235.4458254566</v>
      </c>
      <c r="AC41" s="111">
        <f t="shared" si="9"/>
        <v>5528235.4458254566</v>
      </c>
      <c r="AD41" s="94">
        <v>2030470.3340388099</v>
      </c>
      <c r="AE41" s="94">
        <v>3950437.5000000005</v>
      </c>
      <c r="AF41" s="94">
        <v>3950437.5000000005</v>
      </c>
      <c r="AG41" s="94">
        <v>4585466.7820017776</v>
      </c>
      <c r="AH41" s="94">
        <v>5528235.4458254566</v>
      </c>
      <c r="AI41" s="94">
        <v>6237474.6421220228</v>
      </c>
      <c r="AJ41" s="94">
        <v>6946713.838418588</v>
      </c>
      <c r="AK41" s="94">
        <v>7655953.0347151533</v>
      </c>
      <c r="AL41" s="94">
        <v>8365192.2310117185</v>
      </c>
      <c r="AM41" s="94">
        <v>9074431.4273082856</v>
      </c>
      <c r="AN41" s="94">
        <v>9783670.6236048508</v>
      </c>
      <c r="AO41" s="94">
        <v>10492909.819901416</v>
      </c>
      <c r="AP41" s="94">
        <v>11202149.016197983</v>
      </c>
    </row>
    <row r="42" spans="1:42" x14ac:dyDescent="0.25">
      <c r="A42" s="58" t="s">
        <v>65</v>
      </c>
      <c r="B42" s="38"/>
      <c r="C42" s="7"/>
      <c r="D42" s="43"/>
      <c r="E42" s="43"/>
      <c r="F42" s="43">
        <v>58525</v>
      </c>
      <c r="G42" s="43">
        <v>58525</v>
      </c>
      <c r="H42" s="42">
        <v>4.1732804515771112E-2</v>
      </c>
      <c r="I42" s="43"/>
      <c r="J42" s="43"/>
      <c r="K42" s="43"/>
      <c r="L42" s="8">
        <v>58525</v>
      </c>
      <c r="M42" s="12">
        <f t="shared" si="15"/>
        <v>3.5461959814828282E-2</v>
      </c>
      <c r="N42" s="49"/>
      <c r="O42" s="70"/>
      <c r="P42" s="95">
        <f t="shared" si="16"/>
        <v>5852.5</v>
      </c>
      <c r="Q42" s="95">
        <f t="shared" si="10"/>
        <v>3944585.0000000005</v>
      </c>
      <c r="R42" s="95">
        <f t="shared" si="11"/>
        <v>0</v>
      </c>
      <c r="S42" s="95">
        <f t="shared" si="12"/>
        <v>0</v>
      </c>
      <c r="T42" s="95">
        <f t="shared" si="13"/>
        <v>1577797.9458254564</v>
      </c>
      <c r="V42" s="95">
        <f t="shared" si="14"/>
        <v>5528235.4458254566</v>
      </c>
      <c r="AC42" s="111">
        <f t="shared" si="9"/>
        <v>5528235.4458254566</v>
      </c>
      <c r="AD42" s="95">
        <v>2030470.3340388099</v>
      </c>
      <c r="AE42" s="95">
        <v>3950437.5000000005</v>
      </c>
      <c r="AF42" s="95">
        <v>3950437.5000000005</v>
      </c>
      <c r="AG42" s="95">
        <v>4585466.7820017776</v>
      </c>
      <c r="AH42" s="95">
        <v>5528235.4458254566</v>
      </c>
      <c r="AI42" s="95">
        <v>6237474.6421220228</v>
      </c>
      <c r="AJ42" s="95">
        <v>6946713.838418588</v>
      </c>
      <c r="AK42" s="95">
        <v>7655953.0347151533</v>
      </c>
      <c r="AL42" s="95">
        <v>8365192.2310117185</v>
      </c>
      <c r="AM42" s="95">
        <v>9074431.4273082856</v>
      </c>
      <c r="AN42" s="95">
        <v>9783670.6236048508</v>
      </c>
      <c r="AO42" s="95">
        <v>10492909.819901416</v>
      </c>
      <c r="AP42" s="95">
        <v>11202149.016197983</v>
      </c>
    </row>
    <row r="43" spans="1:42" x14ac:dyDescent="0.25">
      <c r="A43" s="38" t="s">
        <v>67</v>
      </c>
      <c r="B43" s="38"/>
      <c r="C43" s="7"/>
      <c r="D43" s="7"/>
      <c r="E43" s="43"/>
      <c r="F43" s="52">
        <v>109629</v>
      </c>
      <c r="G43" s="7">
        <v>109629</v>
      </c>
      <c r="H43" s="40">
        <v>7.8173868026646248E-2</v>
      </c>
      <c r="I43" s="43"/>
      <c r="J43" s="43"/>
      <c r="K43" s="43"/>
      <c r="L43" s="7">
        <v>109629</v>
      </c>
      <c r="M43" s="9">
        <f t="shared" si="15"/>
        <v>6.6427324947284233E-2</v>
      </c>
      <c r="N43" s="49"/>
      <c r="O43" s="46"/>
      <c r="P43" s="94">
        <f t="shared" si="16"/>
        <v>10962.900000000001</v>
      </c>
      <c r="Q43" s="94">
        <f t="shared" si="10"/>
        <v>7388994.6000000006</v>
      </c>
      <c r="R43" s="94">
        <f t="shared" si="11"/>
        <v>0</v>
      </c>
      <c r="S43" s="94">
        <f t="shared" si="12"/>
        <v>0</v>
      </c>
      <c r="T43" s="94">
        <f t="shared" si="13"/>
        <v>2955530.3033387261</v>
      </c>
      <c r="V43" s="94">
        <f t="shared" si="14"/>
        <v>10355487.803338727</v>
      </c>
      <c r="AC43" s="111">
        <f t="shared" si="9"/>
        <v>10355487.803338727</v>
      </c>
      <c r="AD43" s="94">
        <v>3803475.9888994568</v>
      </c>
      <c r="AE43" s="94">
        <v>7399957.5000000009</v>
      </c>
      <c r="AF43" s="94">
        <v>7399957.5000000009</v>
      </c>
      <c r="AG43" s="94">
        <v>8589494.0255287979</v>
      </c>
      <c r="AH43" s="94">
        <v>10355487.803338727</v>
      </c>
      <c r="AI43" s="94">
        <v>11684034.302284412</v>
      </c>
      <c r="AJ43" s="94">
        <v>13012580.801230095</v>
      </c>
      <c r="AK43" s="94">
        <v>14341127.30017578</v>
      </c>
      <c r="AL43" s="94">
        <v>15669673.799121466</v>
      </c>
      <c r="AM43" s="94">
        <v>16998220.298067153</v>
      </c>
      <c r="AN43" s="94">
        <v>18326766.797012836</v>
      </c>
      <c r="AO43" s="94">
        <v>19655313.295958519</v>
      </c>
      <c r="AP43" s="94">
        <v>20983859.794904206</v>
      </c>
    </row>
    <row r="44" spans="1:42" x14ac:dyDescent="0.25">
      <c r="A44" s="58" t="s">
        <v>68</v>
      </c>
      <c r="B44" s="38"/>
      <c r="C44" s="7"/>
      <c r="D44" s="43"/>
      <c r="E44" s="43"/>
      <c r="F44" s="43">
        <v>109629</v>
      </c>
      <c r="G44" s="43">
        <v>109629</v>
      </c>
      <c r="H44" s="42">
        <v>7.8173868026646248E-2</v>
      </c>
      <c r="I44" s="43"/>
      <c r="J44" s="43"/>
      <c r="K44" s="43"/>
      <c r="L44" s="43">
        <v>109629</v>
      </c>
      <c r="M44" s="12">
        <f t="shared" si="15"/>
        <v>6.6427324947284233E-2</v>
      </c>
      <c r="N44" s="49"/>
      <c r="O44" s="70"/>
      <c r="P44" s="95">
        <f t="shared" si="16"/>
        <v>10962.900000000001</v>
      </c>
      <c r="Q44" s="95">
        <f t="shared" si="10"/>
        <v>7388994.6000000006</v>
      </c>
      <c r="R44" s="95">
        <f t="shared" si="11"/>
        <v>0</v>
      </c>
      <c r="S44" s="95">
        <f t="shared" si="12"/>
        <v>0</v>
      </c>
      <c r="T44" s="95">
        <f t="shared" si="13"/>
        <v>2955530.3033387261</v>
      </c>
      <c r="V44" s="95">
        <f t="shared" si="14"/>
        <v>10355487.803338727</v>
      </c>
      <c r="AC44" s="111">
        <f t="shared" si="9"/>
        <v>10355487.803338727</v>
      </c>
      <c r="AD44" s="95">
        <v>3803475.9888994568</v>
      </c>
      <c r="AE44" s="95">
        <v>7399957.5000000009</v>
      </c>
      <c r="AF44" s="95">
        <v>7399957.5000000009</v>
      </c>
      <c r="AG44" s="95">
        <v>8589494.0255287979</v>
      </c>
      <c r="AH44" s="95">
        <v>10355487.803338727</v>
      </c>
      <c r="AI44" s="95">
        <v>11684034.302284412</v>
      </c>
      <c r="AJ44" s="95">
        <v>13012580.801230095</v>
      </c>
      <c r="AK44" s="95">
        <v>14341127.30017578</v>
      </c>
      <c r="AL44" s="95">
        <v>15669673.799121466</v>
      </c>
      <c r="AM44" s="95">
        <v>16998220.298067153</v>
      </c>
      <c r="AN44" s="95">
        <v>18326766.797012836</v>
      </c>
      <c r="AO44" s="95">
        <v>19655313.295958519</v>
      </c>
      <c r="AP44" s="95">
        <v>20983859.794904206</v>
      </c>
    </row>
    <row r="45" spans="1:42" x14ac:dyDescent="0.25">
      <c r="A45" s="38" t="s">
        <v>73</v>
      </c>
      <c r="B45" s="38"/>
      <c r="C45" s="7"/>
      <c r="D45" s="7"/>
      <c r="E45" s="7"/>
      <c r="F45" s="52">
        <v>22224</v>
      </c>
      <c r="G45" s="7">
        <v>22224</v>
      </c>
      <c r="H45" s="54">
        <v>1.5847413029619773E-2</v>
      </c>
      <c r="I45" s="7"/>
      <c r="J45" s="7"/>
      <c r="K45" s="7"/>
      <c r="L45" s="26">
        <v>22224</v>
      </c>
      <c r="M45" s="9">
        <f t="shared" si="15"/>
        <v>1.3466152839380499E-2</v>
      </c>
      <c r="N45" s="49"/>
      <c r="O45" s="46"/>
      <c r="P45" s="94">
        <f t="shared" si="16"/>
        <v>2222.4</v>
      </c>
      <c r="Q45" s="94">
        <f t="shared" si="10"/>
        <v>1497897.6</v>
      </c>
      <c r="R45" s="94">
        <f t="shared" si="11"/>
        <v>0</v>
      </c>
      <c r="S45" s="94">
        <f t="shared" si="12"/>
        <v>0</v>
      </c>
      <c r="T45" s="94">
        <f t="shared" si="13"/>
        <v>599145.34896240826</v>
      </c>
      <c r="V45" s="94">
        <f t="shared" si="14"/>
        <v>2099265.3489624085</v>
      </c>
      <c r="AC45" s="111">
        <f t="shared" si="9"/>
        <v>2099265.3489624085</v>
      </c>
      <c r="AD45" s="94">
        <v>771040.96887959877</v>
      </c>
      <c r="AE45" s="94">
        <v>1500120</v>
      </c>
      <c r="AF45" s="94">
        <v>1500120</v>
      </c>
      <c r="AG45" s="94">
        <v>1741262.9434123451</v>
      </c>
      <c r="AH45" s="94">
        <v>2099265.3489624085</v>
      </c>
      <c r="AI45" s="94">
        <v>2368588.4057500181</v>
      </c>
      <c r="AJ45" s="94">
        <v>2637911.4625376281</v>
      </c>
      <c r="AK45" s="94">
        <v>2907234.5193252382</v>
      </c>
      <c r="AL45" s="94">
        <v>3176557.5761128478</v>
      </c>
      <c r="AM45" s="94">
        <v>3445880.6329004583</v>
      </c>
      <c r="AN45" s="94">
        <v>3715203.6896880683</v>
      </c>
      <c r="AO45" s="94">
        <v>3984526.7464756784</v>
      </c>
      <c r="AP45" s="94">
        <v>4253849.803263288</v>
      </c>
    </row>
    <row r="46" spans="1:42" x14ac:dyDescent="0.25">
      <c r="A46" s="38" t="s">
        <v>94</v>
      </c>
      <c r="B46" s="38"/>
      <c r="C46" s="7"/>
      <c r="D46" s="52"/>
      <c r="E46" s="52"/>
      <c r="F46" s="52">
        <v>44445</v>
      </c>
      <c r="G46" s="7">
        <v>44445</v>
      </c>
      <c r="H46" s="54">
        <v>3.169268682961892E-2</v>
      </c>
      <c r="I46" s="52">
        <v>0</v>
      </c>
      <c r="J46" s="52">
        <v>0</v>
      </c>
      <c r="K46" s="52"/>
      <c r="L46" s="7">
        <v>44445</v>
      </c>
      <c r="M46" s="9">
        <f t="shared" si="15"/>
        <v>2.6930487893550497E-2</v>
      </c>
      <c r="N46" s="49"/>
      <c r="O46" s="46"/>
      <c r="P46" s="94">
        <f t="shared" si="16"/>
        <v>4444.5</v>
      </c>
      <c r="Q46" s="94">
        <f t="shared" si="10"/>
        <v>2995593.0000000005</v>
      </c>
      <c r="R46" s="94">
        <f t="shared" si="11"/>
        <v>0</v>
      </c>
      <c r="S46" s="94">
        <f t="shared" si="12"/>
        <v>0</v>
      </c>
      <c r="T46" s="94">
        <f t="shared" si="13"/>
        <v>1198209.8197729585</v>
      </c>
      <c r="V46" s="94">
        <f t="shared" si="14"/>
        <v>4198247.3197729588</v>
      </c>
      <c r="AC46" s="111">
        <f t="shared" si="9"/>
        <v>4198247.3197729588</v>
      </c>
      <c r="AD46" s="94">
        <v>1541977.8555549751</v>
      </c>
      <c r="AE46" s="94">
        <v>3000037.5000000005</v>
      </c>
      <c r="AF46" s="94">
        <v>3000037.5000000005</v>
      </c>
      <c r="AG46" s="94">
        <v>3482290.8351314655</v>
      </c>
      <c r="AH46" s="94">
        <v>4198247.3197729588</v>
      </c>
      <c r="AI46" s="94">
        <v>4736857.0776439691</v>
      </c>
      <c r="AJ46" s="94">
        <v>5275466.8355149785</v>
      </c>
      <c r="AK46" s="94">
        <v>5814076.5933859888</v>
      </c>
      <c r="AL46" s="94">
        <v>6352686.3512569983</v>
      </c>
      <c r="AM46" s="94">
        <v>6891296.1091280095</v>
      </c>
      <c r="AN46" s="94">
        <v>7429905.8669990189</v>
      </c>
      <c r="AO46" s="94">
        <v>7968515.6248700283</v>
      </c>
      <c r="AP46" s="94">
        <v>8507125.3827410396</v>
      </c>
    </row>
    <row r="47" spans="1:42" x14ac:dyDescent="0.25">
      <c r="A47" s="13"/>
      <c r="B47" s="14" t="s">
        <v>29</v>
      </c>
      <c r="C47" s="73">
        <v>0</v>
      </c>
      <c r="D47" s="74">
        <v>210526</v>
      </c>
      <c r="E47" s="74">
        <v>499998</v>
      </c>
      <c r="F47" s="74">
        <v>574080</v>
      </c>
      <c r="G47" s="74">
        <v>1284604</v>
      </c>
      <c r="H47" s="75">
        <v>0.91602097585950681</v>
      </c>
      <c r="I47" s="15">
        <v>0</v>
      </c>
      <c r="J47" s="15"/>
      <c r="K47" s="15"/>
      <c r="L47" s="15">
        <v>1284604</v>
      </c>
      <c r="M47" s="16">
        <f>L47/L$123</f>
        <v>0.77837805084951162</v>
      </c>
      <c r="N47" s="18"/>
      <c r="O47" s="28"/>
      <c r="P47" s="93">
        <f>P$10*$L47</f>
        <v>128460.40000000001</v>
      </c>
      <c r="Q47" s="93">
        <f t="shared" si="10"/>
        <v>38692992</v>
      </c>
      <c r="R47" s="93">
        <f t="shared" si="11"/>
        <v>22449910.199999999</v>
      </c>
      <c r="S47" s="93">
        <f t="shared" si="12"/>
        <v>7978935.3999999994</v>
      </c>
      <c r="T47" s="93">
        <f t="shared" si="13"/>
        <v>34632132.463035703</v>
      </c>
      <c r="V47" s="93">
        <f t="shared" si="14"/>
        <v>103882430.4630357</v>
      </c>
      <c r="AC47" s="111">
        <f t="shared" si="9"/>
        <v>103882430.4630357</v>
      </c>
      <c r="AD47" s="93">
        <v>19988223</v>
      </c>
      <c r="AE47" s="93">
        <v>39988223</v>
      </c>
      <c r="AF47" s="93">
        <v>59988223</v>
      </c>
      <c r="AG47" s="93">
        <v>83188976.441291943</v>
      </c>
      <c r="AH47" s="93">
        <v>103882430.4630357</v>
      </c>
      <c r="AI47" s="93">
        <v>119449991.48002593</v>
      </c>
      <c r="AJ47" s="93">
        <v>135017552.49701616</v>
      </c>
      <c r="AK47" s="93">
        <v>150585113.51400638</v>
      </c>
      <c r="AL47" s="93">
        <v>166152674.53099662</v>
      </c>
      <c r="AM47" s="93">
        <v>181720235.54798687</v>
      </c>
      <c r="AN47" s="93">
        <v>197287796.56497711</v>
      </c>
      <c r="AO47" s="93">
        <v>212855357.58196732</v>
      </c>
      <c r="AP47" s="93">
        <v>228422918.59895757</v>
      </c>
    </row>
    <row r="48" spans="1:42" s="25" customFormat="1" x14ac:dyDescent="0.25">
      <c r="A48" s="10" t="s">
        <v>52</v>
      </c>
      <c r="B48" s="27"/>
      <c r="C48" s="28"/>
      <c r="D48" s="28"/>
      <c r="E48" s="28"/>
      <c r="F48" s="65"/>
      <c r="G48" s="28"/>
      <c r="H48" s="29"/>
      <c r="I48" s="28"/>
      <c r="J48" s="28"/>
      <c r="K48" s="28"/>
      <c r="L48" s="28"/>
      <c r="M48" s="29"/>
      <c r="N48" s="30"/>
      <c r="O48" s="46"/>
      <c r="P48" s="47"/>
      <c r="Q48" s="47"/>
      <c r="R48" s="47"/>
      <c r="S48" s="47"/>
      <c r="T48" s="47"/>
      <c r="V48" s="47"/>
      <c r="AC48" s="36"/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36">
        <v>0</v>
      </c>
      <c r="AM48" s="36">
        <v>0</v>
      </c>
      <c r="AN48" s="36">
        <v>0</v>
      </c>
      <c r="AO48" s="36">
        <v>0</v>
      </c>
      <c r="AP48" s="36">
        <v>0</v>
      </c>
    </row>
    <row r="49" spans="1:42" s="47" customFormat="1" x14ac:dyDescent="0.25">
      <c r="A49" s="38" t="s">
        <v>34</v>
      </c>
      <c r="B49" s="44"/>
      <c r="C49" s="26">
        <v>906</v>
      </c>
      <c r="D49" s="45"/>
      <c r="E49" s="45"/>
      <c r="F49" s="45"/>
      <c r="G49" s="45">
        <v>906</v>
      </c>
      <c r="H49" s="40">
        <v>6.4604734542996378E-4</v>
      </c>
      <c r="I49" s="26"/>
      <c r="J49" s="26"/>
      <c r="K49" s="26"/>
      <c r="L49" s="45">
        <v>906</v>
      </c>
      <c r="M49" s="9">
        <f t="shared" ref="M49:M51" si="17">L49/L$123</f>
        <v>5.4897113357085727E-4</v>
      </c>
      <c r="N49" s="46"/>
      <c r="O49" s="64"/>
      <c r="P49" s="94">
        <f t="shared" ref="P49:P51" si="18">P$10*$L49</f>
        <v>90.600000000000009</v>
      </c>
      <c r="Q49" s="94">
        <f t="shared" si="10"/>
        <v>0</v>
      </c>
      <c r="R49" s="94">
        <f t="shared" ref="R49:R52" si="19">MIN(R$10*E49,Q$124*E49/E$54)</f>
        <v>0</v>
      </c>
      <c r="S49" s="94">
        <f t="shared" si="12"/>
        <v>0</v>
      </c>
      <c r="T49" s="94">
        <f t="shared" ref="T49:T112" si="20">M49*S$124</f>
        <v>24425.201861048499</v>
      </c>
      <c r="V49" s="94">
        <f t="shared" si="14"/>
        <v>24515.801861048498</v>
      </c>
      <c r="AC49" s="111">
        <f t="shared" si="9"/>
        <v>24515.801861048498</v>
      </c>
      <c r="AD49" s="94">
        <v>90.600000000000009</v>
      </c>
      <c r="AE49" s="94">
        <v>90.600000000000009</v>
      </c>
      <c r="AF49" s="94">
        <v>90.600000000000009</v>
      </c>
      <c r="AG49" s="94">
        <v>9921.2113540129885</v>
      </c>
      <c r="AH49" s="94">
        <v>24515.801861048498</v>
      </c>
      <c r="AI49" s="94">
        <v>35495.22453246564</v>
      </c>
      <c r="AJ49" s="94">
        <v>46474.647203882785</v>
      </c>
      <c r="AK49" s="94">
        <v>57454.069875299931</v>
      </c>
      <c r="AL49" s="94">
        <v>68433.492546717083</v>
      </c>
      <c r="AM49" s="94">
        <v>79412.915218134236</v>
      </c>
      <c r="AN49" s="94">
        <v>90392.337889551374</v>
      </c>
      <c r="AO49" s="94">
        <v>101371.76056096853</v>
      </c>
      <c r="AP49" s="94">
        <v>112351.18323238567</v>
      </c>
    </row>
    <row r="50" spans="1:42" s="47" customFormat="1" x14ac:dyDescent="0.25">
      <c r="A50" s="38" t="s">
        <v>54</v>
      </c>
      <c r="B50" s="44"/>
      <c r="C50" s="26">
        <v>425</v>
      </c>
      <c r="D50" s="45"/>
      <c r="E50" s="45"/>
      <c r="F50" s="45"/>
      <c r="G50" s="45">
        <v>425</v>
      </c>
      <c r="H50" s="40">
        <v>3.0305752958911103E-4</v>
      </c>
      <c r="I50" s="26"/>
      <c r="J50" s="26"/>
      <c r="K50" s="26"/>
      <c r="L50" s="45">
        <v>425</v>
      </c>
      <c r="M50" s="9">
        <f t="shared" si="17"/>
        <v>2.5751957148743306E-4</v>
      </c>
      <c r="N50" s="46"/>
      <c r="O50" s="64"/>
      <c r="P50" s="94">
        <f t="shared" si="18"/>
        <v>42.5</v>
      </c>
      <c r="Q50" s="94">
        <f t="shared" si="10"/>
        <v>0</v>
      </c>
      <c r="R50" s="94">
        <f t="shared" si="19"/>
        <v>0</v>
      </c>
      <c r="S50" s="94">
        <f t="shared" si="12"/>
        <v>0</v>
      </c>
      <c r="T50" s="94">
        <f t="shared" si="20"/>
        <v>11457.738179851669</v>
      </c>
      <c r="V50" s="94">
        <f t="shared" si="14"/>
        <v>11500.238179851669</v>
      </c>
      <c r="AC50" s="111">
        <f t="shared" si="9"/>
        <v>11500.238179851669</v>
      </c>
      <c r="AD50" s="94">
        <v>42.5</v>
      </c>
      <c r="AE50" s="94">
        <v>42.5</v>
      </c>
      <c r="AF50" s="94">
        <v>42.5</v>
      </c>
      <c r="AG50" s="94">
        <v>4653.989873571214</v>
      </c>
      <c r="AH50" s="94">
        <v>11500.238179851669</v>
      </c>
      <c r="AI50" s="94">
        <v>16650.629609600332</v>
      </c>
      <c r="AJ50" s="94">
        <v>21801.021039348991</v>
      </c>
      <c r="AK50" s="94">
        <v>26951.41246909765</v>
      </c>
      <c r="AL50" s="94">
        <v>32101.803898846312</v>
      </c>
      <c r="AM50" s="94">
        <v>37252.195328594978</v>
      </c>
      <c r="AN50" s="94">
        <v>42402.586758343641</v>
      </c>
      <c r="AO50" s="94">
        <v>47552.978188092296</v>
      </c>
      <c r="AP50" s="94">
        <v>52703.369617840959</v>
      </c>
    </row>
    <row r="51" spans="1:42" s="25" customFormat="1" x14ac:dyDescent="0.25">
      <c r="A51" s="47" t="s">
        <v>39</v>
      </c>
      <c r="B51" s="27"/>
      <c r="C51" s="26">
        <v>750</v>
      </c>
      <c r="D51" s="28"/>
      <c r="E51" s="28"/>
      <c r="F51" s="28"/>
      <c r="G51" s="45">
        <v>750</v>
      </c>
      <c r="H51" s="40">
        <v>5.3480740515725474E-4</v>
      </c>
      <c r="I51" s="28"/>
      <c r="J51" s="28"/>
      <c r="K51" s="28"/>
      <c r="L51" s="45">
        <v>750</v>
      </c>
      <c r="M51" s="9">
        <f t="shared" si="17"/>
        <v>4.5444630262488187E-4</v>
      </c>
      <c r="N51" s="30"/>
      <c r="O51" s="64"/>
      <c r="P51" s="94">
        <f t="shared" si="18"/>
        <v>75</v>
      </c>
      <c r="Q51" s="94">
        <f t="shared" si="10"/>
        <v>0</v>
      </c>
      <c r="R51" s="94">
        <f t="shared" si="19"/>
        <v>0</v>
      </c>
      <c r="S51" s="94">
        <f t="shared" si="12"/>
        <v>0</v>
      </c>
      <c r="T51" s="94">
        <f t="shared" si="20"/>
        <v>20219.53796444412</v>
      </c>
      <c r="V51" s="94">
        <f t="shared" si="14"/>
        <v>20294.53796444412</v>
      </c>
      <c r="AC51" s="111">
        <f t="shared" si="9"/>
        <v>20294.53796444412</v>
      </c>
      <c r="AD51" s="94">
        <v>75</v>
      </c>
      <c r="AE51" s="94">
        <v>75</v>
      </c>
      <c r="AF51" s="94">
        <v>75</v>
      </c>
      <c r="AG51" s="94">
        <v>8212.923306302142</v>
      </c>
      <c r="AH51" s="94">
        <v>20294.53796444412</v>
      </c>
      <c r="AI51" s="94">
        <v>29383.464016941758</v>
      </c>
      <c r="AJ51" s="94">
        <v>38472.390069439396</v>
      </c>
      <c r="AK51" s="94">
        <v>47561.31612193703</v>
      </c>
      <c r="AL51" s="94">
        <v>56650.242174434665</v>
      </c>
      <c r="AM51" s="94">
        <v>65739.168226932306</v>
      </c>
      <c r="AN51" s="94">
        <v>74828.094279429948</v>
      </c>
      <c r="AO51" s="94">
        <v>83917.02033192759</v>
      </c>
      <c r="AP51" s="94">
        <v>93005.946384425217</v>
      </c>
    </row>
    <row r="52" spans="1:42" s="25" customFormat="1" x14ac:dyDescent="0.25">
      <c r="A52" s="13"/>
      <c r="B52" s="14" t="s">
        <v>53</v>
      </c>
      <c r="C52" s="15">
        <v>2081</v>
      </c>
      <c r="D52" s="15">
        <v>0</v>
      </c>
      <c r="E52" s="15">
        <v>0</v>
      </c>
      <c r="F52" s="15"/>
      <c r="G52" s="15">
        <v>2081</v>
      </c>
      <c r="H52" s="53">
        <v>1.4839122801763296E-3</v>
      </c>
      <c r="I52" s="15">
        <v>0</v>
      </c>
      <c r="J52" s="15"/>
      <c r="K52" s="15"/>
      <c r="L52" s="15">
        <v>2081</v>
      </c>
      <c r="M52" s="16">
        <f>L52/L$123</f>
        <v>1.2609370076831722E-3</v>
      </c>
      <c r="N52" s="30"/>
      <c r="O52" s="28"/>
      <c r="P52" s="93">
        <f>P$10*$L52</f>
        <v>208.10000000000002</v>
      </c>
      <c r="Q52" s="93">
        <f t="shared" si="10"/>
        <v>0</v>
      </c>
      <c r="R52" s="93">
        <f t="shared" si="19"/>
        <v>0</v>
      </c>
      <c r="S52" s="93">
        <f t="shared" si="12"/>
        <v>0</v>
      </c>
      <c r="T52" s="93">
        <f t="shared" si="20"/>
        <v>56102.478005344288</v>
      </c>
      <c r="V52" s="93">
        <f t="shared" si="14"/>
        <v>56310.578005344287</v>
      </c>
      <c r="AC52" s="111">
        <f t="shared" si="9"/>
        <v>56310.578005344287</v>
      </c>
      <c r="AD52" s="93">
        <v>208.10000000000002</v>
      </c>
      <c r="AE52" s="93">
        <v>208.10000000000002</v>
      </c>
      <c r="AF52" s="93">
        <v>208.10000000000002</v>
      </c>
      <c r="AG52" s="93">
        <v>22788.124533886341</v>
      </c>
      <c r="AH52" s="93">
        <v>56310.578005344287</v>
      </c>
      <c r="AI52" s="93">
        <v>81529.318159007744</v>
      </c>
      <c r="AJ52" s="93">
        <v>106748.05831267117</v>
      </c>
      <c r="AK52" s="93">
        <v>131966.79846633461</v>
      </c>
      <c r="AL52" s="93">
        <v>157185.53861999806</v>
      </c>
      <c r="AM52" s="93">
        <v>182404.27877366153</v>
      </c>
      <c r="AN52" s="93">
        <v>207623.01892732497</v>
      </c>
      <c r="AO52" s="93">
        <v>232841.75908098841</v>
      </c>
      <c r="AP52" s="93">
        <v>258060.49923465186</v>
      </c>
    </row>
    <row r="53" spans="1:42" x14ac:dyDescent="0.25">
      <c r="D53" s="18"/>
      <c r="E53" s="18"/>
      <c r="F53" s="18"/>
      <c r="G53" s="19"/>
      <c r="H53" s="17"/>
      <c r="I53" s="18"/>
      <c r="J53" s="18"/>
      <c r="K53" s="18"/>
      <c r="L53" s="19"/>
      <c r="M53" s="17"/>
      <c r="N53" s="18"/>
      <c r="O53" s="46"/>
      <c r="P53" s="47"/>
      <c r="Q53" s="47"/>
      <c r="R53" s="47"/>
      <c r="S53" s="47"/>
      <c r="T53" s="47"/>
      <c r="V53" s="47"/>
      <c r="AC53" s="35"/>
      <c r="AD53" s="36">
        <v>0</v>
      </c>
      <c r="AE53" s="36">
        <v>0</v>
      </c>
      <c r="AF53" s="36">
        <v>0</v>
      </c>
      <c r="AG53" s="36">
        <v>0</v>
      </c>
      <c r="AH53" s="36">
        <v>0</v>
      </c>
      <c r="AI53" s="36">
        <v>0</v>
      </c>
      <c r="AJ53" s="36">
        <v>0</v>
      </c>
      <c r="AK53" s="36">
        <v>0</v>
      </c>
      <c r="AL53" s="36">
        <v>0</v>
      </c>
      <c r="AM53" s="36">
        <v>0</v>
      </c>
      <c r="AN53" s="36">
        <v>0</v>
      </c>
      <c r="AO53" s="36">
        <v>0</v>
      </c>
      <c r="AP53" s="36">
        <v>0</v>
      </c>
    </row>
    <row r="54" spans="1:42" x14ac:dyDescent="0.25">
      <c r="A54" s="13" t="s">
        <v>30</v>
      </c>
      <c r="B54" s="20"/>
      <c r="C54" s="15">
        <v>117770</v>
      </c>
      <c r="D54" s="15">
        <v>210526</v>
      </c>
      <c r="E54" s="15">
        <v>499998</v>
      </c>
      <c r="F54" s="15">
        <v>574080</v>
      </c>
      <c r="G54" s="15">
        <v>1402374</v>
      </c>
      <c r="H54" s="16">
        <v>1</v>
      </c>
      <c r="I54" s="15">
        <v>0</v>
      </c>
      <c r="J54" s="15"/>
      <c r="K54" s="15"/>
      <c r="L54" s="15">
        <v>1402374</v>
      </c>
      <c r="M54" s="16">
        <f>L54/L$123</f>
        <v>0.84973823892968803</v>
      </c>
      <c r="N54" s="18"/>
      <c r="O54" s="28"/>
      <c r="P54" s="93">
        <f>P$10*$L54</f>
        <v>140237.4</v>
      </c>
      <c r="Q54" s="93">
        <f t="shared" si="10"/>
        <v>38692992</v>
      </c>
      <c r="R54" s="93">
        <f>MIN(R$10*E54,Q$124*E54/E$54)</f>
        <v>22449910.199999999</v>
      </c>
      <c r="S54" s="93">
        <f t="shared" si="12"/>
        <v>7978935.3999999994</v>
      </c>
      <c r="T54" s="93">
        <f t="shared" si="20"/>
        <v>37807139.11113248</v>
      </c>
      <c r="V54" s="93">
        <f t="shared" si="14"/>
        <v>107069214.11113247</v>
      </c>
      <c r="AC54" s="111">
        <f t="shared" si="9"/>
        <v>107069214.11113247</v>
      </c>
      <c r="AD54" s="93">
        <v>20000000</v>
      </c>
      <c r="AE54" s="93">
        <v>40000000</v>
      </c>
      <c r="AF54" s="93">
        <v>60000000</v>
      </c>
      <c r="AG54" s="93">
        <v>84478624.411669552</v>
      </c>
      <c r="AH54" s="93">
        <v>107069214.11113247</v>
      </c>
      <c r="AI54" s="93">
        <v>124063978.88972624</v>
      </c>
      <c r="AJ54" s="93">
        <v>141058743.66832</v>
      </c>
      <c r="AK54" s="93">
        <v>158053508.44691375</v>
      </c>
      <c r="AL54" s="93">
        <v>175048273.2255075</v>
      </c>
      <c r="AM54" s="93">
        <v>192043038.00410128</v>
      </c>
      <c r="AN54" s="93">
        <v>209037802.78269506</v>
      </c>
      <c r="AO54" s="93">
        <v>226032567.5612888</v>
      </c>
      <c r="AP54" s="93">
        <v>243027332.33988258</v>
      </c>
    </row>
    <row r="55" spans="1:42" x14ac:dyDescent="0.25">
      <c r="A55" s="10" t="s">
        <v>31</v>
      </c>
      <c r="C55" s="7"/>
      <c r="D55" s="7"/>
      <c r="E55" s="7"/>
      <c r="F55" s="7"/>
      <c r="G55" s="8"/>
      <c r="H55" s="17"/>
      <c r="I55" s="7"/>
      <c r="J55" s="7"/>
      <c r="K55" s="7"/>
      <c r="L55" s="8"/>
      <c r="M55" s="17"/>
      <c r="N55" s="18"/>
      <c r="O55" s="46"/>
      <c r="P55" s="47"/>
      <c r="Q55" s="47"/>
      <c r="R55" s="47"/>
      <c r="S55" s="47"/>
      <c r="T55" s="47"/>
      <c r="V55" s="47"/>
      <c r="AC55" s="35"/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6">
        <v>0</v>
      </c>
      <c r="AJ55" s="36">
        <v>0</v>
      </c>
      <c r="AK55" s="36">
        <v>0</v>
      </c>
      <c r="AL55" s="36">
        <v>0</v>
      </c>
      <c r="AM55" s="36">
        <v>0</v>
      </c>
      <c r="AN55" s="36">
        <v>0</v>
      </c>
      <c r="AO55" s="36">
        <v>0</v>
      </c>
      <c r="AP55" s="36">
        <v>0</v>
      </c>
    </row>
    <row r="56" spans="1:42" s="1" customFormat="1" x14ac:dyDescent="0.25">
      <c r="A56" s="1" t="s">
        <v>32</v>
      </c>
      <c r="C56" s="8"/>
      <c r="D56" s="8"/>
      <c r="E56" s="8"/>
      <c r="F56" s="8"/>
      <c r="G56" s="8"/>
      <c r="H56" s="21"/>
      <c r="I56" s="8">
        <f t="shared" ref="I56:K56" si="21">SUM(I57:I117)</f>
        <v>75452</v>
      </c>
      <c r="J56" s="8">
        <f t="shared" si="21"/>
        <v>81700</v>
      </c>
      <c r="K56" s="8">
        <f t="shared" si="21"/>
        <v>11800</v>
      </c>
      <c r="L56" s="8">
        <f>SUM(I56:K56)</f>
        <v>168952</v>
      </c>
      <c r="M56" s="12">
        <f t="shared" ref="M56:M119" si="22">L56/L$123</f>
        <v>0.10237281562810538</v>
      </c>
      <c r="N56" s="19"/>
      <c r="O56" s="64"/>
      <c r="P56" s="95">
        <f t="shared" ref="P56:P119" si="23">P$10*$L56</f>
        <v>16895.2</v>
      </c>
      <c r="Q56" s="95">
        <f t="shared" si="10"/>
        <v>0</v>
      </c>
      <c r="R56" s="95">
        <f t="shared" ref="R56:R119" si="24">MIN(R$10*E56,Q$124*E56/E$54)</f>
        <v>0</v>
      </c>
      <c r="S56" s="95">
        <f t="shared" si="12"/>
        <v>0</v>
      </c>
      <c r="T56" s="95">
        <f t="shared" si="20"/>
        <v>4554841.8375583505</v>
      </c>
      <c r="V56" s="95">
        <f t="shared" si="14"/>
        <v>4571737.0375583507</v>
      </c>
      <c r="AC56" s="111">
        <f t="shared" si="9"/>
        <v>4571737.0375583507</v>
      </c>
      <c r="AD56" s="95">
        <v>0</v>
      </c>
      <c r="AE56" s="95">
        <v>0</v>
      </c>
      <c r="AF56" s="95">
        <v>0</v>
      </c>
      <c r="AG56" s="95">
        <v>826241.98574281228</v>
      </c>
      <c r="AH56" s="95">
        <v>4571737.0375583507</v>
      </c>
      <c r="AI56" s="95">
        <v>6619193.3501204588</v>
      </c>
      <c r="AJ56" s="95">
        <v>8666649.6626825649</v>
      </c>
      <c r="AK56" s="95">
        <v>10714105.975244671</v>
      </c>
      <c r="AL56" s="95">
        <v>12761562.287806779</v>
      </c>
      <c r="AM56" s="95">
        <v>14809018.600368889</v>
      </c>
      <c r="AN56" s="95">
        <v>16856474.912930995</v>
      </c>
      <c r="AO56" s="95">
        <v>18903931.225493103</v>
      </c>
      <c r="AP56" s="95">
        <v>20951387.538055211</v>
      </c>
    </row>
    <row r="57" spans="1:42" s="1" customFormat="1" ht="15" customHeight="1" outlineLevel="1" x14ac:dyDescent="0.25">
      <c r="A57" t="s">
        <v>8</v>
      </c>
      <c r="C57" s="8"/>
      <c r="D57" s="8"/>
      <c r="E57" s="8"/>
      <c r="F57" s="8"/>
      <c r="G57" s="8"/>
      <c r="H57" s="21"/>
      <c r="I57" s="8">
        <f>IF($Q$4&gt;=$Y$4,34310,0)</f>
        <v>34310</v>
      </c>
      <c r="J57" s="8">
        <f>IF($Q$4&gt;=$Y$5,25000,0)</f>
        <v>25000</v>
      </c>
      <c r="K57" s="8">
        <v>0</v>
      </c>
      <c r="L57" s="8">
        <f t="shared" ref="L57:L120" si="25">SUM(I57:K57)</f>
        <v>59310</v>
      </c>
      <c r="M57" s="9">
        <f t="shared" si="22"/>
        <v>3.5937613611575658E-2</v>
      </c>
      <c r="N57" s="19"/>
      <c r="O57" s="64"/>
      <c r="P57" s="94">
        <f t="shared" si="23"/>
        <v>5931</v>
      </c>
      <c r="Q57" s="94">
        <f t="shared" si="10"/>
        <v>0</v>
      </c>
      <c r="R57" s="94">
        <f t="shared" si="24"/>
        <v>0</v>
      </c>
      <c r="S57" s="94">
        <f t="shared" si="12"/>
        <v>0</v>
      </c>
      <c r="T57" s="94">
        <f t="shared" si="20"/>
        <v>1598961.0622282412</v>
      </c>
      <c r="V57" s="94">
        <f t="shared" si="14"/>
        <v>1604892.0622282412</v>
      </c>
      <c r="AC57" s="111">
        <f t="shared" si="9"/>
        <v>1604892.0622282412</v>
      </c>
      <c r="AD57" s="94">
        <v>0</v>
      </c>
      <c r="AE57" s="94">
        <v>0</v>
      </c>
      <c r="AF57" s="94">
        <v>0</v>
      </c>
      <c r="AG57" s="94">
        <v>375713.86485230195</v>
      </c>
      <c r="AH57" s="94">
        <v>1604892.0622282412</v>
      </c>
      <c r="AI57" s="94">
        <v>2323644.3344597542</v>
      </c>
      <c r="AJ57" s="94">
        <v>3042396.6066912673</v>
      </c>
      <c r="AK57" s="94">
        <v>3761148.8789227805</v>
      </c>
      <c r="AL57" s="94">
        <v>4479901.1511542937</v>
      </c>
      <c r="AM57" s="94">
        <v>5198653.4233858073</v>
      </c>
      <c r="AN57" s="94">
        <v>5917405.69561732</v>
      </c>
      <c r="AO57" s="94">
        <v>6636157.9678488337</v>
      </c>
      <c r="AP57" s="94">
        <v>7354910.2400803464</v>
      </c>
    </row>
    <row r="58" spans="1:42" s="1" customFormat="1" ht="15" customHeight="1" outlineLevel="1" x14ac:dyDescent="0.25">
      <c r="A58" t="s">
        <v>9</v>
      </c>
      <c r="C58" s="8"/>
      <c r="D58" s="8"/>
      <c r="E58" s="8"/>
      <c r="F58" s="8"/>
      <c r="G58" s="8"/>
      <c r="H58" s="21"/>
      <c r="I58" s="8">
        <f>IF($Q$4&gt;=$Y$4,4313,0)</f>
        <v>4313</v>
      </c>
      <c r="J58" s="8">
        <v>0</v>
      </c>
      <c r="K58" s="8">
        <v>0</v>
      </c>
      <c r="L58" s="8">
        <f t="shared" si="25"/>
        <v>4313</v>
      </c>
      <c r="M58" s="9">
        <f t="shared" si="22"/>
        <v>2.6133692042948206E-3</v>
      </c>
      <c r="N58" s="19"/>
      <c r="O58" s="64"/>
      <c r="P58" s="94">
        <f t="shared" si="23"/>
        <v>431.3</v>
      </c>
      <c r="Q58" s="94">
        <f t="shared" si="10"/>
        <v>0</v>
      </c>
      <c r="R58" s="94">
        <f t="shared" si="24"/>
        <v>0</v>
      </c>
      <c r="S58" s="94">
        <f t="shared" si="12"/>
        <v>0</v>
      </c>
      <c r="T58" s="94">
        <f t="shared" si="20"/>
        <v>116275.82298752999</v>
      </c>
      <c r="V58" s="94">
        <f t="shared" si="14"/>
        <v>116707.12298752999</v>
      </c>
      <c r="AC58" s="111">
        <f t="shared" si="9"/>
        <v>116707.12298752999</v>
      </c>
      <c r="AD58" s="94">
        <v>0</v>
      </c>
      <c r="AE58" s="94">
        <v>0</v>
      </c>
      <c r="AF58" s="94">
        <v>0</v>
      </c>
      <c r="AG58" s="94">
        <v>47229.784293441524</v>
      </c>
      <c r="AH58" s="94">
        <v>116707.12298752999</v>
      </c>
      <c r="AI58" s="94">
        <v>168974.50707342639</v>
      </c>
      <c r="AJ58" s="94">
        <v>221241.89115932278</v>
      </c>
      <c r="AK58" s="94">
        <v>273509.27524521918</v>
      </c>
      <c r="AL58" s="94">
        <v>325776.6593311156</v>
      </c>
      <c r="AM58" s="94">
        <v>378044.04341701209</v>
      </c>
      <c r="AN58" s="94">
        <v>430311.42750290845</v>
      </c>
      <c r="AO58" s="94">
        <v>482578.81158880488</v>
      </c>
      <c r="AP58" s="94">
        <v>534846.19567470136</v>
      </c>
    </row>
    <row r="59" spans="1:42" s="1" customFormat="1" ht="15" customHeight="1" outlineLevel="1" x14ac:dyDescent="0.25">
      <c r="A59" t="s">
        <v>10</v>
      </c>
      <c r="C59" s="8"/>
      <c r="D59" s="8"/>
      <c r="E59" s="8"/>
      <c r="F59" s="8"/>
      <c r="G59" s="8"/>
      <c r="H59" s="21"/>
      <c r="I59" s="8">
        <f>IF($Q$4&gt;=$Y$4,4188,0)</f>
        <v>4188</v>
      </c>
      <c r="J59" s="8">
        <f>IF($Q$4&gt;=$Y$5,4000,0)</f>
        <v>4000</v>
      </c>
      <c r="K59" s="8">
        <v>0</v>
      </c>
      <c r="L59" s="8">
        <f t="shared" si="25"/>
        <v>8188</v>
      </c>
      <c r="M59" s="9">
        <f t="shared" si="22"/>
        <v>4.9613417678567098E-3</v>
      </c>
      <c r="N59" s="17" t="s">
        <v>33</v>
      </c>
      <c r="O59" s="71"/>
      <c r="P59" s="94">
        <f t="shared" si="23"/>
        <v>818.80000000000007</v>
      </c>
      <c r="Q59" s="94">
        <f t="shared" si="10"/>
        <v>0</v>
      </c>
      <c r="R59" s="94">
        <f t="shared" si="24"/>
        <v>0</v>
      </c>
      <c r="S59" s="94">
        <f t="shared" si="12"/>
        <v>0</v>
      </c>
      <c r="T59" s="94">
        <f t="shared" si="20"/>
        <v>220743.4358038246</v>
      </c>
      <c r="V59" s="94">
        <f t="shared" si="14"/>
        <v>221562.23580382459</v>
      </c>
      <c r="AC59" s="111">
        <f t="shared" si="9"/>
        <v>221562.23580382459</v>
      </c>
      <c r="AD59" s="94">
        <v>0</v>
      </c>
      <c r="AE59" s="94">
        <v>0</v>
      </c>
      <c r="AF59" s="94">
        <v>0</v>
      </c>
      <c r="AG59" s="94">
        <v>45860.963742391163</v>
      </c>
      <c r="AH59" s="94">
        <v>221562.23580382459</v>
      </c>
      <c r="AI59" s="94">
        <v>320789.07116095879</v>
      </c>
      <c r="AJ59" s="94">
        <v>420015.90651809296</v>
      </c>
      <c r="AK59" s="94">
        <v>519242.74187522713</v>
      </c>
      <c r="AL59" s="94">
        <v>618469.57723236142</v>
      </c>
      <c r="AM59" s="94">
        <v>717696.41258949565</v>
      </c>
      <c r="AN59" s="94">
        <v>816923.24794662988</v>
      </c>
      <c r="AO59" s="94">
        <v>916150.08330376411</v>
      </c>
      <c r="AP59" s="94">
        <v>1015376.9186608982</v>
      </c>
    </row>
    <row r="60" spans="1:42" s="1" customFormat="1" ht="15" customHeight="1" outlineLevel="1" x14ac:dyDescent="0.25">
      <c r="A60" t="s">
        <v>11</v>
      </c>
      <c r="C60" s="8"/>
      <c r="D60" s="8"/>
      <c r="E60" s="8"/>
      <c r="F60" s="8"/>
      <c r="G60" s="8"/>
      <c r="H60" s="21"/>
      <c r="I60" s="8">
        <v>0</v>
      </c>
      <c r="J60" s="8">
        <v>0</v>
      </c>
      <c r="K60" s="8">
        <v>0</v>
      </c>
      <c r="L60" s="8">
        <f t="shared" si="25"/>
        <v>0</v>
      </c>
      <c r="M60" s="9">
        <f t="shared" si="22"/>
        <v>0</v>
      </c>
      <c r="N60" s="17" t="s">
        <v>33</v>
      </c>
      <c r="O60" s="71"/>
      <c r="P60" s="94">
        <f t="shared" si="23"/>
        <v>0</v>
      </c>
      <c r="Q60" s="94">
        <f t="shared" si="10"/>
        <v>0</v>
      </c>
      <c r="R60" s="94">
        <f t="shared" si="24"/>
        <v>0</v>
      </c>
      <c r="S60" s="94">
        <f t="shared" si="12"/>
        <v>0</v>
      </c>
      <c r="T60" s="94">
        <f t="shared" si="20"/>
        <v>0</v>
      </c>
      <c r="V60" s="94">
        <f t="shared" si="14"/>
        <v>0</v>
      </c>
      <c r="AC60" s="111">
        <f t="shared" si="9"/>
        <v>0</v>
      </c>
      <c r="AD60" s="94">
        <v>0</v>
      </c>
      <c r="AE60" s="94">
        <v>0</v>
      </c>
      <c r="AF60" s="94">
        <v>0</v>
      </c>
      <c r="AG60" s="94">
        <v>0</v>
      </c>
      <c r="AH60" s="94">
        <v>0</v>
      </c>
      <c r="AI60" s="94">
        <v>0</v>
      </c>
      <c r="AJ60" s="94">
        <v>0</v>
      </c>
      <c r="AK60" s="94">
        <v>0</v>
      </c>
      <c r="AL60" s="94">
        <v>0</v>
      </c>
      <c r="AM60" s="94">
        <v>0</v>
      </c>
      <c r="AN60" s="94">
        <v>0</v>
      </c>
      <c r="AO60" s="94">
        <v>0</v>
      </c>
      <c r="AP60" s="94">
        <v>0</v>
      </c>
    </row>
    <row r="61" spans="1:42" s="32" customFormat="1" ht="15" customHeight="1" outlineLevel="1" x14ac:dyDescent="0.25">
      <c r="A61" s="38" t="s">
        <v>34</v>
      </c>
      <c r="B61" s="38"/>
      <c r="C61" s="7"/>
      <c r="D61" s="7"/>
      <c r="E61" s="7"/>
      <c r="F61" s="7"/>
      <c r="G61" s="7"/>
      <c r="H61" s="39"/>
      <c r="I61" s="8">
        <v>0</v>
      </c>
      <c r="J61" s="8">
        <v>0</v>
      </c>
      <c r="K61" s="8">
        <v>0</v>
      </c>
      <c r="L61" s="8">
        <f t="shared" si="25"/>
        <v>0</v>
      </c>
      <c r="M61" s="9">
        <f t="shared" si="22"/>
        <v>0</v>
      </c>
      <c r="N61" s="33"/>
      <c r="O61" s="64"/>
      <c r="P61" s="94">
        <f t="shared" si="23"/>
        <v>0</v>
      </c>
      <c r="Q61" s="94">
        <f t="shared" si="10"/>
        <v>0</v>
      </c>
      <c r="R61" s="94">
        <f t="shared" si="24"/>
        <v>0</v>
      </c>
      <c r="S61" s="94">
        <f t="shared" si="12"/>
        <v>0</v>
      </c>
      <c r="T61" s="94">
        <f t="shared" si="20"/>
        <v>0</v>
      </c>
      <c r="V61" s="94">
        <f t="shared" si="14"/>
        <v>0</v>
      </c>
      <c r="AC61" s="111">
        <f t="shared" si="9"/>
        <v>0</v>
      </c>
      <c r="AD61" s="94">
        <v>0</v>
      </c>
      <c r="AE61" s="94">
        <v>0</v>
      </c>
      <c r="AF61" s="94">
        <v>0</v>
      </c>
      <c r="AG61" s="94">
        <v>0</v>
      </c>
      <c r="AH61" s="94">
        <v>0</v>
      </c>
      <c r="AI61" s="94">
        <v>0</v>
      </c>
      <c r="AJ61" s="94">
        <v>0</v>
      </c>
      <c r="AK61" s="94">
        <v>0</v>
      </c>
      <c r="AL61" s="94">
        <v>0</v>
      </c>
      <c r="AM61" s="94">
        <v>0</v>
      </c>
      <c r="AN61" s="94">
        <v>0</v>
      </c>
      <c r="AO61" s="94">
        <v>0</v>
      </c>
      <c r="AP61" s="94">
        <v>0</v>
      </c>
    </row>
    <row r="62" spans="1:42" s="22" customFormat="1" ht="15" customHeight="1" outlineLevel="1" x14ac:dyDescent="0.25">
      <c r="A62" s="38" t="s">
        <v>35</v>
      </c>
      <c r="B62" s="41"/>
      <c r="C62" s="23"/>
      <c r="D62" s="23"/>
      <c r="E62" s="23"/>
      <c r="F62" s="23"/>
      <c r="G62" s="23"/>
      <c r="H62" s="39"/>
      <c r="I62" s="8">
        <f>IF($Q$4&gt;=$Y$4,50,0)</f>
        <v>50</v>
      </c>
      <c r="J62" s="8">
        <v>0</v>
      </c>
      <c r="K62" s="8">
        <v>0</v>
      </c>
      <c r="L62" s="8">
        <f t="shared" si="25"/>
        <v>50</v>
      </c>
      <c r="M62" s="9">
        <f t="shared" si="22"/>
        <v>3.0296420174992123E-5</v>
      </c>
      <c r="N62" s="17"/>
      <c r="O62" s="71"/>
      <c r="P62" s="94">
        <f t="shared" si="23"/>
        <v>5</v>
      </c>
      <c r="Q62" s="94">
        <f t="shared" si="10"/>
        <v>0</v>
      </c>
      <c r="R62" s="94">
        <f t="shared" si="24"/>
        <v>0</v>
      </c>
      <c r="S62" s="94">
        <f t="shared" si="12"/>
        <v>0</v>
      </c>
      <c r="T62" s="94">
        <f t="shared" si="20"/>
        <v>1347.9691976296081</v>
      </c>
      <c r="V62" s="94">
        <f t="shared" si="14"/>
        <v>1352.9691976296081</v>
      </c>
      <c r="AC62" s="111">
        <f t="shared" si="9"/>
        <v>1352.9691976296081</v>
      </c>
      <c r="AD62" s="94">
        <v>0</v>
      </c>
      <c r="AE62" s="94">
        <v>0</v>
      </c>
      <c r="AF62" s="94">
        <v>0</v>
      </c>
      <c r="AG62" s="94">
        <v>547.52822042014282</v>
      </c>
      <c r="AH62" s="94">
        <v>1352.9691976296081</v>
      </c>
      <c r="AI62" s="94">
        <v>1958.8976011294505</v>
      </c>
      <c r="AJ62" s="94">
        <v>2564.8260046292926</v>
      </c>
      <c r="AK62" s="94">
        <v>3170.7544081291353</v>
      </c>
      <c r="AL62" s="94">
        <v>3776.6828116289776</v>
      </c>
      <c r="AM62" s="94">
        <v>4382.6112151288207</v>
      </c>
      <c r="AN62" s="94">
        <v>4988.5396186286625</v>
      </c>
      <c r="AO62" s="94">
        <v>5594.4680221285053</v>
      </c>
      <c r="AP62" s="94">
        <v>6200.396425628348</v>
      </c>
    </row>
    <row r="63" spans="1:42" s="34" customFormat="1" ht="15" customHeight="1" outlineLevel="1" x14ac:dyDescent="0.25">
      <c r="A63" s="38" t="s">
        <v>36</v>
      </c>
      <c r="B63" s="41"/>
      <c r="C63" s="23"/>
      <c r="D63" s="23"/>
      <c r="E63" s="23"/>
      <c r="F63" s="23"/>
      <c r="G63" s="24"/>
      <c r="H63" s="39"/>
      <c r="I63" s="8">
        <f>IF($Q$4&gt;=$Y$4,105,0)</f>
        <v>105</v>
      </c>
      <c r="J63" s="8">
        <v>0</v>
      </c>
      <c r="K63" s="8">
        <v>0</v>
      </c>
      <c r="L63" s="8">
        <f t="shared" si="25"/>
        <v>105</v>
      </c>
      <c r="M63" s="9">
        <f t="shared" si="22"/>
        <v>6.3622482367483462E-5</v>
      </c>
      <c r="N63" s="39" t="s">
        <v>33</v>
      </c>
      <c r="O63" s="71"/>
      <c r="P63" s="94">
        <f t="shared" si="23"/>
        <v>10.5</v>
      </c>
      <c r="Q63" s="94">
        <f t="shared" si="10"/>
        <v>0</v>
      </c>
      <c r="R63" s="94">
        <f t="shared" si="24"/>
        <v>0</v>
      </c>
      <c r="S63" s="94">
        <f t="shared" si="12"/>
        <v>0</v>
      </c>
      <c r="T63" s="94">
        <f t="shared" si="20"/>
        <v>2830.735315022177</v>
      </c>
      <c r="V63" s="94">
        <f t="shared" si="14"/>
        <v>2841.235315022177</v>
      </c>
      <c r="AC63" s="111">
        <f t="shared" si="9"/>
        <v>2841.235315022177</v>
      </c>
      <c r="AD63" s="94">
        <v>0</v>
      </c>
      <c r="AE63" s="94">
        <v>0</v>
      </c>
      <c r="AF63" s="94">
        <v>0</v>
      </c>
      <c r="AG63" s="94">
        <v>1149.8092628822997</v>
      </c>
      <c r="AH63" s="94">
        <v>2841.235315022177</v>
      </c>
      <c r="AI63" s="94">
        <v>4113.6849623718463</v>
      </c>
      <c r="AJ63" s="94">
        <v>5386.1346097215155</v>
      </c>
      <c r="AK63" s="94">
        <v>6658.5842570711848</v>
      </c>
      <c r="AL63" s="94">
        <v>7931.033904420854</v>
      </c>
      <c r="AM63" s="94">
        <v>9203.4835517705233</v>
      </c>
      <c r="AN63" s="94">
        <v>10475.933199120193</v>
      </c>
      <c r="AO63" s="94">
        <v>11748.382846469862</v>
      </c>
      <c r="AP63" s="94">
        <v>13020.832493819531</v>
      </c>
    </row>
    <row r="64" spans="1:42" s="41" customFormat="1" ht="15" customHeight="1" outlineLevel="1" x14ac:dyDescent="0.25">
      <c r="A64" s="38" t="s">
        <v>37</v>
      </c>
      <c r="C64" s="23"/>
      <c r="D64" s="23"/>
      <c r="E64" s="23"/>
      <c r="F64" s="23"/>
      <c r="G64" s="24"/>
      <c r="H64" s="39"/>
      <c r="I64" s="8">
        <f>IF($Q$4&gt;=$Y$4,1000,0)</f>
        <v>1000</v>
      </c>
      <c r="J64" s="8">
        <v>0</v>
      </c>
      <c r="K64" s="8">
        <v>0</v>
      </c>
      <c r="L64" s="8">
        <f t="shared" si="25"/>
        <v>1000</v>
      </c>
      <c r="M64" s="9">
        <f t="shared" si="22"/>
        <v>6.0592840349984241E-4</v>
      </c>
      <c r="N64" s="39" t="s">
        <v>33</v>
      </c>
      <c r="O64" s="71"/>
      <c r="P64" s="94">
        <f t="shared" si="23"/>
        <v>100</v>
      </c>
      <c r="Q64" s="94">
        <f t="shared" si="10"/>
        <v>0</v>
      </c>
      <c r="R64" s="94">
        <f t="shared" si="24"/>
        <v>0</v>
      </c>
      <c r="S64" s="94">
        <f t="shared" si="12"/>
        <v>0</v>
      </c>
      <c r="T64" s="94">
        <f t="shared" si="20"/>
        <v>26959.383952592158</v>
      </c>
      <c r="V64" s="94">
        <f t="shared" si="14"/>
        <v>27059.383952592158</v>
      </c>
      <c r="AC64" s="111">
        <f t="shared" si="9"/>
        <v>27059.383952592158</v>
      </c>
      <c r="AD64" s="94">
        <v>0</v>
      </c>
      <c r="AE64" s="94">
        <v>0</v>
      </c>
      <c r="AF64" s="94">
        <v>0</v>
      </c>
      <c r="AG64" s="94">
        <v>10950.564408402855</v>
      </c>
      <c r="AH64" s="94">
        <v>27059.383952592158</v>
      </c>
      <c r="AI64" s="94">
        <v>39177.952022589008</v>
      </c>
      <c r="AJ64" s="94">
        <v>51296.520092585852</v>
      </c>
      <c r="AK64" s="94">
        <v>63415.088162582702</v>
      </c>
      <c r="AL64" s="94">
        <v>75533.656232579553</v>
      </c>
      <c r="AM64" s="94">
        <v>87652.224302576404</v>
      </c>
      <c r="AN64" s="94">
        <v>99770.792372573254</v>
      </c>
      <c r="AO64" s="94">
        <v>111889.36044257011</v>
      </c>
      <c r="AP64" s="94">
        <v>124007.92851256696</v>
      </c>
    </row>
    <row r="65" spans="1:42" s="41" customFormat="1" ht="15" customHeight="1" outlineLevel="1" x14ac:dyDescent="0.25">
      <c r="A65" s="38" t="s">
        <v>38</v>
      </c>
      <c r="C65" s="23"/>
      <c r="D65" s="23"/>
      <c r="E65" s="23"/>
      <c r="F65" s="23"/>
      <c r="G65" s="24"/>
      <c r="H65" s="39"/>
      <c r="I65" s="8">
        <v>0</v>
      </c>
      <c r="J65" s="8">
        <v>0</v>
      </c>
      <c r="K65" s="8">
        <v>0</v>
      </c>
      <c r="L65" s="8">
        <f t="shared" si="25"/>
        <v>0</v>
      </c>
      <c r="M65" s="9">
        <f t="shared" si="22"/>
        <v>0</v>
      </c>
      <c r="O65" s="50"/>
      <c r="P65" s="94">
        <f t="shared" si="23"/>
        <v>0</v>
      </c>
      <c r="Q65" s="94">
        <f t="shared" si="10"/>
        <v>0</v>
      </c>
      <c r="R65" s="94">
        <f t="shared" si="24"/>
        <v>0</v>
      </c>
      <c r="S65" s="94">
        <f t="shared" si="12"/>
        <v>0</v>
      </c>
      <c r="T65" s="94">
        <f t="shared" si="20"/>
        <v>0</v>
      </c>
      <c r="V65" s="94">
        <f t="shared" si="14"/>
        <v>0</v>
      </c>
      <c r="AC65" s="111">
        <f t="shared" si="9"/>
        <v>0</v>
      </c>
      <c r="AD65" s="94">
        <v>0</v>
      </c>
      <c r="AE65" s="94">
        <v>0</v>
      </c>
      <c r="AF65" s="94">
        <v>0</v>
      </c>
      <c r="AG65" s="94">
        <v>0</v>
      </c>
      <c r="AH65" s="94">
        <v>0</v>
      </c>
      <c r="AI65" s="94">
        <v>0</v>
      </c>
      <c r="AJ65" s="94">
        <v>0</v>
      </c>
      <c r="AK65" s="94">
        <v>0</v>
      </c>
      <c r="AL65" s="94">
        <v>0</v>
      </c>
      <c r="AM65" s="94">
        <v>0</v>
      </c>
      <c r="AN65" s="94">
        <v>0</v>
      </c>
      <c r="AO65" s="94">
        <v>0</v>
      </c>
      <c r="AP65" s="94">
        <v>0</v>
      </c>
    </row>
    <row r="66" spans="1:42" s="41" customFormat="1" ht="15" customHeight="1" outlineLevel="1" x14ac:dyDescent="0.25">
      <c r="A66" s="38" t="s">
        <v>39</v>
      </c>
      <c r="C66" s="23"/>
      <c r="D66" s="23"/>
      <c r="E66" s="23"/>
      <c r="F66" s="23"/>
      <c r="G66" s="24"/>
      <c r="H66" s="39"/>
      <c r="I66" s="8">
        <f>IF($Q$4&gt;=$Y$4,15486,0)</f>
        <v>15486</v>
      </c>
      <c r="J66" s="8">
        <f>IF($Q$4&gt;=$Y$5,11000,0)</f>
        <v>11000</v>
      </c>
      <c r="K66" s="8">
        <v>0</v>
      </c>
      <c r="L66" s="8">
        <f t="shared" si="25"/>
        <v>26486</v>
      </c>
      <c r="M66" s="9">
        <f t="shared" si="22"/>
        <v>1.6048619695096827E-2</v>
      </c>
      <c r="N66" s="39"/>
      <c r="O66" s="71"/>
      <c r="P66" s="94">
        <f t="shared" si="23"/>
        <v>2648.6000000000004</v>
      </c>
      <c r="Q66" s="94">
        <f t="shared" si="10"/>
        <v>0</v>
      </c>
      <c r="R66" s="94">
        <f t="shared" si="24"/>
        <v>0</v>
      </c>
      <c r="S66" s="94">
        <f t="shared" si="12"/>
        <v>0</v>
      </c>
      <c r="T66" s="94">
        <f t="shared" si="20"/>
        <v>714046.24336835602</v>
      </c>
      <c r="V66" s="94">
        <f t="shared" si="14"/>
        <v>716694.843368356</v>
      </c>
      <c r="AC66" s="111">
        <f t="shared" si="9"/>
        <v>716694.843368356</v>
      </c>
      <c r="AD66" s="94">
        <v>0</v>
      </c>
      <c r="AE66" s="94">
        <v>0</v>
      </c>
      <c r="AF66" s="94">
        <v>0</v>
      </c>
      <c r="AG66" s="94">
        <v>169580.44042852664</v>
      </c>
      <c r="AH66" s="94">
        <v>716694.843368356</v>
      </c>
      <c r="AI66" s="94">
        <v>1037667.2372702925</v>
      </c>
      <c r="AJ66" s="94">
        <v>1358639.6311722291</v>
      </c>
      <c r="AK66" s="94">
        <v>1679612.0250741655</v>
      </c>
      <c r="AL66" s="94">
        <v>2000584.418976102</v>
      </c>
      <c r="AM66" s="94">
        <v>2321556.8128780387</v>
      </c>
      <c r="AN66" s="94">
        <v>2642529.2067799754</v>
      </c>
      <c r="AO66" s="94">
        <v>2963501.6006819122</v>
      </c>
      <c r="AP66" s="94">
        <v>3284473.9945838484</v>
      </c>
    </row>
    <row r="67" spans="1:42" s="41" customFormat="1" ht="15" customHeight="1" outlineLevel="1" x14ac:dyDescent="0.25">
      <c r="A67" s="38" t="s">
        <v>40</v>
      </c>
      <c r="C67" s="23"/>
      <c r="D67" s="23"/>
      <c r="E67" s="23"/>
      <c r="F67" s="23"/>
      <c r="G67" s="24"/>
      <c r="H67" s="39"/>
      <c r="I67" s="8">
        <v>0</v>
      </c>
      <c r="J67" s="8">
        <v>0</v>
      </c>
      <c r="K67" s="8">
        <v>0</v>
      </c>
      <c r="L67" s="8">
        <f t="shared" si="25"/>
        <v>0</v>
      </c>
      <c r="M67" s="9">
        <f t="shared" si="22"/>
        <v>0</v>
      </c>
      <c r="N67" s="39"/>
      <c r="O67" s="71"/>
      <c r="P67" s="94">
        <f t="shared" si="23"/>
        <v>0</v>
      </c>
      <c r="Q67" s="94">
        <f t="shared" si="10"/>
        <v>0</v>
      </c>
      <c r="R67" s="94">
        <f t="shared" si="24"/>
        <v>0</v>
      </c>
      <c r="S67" s="94">
        <f t="shared" si="12"/>
        <v>0</v>
      </c>
      <c r="T67" s="94">
        <f t="shared" si="20"/>
        <v>0</v>
      </c>
      <c r="V67" s="94">
        <f t="shared" si="14"/>
        <v>0</v>
      </c>
      <c r="AC67" s="111">
        <f t="shared" si="9"/>
        <v>0</v>
      </c>
      <c r="AD67" s="94">
        <v>0</v>
      </c>
      <c r="AE67" s="94">
        <v>0</v>
      </c>
      <c r="AF67" s="94">
        <v>0</v>
      </c>
      <c r="AG67" s="94">
        <v>0</v>
      </c>
      <c r="AH67" s="94">
        <v>0</v>
      </c>
      <c r="AI67" s="94">
        <v>0</v>
      </c>
      <c r="AJ67" s="94">
        <v>0</v>
      </c>
      <c r="AK67" s="94">
        <v>0</v>
      </c>
      <c r="AL67" s="94">
        <v>0</v>
      </c>
      <c r="AM67" s="94">
        <v>0</v>
      </c>
      <c r="AN67" s="94">
        <v>0</v>
      </c>
      <c r="AO67" s="94">
        <v>0</v>
      </c>
      <c r="AP67" s="94">
        <v>0</v>
      </c>
    </row>
    <row r="68" spans="1:42" s="41" customFormat="1" ht="15" customHeight="1" outlineLevel="1" x14ac:dyDescent="0.25">
      <c r="A68" s="38" t="s">
        <v>41</v>
      </c>
      <c r="C68" s="23"/>
      <c r="D68" s="23"/>
      <c r="E68" s="23"/>
      <c r="F68" s="23"/>
      <c r="G68" s="24"/>
      <c r="H68" s="39"/>
      <c r="I68" s="8">
        <v>0</v>
      </c>
      <c r="J68" s="8">
        <v>0</v>
      </c>
      <c r="K68" s="8">
        <v>0</v>
      </c>
      <c r="L68" s="8">
        <f t="shared" si="25"/>
        <v>0</v>
      </c>
      <c r="M68" s="9">
        <f t="shared" si="22"/>
        <v>0</v>
      </c>
      <c r="O68" s="50"/>
      <c r="P68" s="94">
        <f t="shared" si="23"/>
        <v>0</v>
      </c>
      <c r="Q68" s="94">
        <f t="shared" si="10"/>
        <v>0</v>
      </c>
      <c r="R68" s="94">
        <f t="shared" si="24"/>
        <v>0</v>
      </c>
      <c r="S68" s="94">
        <f t="shared" si="12"/>
        <v>0</v>
      </c>
      <c r="T68" s="94">
        <f t="shared" si="20"/>
        <v>0</v>
      </c>
      <c r="V68" s="94">
        <f t="shared" si="14"/>
        <v>0</v>
      </c>
      <c r="AC68" s="111">
        <f t="shared" si="9"/>
        <v>0</v>
      </c>
      <c r="AD68" s="94">
        <v>0</v>
      </c>
      <c r="AE68" s="94">
        <v>0</v>
      </c>
      <c r="AF68" s="94">
        <v>0</v>
      </c>
      <c r="AG68" s="94">
        <v>0</v>
      </c>
      <c r="AH68" s="94">
        <v>0</v>
      </c>
      <c r="AI68" s="94">
        <v>0</v>
      </c>
      <c r="AJ68" s="94">
        <v>0</v>
      </c>
      <c r="AK68" s="94">
        <v>0</v>
      </c>
      <c r="AL68" s="94">
        <v>0</v>
      </c>
      <c r="AM68" s="94">
        <v>0</v>
      </c>
      <c r="AN68" s="94">
        <v>0</v>
      </c>
      <c r="AO68" s="94">
        <v>0</v>
      </c>
      <c r="AP68" s="94">
        <v>0</v>
      </c>
    </row>
    <row r="69" spans="1:42" s="41" customFormat="1" ht="15" customHeight="1" outlineLevel="1" x14ac:dyDescent="0.25">
      <c r="A69" s="38" t="s">
        <v>42</v>
      </c>
      <c r="C69" s="23"/>
      <c r="D69" s="23"/>
      <c r="E69" s="23"/>
      <c r="F69" s="23"/>
      <c r="G69" s="24"/>
      <c r="H69" s="39"/>
      <c r="I69" s="8">
        <v>0</v>
      </c>
      <c r="J69" s="8">
        <v>0</v>
      </c>
      <c r="K69" s="8">
        <v>0</v>
      </c>
      <c r="L69" s="8">
        <f t="shared" si="25"/>
        <v>0</v>
      </c>
      <c r="M69" s="9">
        <f t="shared" si="22"/>
        <v>0</v>
      </c>
      <c r="O69" s="50"/>
      <c r="P69" s="94">
        <f t="shared" si="23"/>
        <v>0</v>
      </c>
      <c r="Q69" s="94">
        <f t="shared" si="10"/>
        <v>0</v>
      </c>
      <c r="R69" s="94">
        <f t="shared" si="24"/>
        <v>0</v>
      </c>
      <c r="S69" s="94">
        <f t="shared" si="12"/>
        <v>0</v>
      </c>
      <c r="T69" s="94">
        <f t="shared" si="20"/>
        <v>0</v>
      </c>
      <c r="V69" s="94">
        <f t="shared" si="14"/>
        <v>0</v>
      </c>
      <c r="AC69" s="111">
        <f t="shared" si="9"/>
        <v>0</v>
      </c>
      <c r="AD69" s="94">
        <v>0</v>
      </c>
      <c r="AE69" s="94">
        <v>0</v>
      </c>
      <c r="AF69" s="94">
        <v>0</v>
      </c>
      <c r="AG69" s="94">
        <v>0</v>
      </c>
      <c r="AH69" s="94">
        <v>0</v>
      </c>
      <c r="AI69" s="94">
        <v>0</v>
      </c>
      <c r="AJ69" s="94">
        <v>0</v>
      </c>
      <c r="AK69" s="94">
        <v>0</v>
      </c>
      <c r="AL69" s="94">
        <v>0</v>
      </c>
      <c r="AM69" s="94">
        <v>0</v>
      </c>
      <c r="AN69" s="94">
        <v>0</v>
      </c>
      <c r="AO69" s="94">
        <v>0</v>
      </c>
      <c r="AP69" s="94">
        <v>0</v>
      </c>
    </row>
    <row r="70" spans="1:42" s="41" customFormat="1" ht="15" customHeight="1" outlineLevel="1" x14ac:dyDescent="0.25">
      <c r="A70" s="38" t="s">
        <v>47</v>
      </c>
      <c r="C70" s="23"/>
      <c r="D70" s="23"/>
      <c r="E70" s="23"/>
      <c r="F70" s="23"/>
      <c r="G70" s="24"/>
      <c r="H70" s="39"/>
      <c r="I70" s="8">
        <v>0</v>
      </c>
      <c r="J70" s="8">
        <v>0</v>
      </c>
      <c r="K70" s="8">
        <v>0</v>
      </c>
      <c r="L70" s="8">
        <f t="shared" si="25"/>
        <v>0</v>
      </c>
      <c r="M70" s="9">
        <f t="shared" si="22"/>
        <v>0</v>
      </c>
      <c r="N70" s="39"/>
      <c r="O70" s="71"/>
      <c r="P70" s="94">
        <f t="shared" si="23"/>
        <v>0</v>
      </c>
      <c r="Q70" s="94">
        <f t="shared" si="10"/>
        <v>0</v>
      </c>
      <c r="R70" s="94">
        <f t="shared" si="24"/>
        <v>0</v>
      </c>
      <c r="S70" s="94">
        <f t="shared" si="12"/>
        <v>0</v>
      </c>
      <c r="T70" s="94">
        <f t="shared" si="20"/>
        <v>0</v>
      </c>
      <c r="V70" s="94">
        <f t="shared" si="14"/>
        <v>0</v>
      </c>
      <c r="AC70" s="111">
        <f t="shared" si="9"/>
        <v>0</v>
      </c>
      <c r="AD70" s="94">
        <v>0</v>
      </c>
      <c r="AE70" s="94">
        <v>0</v>
      </c>
      <c r="AF70" s="94">
        <v>0</v>
      </c>
      <c r="AG70" s="94">
        <v>0</v>
      </c>
      <c r="AH70" s="94">
        <v>0</v>
      </c>
      <c r="AI70" s="94">
        <v>0</v>
      </c>
      <c r="AJ70" s="94">
        <v>0</v>
      </c>
      <c r="AK70" s="94">
        <v>0</v>
      </c>
      <c r="AL70" s="94">
        <v>0</v>
      </c>
      <c r="AM70" s="94">
        <v>0</v>
      </c>
      <c r="AN70" s="94">
        <v>0</v>
      </c>
      <c r="AO70" s="94">
        <v>0</v>
      </c>
      <c r="AP70" s="94">
        <v>0</v>
      </c>
    </row>
    <row r="71" spans="1:42" s="41" customFormat="1" ht="15" customHeight="1" outlineLevel="1" x14ac:dyDescent="0.25">
      <c r="A71" s="38" t="s">
        <v>48</v>
      </c>
      <c r="C71" s="23"/>
      <c r="D71" s="23"/>
      <c r="E71" s="23"/>
      <c r="F71" s="23"/>
      <c r="G71" s="24"/>
      <c r="H71" s="39"/>
      <c r="I71" s="8">
        <v>0</v>
      </c>
      <c r="J71" s="8">
        <v>0</v>
      </c>
      <c r="K71" s="8">
        <v>0</v>
      </c>
      <c r="L71" s="8">
        <f t="shared" si="25"/>
        <v>0</v>
      </c>
      <c r="M71" s="9">
        <f t="shared" si="22"/>
        <v>0</v>
      </c>
      <c r="N71" s="39"/>
      <c r="O71" s="71"/>
      <c r="P71" s="94">
        <f t="shared" si="23"/>
        <v>0</v>
      </c>
      <c r="Q71" s="94">
        <f t="shared" si="10"/>
        <v>0</v>
      </c>
      <c r="R71" s="94">
        <f t="shared" si="24"/>
        <v>0</v>
      </c>
      <c r="S71" s="94">
        <f t="shared" si="12"/>
        <v>0</v>
      </c>
      <c r="T71" s="94">
        <f t="shared" si="20"/>
        <v>0</v>
      </c>
      <c r="V71" s="94">
        <f t="shared" si="14"/>
        <v>0</v>
      </c>
      <c r="AC71" s="111">
        <f t="shared" si="9"/>
        <v>0</v>
      </c>
      <c r="AD71" s="94">
        <v>0</v>
      </c>
      <c r="AE71" s="94">
        <v>0</v>
      </c>
      <c r="AF71" s="94">
        <v>0</v>
      </c>
      <c r="AG71" s="94">
        <v>0</v>
      </c>
      <c r="AH71" s="94">
        <v>0</v>
      </c>
      <c r="AI71" s="94">
        <v>0</v>
      </c>
      <c r="AJ71" s="94">
        <v>0</v>
      </c>
      <c r="AK71" s="94">
        <v>0</v>
      </c>
      <c r="AL71" s="94">
        <v>0</v>
      </c>
      <c r="AM71" s="94">
        <v>0</v>
      </c>
      <c r="AN71" s="94">
        <v>0</v>
      </c>
      <c r="AO71" s="94">
        <v>0</v>
      </c>
      <c r="AP71" s="94">
        <v>0</v>
      </c>
    </row>
    <row r="72" spans="1:42" s="41" customFormat="1" ht="14.1" customHeight="1" outlineLevel="1" x14ac:dyDescent="0.25">
      <c r="A72" s="38" t="s">
        <v>49</v>
      </c>
      <c r="C72" s="23"/>
      <c r="D72" s="23"/>
      <c r="E72" s="23"/>
      <c r="F72" s="23"/>
      <c r="G72" s="24"/>
      <c r="H72" s="39"/>
      <c r="I72" s="8">
        <v>0</v>
      </c>
      <c r="J72" s="8">
        <v>0</v>
      </c>
      <c r="K72" s="8">
        <v>0</v>
      </c>
      <c r="L72" s="8">
        <f t="shared" si="25"/>
        <v>0</v>
      </c>
      <c r="M72" s="9">
        <f t="shared" si="22"/>
        <v>0</v>
      </c>
      <c r="N72" s="39"/>
      <c r="O72" s="71"/>
      <c r="P72" s="94">
        <f t="shared" si="23"/>
        <v>0</v>
      </c>
      <c r="Q72" s="94">
        <f t="shared" si="10"/>
        <v>0</v>
      </c>
      <c r="R72" s="94">
        <f t="shared" si="24"/>
        <v>0</v>
      </c>
      <c r="S72" s="94">
        <f t="shared" si="12"/>
        <v>0</v>
      </c>
      <c r="T72" s="94">
        <f t="shared" si="20"/>
        <v>0</v>
      </c>
      <c r="V72" s="94">
        <f t="shared" si="14"/>
        <v>0</v>
      </c>
      <c r="AC72" s="111">
        <f t="shared" si="9"/>
        <v>0</v>
      </c>
      <c r="AD72" s="94">
        <v>0</v>
      </c>
      <c r="AE72" s="94">
        <v>0</v>
      </c>
      <c r="AF72" s="94">
        <v>0</v>
      </c>
      <c r="AG72" s="94">
        <v>0</v>
      </c>
      <c r="AH72" s="94">
        <v>0</v>
      </c>
      <c r="AI72" s="94">
        <v>0</v>
      </c>
      <c r="AJ72" s="94">
        <v>0</v>
      </c>
      <c r="AK72" s="94">
        <v>0</v>
      </c>
      <c r="AL72" s="94">
        <v>0</v>
      </c>
      <c r="AM72" s="94">
        <v>0</v>
      </c>
      <c r="AN72" s="94">
        <v>0</v>
      </c>
      <c r="AO72" s="94">
        <v>0</v>
      </c>
      <c r="AP72" s="94">
        <v>0</v>
      </c>
    </row>
    <row r="73" spans="1:42" s="41" customFormat="1" ht="15" customHeight="1" outlineLevel="1" x14ac:dyDescent="0.25">
      <c r="A73" s="38" t="s">
        <v>50</v>
      </c>
      <c r="C73" s="23"/>
      <c r="D73" s="23"/>
      <c r="E73" s="23"/>
      <c r="F73" s="23"/>
      <c r="G73" s="24"/>
      <c r="H73" s="39"/>
      <c r="I73" s="8">
        <f>IF($Q$4&gt;=$Y$4,400,0)</f>
        <v>400</v>
      </c>
      <c r="J73" s="8">
        <f>IF($Q$4&gt;=$Y$5,400,0)</f>
        <v>400</v>
      </c>
      <c r="K73" s="8">
        <v>0</v>
      </c>
      <c r="L73" s="8">
        <f t="shared" si="25"/>
        <v>800</v>
      </c>
      <c r="M73" s="9">
        <f t="shared" si="22"/>
        <v>4.8474272279987396E-4</v>
      </c>
      <c r="N73" s="39"/>
      <c r="O73" s="71"/>
      <c r="P73" s="94">
        <f t="shared" si="23"/>
        <v>80</v>
      </c>
      <c r="Q73" s="94">
        <f t="shared" si="10"/>
        <v>0</v>
      </c>
      <c r="R73" s="94">
        <f t="shared" si="24"/>
        <v>0</v>
      </c>
      <c r="S73" s="94">
        <f t="shared" si="12"/>
        <v>0</v>
      </c>
      <c r="T73" s="94">
        <f t="shared" si="20"/>
        <v>21567.507162073729</v>
      </c>
      <c r="V73" s="94">
        <f t="shared" si="14"/>
        <v>21647.507162073729</v>
      </c>
      <c r="AC73" s="111">
        <f t="shared" si="9"/>
        <v>21647.507162073729</v>
      </c>
      <c r="AD73" s="94">
        <v>0</v>
      </c>
      <c r="AE73" s="94">
        <v>0</v>
      </c>
      <c r="AF73" s="94">
        <v>0</v>
      </c>
      <c r="AG73" s="94">
        <v>4380.2257633611425</v>
      </c>
      <c r="AH73" s="94">
        <v>21647.507162073729</v>
      </c>
      <c r="AI73" s="94">
        <v>31342.361618071209</v>
      </c>
      <c r="AJ73" s="94">
        <v>41037.216074068681</v>
      </c>
      <c r="AK73" s="94">
        <v>50732.070530066165</v>
      </c>
      <c r="AL73" s="94">
        <v>60426.924986063641</v>
      </c>
      <c r="AM73" s="94">
        <v>70121.779442061132</v>
      </c>
      <c r="AN73" s="94">
        <v>79816.633898058601</v>
      </c>
      <c r="AO73" s="94">
        <v>89511.488354056084</v>
      </c>
      <c r="AP73" s="94">
        <v>99206.342810053568</v>
      </c>
    </row>
    <row r="74" spans="1:42" s="41" customFormat="1" ht="15" customHeight="1" outlineLevel="1" x14ac:dyDescent="0.25">
      <c r="A74" s="38" t="s">
        <v>51</v>
      </c>
      <c r="C74" s="23"/>
      <c r="D74" s="23"/>
      <c r="E74" s="23"/>
      <c r="F74" s="23"/>
      <c r="G74" s="24"/>
      <c r="H74" s="39"/>
      <c r="I74" s="8">
        <f>IF($Q$4&gt;=$Y$4,1000,0)</f>
        <v>1000</v>
      </c>
      <c r="J74" s="8">
        <f>IF($Q$4&gt;=$Y$5,1000,0)</f>
        <v>1000</v>
      </c>
      <c r="K74" s="8">
        <v>0</v>
      </c>
      <c r="L74" s="8">
        <f t="shared" si="25"/>
        <v>2000</v>
      </c>
      <c r="M74" s="9">
        <f t="shared" si="22"/>
        <v>1.2118568069996848E-3</v>
      </c>
      <c r="N74" s="39"/>
      <c r="O74" s="71"/>
      <c r="P74" s="94">
        <f t="shared" si="23"/>
        <v>200</v>
      </c>
      <c r="Q74" s="94">
        <f t="shared" si="10"/>
        <v>0</v>
      </c>
      <c r="R74" s="94">
        <f t="shared" si="24"/>
        <v>0</v>
      </c>
      <c r="S74" s="94">
        <f t="shared" si="12"/>
        <v>0</v>
      </c>
      <c r="T74" s="94">
        <f t="shared" si="20"/>
        <v>53918.767905184315</v>
      </c>
      <c r="V74" s="94">
        <f t="shared" si="14"/>
        <v>54118.767905184315</v>
      </c>
      <c r="AC74" s="111">
        <f t="shared" si="9"/>
        <v>54118.767905184315</v>
      </c>
      <c r="AD74" s="94">
        <v>0</v>
      </c>
      <c r="AE74" s="94">
        <v>0</v>
      </c>
      <c r="AF74" s="94">
        <v>0</v>
      </c>
      <c r="AG74" s="94">
        <v>10950.564408402855</v>
      </c>
      <c r="AH74" s="94">
        <v>54118.767905184315</v>
      </c>
      <c r="AI74" s="94">
        <v>78355.904045178017</v>
      </c>
      <c r="AJ74" s="94">
        <v>102593.0401851717</v>
      </c>
      <c r="AK74" s="94">
        <v>126830.1763251654</v>
      </c>
      <c r="AL74" s="94">
        <v>151067.31246515911</v>
      </c>
      <c r="AM74" s="94">
        <v>175304.44860515281</v>
      </c>
      <c r="AN74" s="94">
        <v>199541.58474514651</v>
      </c>
      <c r="AO74" s="94">
        <v>223778.72088514021</v>
      </c>
      <c r="AP74" s="94">
        <v>248015.85702513391</v>
      </c>
    </row>
    <row r="75" spans="1:42" s="41" customFormat="1" ht="15" customHeight="1" outlineLevel="1" x14ac:dyDescent="0.25">
      <c r="A75" s="38" t="s">
        <v>55</v>
      </c>
      <c r="C75" s="23"/>
      <c r="D75" s="23"/>
      <c r="E75" s="23"/>
      <c r="F75" s="23"/>
      <c r="G75" s="24"/>
      <c r="H75" s="39"/>
      <c r="I75" s="8">
        <f>IF($Q$4&gt;=$Y$4,400,0)</f>
        <v>400</v>
      </c>
      <c r="J75" s="8">
        <f>IF($Q$4&gt;=$Y$5,1600,0)</f>
        <v>1600</v>
      </c>
      <c r="K75" s="8">
        <v>0</v>
      </c>
      <c r="L75" s="8">
        <f t="shared" si="25"/>
        <v>2000</v>
      </c>
      <c r="M75" s="9">
        <f t="shared" si="22"/>
        <v>1.2118568069996848E-3</v>
      </c>
      <c r="N75" s="39"/>
      <c r="O75" s="71"/>
      <c r="P75" s="94">
        <f t="shared" si="23"/>
        <v>200</v>
      </c>
      <c r="Q75" s="94">
        <f t="shared" si="10"/>
        <v>0</v>
      </c>
      <c r="R75" s="94">
        <f t="shared" si="24"/>
        <v>0</v>
      </c>
      <c r="S75" s="94">
        <f t="shared" si="12"/>
        <v>0</v>
      </c>
      <c r="T75" s="94">
        <f t="shared" si="20"/>
        <v>53918.767905184315</v>
      </c>
      <c r="V75" s="94">
        <f t="shared" si="14"/>
        <v>54118.767905184315</v>
      </c>
      <c r="AC75" s="111">
        <f t="shared" si="9"/>
        <v>54118.767905184315</v>
      </c>
      <c r="AD75" s="94">
        <v>0</v>
      </c>
      <c r="AE75" s="94">
        <v>0</v>
      </c>
      <c r="AF75" s="94">
        <v>0</v>
      </c>
      <c r="AG75" s="94">
        <v>4380.2257633611425</v>
      </c>
      <c r="AH75" s="94">
        <v>54118.767905184315</v>
      </c>
      <c r="AI75" s="94">
        <v>78355.904045178017</v>
      </c>
      <c r="AJ75" s="94">
        <v>102593.0401851717</v>
      </c>
      <c r="AK75" s="94">
        <v>126830.1763251654</v>
      </c>
      <c r="AL75" s="94">
        <v>151067.31246515911</v>
      </c>
      <c r="AM75" s="94">
        <v>175304.44860515281</v>
      </c>
      <c r="AN75" s="94">
        <v>199541.58474514651</v>
      </c>
      <c r="AO75" s="94">
        <v>223778.72088514021</v>
      </c>
      <c r="AP75" s="94">
        <v>248015.85702513391</v>
      </c>
    </row>
    <row r="76" spans="1:42" s="41" customFormat="1" ht="15" customHeight="1" outlineLevel="1" x14ac:dyDescent="0.25">
      <c r="A76" s="38" t="s">
        <v>56</v>
      </c>
      <c r="C76" s="23"/>
      <c r="D76" s="23"/>
      <c r="E76" s="23"/>
      <c r="F76" s="23"/>
      <c r="G76" s="24"/>
      <c r="H76" s="39"/>
      <c r="I76" s="8">
        <f>IF($Q$4&gt;=$Y$4,3000,0)</f>
        <v>3000</v>
      </c>
      <c r="J76" s="8">
        <f>IF($Q$4&gt;=$Y$5,4500,0)</f>
        <v>4500</v>
      </c>
      <c r="K76" s="8">
        <v>0</v>
      </c>
      <c r="L76" s="8">
        <f t="shared" si="25"/>
        <v>7500</v>
      </c>
      <c r="M76" s="9">
        <f t="shared" si="22"/>
        <v>4.5444630262488185E-3</v>
      </c>
      <c r="N76" s="39"/>
      <c r="O76" s="71"/>
      <c r="P76" s="94">
        <f t="shared" si="23"/>
        <v>750</v>
      </c>
      <c r="Q76" s="94">
        <f t="shared" si="10"/>
        <v>0</v>
      </c>
      <c r="R76" s="94">
        <f t="shared" si="24"/>
        <v>0</v>
      </c>
      <c r="S76" s="94">
        <f t="shared" si="12"/>
        <v>0</v>
      </c>
      <c r="T76" s="94">
        <f t="shared" si="20"/>
        <v>202195.37964444121</v>
      </c>
      <c r="V76" s="94">
        <f t="shared" si="14"/>
        <v>202945.37964444121</v>
      </c>
      <c r="AC76" s="111">
        <f t="shared" si="9"/>
        <v>202945.37964444121</v>
      </c>
      <c r="AD76" s="94">
        <v>0</v>
      </c>
      <c r="AE76" s="94">
        <v>0</v>
      </c>
      <c r="AF76" s="94">
        <v>0</v>
      </c>
      <c r="AG76" s="94">
        <v>32851.693225208568</v>
      </c>
      <c r="AH76" s="94">
        <v>202945.37964444121</v>
      </c>
      <c r="AI76" s="94">
        <v>293834.6401694176</v>
      </c>
      <c r="AJ76" s="94">
        <v>384723.9006943939</v>
      </c>
      <c r="AK76" s="94">
        <v>475613.16121937032</v>
      </c>
      <c r="AL76" s="94">
        <v>566502.42174434662</v>
      </c>
      <c r="AM76" s="94">
        <v>657391.68226932315</v>
      </c>
      <c r="AN76" s="94">
        <v>748280.94279429945</v>
      </c>
      <c r="AO76" s="94">
        <v>839170.20331927587</v>
      </c>
      <c r="AP76" s="94">
        <v>930059.46384425217</v>
      </c>
    </row>
    <row r="77" spans="1:42" s="41" customFormat="1" ht="15" customHeight="1" outlineLevel="1" x14ac:dyDescent="0.25">
      <c r="A77" s="38" t="s">
        <v>57</v>
      </c>
      <c r="C77" s="23"/>
      <c r="D77" s="23"/>
      <c r="E77" s="23"/>
      <c r="F77" s="23"/>
      <c r="G77" s="24"/>
      <c r="H77" s="39"/>
      <c r="I77" s="8">
        <v>0</v>
      </c>
      <c r="J77" s="8">
        <v>0</v>
      </c>
      <c r="K77" s="8">
        <v>0</v>
      </c>
      <c r="L77" s="8">
        <f t="shared" si="25"/>
        <v>0</v>
      </c>
      <c r="M77" s="9">
        <f t="shared" si="22"/>
        <v>0</v>
      </c>
      <c r="N77" s="39"/>
      <c r="O77" s="71"/>
      <c r="P77" s="94">
        <f t="shared" si="23"/>
        <v>0</v>
      </c>
      <c r="Q77" s="94">
        <f t="shared" si="10"/>
        <v>0</v>
      </c>
      <c r="R77" s="94">
        <f t="shared" si="24"/>
        <v>0</v>
      </c>
      <c r="S77" s="94">
        <f t="shared" si="12"/>
        <v>0</v>
      </c>
      <c r="T77" s="94">
        <f t="shared" si="20"/>
        <v>0</v>
      </c>
      <c r="V77" s="94">
        <f t="shared" si="14"/>
        <v>0</v>
      </c>
      <c r="AC77" s="111">
        <f t="shared" si="9"/>
        <v>0</v>
      </c>
      <c r="AD77" s="94">
        <v>0</v>
      </c>
      <c r="AE77" s="94">
        <v>0</v>
      </c>
      <c r="AF77" s="94">
        <v>0</v>
      </c>
      <c r="AG77" s="94">
        <v>0</v>
      </c>
      <c r="AH77" s="94">
        <v>0</v>
      </c>
      <c r="AI77" s="94">
        <v>0</v>
      </c>
      <c r="AJ77" s="94">
        <v>0</v>
      </c>
      <c r="AK77" s="94">
        <v>0</v>
      </c>
      <c r="AL77" s="94">
        <v>0</v>
      </c>
      <c r="AM77" s="94">
        <v>0</v>
      </c>
      <c r="AN77" s="94">
        <v>0</v>
      </c>
      <c r="AO77" s="94">
        <v>0</v>
      </c>
      <c r="AP77" s="94">
        <v>0</v>
      </c>
    </row>
    <row r="78" spans="1:42" s="41" customFormat="1" ht="15" customHeight="1" outlineLevel="1" x14ac:dyDescent="0.25">
      <c r="A78" s="38" t="s">
        <v>58</v>
      </c>
      <c r="C78" s="23"/>
      <c r="D78" s="23"/>
      <c r="E78" s="23"/>
      <c r="F78" s="23"/>
      <c r="G78" s="24"/>
      <c r="H78" s="39"/>
      <c r="I78" s="8">
        <f>IF($Q$4&gt;=$Y$4,9700,0)</f>
        <v>9700</v>
      </c>
      <c r="J78" s="8">
        <f>IF($Q$4&gt;=$Y$5,8500,0)</f>
        <v>8500</v>
      </c>
      <c r="K78" s="8">
        <v>0</v>
      </c>
      <c r="L78" s="8">
        <f t="shared" si="25"/>
        <v>18200</v>
      </c>
      <c r="M78" s="9">
        <f t="shared" si="22"/>
        <v>1.1027896943697133E-2</v>
      </c>
      <c r="N78" s="39"/>
      <c r="O78" s="71"/>
      <c r="P78" s="94">
        <f t="shared" si="23"/>
        <v>1820</v>
      </c>
      <c r="Q78" s="94">
        <f t="shared" si="10"/>
        <v>0</v>
      </c>
      <c r="R78" s="94">
        <f t="shared" si="24"/>
        <v>0</v>
      </c>
      <c r="S78" s="94">
        <f t="shared" si="12"/>
        <v>0</v>
      </c>
      <c r="T78" s="94">
        <f t="shared" si="20"/>
        <v>490660.78793717735</v>
      </c>
      <c r="V78" s="94">
        <f t="shared" si="14"/>
        <v>492480.78793717735</v>
      </c>
      <c r="AC78" s="111">
        <f t="shared" ref="AC78:AC121" si="26">V78</f>
        <v>492480.78793717735</v>
      </c>
      <c r="AD78" s="94">
        <v>0</v>
      </c>
      <c r="AE78" s="94">
        <v>0</v>
      </c>
      <c r="AF78" s="94">
        <v>0</v>
      </c>
      <c r="AG78" s="94">
        <v>106220.47476150769</v>
      </c>
      <c r="AH78" s="94">
        <v>492480.78793717735</v>
      </c>
      <c r="AI78" s="94">
        <v>713038.72681112005</v>
      </c>
      <c r="AJ78" s="94">
        <v>933596.66568506265</v>
      </c>
      <c r="AK78" s="94">
        <v>1154154.6045590052</v>
      </c>
      <c r="AL78" s="94">
        <v>1374712.5434329479</v>
      </c>
      <c r="AM78" s="94">
        <v>1595270.4823068907</v>
      </c>
      <c r="AN78" s="94">
        <v>1815828.4211808334</v>
      </c>
      <c r="AO78" s="94">
        <v>2036386.3600547761</v>
      </c>
      <c r="AP78" s="94">
        <v>2256944.2989287185</v>
      </c>
    </row>
    <row r="79" spans="1:42" s="41" customFormat="1" ht="15" customHeight="1" outlineLevel="1" x14ac:dyDescent="0.25">
      <c r="A79" s="38" t="s">
        <v>59</v>
      </c>
      <c r="C79" s="23"/>
      <c r="D79" s="23"/>
      <c r="E79" s="23"/>
      <c r="F79" s="23"/>
      <c r="G79" s="24"/>
      <c r="H79" s="39"/>
      <c r="I79" s="8">
        <f>IF($Q$4&gt;=$Y$4,700,0)</f>
        <v>700</v>
      </c>
      <c r="J79" s="8">
        <f>IF($Q$4&gt;=$Y$5,1300,0)</f>
        <v>1300</v>
      </c>
      <c r="K79" s="8">
        <v>0</v>
      </c>
      <c r="L79" s="8">
        <f t="shared" si="25"/>
        <v>2000</v>
      </c>
      <c r="M79" s="9">
        <f t="shared" si="22"/>
        <v>1.2118568069996848E-3</v>
      </c>
      <c r="N79" s="39"/>
      <c r="O79" s="71"/>
      <c r="P79" s="94">
        <f t="shared" si="23"/>
        <v>200</v>
      </c>
      <c r="Q79" s="94">
        <f t="shared" ref="Q79:Q123" si="27">MIN(Q$10*F79,P$124*F79/F$54)</f>
        <v>0</v>
      </c>
      <c r="R79" s="94">
        <f t="shared" si="24"/>
        <v>0</v>
      </c>
      <c r="S79" s="94">
        <f t="shared" si="12"/>
        <v>0</v>
      </c>
      <c r="T79" s="94">
        <f t="shared" si="20"/>
        <v>53918.767905184315</v>
      </c>
      <c r="V79" s="94">
        <f t="shared" si="14"/>
        <v>54118.767905184315</v>
      </c>
      <c r="AC79" s="111">
        <f t="shared" si="26"/>
        <v>54118.767905184315</v>
      </c>
      <c r="AD79" s="94">
        <v>0</v>
      </c>
      <c r="AE79" s="94">
        <v>0</v>
      </c>
      <c r="AF79" s="94">
        <v>0</v>
      </c>
      <c r="AG79" s="94">
        <v>7665.395085881999</v>
      </c>
      <c r="AH79" s="94">
        <v>54118.767905184315</v>
      </c>
      <c r="AI79" s="94">
        <v>78355.904045178017</v>
      </c>
      <c r="AJ79" s="94">
        <v>102593.0401851717</v>
      </c>
      <c r="AK79" s="94">
        <v>126830.1763251654</v>
      </c>
      <c r="AL79" s="94">
        <v>151067.31246515911</v>
      </c>
      <c r="AM79" s="94">
        <v>175304.44860515281</v>
      </c>
      <c r="AN79" s="94">
        <v>199541.58474514651</v>
      </c>
      <c r="AO79" s="94">
        <v>223778.72088514021</v>
      </c>
      <c r="AP79" s="94">
        <v>248015.85702513391</v>
      </c>
    </row>
    <row r="80" spans="1:42" s="41" customFormat="1" ht="15" customHeight="1" outlineLevel="1" x14ac:dyDescent="0.25">
      <c r="A80" s="38" t="s">
        <v>60</v>
      </c>
      <c r="C80" s="23"/>
      <c r="D80" s="23"/>
      <c r="E80" s="23"/>
      <c r="F80" s="23"/>
      <c r="G80" s="24"/>
      <c r="H80" s="39"/>
      <c r="I80" s="8">
        <f>IF($Q$4&gt;=$Y$4,800,0)</f>
        <v>800</v>
      </c>
      <c r="J80" s="8">
        <v>0</v>
      </c>
      <c r="K80" s="8">
        <f>IF($Q$4&gt;=$Y$6,1200,0)</f>
        <v>1200</v>
      </c>
      <c r="L80" s="8">
        <f t="shared" si="25"/>
        <v>2000</v>
      </c>
      <c r="M80" s="9">
        <f t="shared" si="22"/>
        <v>1.2118568069996848E-3</v>
      </c>
      <c r="N80" s="39"/>
      <c r="O80" s="71"/>
      <c r="P80" s="94">
        <f t="shared" si="23"/>
        <v>200</v>
      </c>
      <c r="Q80" s="94">
        <f t="shared" si="27"/>
        <v>0</v>
      </c>
      <c r="R80" s="94">
        <f t="shared" si="24"/>
        <v>0</v>
      </c>
      <c r="S80" s="94">
        <f t="shared" si="12"/>
        <v>0</v>
      </c>
      <c r="T80" s="94">
        <f t="shared" si="20"/>
        <v>53918.767905184315</v>
      </c>
      <c r="V80" s="94">
        <f t="shared" si="14"/>
        <v>54118.767905184315</v>
      </c>
      <c r="AC80" s="111">
        <f t="shared" si="26"/>
        <v>54118.767905184315</v>
      </c>
      <c r="AD80" s="94">
        <v>0</v>
      </c>
      <c r="AE80" s="94">
        <v>0</v>
      </c>
      <c r="AF80" s="94">
        <v>0</v>
      </c>
      <c r="AG80" s="94">
        <v>8760.4515267222851</v>
      </c>
      <c r="AH80" s="94">
        <v>54118.767905184315</v>
      </c>
      <c r="AI80" s="94">
        <v>78355.904045178017</v>
      </c>
      <c r="AJ80" s="94">
        <v>102593.0401851717</v>
      </c>
      <c r="AK80" s="94">
        <v>126830.1763251654</v>
      </c>
      <c r="AL80" s="94">
        <v>151067.31246515911</v>
      </c>
      <c r="AM80" s="94">
        <v>175304.44860515281</v>
      </c>
      <c r="AN80" s="94">
        <v>199541.58474514651</v>
      </c>
      <c r="AO80" s="94">
        <v>223778.72088514021</v>
      </c>
      <c r="AP80" s="94">
        <v>248015.85702513391</v>
      </c>
    </row>
    <row r="81" spans="1:42" s="41" customFormat="1" ht="15" customHeight="1" outlineLevel="1" x14ac:dyDescent="0.25">
      <c r="A81" s="76" t="s">
        <v>75</v>
      </c>
      <c r="C81" s="23"/>
      <c r="D81" s="23"/>
      <c r="E81" s="23"/>
      <c r="F81" s="23"/>
      <c r="G81" s="24"/>
      <c r="H81" s="39"/>
      <c r="I81" s="8">
        <v>0</v>
      </c>
      <c r="J81" s="8">
        <f>IF($Q$4&gt;=$Y$5,400,0)</f>
        <v>400</v>
      </c>
      <c r="K81" s="8">
        <v>0</v>
      </c>
      <c r="L81" s="8">
        <f t="shared" si="25"/>
        <v>400</v>
      </c>
      <c r="M81" s="9">
        <f t="shared" si="22"/>
        <v>2.4237136139993698E-4</v>
      </c>
      <c r="N81" s="39"/>
      <c r="O81" s="71"/>
      <c r="P81" s="94">
        <f t="shared" si="23"/>
        <v>40</v>
      </c>
      <c r="Q81" s="94">
        <f t="shared" si="27"/>
        <v>0</v>
      </c>
      <c r="R81" s="94">
        <f t="shared" si="24"/>
        <v>0</v>
      </c>
      <c r="S81" s="94">
        <f t="shared" si="12"/>
        <v>0</v>
      </c>
      <c r="T81" s="94">
        <f t="shared" si="20"/>
        <v>10783.753581036864</v>
      </c>
      <c r="V81" s="94">
        <f t="shared" si="14"/>
        <v>10823.753581036864</v>
      </c>
      <c r="AC81" s="111">
        <f t="shared" si="26"/>
        <v>10823.753581036864</v>
      </c>
      <c r="AD81" s="94">
        <v>0</v>
      </c>
      <c r="AE81" s="94">
        <v>0</v>
      </c>
      <c r="AF81" s="94">
        <v>0</v>
      </c>
      <c r="AG81" s="94">
        <v>0</v>
      </c>
      <c r="AH81" s="94">
        <v>10823.753581036864</v>
      </c>
      <c r="AI81" s="94">
        <v>15671.180809035604</v>
      </c>
      <c r="AJ81" s="94">
        <v>20518.608037034341</v>
      </c>
      <c r="AK81" s="94">
        <v>25366.035265033082</v>
      </c>
      <c r="AL81" s="94">
        <v>30213.46249303182</v>
      </c>
      <c r="AM81" s="94">
        <v>35060.889721030566</v>
      </c>
      <c r="AN81" s="94">
        <v>39908.3169490293</v>
      </c>
      <c r="AO81" s="94">
        <v>44755.744177028042</v>
      </c>
      <c r="AP81" s="94">
        <v>49603.171405026784</v>
      </c>
    </row>
    <row r="82" spans="1:42" s="41" customFormat="1" ht="15" customHeight="1" outlineLevel="1" x14ac:dyDescent="0.25">
      <c r="A82" s="76" t="s">
        <v>76</v>
      </c>
      <c r="C82" s="23"/>
      <c r="D82" s="23"/>
      <c r="E82" s="23"/>
      <c r="F82" s="23"/>
      <c r="G82" s="24"/>
      <c r="H82" s="39"/>
      <c r="I82" s="8">
        <v>0</v>
      </c>
      <c r="J82" s="8">
        <f>IF($Q$4&gt;=$Y$5,300,0)</f>
        <v>300</v>
      </c>
      <c r="K82" s="8">
        <v>0</v>
      </c>
      <c r="L82" s="8">
        <f t="shared" si="25"/>
        <v>300</v>
      </c>
      <c r="M82" s="9">
        <f t="shared" si="22"/>
        <v>1.8177852104995273E-4</v>
      </c>
      <c r="N82" s="39"/>
      <c r="O82" s="71"/>
      <c r="P82" s="94">
        <f t="shared" si="23"/>
        <v>30</v>
      </c>
      <c r="Q82" s="94">
        <f t="shared" si="27"/>
        <v>0</v>
      </c>
      <c r="R82" s="94">
        <f t="shared" si="24"/>
        <v>0</v>
      </c>
      <c r="S82" s="94">
        <f t="shared" si="12"/>
        <v>0</v>
      </c>
      <c r="T82" s="94">
        <f t="shared" si="20"/>
        <v>8087.8151857776475</v>
      </c>
      <c r="V82" s="94">
        <f t="shared" si="14"/>
        <v>8117.8151857776475</v>
      </c>
      <c r="AC82" s="111">
        <f t="shared" si="26"/>
        <v>8117.8151857776475</v>
      </c>
      <c r="AD82" s="94">
        <v>0</v>
      </c>
      <c r="AE82" s="94">
        <v>0</v>
      </c>
      <c r="AF82" s="94">
        <v>0</v>
      </c>
      <c r="AG82" s="94">
        <v>0</v>
      </c>
      <c r="AH82" s="94">
        <v>8117.8151857776475</v>
      </c>
      <c r="AI82" s="94">
        <v>11753.385606776703</v>
      </c>
      <c r="AJ82" s="94">
        <v>15388.956027775756</v>
      </c>
      <c r="AK82" s="94">
        <v>19024.52644877481</v>
      </c>
      <c r="AL82" s="94">
        <v>22660.096869773864</v>
      </c>
      <c r="AM82" s="94">
        <v>26295.667290772923</v>
      </c>
      <c r="AN82" s="94">
        <v>29931.237711771977</v>
      </c>
      <c r="AO82" s="94">
        <v>33566.808132771032</v>
      </c>
      <c r="AP82" s="94">
        <v>37202.37855377009</v>
      </c>
    </row>
    <row r="83" spans="1:42" s="41" customFormat="1" ht="15" customHeight="1" outlineLevel="1" x14ac:dyDescent="0.25">
      <c r="A83" s="76" t="s">
        <v>77</v>
      </c>
      <c r="C83" s="23"/>
      <c r="D83" s="23"/>
      <c r="E83" s="23"/>
      <c r="F83" s="23"/>
      <c r="G83" s="24"/>
      <c r="H83" s="39"/>
      <c r="I83" s="8">
        <v>0</v>
      </c>
      <c r="J83" s="8">
        <f>IF($Q$4&gt;=$Y$5,300,0)</f>
        <v>300</v>
      </c>
      <c r="K83" s="8">
        <f>IF($Q$4&gt;=$Y$6,100,0)</f>
        <v>100</v>
      </c>
      <c r="L83" s="8">
        <f t="shared" si="25"/>
        <v>400</v>
      </c>
      <c r="M83" s="9">
        <f t="shared" si="22"/>
        <v>2.4237136139993698E-4</v>
      </c>
      <c r="N83" s="39"/>
      <c r="O83" s="71"/>
      <c r="P83" s="94">
        <f t="shared" si="23"/>
        <v>40</v>
      </c>
      <c r="Q83" s="94">
        <f t="shared" si="27"/>
        <v>0</v>
      </c>
      <c r="R83" s="94">
        <f t="shared" si="24"/>
        <v>0</v>
      </c>
      <c r="S83" s="94">
        <f t="shared" si="12"/>
        <v>0</v>
      </c>
      <c r="T83" s="94">
        <f t="shared" si="20"/>
        <v>10783.753581036864</v>
      </c>
      <c r="V83" s="94">
        <f t="shared" si="14"/>
        <v>10823.753581036864</v>
      </c>
      <c r="AC83" s="111">
        <f t="shared" si="26"/>
        <v>10823.753581036864</v>
      </c>
      <c r="AD83" s="94">
        <v>0</v>
      </c>
      <c r="AE83" s="94">
        <v>0</v>
      </c>
      <c r="AF83" s="94">
        <v>0</v>
      </c>
      <c r="AG83" s="94">
        <v>0</v>
      </c>
      <c r="AH83" s="94">
        <v>10823.753581036864</v>
      </c>
      <c r="AI83" s="94">
        <v>15671.180809035604</v>
      </c>
      <c r="AJ83" s="94">
        <v>20518.608037034341</v>
      </c>
      <c r="AK83" s="94">
        <v>25366.035265033082</v>
      </c>
      <c r="AL83" s="94">
        <v>30213.46249303182</v>
      </c>
      <c r="AM83" s="94">
        <v>35060.889721030566</v>
      </c>
      <c r="AN83" s="94">
        <v>39908.3169490293</v>
      </c>
      <c r="AO83" s="94">
        <v>44755.744177028042</v>
      </c>
      <c r="AP83" s="94">
        <v>49603.171405026784</v>
      </c>
    </row>
    <row r="84" spans="1:42" s="41" customFormat="1" ht="15" customHeight="1" outlineLevel="1" x14ac:dyDescent="0.25">
      <c r="A84" s="76" t="s">
        <v>78</v>
      </c>
      <c r="C84" s="23"/>
      <c r="D84" s="23"/>
      <c r="E84" s="23"/>
      <c r="F84" s="23"/>
      <c r="G84" s="24"/>
      <c r="H84" s="39"/>
      <c r="I84" s="8">
        <v>0</v>
      </c>
      <c r="J84" s="8">
        <f>IF($Q$4&gt;=$Y$5,1000,0)</f>
        <v>1000</v>
      </c>
      <c r="K84" s="8">
        <v>0</v>
      </c>
      <c r="L84" s="8">
        <f t="shared" si="25"/>
        <v>1000</v>
      </c>
      <c r="M84" s="9">
        <f t="shared" si="22"/>
        <v>6.0592840349984241E-4</v>
      </c>
      <c r="N84" s="39"/>
      <c r="O84" s="71"/>
      <c r="P84" s="94">
        <f t="shared" si="23"/>
        <v>100</v>
      </c>
      <c r="Q84" s="94">
        <f t="shared" si="27"/>
        <v>0</v>
      </c>
      <c r="R84" s="94">
        <f t="shared" si="24"/>
        <v>0</v>
      </c>
      <c r="S84" s="94">
        <f t="shared" si="12"/>
        <v>0</v>
      </c>
      <c r="T84" s="94">
        <f t="shared" si="20"/>
        <v>26959.383952592158</v>
      </c>
      <c r="V84" s="94">
        <f t="shared" si="14"/>
        <v>27059.383952592158</v>
      </c>
      <c r="AC84" s="111">
        <f t="shared" si="26"/>
        <v>27059.383952592158</v>
      </c>
      <c r="AD84" s="94">
        <v>0</v>
      </c>
      <c r="AE84" s="94">
        <v>0</v>
      </c>
      <c r="AF84" s="94">
        <v>0</v>
      </c>
      <c r="AG84" s="94">
        <v>0</v>
      </c>
      <c r="AH84" s="94">
        <v>27059.383952592158</v>
      </c>
      <c r="AI84" s="94">
        <v>39177.952022589008</v>
      </c>
      <c r="AJ84" s="94">
        <v>51296.520092585852</v>
      </c>
      <c r="AK84" s="94">
        <v>63415.088162582702</v>
      </c>
      <c r="AL84" s="94">
        <v>75533.656232579553</v>
      </c>
      <c r="AM84" s="94">
        <v>87652.224302576404</v>
      </c>
      <c r="AN84" s="94">
        <v>99770.792372573254</v>
      </c>
      <c r="AO84" s="94">
        <v>111889.36044257011</v>
      </c>
      <c r="AP84" s="94">
        <v>124007.92851256696</v>
      </c>
    </row>
    <row r="85" spans="1:42" s="41" customFormat="1" ht="15" customHeight="1" outlineLevel="1" x14ac:dyDescent="0.25">
      <c r="A85" s="76" t="s">
        <v>79</v>
      </c>
      <c r="C85" s="23"/>
      <c r="D85" s="23"/>
      <c r="E85" s="23"/>
      <c r="F85" s="23"/>
      <c r="G85" s="24"/>
      <c r="H85" s="39"/>
      <c r="I85" s="8">
        <v>0</v>
      </c>
      <c r="J85" s="8">
        <f>IF($Q$4&gt;=$Y$5,1000,0)</f>
        <v>1000</v>
      </c>
      <c r="K85" s="8">
        <v>0</v>
      </c>
      <c r="L85" s="8">
        <f t="shared" si="25"/>
        <v>1000</v>
      </c>
      <c r="M85" s="9">
        <f t="shared" si="22"/>
        <v>6.0592840349984241E-4</v>
      </c>
      <c r="N85" s="39"/>
      <c r="O85" s="71"/>
      <c r="P85" s="94">
        <f t="shared" si="23"/>
        <v>100</v>
      </c>
      <c r="Q85" s="94">
        <f t="shared" si="27"/>
        <v>0</v>
      </c>
      <c r="R85" s="94">
        <f t="shared" si="24"/>
        <v>0</v>
      </c>
      <c r="S85" s="94">
        <f t="shared" si="12"/>
        <v>0</v>
      </c>
      <c r="T85" s="94">
        <f t="shared" si="20"/>
        <v>26959.383952592158</v>
      </c>
      <c r="V85" s="94">
        <f t="shared" si="14"/>
        <v>27059.383952592158</v>
      </c>
      <c r="AC85" s="111">
        <f t="shared" si="26"/>
        <v>27059.383952592158</v>
      </c>
      <c r="AD85" s="94">
        <v>0</v>
      </c>
      <c r="AE85" s="94">
        <v>0</v>
      </c>
      <c r="AF85" s="94">
        <v>0</v>
      </c>
      <c r="AG85" s="94">
        <v>0</v>
      </c>
      <c r="AH85" s="94">
        <v>27059.383952592158</v>
      </c>
      <c r="AI85" s="94">
        <v>39177.952022589008</v>
      </c>
      <c r="AJ85" s="94">
        <v>51296.520092585852</v>
      </c>
      <c r="AK85" s="94">
        <v>63415.088162582702</v>
      </c>
      <c r="AL85" s="94">
        <v>75533.656232579553</v>
      </c>
      <c r="AM85" s="94">
        <v>87652.224302576404</v>
      </c>
      <c r="AN85" s="94">
        <v>99770.792372573254</v>
      </c>
      <c r="AO85" s="94">
        <v>111889.36044257011</v>
      </c>
      <c r="AP85" s="94">
        <v>124007.92851256696</v>
      </c>
    </row>
    <row r="86" spans="1:42" s="41" customFormat="1" ht="15" customHeight="1" outlineLevel="1" x14ac:dyDescent="0.25">
      <c r="A86" s="76" t="s">
        <v>80</v>
      </c>
      <c r="C86" s="23"/>
      <c r="D86" s="23"/>
      <c r="E86" s="23"/>
      <c r="F86" s="23"/>
      <c r="G86" s="24"/>
      <c r="H86" s="39"/>
      <c r="I86" s="8">
        <v>0</v>
      </c>
      <c r="J86" s="8">
        <f>IF($Q$4&gt;=$Y$5,300,0)</f>
        <v>300</v>
      </c>
      <c r="K86" s="8">
        <v>0</v>
      </c>
      <c r="L86" s="8">
        <f t="shared" si="25"/>
        <v>300</v>
      </c>
      <c r="M86" s="9">
        <f t="shared" si="22"/>
        <v>1.8177852104995273E-4</v>
      </c>
      <c r="N86" s="39"/>
      <c r="O86" s="71"/>
      <c r="P86" s="94">
        <f t="shared" si="23"/>
        <v>30</v>
      </c>
      <c r="Q86" s="94">
        <f t="shared" si="27"/>
        <v>0</v>
      </c>
      <c r="R86" s="94">
        <f t="shared" si="24"/>
        <v>0</v>
      </c>
      <c r="S86" s="94">
        <f t="shared" si="12"/>
        <v>0</v>
      </c>
      <c r="T86" s="94">
        <f t="shared" si="20"/>
        <v>8087.8151857776475</v>
      </c>
      <c r="V86" s="94">
        <f t="shared" si="14"/>
        <v>8117.8151857776475</v>
      </c>
      <c r="AC86" s="111">
        <f t="shared" si="26"/>
        <v>8117.8151857776475</v>
      </c>
      <c r="AD86" s="94">
        <v>0</v>
      </c>
      <c r="AE86" s="94">
        <v>0</v>
      </c>
      <c r="AF86" s="94">
        <v>0</v>
      </c>
      <c r="AG86" s="94">
        <v>0</v>
      </c>
      <c r="AH86" s="94">
        <v>8117.8151857776475</v>
      </c>
      <c r="AI86" s="94">
        <v>11753.385606776703</v>
      </c>
      <c r="AJ86" s="94">
        <v>15388.956027775756</v>
      </c>
      <c r="AK86" s="94">
        <v>19024.52644877481</v>
      </c>
      <c r="AL86" s="94">
        <v>22660.096869773864</v>
      </c>
      <c r="AM86" s="94">
        <v>26295.667290772923</v>
      </c>
      <c r="AN86" s="94">
        <v>29931.237711771977</v>
      </c>
      <c r="AO86" s="94">
        <v>33566.808132771032</v>
      </c>
      <c r="AP86" s="94">
        <v>37202.37855377009</v>
      </c>
    </row>
    <row r="87" spans="1:42" s="41" customFormat="1" ht="15" customHeight="1" outlineLevel="1" x14ac:dyDescent="0.25">
      <c r="A87" s="76" t="s">
        <v>81</v>
      </c>
      <c r="C87" s="23"/>
      <c r="D87" s="23"/>
      <c r="E87" s="23"/>
      <c r="F87" s="23"/>
      <c r="G87" s="24"/>
      <c r="H87" s="39"/>
      <c r="I87" s="8">
        <v>0</v>
      </c>
      <c r="J87" s="8">
        <f>IF($Q$4&gt;=$Y$5,200,0)</f>
        <v>200</v>
      </c>
      <c r="K87" s="8">
        <v>0</v>
      </c>
      <c r="L87" s="8">
        <f t="shared" si="25"/>
        <v>200</v>
      </c>
      <c r="M87" s="9">
        <f t="shared" si="22"/>
        <v>1.2118568069996849E-4</v>
      </c>
      <c r="N87" s="39"/>
      <c r="O87" s="71"/>
      <c r="P87" s="94">
        <f t="shared" si="23"/>
        <v>20</v>
      </c>
      <c r="Q87" s="94">
        <f t="shared" si="27"/>
        <v>0</v>
      </c>
      <c r="R87" s="94">
        <f t="shared" si="24"/>
        <v>0</v>
      </c>
      <c r="S87" s="94">
        <f t="shared" ref="S87:S123" si="28">MIN(S$10*D87,R$124*D87/D$54)</f>
        <v>0</v>
      </c>
      <c r="T87" s="94">
        <f t="shared" si="20"/>
        <v>5391.8767905184322</v>
      </c>
      <c r="V87" s="94">
        <f t="shared" ref="V87:V123" si="29">SUM(P87:T87)</f>
        <v>5411.8767905184322</v>
      </c>
      <c r="AC87" s="111">
        <f t="shared" si="26"/>
        <v>5411.8767905184322</v>
      </c>
      <c r="AD87" s="94">
        <v>0</v>
      </c>
      <c r="AE87" s="94">
        <v>0</v>
      </c>
      <c r="AF87" s="94">
        <v>0</v>
      </c>
      <c r="AG87" s="94">
        <v>0</v>
      </c>
      <c r="AH87" s="94">
        <v>5411.8767905184322</v>
      </c>
      <c r="AI87" s="94">
        <v>7835.5904045178022</v>
      </c>
      <c r="AJ87" s="94">
        <v>10259.30401851717</v>
      </c>
      <c r="AK87" s="94">
        <v>12683.017632516541</v>
      </c>
      <c r="AL87" s="94">
        <v>15106.73124651591</v>
      </c>
      <c r="AM87" s="94">
        <v>17530.444860515283</v>
      </c>
      <c r="AN87" s="94">
        <v>19954.15847451465</v>
      </c>
      <c r="AO87" s="94">
        <v>22377.872088514021</v>
      </c>
      <c r="AP87" s="94">
        <v>24801.585702513392</v>
      </c>
    </row>
    <row r="88" spans="1:42" s="41" customFormat="1" ht="15" customHeight="1" outlineLevel="1" x14ac:dyDescent="0.25">
      <c r="A88" s="76" t="s">
        <v>82</v>
      </c>
      <c r="C88" s="23"/>
      <c r="D88" s="23"/>
      <c r="E88" s="23"/>
      <c r="F88" s="23"/>
      <c r="G88" s="24"/>
      <c r="H88" s="39"/>
      <c r="I88" s="8">
        <v>0</v>
      </c>
      <c r="J88" s="8">
        <f>IF($Q$4&gt;=$Y$5,300,0)</f>
        <v>300</v>
      </c>
      <c r="K88" s="8">
        <v>0</v>
      </c>
      <c r="L88" s="8">
        <f t="shared" si="25"/>
        <v>300</v>
      </c>
      <c r="M88" s="9">
        <f t="shared" si="22"/>
        <v>1.8177852104995273E-4</v>
      </c>
      <c r="N88" s="39"/>
      <c r="O88" s="71"/>
      <c r="P88" s="94">
        <f t="shared" si="23"/>
        <v>30</v>
      </c>
      <c r="Q88" s="94">
        <f t="shared" si="27"/>
        <v>0</v>
      </c>
      <c r="R88" s="94">
        <f t="shared" si="24"/>
        <v>0</v>
      </c>
      <c r="S88" s="94">
        <f t="shared" si="28"/>
        <v>0</v>
      </c>
      <c r="T88" s="94">
        <f t="shared" si="20"/>
        <v>8087.8151857776475</v>
      </c>
      <c r="V88" s="94">
        <f t="shared" si="29"/>
        <v>8117.8151857776475</v>
      </c>
      <c r="AC88" s="111">
        <f t="shared" si="26"/>
        <v>8117.8151857776475</v>
      </c>
      <c r="AD88" s="94">
        <v>0</v>
      </c>
      <c r="AE88" s="94">
        <v>0</v>
      </c>
      <c r="AF88" s="94">
        <v>0</v>
      </c>
      <c r="AG88" s="94">
        <v>0</v>
      </c>
      <c r="AH88" s="94">
        <v>8117.8151857776475</v>
      </c>
      <c r="AI88" s="94">
        <v>11753.385606776703</v>
      </c>
      <c r="AJ88" s="94">
        <v>15388.956027775756</v>
      </c>
      <c r="AK88" s="94">
        <v>19024.52644877481</v>
      </c>
      <c r="AL88" s="94">
        <v>22660.096869773864</v>
      </c>
      <c r="AM88" s="94">
        <v>26295.667290772923</v>
      </c>
      <c r="AN88" s="94">
        <v>29931.237711771977</v>
      </c>
      <c r="AO88" s="94">
        <v>33566.808132771032</v>
      </c>
      <c r="AP88" s="94">
        <v>37202.37855377009</v>
      </c>
    </row>
    <row r="89" spans="1:42" s="41" customFormat="1" ht="15" customHeight="1" outlineLevel="1" x14ac:dyDescent="0.25">
      <c r="A89" s="76" t="s">
        <v>83</v>
      </c>
      <c r="C89" s="23"/>
      <c r="D89" s="23"/>
      <c r="E89" s="23"/>
      <c r="F89" s="23"/>
      <c r="G89" s="24"/>
      <c r="H89" s="39"/>
      <c r="I89" s="8">
        <v>0</v>
      </c>
      <c r="J89" s="8">
        <f>IF($Q$4&gt;=$Y$5,200,0)</f>
        <v>200</v>
      </c>
      <c r="K89" s="8">
        <v>0</v>
      </c>
      <c r="L89" s="8">
        <f t="shared" si="25"/>
        <v>200</v>
      </c>
      <c r="M89" s="9">
        <f t="shared" si="22"/>
        <v>1.2118568069996849E-4</v>
      </c>
      <c r="N89" s="39"/>
      <c r="O89" s="71"/>
      <c r="P89" s="94">
        <f t="shared" si="23"/>
        <v>20</v>
      </c>
      <c r="Q89" s="94">
        <f t="shared" si="27"/>
        <v>0</v>
      </c>
      <c r="R89" s="94">
        <f t="shared" si="24"/>
        <v>0</v>
      </c>
      <c r="S89" s="94">
        <f t="shared" si="28"/>
        <v>0</v>
      </c>
      <c r="T89" s="94">
        <f t="shared" si="20"/>
        <v>5391.8767905184322</v>
      </c>
      <c r="V89" s="94">
        <f t="shared" si="29"/>
        <v>5411.8767905184322</v>
      </c>
      <c r="AC89" s="111">
        <f t="shared" si="26"/>
        <v>5411.8767905184322</v>
      </c>
      <c r="AD89" s="94">
        <v>0</v>
      </c>
      <c r="AE89" s="94">
        <v>0</v>
      </c>
      <c r="AF89" s="94">
        <v>0</v>
      </c>
      <c r="AG89" s="94">
        <v>0</v>
      </c>
      <c r="AH89" s="94">
        <v>5411.8767905184322</v>
      </c>
      <c r="AI89" s="94">
        <v>7835.5904045178022</v>
      </c>
      <c r="AJ89" s="94">
        <v>10259.30401851717</v>
      </c>
      <c r="AK89" s="94">
        <v>12683.017632516541</v>
      </c>
      <c r="AL89" s="94">
        <v>15106.73124651591</v>
      </c>
      <c r="AM89" s="94">
        <v>17530.444860515283</v>
      </c>
      <c r="AN89" s="94">
        <v>19954.15847451465</v>
      </c>
      <c r="AO89" s="94">
        <v>22377.872088514021</v>
      </c>
      <c r="AP89" s="94">
        <v>24801.585702513392</v>
      </c>
    </row>
    <row r="90" spans="1:42" s="41" customFormat="1" ht="15" customHeight="1" outlineLevel="1" x14ac:dyDescent="0.25">
      <c r="A90" s="76" t="s">
        <v>84</v>
      </c>
      <c r="C90" s="23"/>
      <c r="D90" s="23"/>
      <c r="E90" s="23"/>
      <c r="F90" s="23"/>
      <c r="G90" s="24"/>
      <c r="H90" s="39"/>
      <c r="I90" s="8">
        <v>0</v>
      </c>
      <c r="J90" s="8">
        <f>IF($Q$4&gt;=$Y$5,400,0)</f>
        <v>400</v>
      </c>
      <c r="K90" s="8">
        <v>0</v>
      </c>
      <c r="L90" s="8">
        <f t="shared" si="25"/>
        <v>400</v>
      </c>
      <c r="M90" s="9">
        <f t="shared" si="22"/>
        <v>2.4237136139993698E-4</v>
      </c>
      <c r="N90" s="39"/>
      <c r="O90" s="71"/>
      <c r="P90" s="94">
        <f t="shared" si="23"/>
        <v>40</v>
      </c>
      <c r="Q90" s="94">
        <f t="shared" si="27"/>
        <v>0</v>
      </c>
      <c r="R90" s="94">
        <f t="shared" si="24"/>
        <v>0</v>
      </c>
      <c r="S90" s="94">
        <f t="shared" si="28"/>
        <v>0</v>
      </c>
      <c r="T90" s="94">
        <f t="shared" si="20"/>
        <v>10783.753581036864</v>
      </c>
      <c r="V90" s="94">
        <f t="shared" si="29"/>
        <v>10823.753581036864</v>
      </c>
      <c r="AC90" s="111">
        <f t="shared" si="26"/>
        <v>10823.753581036864</v>
      </c>
      <c r="AD90" s="94">
        <v>0</v>
      </c>
      <c r="AE90" s="94">
        <v>0</v>
      </c>
      <c r="AF90" s="94">
        <v>0</v>
      </c>
      <c r="AG90" s="94">
        <v>0</v>
      </c>
      <c r="AH90" s="94">
        <v>10823.753581036864</v>
      </c>
      <c r="AI90" s="94">
        <v>15671.180809035604</v>
      </c>
      <c r="AJ90" s="94">
        <v>20518.608037034341</v>
      </c>
      <c r="AK90" s="94">
        <v>25366.035265033082</v>
      </c>
      <c r="AL90" s="94">
        <v>30213.46249303182</v>
      </c>
      <c r="AM90" s="94">
        <v>35060.889721030566</v>
      </c>
      <c r="AN90" s="94">
        <v>39908.3169490293</v>
      </c>
      <c r="AO90" s="94">
        <v>44755.744177028042</v>
      </c>
      <c r="AP90" s="94">
        <v>49603.171405026784</v>
      </c>
    </row>
    <row r="91" spans="1:42" s="41" customFormat="1" ht="15" customHeight="1" outlineLevel="1" x14ac:dyDescent="0.25">
      <c r="A91" s="76" t="s">
        <v>85</v>
      </c>
      <c r="C91" s="23"/>
      <c r="D91" s="23"/>
      <c r="E91" s="23"/>
      <c r="F91" s="23"/>
      <c r="G91" s="24"/>
      <c r="H91" s="39"/>
      <c r="I91" s="8">
        <v>0</v>
      </c>
      <c r="J91" s="8">
        <f>IF($Q$4&gt;=$Y$5,300,0)</f>
        <v>300</v>
      </c>
      <c r="K91" s="8">
        <f>IF($Q$4&gt;=$Y$6,100,0)</f>
        <v>100</v>
      </c>
      <c r="L91" s="8">
        <f t="shared" si="25"/>
        <v>400</v>
      </c>
      <c r="M91" s="9">
        <f t="shared" si="22"/>
        <v>2.4237136139993698E-4</v>
      </c>
      <c r="N91" s="39"/>
      <c r="O91" s="71"/>
      <c r="P91" s="94">
        <f t="shared" si="23"/>
        <v>40</v>
      </c>
      <c r="Q91" s="94">
        <f t="shared" si="27"/>
        <v>0</v>
      </c>
      <c r="R91" s="94">
        <f t="shared" si="24"/>
        <v>0</v>
      </c>
      <c r="S91" s="94">
        <f t="shared" si="28"/>
        <v>0</v>
      </c>
      <c r="T91" s="94">
        <f t="shared" si="20"/>
        <v>10783.753581036864</v>
      </c>
      <c r="V91" s="94">
        <f t="shared" si="29"/>
        <v>10823.753581036864</v>
      </c>
      <c r="AC91" s="111">
        <f t="shared" si="26"/>
        <v>10823.753581036864</v>
      </c>
      <c r="AD91" s="94">
        <v>0</v>
      </c>
      <c r="AE91" s="94">
        <v>0</v>
      </c>
      <c r="AF91" s="94">
        <v>0</v>
      </c>
      <c r="AG91" s="94">
        <v>0</v>
      </c>
      <c r="AH91" s="94">
        <v>10823.753581036864</v>
      </c>
      <c r="AI91" s="94">
        <v>15671.180809035604</v>
      </c>
      <c r="AJ91" s="94">
        <v>20518.608037034341</v>
      </c>
      <c r="AK91" s="94">
        <v>25366.035265033082</v>
      </c>
      <c r="AL91" s="94">
        <v>30213.46249303182</v>
      </c>
      <c r="AM91" s="94">
        <v>35060.889721030566</v>
      </c>
      <c r="AN91" s="94">
        <v>39908.3169490293</v>
      </c>
      <c r="AO91" s="94">
        <v>44755.744177028042</v>
      </c>
      <c r="AP91" s="94">
        <v>49603.171405026784</v>
      </c>
    </row>
    <row r="92" spans="1:42" s="41" customFormat="1" ht="15" customHeight="1" outlineLevel="1" x14ac:dyDescent="0.25">
      <c r="A92" s="76" t="s">
        <v>86</v>
      </c>
      <c r="C92" s="23"/>
      <c r="D92" s="23"/>
      <c r="E92" s="23"/>
      <c r="F92" s="23"/>
      <c r="G92" s="24"/>
      <c r="H92" s="39"/>
      <c r="I92" s="8">
        <v>0</v>
      </c>
      <c r="J92" s="8">
        <f>IF($Q$4&gt;=$Y$5,300,0)</f>
        <v>300</v>
      </c>
      <c r="K92" s="8">
        <f>IF($Q$4&gt;=$Y$6,700,0)</f>
        <v>700</v>
      </c>
      <c r="L92" s="8">
        <f t="shared" si="25"/>
        <v>1000</v>
      </c>
      <c r="M92" s="9">
        <f t="shared" si="22"/>
        <v>6.0592840349984241E-4</v>
      </c>
      <c r="N92" s="39"/>
      <c r="O92" s="71"/>
      <c r="P92" s="94">
        <f t="shared" si="23"/>
        <v>100</v>
      </c>
      <c r="Q92" s="94">
        <f t="shared" si="27"/>
        <v>0</v>
      </c>
      <c r="R92" s="94">
        <f t="shared" si="24"/>
        <v>0</v>
      </c>
      <c r="S92" s="94">
        <f t="shared" si="28"/>
        <v>0</v>
      </c>
      <c r="T92" s="94">
        <f t="shared" si="20"/>
        <v>26959.383952592158</v>
      </c>
      <c r="V92" s="94">
        <f t="shared" si="29"/>
        <v>27059.383952592158</v>
      </c>
      <c r="AC92" s="111">
        <f t="shared" si="26"/>
        <v>27059.383952592158</v>
      </c>
      <c r="AD92" s="94">
        <v>0</v>
      </c>
      <c r="AE92" s="94">
        <v>0</v>
      </c>
      <c r="AF92" s="94">
        <v>0</v>
      </c>
      <c r="AG92" s="94">
        <v>0</v>
      </c>
      <c r="AH92" s="94">
        <v>27059.383952592158</v>
      </c>
      <c r="AI92" s="94">
        <v>39177.952022589008</v>
      </c>
      <c r="AJ92" s="94">
        <v>51296.520092585852</v>
      </c>
      <c r="AK92" s="94">
        <v>63415.088162582702</v>
      </c>
      <c r="AL92" s="94">
        <v>75533.656232579553</v>
      </c>
      <c r="AM92" s="94">
        <v>87652.224302576404</v>
      </c>
      <c r="AN92" s="94">
        <v>99770.792372573254</v>
      </c>
      <c r="AO92" s="94">
        <v>111889.36044257011</v>
      </c>
      <c r="AP92" s="94">
        <v>124007.92851256696</v>
      </c>
    </row>
    <row r="93" spans="1:42" s="41" customFormat="1" ht="15" customHeight="1" outlineLevel="1" x14ac:dyDescent="0.25">
      <c r="A93" s="77" t="s">
        <v>87</v>
      </c>
      <c r="C93" s="23"/>
      <c r="D93" s="23"/>
      <c r="E93" s="23"/>
      <c r="F93" s="23"/>
      <c r="G93" s="24"/>
      <c r="H93" s="39"/>
      <c r="I93" s="8">
        <v>0</v>
      </c>
      <c r="J93" s="8">
        <f>IF($Q$4&gt;=$Y$5,400,0)</f>
        <v>400</v>
      </c>
      <c r="K93" s="8">
        <v>0</v>
      </c>
      <c r="L93" s="8">
        <f t="shared" si="25"/>
        <v>400</v>
      </c>
      <c r="M93" s="9">
        <f t="shared" si="22"/>
        <v>2.4237136139993698E-4</v>
      </c>
      <c r="N93" s="39"/>
      <c r="O93" s="71"/>
      <c r="P93" s="94">
        <f t="shared" si="23"/>
        <v>40</v>
      </c>
      <c r="Q93" s="94">
        <f t="shared" si="27"/>
        <v>0</v>
      </c>
      <c r="R93" s="94">
        <f t="shared" si="24"/>
        <v>0</v>
      </c>
      <c r="S93" s="94">
        <f t="shared" si="28"/>
        <v>0</v>
      </c>
      <c r="T93" s="94">
        <f t="shared" si="20"/>
        <v>10783.753581036864</v>
      </c>
      <c r="V93" s="94">
        <f t="shared" si="29"/>
        <v>10823.753581036864</v>
      </c>
      <c r="AC93" s="111">
        <f t="shared" si="26"/>
        <v>10823.753581036864</v>
      </c>
      <c r="AD93" s="94">
        <v>0</v>
      </c>
      <c r="AE93" s="94">
        <v>0</v>
      </c>
      <c r="AF93" s="94">
        <v>0</v>
      </c>
      <c r="AG93" s="94">
        <v>0</v>
      </c>
      <c r="AH93" s="94">
        <v>10823.753581036864</v>
      </c>
      <c r="AI93" s="94">
        <v>15671.180809035604</v>
      </c>
      <c r="AJ93" s="94">
        <v>20518.608037034341</v>
      </c>
      <c r="AK93" s="94">
        <v>25366.035265033082</v>
      </c>
      <c r="AL93" s="94">
        <v>30213.46249303182</v>
      </c>
      <c r="AM93" s="94">
        <v>35060.889721030566</v>
      </c>
      <c r="AN93" s="94">
        <v>39908.3169490293</v>
      </c>
      <c r="AO93" s="94">
        <v>44755.744177028042</v>
      </c>
      <c r="AP93" s="94">
        <v>49603.171405026784</v>
      </c>
    </row>
    <row r="94" spans="1:42" s="41" customFormat="1" ht="15" customHeight="1" outlineLevel="1" x14ac:dyDescent="0.25">
      <c r="A94" s="76" t="s">
        <v>88</v>
      </c>
      <c r="C94" s="23"/>
      <c r="D94" s="23"/>
      <c r="E94" s="23"/>
      <c r="F94" s="23"/>
      <c r="G94" s="24"/>
      <c r="H94" s="39"/>
      <c r="I94" s="8">
        <v>0</v>
      </c>
      <c r="J94" s="8">
        <f>IF($Q$4&gt;=$Y$5,400,0)</f>
        <v>400</v>
      </c>
      <c r="K94" s="8">
        <v>0</v>
      </c>
      <c r="L94" s="8">
        <f t="shared" si="25"/>
        <v>400</v>
      </c>
      <c r="M94" s="9">
        <f t="shared" si="22"/>
        <v>2.4237136139993698E-4</v>
      </c>
      <c r="N94" s="39"/>
      <c r="O94" s="71"/>
      <c r="P94" s="94">
        <f t="shared" si="23"/>
        <v>40</v>
      </c>
      <c r="Q94" s="94">
        <f t="shared" si="27"/>
        <v>0</v>
      </c>
      <c r="R94" s="94">
        <f t="shared" si="24"/>
        <v>0</v>
      </c>
      <c r="S94" s="94">
        <f t="shared" si="28"/>
        <v>0</v>
      </c>
      <c r="T94" s="94">
        <f t="shared" si="20"/>
        <v>10783.753581036864</v>
      </c>
      <c r="V94" s="94">
        <f t="shared" si="29"/>
        <v>10823.753581036864</v>
      </c>
      <c r="AC94" s="111">
        <f t="shared" si="26"/>
        <v>10823.753581036864</v>
      </c>
      <c r="AD94" s="94">
        <v>0</v>
      </c>
      <c r="AE94" s="94">
        <v>0</v>
      </c>
      <c r="AF94" s="94">
        <v>0</v>
      </c>
      <c r="AG94" s="94">
        <v>0</v>
      </c>
      <c r="AH94" s="94">
        <v>10823.753581036864</v>
      </c>
      <c r="AI94" s="94">
        <v>15671.180809035604</v>
      </c>
      <c r="AJ94" s="94">
        <v>20518.608037034341</v>
      </c>
      <c r="AK94" s="94">
        <v>25366.035265033082</v>
      </c>
      <c r="AL94" s="94">
        <v>30213.46249303182</v>
      </c>
      <c r="AM94" s="94">
        <v>35060.889721030566</v>
      </c>
      <c r="AN94" s="94">
        <v>39908.3169490293</v>
      </c>
      <c r="AO94" s="94">
        <v>44755.744177028042</v>
      </c>
      <c r="AP94" s="94">
        <v>49603.171405026784</v>
      </c>
    </row>
    <row r="95" spans="1:42" s="41" customFormat="1" ht="15" customHeight="1" outlineLevel="1" x14ac:dyDescent="0.25">
      <c r="A95" s="76" t="s">
        <v>89</v>
      </c>
      <c r="C95" s="23"/>
      <c r="D95" s="23"/>
      <c r="E95" s="23"/>
      <c r="F95" s="23"/>
      <c r="G95" s="24"/>
      <c r="H95" s="39"/>
      <c r="I95" s="8">
        <v>0</v>
      </c>
      <c r="J95" s="8">
        <f>IF($Q$4&gt;=$Y$5,300,0)</f>
        <v>300</v>
      </c>
      <c r="K95" s="8">
        <f>IF($Q$4&gt;=$Y$6,100,0)</f>
        <v>100</v>
      </c>
      <c r="L95" s="8">
        <f t="shared" si="25"/>
        <v>400</v>
      </c>
      <c r="M95" s="9">
        <f t="shared" si="22"/>
        <v>2.4237136139993698E-4</v>
      </c>
      <c r="N95" s="39"/>
      <c r="O95" s="71"/>
      <c r="P95" s="94">
        <f t="shared" si="23"/>
        <v>40</v>
      </c>
      <c r="Q95" s="94">
        <f t="shared" si="27"/>
        <v>0</v>
      </c>
      <c r="R95" s="94">
        <f t="shared" si="24"/>
        <v>0</v>
      </c>
      <c r="S95" s="94">
        <f t="shared" si="28"/>
        <v>0</v>
      </c>
      <c r="T95" s="94">
        <f t="shared" si="20"/>
        <v>10783.753581036864</v>
      </c>
      <c r="V95" s="94">
        <f t="shared" si="29"/>
        <v>10823.753581036864</v>
      </c>
      <c r="AC95" s="111">
        <f t="shared" si="26"/>
        <v>10823.753581036864</v>
      </c>
      <c r="AD95" s="94">
        <v>0</v>
      </c>
      <c r="AE95" s="94">
        <v>0</v>
      </c>
      <c r="AF95" s="94">
        <v>0</v>
      </c>
      <c r="AG95" s="94">
        <v>0</v>
      </c>
      <c r="AH95" s="94">
        <v>10823.753581036864</v>
      </c>
      <c r="AI95" s="94">
        <v>15671.180809035604</v>
      </c>
      <c r="AJ95" s="94">
        <v>20518.608037034341</v>
      </c>
      <c r="AK95" s="94">
        <v>25366.035265033082</v>
      </c>
      <c r="AL95" s="94">
        <v>30213.46249303182</v>
      </c>
      <c r="AM95" s="94">
        <v>35060.889721030566</v>
      </c>
      <c r="AN95" s="94">
        <v>39908.3169490293</v>
      </c>
      <c r="AO95" s="94">
        <v>44755.744177028042</v>
      </c>
      <c r="AP95" s="94">
        <v>49603.171405026784</v>
      </c>
    </row>
    <row r="96" spans="1:42" s="41" customFormat="1" ht="15" customHeight="1" outlineLevel="1" x14ac:dyDescent="0.25">
      <c r="A96" s="76" t="s">
        <v>90</v>
      </c>
      <c r="C96" s="23"/>
      <c r="D96" s="23"/>
      <c r="E96" s="23"/>
      <c r="F96" s="23"/>
      <c r="G96" s="24"/>
      <c r="H96" s="39"/>
      <c r="I96" s="8">
        <v>0</v>
      </c>
      <c r="J96" s="8">
        <v>0</v>
      </c>
      <c r="K96" s="8">
        <v>0</v>
      </c>
      <c r="L96" s="8">
        <f t="shared" si="25"/>
        <v>0</v>
      </c>
      <c r="M96" s="9">
        <f t="shared" si="22"/>
        <v>0</v>
      </c>
      <c r="N96" s="39"/>
      <c r="O96" s="71"/>
      <c r="P96" s="94">
        <f t="shared" si="23"/>
        <v>0</v>
      </c>
      <c r="Q96" s="94">
        <f t="shared" si="27"/>
        <v>0</v>
      </c>
      <c r="R96" s="94">
        <f t="shared" si="24"/>
        <v>0</v>
      </c>
      <c r="S96" s="94">
        <f t="shared" si="28"/>
        <v>0</v>
      </c>
      <c r="T96" s="94">
        <f t="shared" si="20"/>
        <v>0</v>
      </c>
      <c r="V96" s="94">
        <f t="shared" si="29"/>
        <v>0</v>
      </c>
      <c r="AC96" s="111">
        <f t="shared" si="26"/>
        <v>0</v>
      </c>
      <c r="AD96" s="94">
        <v>0</v>
      </c>
      <c r="AE96" s="94">
        <v>0</v>
      </c>
      <c r="AF96" s="94">
        <v>0</v>
      </c>
      <c r="AG96" s="94">
        <v>0</v>
      </c>
      <c r="AH96" s="94">
        <v>0</v>
      </c>
      <c r="AI96" s="94">
        <v>0</v>
      </c>
      <c r="AJ96" s="94">
        <v>0</v>
      </c>
      <c r="AK96" s="94">
        <v>0</v>
      </c>
      <c r="AL96" s="94">
        <v>0</v>
      </c>
      <c r="AM96" s="94">
        <v>0</v>
      </c>
      <c r="AN96" s="94">
        <v>0</v>
      </c>
      <c r="AO96" s="94">
        <v>0</v>
      </c>
      <c r="AP96" s="94">
        <v>0</v>
      </c>
    </row>
    <row r="97" spans="1:42" s="41" customFormat="1" ht="15" customHeight="1" outlineLevel="1" x14ac:dyDescent="0.25">
      <c r="A97" s="76" t="s">
        <v>91</v>
      </c>
      <c r="C97" s="23"/>
      <c r="D97" s="23"/>
      <c r="E97" s="23"/>
      <c r="F97" s="23"/>
      <c r="G97" s="24"/>
      <c r="H97" s="39"/>
      <c r="I97" s="8">
        <v>0</v>
      </c>
      <c r="J97" s="8">
        <f>IF($Q$4&gt;=$Y$5,300,0)</f>
        <v>300</v>
      </c>
      <c r="K97" s="8">
        <v>0</v>
      </c>
      <c r="L97" s="8">
        <f t="shared" si="25"/>
        <v>300</v>
      </c>
      <c r="M97" s="9">
        <f t="shared" si="22"/>
        <v>1.8177852104995273E-4</v>
      </c>
      <c r="N97" s="39"/>
      <c r="O97" s="71"/>
      <c r="P97" s="94">
        <f t="shared" si="23"/>
        <v>30</v>
      </c>
      <c r="Q97" s="94">
        <f t="shared" si="27"/>
        <v>0</v>
      </c>
      <c r="R97" s="94">
        <f t="shared" si="24"/>
        <v>0</v>
      </c>
      <c r="S97" s="94">
        <f t="shared" si="28"/>
        <v>0</v>
      </c>
      <c r="T97" s="94">
        <f t="shared" si="20"/>
        <v>8087.8151857776475</v>
      </c>
      <c r="V97" s="94">
        <f t="shared" si="29"/>
        <v>8117.8151857776475</v>
      </c>
      <c r="AC97" s="111">
        <f t="shared" si="26"/>
        <v>8117.8151857776475</v>
      </c>
      <c r="AD97" s="94">
        <v>0</v>
      </c>
      <c r="AE97" s="94">
        <v>0</v>
      </c>
      <c r="AF97" s="94">
        <v>0</v>
      </c>
      <c r="AG97" s="94">
        <v>0</v>
      </c>
      <c r="AH97" s="94">
        <v>8117.8151857776475</v>
      </c>
      <c r="AI97" s="94">
        <v>11753.385606776703</v>
      </c>
      <c r="AJ97" s="94">
        <v>15388.956027775756</v>
      </c>
      <c r="AK97" s="94">
        <v>19024.52644877481</v>
      </c>
      <c r="AL97" s="94">
        <v>22660.096869773864</v>
      </c>
      <c r="AM97" s="94">
        <v>26295.667290772923</v>
      </c>
      <c r="AN97" s="94">
        <v>29931.237711771977</v>
      </c>
      <c r="AO97" s="94">
        <v>33566.808132771032</v>
      </c>
      <c r="AP97" s="94">
        <v>37202.37855377009</v>
      </c>
    </row>
    <row r="98" spans="1:42" s="41" customFormat="1" ht="15" customHeight="1" outlineLevel="1" x14ac:dyDescent="0.25">
      <c r="A98" s="76" t="s">
        <v>92</v>
      </c>
      <c r="C98" s="23"/>
      <c r="D98" s="23"/>
      <c r="E98" s="23"/>
      <c r="F98" s="23"/>
      <c r="G98" s="24"/>
      <c r="H98" s="39"/>
      <c r="I98" s="8">
        <v>0</v>
      </c>
      <c r="J98" s="8">
        <f>IF($Q$4&gt;=$Y$5,1000,0)</f>
        <v>1000</v>
      </c>
      <c r="K98" s="8">
        <v>0</v>
      </c>
      <c r="L98" s="8">
        <f t="shared" si="25"/>
        <v>1000</v>
      </c>
      <c r="M98" s="9">
        <f t="shared" si="22"/>
        <v>6.0592840349984241E-4</v>
      </c>
      <c r="N98" s="39"/>
      <c r="O98" s="71"/>
      <c r="P98" s="94">
        <f t="shared" si="23"/>
        <v>100</v>
      </c>
      <c r="Q98" s="94">
        <f t="shared" si="27"/>
        <v>0</v>
      </c>
      <c r="R98" s="94">
        <f t="shared" si="24"/>
        <v>0</v>
      </c>
      <c r="S98" s="94">
        <f t="shared" si="28"/>
        <v>0</v>
      </c>
      <c r="T98" s="94">
        <f t="shared" si="20"/>
        <v>26959.383952592158</v>
      </c>
      <c r="V98" s="94">
        <f t="shared" si="29"/>
        <v>27059.383952592158</v>
      </c>
      <c r="AC98" s="111">
        <f t="shared" si="26"/>
        <v>27059.383952592158</v>
      </c>
      <c r="AD98" s="94">
        <v>0</v>
      </c>
      <c r="AE98" s="94">
        <v>0</v>
      </c>
      <c r="AF98" s="94">
        <v>0</v>
      </c>
      <c r="AG98" s="94">
        <v>0</v>
      </c>
      <c r="AH98" s="94">
        <v>27059.383952592158</v>
      </c>
      <c r="AI98" s="94">
        <v>39177.952022589008</v>
      </c>
      <c r="AJ98" s="94">
        <v>51296.520092585852</v>
      </c>
      <c r="AK98" s="94">
        <v>63415.088162582702</v>
      </c>
      <c r="AL98" s="94">
        <v>75533.656232579553</v>
      </c>
      <c r="AM98" s="94">
        <v>87652.224302576404</v>
      </c>
      <c r="AN98" s="94">
        <v>99770.792372573254</v>
      </c>
      <c r="AO98" s="94">
        <v>111889.36044257011</v>
      </c>
      <c r="AP98" s="94">
        <v>124007.92851256696</v>
      </c>
    </row>
    <row r="99" spans="1:42" s="41" customFormat="1" ht="15" customHeight="1" outlineLevel="1" x14ac:dyDescent="0.25">
      <c r="A99" s="76" t="s">
        <v>95</v>
      </c>
      <c r="C99" s="23"/>
      <c r="D99" s="23"/>
      <c r="E99" s="23"/>
      <c r="F99" s="23"/>
      <c r="G99" s="24"/>
      <c r="H99" s="39"/>
      <c r="I99" s="8">
        <v>0</v>
      </c>
      <c r="J99" s="8">
        <v>0</v>
      </c>
      <c r="K99" s="8">
        <f>IF($Q$4&gt;=$Y$6,1000,0)</f>
        <v>1000</v>
      </c>
      <c r="L99" s="8">
        <f t="shared" si="25"/>
        <v>1000</v>
      </c>
      <c r="M99" s="9">
        <f t="shared" si="22"/>
        <v>6.0592840349984241E-4</v>
      </c>
      <c r="N99" s="39"/>
      <c r="O99" s="71"/>
      <c r="P99" s="94">
        <f t="shared" si="23"/>
        <v>100</v>
      </c>
      <c r="Q99" s="94">
        <f t="shared" si="27"/>
        <v>0</v>
      </c>
      <c r="R99" s="94">
        <f t="shared" si="24"/>
        <v>0</v>
      </c>
      <c r="S99" s="94">
        <f t="shared" si="28"/>
        <v>0</v>
      </c>
      <c r="T99" s="94">
        <f t="shared" si="20"/>
        <v>26959.383952592158</v>
      </c>
      <c r="V99" s="94">
        <f t="shared" si="29"/>
        <v>27059.383952592158</v>
      </c>
      <c r="AC99" s="111">
        <f t="shared" si="26"/>
        <v>27059.383952592158</v>
      </c>
      <c r="AD99" s="94">
        <v>0</v>
      </c>
      <c r="AE99" s="94">
        <v>0</v>
      </c>
      <c r="AF99" s="94">
        <v>0</v>
      </c>
      <c r="AG99" s="94">
        <v>0</v>
      </c>
      <c r="AH99" s="94">
        <v>27059.383952592158</v>
      </c>
      <c r="AI99" s="94">
        <v>39177.952022589008</v>
      </c>
      <c r="AJ99" s="94">
        <v>51296.520092585852</v>
      </c>
      <c r="AK99" s="94">
        <v>63415.088162582702</v>
      </c>
      <c r="AL99" s="94">
        <v>75533.656232579553</v>
      </c>
      <c r="AM99" s="94">
        <v>87652.224302576404</v>
      </c>
      <c r="AN99" s="94">
        <v>99770.792372573254</v>
      </c>
      <c r="AO99" s="94">
        <v>111889.36044257011</v>
      </c>
      <c r="AP99" s="94">
        <v>124007.92851256696</v>
      </c>
    </row>
    <row r="100" spans="1:42" s="41" customFormat="1" ht="15" customHeight="1" outlineLevel="1" x14ac:dyDescent="0.25">
      <c r="A100" s="76" t="s">
        <v>96</v>
      </c>
      <c r="C100" s="23"/>
      <c r="D100" s="23"/>
      <c r="E100" s="23"/>
      <c r="F100" s="23"/>
      <c r="G100" s="24"/>
      <c r="H100" s="39"/>
      <c r="I100" s="8">
        <v>0</v>
      </c>
      <c r="J100" s="8">
        <v>0</v>
      </c>
      <c r="K100" s="8">
        <f>IF($Q$4&gt;=$Y$6,400,0)</f>
        <v>400</v>
      </c>
      <c r="L100" s="8">
        <f t="shared" si="25"/>
        <v>400</v>
      </c>
      <c r="M100" s="9">
        <f t="shared" si="22"/>
        <v>2.4237136139993698E-4</v>
      </c>
      <c r="N100" s="39"/>
      <c r="O100" s="71"/>
      <c r="P100" s="94">
        <f t="shared" si="23"/>
        <v>40</v>
      </c>
      <c r="Q100" s="94">
        <f t="shared" si="27"/>
        <v>0</v>
      </c>
      <c r="R100" s="94">
        <f t="shared" si="24"/>
        <v>0</v>
      </c>
      <c r="S100" s="94">
        <f t="shared" si="28"/>
        <v>0</v>
      </c>
      <c r="T100" s="94">
        <f t="shared" si="20"/>
        <v>10783.753581036864</v>
      </c>
      <c r="V100" s="94">
        <f t="shared" si="29"/>
        <v>10823.753581036864</v>
      </c>
      <c r="AC100" s="111">
        <f t="shared" si="26"/>
        <v>10823.753581036864</v>
      </c>
      <c r="AD100" s="94">
        <v>0</v>
      </c>
      <c r="AE100" s="94">
        <v>0</v>
      </c>
      <c r="AF100" s="94">
        <v>0</v>
      </c>
      <c r="AG100" s="94">
        <v>0</v>
      </c>
      <c r="AH100" s="94">
        <v>10823.753581036864</v>
      </c>
      <c r="AI100" s="94">
        <v>15671.180809035604</v>
      </c>
      <c r="AJ100" s="94">
        <v>20518.608037034341</v>
      </c>
      <c r="AK100" s="94">
        <v>25366.035265033082</v>
      </c>
      <c r="AL100" s="94">
        <v>30213.46249303182</v>
      </c>
      <c r="AM100" s="94">
        <v>35060.889721030566</v>
      </c>
      <c r="AN100" s="94">
        <v>39908.3169490293</v>
      </c>
      <c r="AO100" s="94">
        <v>44755.744177028042</v>
      </c>
      <c r="AP100" s="94">
        <v>49603.171405026784</v>
      </c>
    </row>
    <row r="101" spans="1:42" s="41" customFormat="1" ht="15" customHeight="1" outlineLevel="1" x14ac:dyDescent="0.25">
      <c r="A101" s="76" t="s">
        <v>97</v>
      </c>
      <c r="C101" s="23"/>
      <c r="D101" s="23"/>
      <c r="E101" s="23"/>
      <c r="F101" s="23"/>
      <c r="G101" s="24"/>
      <c r="H101" s="39"/>
      <c r="I101" s="8">
        <v>0</v>
      </c>
      <c r="J101" s="8">
        <v>0</v>
      </c>
      <c r="K101" s="8">
        <f>IF($Q$4&gt;=$Y$6,400,0)</f>
        <v>400</v>
      </c>
      <c r="L101" s="8">
        <f t="shared" si="25"/>
        <v>400</v>
      </c>
      <c r="M101" s="9">
        <f t="shared" si="22"/>
        <v>2.4237136139993698E-4</v>
      </c>
      <c r="N101" s="39"/>
      <c r="O101" s="71"/>
      <c r="P101" s="94">
        <f t="shared" si="23"/>
        <v>40</v>
      </c>
      <c r="Q101" s="94">
        <f t="shared" si="27"/>
        <v>0</v>
      </c>
      <c r="R101" s="94">
        <f t="shared" si="24"/>
        <v>0</v>
      </c>
      <c r="S101" s="94">
        <f t="shared" si="28"/>
        <v>0</v>
      </c>
      <c r="T101" s="94">
        <f t="shared" si="20"/>
        <v>10783.753581036864</v>
      </c>
      <c r="V101" s="94">
        <f t="shared" si="29"/>
        <v>10823.753581036864</v>
      </c>
      <c r="AC101" s="111">
        <f t="shared" si="26"/>
        <v>10823.753581036864</v>
      </c>
      <c r="AD101" s="94">
        <v>0</v>
      </c>
      <c r="AE101" s="94">
        <v>0</v>
      </c>
      <c r="AF101" s="94">
        <v>0</v>
      </c>
      <c r="AG101" s="94">
        <v>0</v>
      </c>
      <c r="AH101" s="94">
        <v>10823.753581036864</v>
      </c>
      <c r="AI101" s="94">
        <v>15671.180809035604</v>
      </c>
      <c r="AJ101" s="94">
        <v>20518.608037034341</v>
      </c>
      <c r="AK101" s="94">
        <v>25366.035265033082</v>
      </c>
      <c r="AL101" s="94">
        <v>30213.46249303182</v>
      </c>
      <c r="AM101" s="94">
        <v>35060.889721030566</v>
      </c>
      <c r="AN101" s="94">
        <v>39908.3169490293</v>
      </c>
      <c r="AO101" s="94">
        <v>44755.744177028042</v>
      </c>
      <c r="AP101" s="94">
        <v>49603.171405026784</v>
      </c>
    </row>
    <row r="102" spans="1:42" s="41" customFormat="1" ht="15" customHeight="1" outlineLevel="1" x14ac:dyDescent="0.25">
      <c r="A102" s="76" t="s">
        <v>98</v>
      </c>
      <c r="C102" s="23"/>
      <c r="D102" s="23"/>
      <c r="E102" s="23"/>
      <c r="F102" s="23"/>
      <c r="G102" s="24"/>
      <c r="H102" s="39"/>
      <c r="I102" s="8">
        <v>0</v>
      </c>
      <c r="J102" s="8">
        <v>0</v>
      </c>
      <c r="K102" s="8">
        <f>IF($Q$4&gt;=$Y$6,300,0)</f>
        <v>300</v>
      </c>
      <c r="L102" s="8">
        <f t="shared" si="25"/>
        <v>300</v>
      </c>
      <c r="M102" s="9">
        <f t="shared" si="22"/>
        <v>1.8177852104995273E-4</v>
      </c>
      <c r="N102" s="39"/>
      <c r="O102" s="71"/>
      <c r="P102" s="94">
        <f t="shared" si="23"/>
        <v>30</v>
      </c>
      <c r="Q102" s="94">
        <f t="shared" si="27"/>
        <v>0</v>
      </c>
      <c r="R102" s="94">
        <f t="shared" si="24"/>
        <v>0</v>
      </c>
      <c r="S102" s="94">
        <f t="shared" si="28"/>
        <v>0</v>
      </c>
      <c r="T102" s="94">
        <f t="shared" si="20"/>
        <v>8087.8151857776475</v>
      </c>
      <c r="V102" s="94">
        <f t="shared" si="29"/>
        <v>8117.8151857776475</v>
      </c>
      <c r="AC102" s="111">
        <f t="shared" si="26"/>
        <v>8117.8151857776475</v>
      </c>
      <c r="AD102" s="94">
        <v>0</v>
      </c>
      <c r="AE102" s="94">
        <v>0</v>
      </c>
      <c r="AF102" s="94">
        <v>0</v>
      </c>
      <c r="AG102" s="94">
        <v>0</v>
      </c>
      <c r="AH102" s="94">
        <v>8117.8151857776475</v>
      </c>
      <c r="AI102" s="94">
        <v>11753.385606776703</v>
      </c>
      <c r="AJ102" s="94">
        <v>15388.956027775756</v>
      </c>
      <c r="AK102" s="94">
        <v>19024.52644877481</v>
      </c>
      <c r="AL102" s="94">
        <v>22660.096869773864</v>
      </c>
      <c r="AM102" s="94">
        <v>26295.667290772923</v>
      </c>
      <c r="AN102" s="94">
        <v>29931.237711771977</v>
      </c>
      <c r="AO102" s="94">
        <v>33566.808132771032</v>
      </c>
      <c r="AP102" s="94">
        <v>37202.37855377009</v>
      </c>
    </row>
    <row r="103" spans="1:42" s="41" customFormat="1" ht="15" customHeight="1" outlineLevel="1" x14ac:dyDescent="0.25">
      <c r="A103" s="76" t="s">
        <v>99</v>
      </c>
      <c r="C103" s="23"/>
      <c r="D103" s="23"/>
      <c r="E103" s="23"/>
      <c r="F103" s="23"/>
      <c r="G103" s="24"/>
      <c r="H103" s="39"/>
      <c r="I103" s="8">
        <v>0</v>
      </c>
      <c r="J103" s="8">
        <v>0</v>
      </c>
      <c r="K103" s="8">
        <f>IF($Q$4&gt;=$Y$6,200,0)</f>
        <v>200</v>
      </c>
      <c r="L103" s="8">
        <f t="shared" si="25"/>
        <v>200</v>
      </c>
      <c r="M103" s="9">
        <f t="shared" si="22"/>
        <v>1.2118568069996849E-4</v>
      </c>
      <c r="N103" s="39"/>
      <c r="O103" s="71"/>
      <c r="P103" s="94">
        <f t="shared" si="23"/>
        <v>20</v>
      </c>
      <c r="Q103" s="94">
        <f t="shared" si="27"/>
        <v>0</v>
      </c>
      <c r="R103" s="94">
        <f t="shared" si="24"/>
        <v>0</v>
      </c>
      <c r="S103" s="94">
        <f t="shared" si="28"/>
        <v>0</v>
      </c>
      <c r="T103" s="94">
        <f t="shared" si="20"/>
        <v>5391.8767905184322</v>
      </c>
      <c r="V103" s="94">
        <f t="shared" si="29"/>
        <v>5411.8767905184322</v>
      </c>
      <c r="AC103" s="111">
        <f t="shared" si="26"/>
        <v>5411.8767905184322</v>
      </c>
      <c r="AD103" s="94">
        <v>0</v>
      </c>
      <c r="AE103" s="94">
        <v>0</v>
      </c>
      <c r="AF103" s="94">
        <v>0</v>
      </c>
      <c r="AG103" s="94">
        <v>0</v>
      </c>
      <c r="AH103" s="94">
        <v>5411.8767905184322</v>
      </c>
      <c r="AI103" s="94">
        <v>7835.5904045178022</v>
      </c>
      <c r="AJ103" s="94">
        <v>10259.30401851717</v>
      </c>
      <c r="AK103" s="94">
        <v>12683.017632516541</v>
      </c>
      <c r="AL103" s="94">
        <v>15106.73124651591</v>
      </c>
      <c r="AM103" s="94">
        <v>17530.444860515283</v>
      </c>
      <c r="AN103" s="94">
        <v>19954.15847451465</v>
      </c>
      <c r="AO103" s="94">
        <v>22377.872088514021</v>
      </c>
      <c r="AP103" s="94">
        <v>24801.585702513392</v>
      </c>
    </row>
    <row r="104" spans="1:42" s="41" customFormat="1" ht="15" customHeight="1" outlineLevel="1" x14ac:dyDescent="0.25">
      <c r="A104" s="76" t="s">
        <v>100</v>
      </c>
      <c r="C104" s="23"/>
      <c r="D104" s="23"/>
      <c r="E104" s="23"/>
      <c r="F104" s="23"/>
      <c r="G104" s="24"/>
      <c r="H104" s="39"/>
      <c r="I104" s="8">
        <v>0</v>
      </c>
      <c r="J104" s="8">
        <v>0</v>
      </c>
      <c r="K104" s="8">
        <f>IF($Q$4&gt;=$Y$6,200,0)</f>
        <v>200</v>
      </c>
      <c r="L104" s="8">
        <f t="shared" si="25"/>
        <v>200</v>
      </c>
      <c r="M104" s="9">
        <f t="shared" si="22"/>
        <v>1.2118568069996849E-4</v>
      </c>
      <c r="N104" s="39"/>
      <c r="O104" s="71"/>
      <c r="P104" s="94">
        <f t="shared" si="23"/>
        <v>20</v>
      </c>
      <c r="Q104" s="94">
        <f t="shared" si="27"/>
        <v>0</v>
      </c>
      <c r="R104" s="94">
        <f t="shared" si="24"/>
        <v>0</v>
      </c>
      <c r="S104" s="94">
        <f t="shared" si="28"/>
        <v>0</v>
      </c>
      <c r="T104" s="94">
        <f t="shared" si="20"/>
        <v>5391.8767905184322</v>
      </c>
      <c r="V104" s="94">
        <f t="shared" si="29"/>
        <v>5411.8767905184322</v>
      </c>
      <c r="AC104" s="111">
        <f t="shared" si="26"/>
        <v>5411.8767905184322</v>
      </c>
      <c r="AD104" s="94">
        <v>0</v>
      </c>
      <c r="AE104" s="94">
        <v>0</v>
      </c>
      <c r="AF104" s="94">
        <v>0</v>
      </c>
      <c r="AG104" s="94">
        <v>0</v>
      </c>
      <c r="AH104" s="94">
        <v>5411.8767905184322</v>
      </c>
      <c r="AI104" s="94">
        <v>7835.5904045178022</v>
      </c>
      <c r="AJ104" s="94">
        <v>10259.30401851717</v>
      </c>
      <c r="AK104" s="94">
        <v>12683.017632516541</v>
      </c>
      <c r="AL104" s="94">
        <v>15106.73124651591</v>
      </c>
      <c r="AM104" s="94">
        <v>17530.444860515283</v>
      </c>
      <c r="AN104" s="94">
        <v>19954.15847451465</v>
      </c>
      <c r="AO104" s="94">
        <v>22377.872088514021</v>
      </c>
      <c r="AP104" s="94">
        <v>24801.585702513392</v>
      </c>
    </row>
    <row r="105" spans="1:42" s="41" customFormat="1" ht="15" customHeight="1" outlineLevel="1" x14ac:dyDescent="0.25">
      <c r="A105" s="76" t="s">
        <v>101</v>
      </c>
      <c r="C105" s="23"/>
      <c r="D105" s="23"/>
      <c r="E105" s="23"/>
      <c r="F105" s="23"/>
      <c r="G105" s="24"/>
      <c r="H105" s="39"/>
      <c r="I105" s="8">
        <v>0</v>
      </c>
      <c r="J105" s="8">
        <v>0</v>
      </c>
      <c r="K105" s="8">
        <f>IF($Q$4&gt;=$Y$6,200,0)</f>
        <v>200</v>
      </c>
      <c r="L105" s="8">
        <f t="shared" si="25"/>
        <v>200</v>
      </c>
      <c r="M105" s="9">
        <f t="shared" si="22"/>
        <v>1.2118568069996849E-4</v>
      </c>
      <c r="N105" s="39"/>
      <c r="O105" s="71"/>
      <c r="P105" s="94">
        <f t="shared" si="23"/>
        <v>20</v>
      </c>
      <c r="Q105" s="94">
        <f t="shared" si="27"/>
        <v>0</v>
      </c>
      <c r="R105" s="94">
        <f t="shared" si="24"/>
        <v>0</v>
      </c>
      <c r="S105" s="94">
        <f t="shared" si="28"/>
        <v>0</v>
      </c>
      <c r="T105" s="94">
        <f t="shared" si="20"/>
        <v>5391.8767905184322</v>
      </c>
      <c r="V105" s="94">
        <f t="shared" si="29"/>
        <v>5411.8767905184322</v>
      </c>
      <c r="AC105" s="111">
        <f t="shared" si="26"/>
        <v>5411.8767905184322</v>
      </c>
      <c r="AD105" s="94">
        <v>0</v>
      </c>
      <c r="AE105" s="94">
        <v>0</v>
      </c>
      <c r="AF105" s="94">
        <v>0</v>
      </c>
      <c r="AG105" s="94">
        <v>0</v>
      </c>
      <c r="AH105" s="94">
        <v>5411.8767905184322</v>
      </c>
      <c r="AI105" s="94">
        <v>7835.5904045178022</v>
      </c>
      <c r="AJ105" s="94">
        <v>10259.30401851717</v>
      </c>
      <c r="AK105" s="94">
        <v>12683.017632516541</v>
      </c>
      <c r="AL105" s="94">
        <v>15106.73124651591</v>
      </c>
      <c r="AM105" s="94">
        <v>17530.444860515283</v>
      </c>
      <c r="AN105" s="94">
        <v>19954.15847451465</v>
      </c>
      <c r="AO105" s="94">
        <v>22377.872088514021</v>
      </c>
      <c r="AP105" s="94">
        <v>24801.585702513392</v>
      </c>
    </row>
    <row r="106" spans="1:42" s="41" customFormat="1" ht="15" customHeight="1" outlineLevel="1" x14ac:dyDescent="0.25">
      <c r="A106" s="76" t="s">
        <v>102</v>
      </c>
      <c r="C106" s="23"/>
      <c r="D106" s="23"/>
      <c r="E106" s="23"/>
      <c r="F106" s="23"/>
      <c r="G106" s="24"/>
      <c r="H106" s="39"/>
      <c r="I106" s="8">
        <v>0</v>
      </c>
      <c r="J106" s="8">
        <v>0</v>
      </c>
      <c r="K106" s="8">
        <f>IF($Q$4&gt;=$Y$6,300,0)</f>
        <v>300</v>
      </c>
      <c r="L106" s="8">
        <f t="shared" si="25"/>
        <v>300</v>
      </c>
      <c r="M106" s="9">
        <f t="shared" si="22"/>
        <v>1.8177852104995273E-4</v>
      </c>
      <c r="N106" s="39"/>
      <c r="O106" s="71"/>
      <c r="P106" s="94">
        <f t="shared" si="23"/>
        <v>30</v>
      </c>
      <c r="Q106" s="94">
        <f t="shared" si="27"/>
        <v>0</v>
      </c>
      <c r="R106" s="94">
        <f t="shared" si="24"/>
        <v>0</v>
      </c>
      <c r="S106" s="94">
        <f t="shared" si="28"/>
        <v>0</v>
      </c>
      <c r="T106" s="94">
        <f t="shared" si="20"/>
        <v>8087.8151857776475</v>
      </c>
      <c r="V106" s="94">
        <f t="shared" si="29"/>
        <v>8117.8151857776475</v>
      </c>
      <c r="AC106" s="111">
        <f t="shared" si="26"/>
        <v>8117.8151857776475</v>
      </c>
      <c r="AD106" s="94">
        <v>0</v>
      </c>
      <c r="AE106" s="94">
        <v>0</v>
      </c>
      <c r="AF106" s="94">
        <v>0</v>
      </c>
      <c r="AG106" s="94">
        <v>0</v>
      </c>
      <c r="AH106" s="94">
        <v>8117.8151857776475</v>
      </c>
      <c r="AI106" s="94">
        <v>11753.385606776703</v>
      </c>
      <c r="AJ106" s="94">
        <v>15388.956027775756</v>
      </c>
      <c r="AK106" s="94">
        <v>19024.52644877481</v>
      </c>
      <c r="AL106" s="94">
        <v>22660.096869773864</v>
      </c>
      <c r="AM106" s="94">
        <v>26295.667290772923</v>
      </c>
      <c r="AN106" s="94">
        <v>29931.237711771977</v>
      </c>
      <c r="AO106" s="94">
        <v>33566.808132771032</v>
      </c>
      <c r="AP106" s="94">
        <v>37202.37855377009</v>
      </c>
    </row>
    <row r="107" spans="1:42" s="41" customFormat="1" ht="15" customHeight="1" outlineLevel="1" x14ac:dyDescent="0.25">
      <c r="A107" s="76" t="s">
        <v>103</v>
      </c>
      <c r="C107" s="23"/>
      <c r="D107" s="23"/>
      <c r="E107" s="23"/>
      <c r="F107" s="23"/>
      <c r="G107" s="24"/>
      <c r="H107" s="39"/>
      <c r="I107" s="8">
        <v>0</v>
      </c>
      <c r="J107" s="8">
        <v>0</v>
      </c>
      <c r="K107" s="8">
        <f>IF($Q$4&gt;=$Y$6,400,0)</f>
        <v>400</v>
      </c>
      <c r="L107" s="8">
        <f t="shared" si="25"/>
        <v>400</v>
      </c>
      <c r="M107" s="9">
        <f t="shared" si="22"/>
        <v>2.4237136139993698E-4</v>
      </c>
      <c r="N107" s="39"/>
      <c r="O107" s="71"/>
      <c r="P107" s="94">
        <f t="shared" si="23"/>
        <v>40</v>
      </c>
      <c r="Q107" s="94">
        <f t="shared" si="27"/>
        <v>0</v>
      </c>
      <c r="R107" s="94">
        <f t="shared" si="24"/>
        <v>0</v>
      </c>
      <c r="S107" s="94">
        <f t="shared" si="28"/>
        <v>0</v>
      </c>
      <c r="T107" s="94">
        <f t="shared" si="20"/>
        <v>10783.753581036864</v>
      </c>
      <c r="V107" s="94">
        <f t="shared" si="29"/>
        <v>10823.753581036864</v>
      </c>
      <c r="AC107" s="111">
        <f t="shared" si="26"/>
        <v>10823.753581036864</v>
      </c>
      <c r="AD107" s="94">
        <v>0</v>
      </c>
      <c r="AE107" s="94">
        <v>0</v>
      </c>
      <c r="AF107" s="94">
        <v>0</v>
      </c>
      <c r="AG107" s="94">
        <v>0</v>
      </c>
      <c r="AH107" s="94">
        <v>10823.753581036864</v>
      </c>
      <c r="AI107" s="94">
        <v>15671.180809035604</v>
      </c>
      <c r="AJ107" s="94">
        <v>20518.608037034341</v>
      </c>
      <c r="AK107" s="94">
        <v>25366.035265033082</v>
      </c>
      <c r="AL107" s="94">
        <v>30213.46249303182</v>
      </c>
      <c r="AM107" s="94">
        <v>35060.889721030566</v>
      </c>
      <c r="AN107" s="94">
        <v>39908.3169490293</v>
      </c>
      <c r="AO107" s="94">
        <v>44755.744177028042</v>
      </c>
      <c r="AP107" s="94">
        <v>49603.171405026784</v>
      </c>
    </row>
    <row r="108" spans="1:42" s="41" customFormat="1" ht="15" customHeight="1" outlineLevel="1" x14ac:dyDescent="0.25">
      <c r="A108" s="76" t="s">
        <v>104</v>
      </c>
      <c r="C108" s="23"/>
      <c r="D108" s="23"/>
      <c r="E108" s="23"/>
      <c r="F108" s="23"/>
      <c r="G108" s="24"/>
      <c r="H108" s="39"/>
      <c r="I108" s="8">
        <v>0</v>
      </c>
      <c r="J108" s="8">
        <v>0</v>
      </c>
      <c r="K108" s="8">
        <f>IF($Q$4&gt;=$Y$6,400,0)</f>
        <v>400</v>
      </c>
      <c r="L108" s="8">
        <f t="shared" si="25"/>
        <v>400</v>
      </c>
      <c r="M108" s="9">
        <f t="shared" si="22"/>
        <v>2.4237136139993698E-4</v>
      </c>
      <c r="N108" s="39"/>
      <c r="O108" s="71"/>
      <c r="P108" s="94">
        <f t="shared" si="23"/>
        <v>40</v>
      </c>
      <c r="Q108" s="94">
        <f t="shared" si="27"/>
        <v>0</v>
      </c>
      <c r="R108" s="94">
        <f t="shared" si="24"/>
        <v>0</v>
      </c>
      <c r="S108" s="94">
        <f t="shared" si="28"/>
        <v>0</v>
      </c>
      <c r="T108" s="94">
        <f t="shared" si="20"/>
        <v>10783.753581036864</v>
      </c>
      <c r="V108" s="94">
        <f t="shared" si="29"/>
        <v>10823.753581036864</v>
      </c>
      <c r="AC108" s="111">
        <f t="shared" si="26"/>
        <v>10823.753581036864</v>
      </c>
      <c r="AD108" s="94">
        <v>0</v>
      </c>
      <c r="AE108" s="94">
        <v>0</v>
      </c>
      <c r="AF108" s="94">
        <v>0</v>
      </c>
      <c r="AG108" s="94">
        <v>0</v>
      </c>
      <c r="AH108" s="94">
        <v>10823.753581036864</v>
      </c>
      <c r="AI108" s="94">
        <v>15671.180809035604</v>
      </c>
      <c r="AJ108" s="94">
        <v>20518.608037034341</v>
      </c>
      <c r="AK108" s="94">
        <v>25366.035265033082</v>
      </c>
      <c r="AL108" s="94">
        <v>30213.46249303182</v>
      </c>
      <c r="AM108" s="94">
        <v>35060.889721030566</v>
      </c>
      <c r="AN108" s="94">
        <v>39908.3169490293</v>
      </c>
      <c r="AO108" s="94">
        <v>44755.744177028042</v>
      </c>
      <c r="AP108" s="94">
        <v>49603.171405026784</v>
      </c>
    </row>
    <row r="109" spans="1:42" s="41" customFormat="1" ht="15" customHeight="1" outlineLevel="1" x14ac:dyDescent="0.25">
      <c r="A109" s="76" t="s">
        <v>105</v>
      </c>
      <c r="C109" s="23"/>
      <c r="D109" s="23"/>
      <c r="E109" s="23"/>
      <c r="F109" s="23"/>
      <c r="G109" s="24"/>
      <c r="H109" s="39"/>
      <c r="I109" s="8">
        <v>0</v>
      </c>
      <c r="J109" s="8">
        <v>0</v>
      </c>
      <c r="K109" s="8">
        <f>IF($Q$4&gt;=$Y$6,400,0)</f>
        <v>400</v>
      </c>
      <c r="L109" s="8">
        <f t="shared" si="25"/>
        <v>400</v>
      </c>
      <c r="M109" s="9">
        <f t="shared" si="22"/>
        <v>2.4237136139993698E-4</v>
      </c>
      <c r="N109" s="39"/>
      <c r="O109" s="71"/>
      <c r="P109" s="94">
        <f t="shared" si="23"/>
        <v>40</v>
      </c>
      <c r="Q109" s="94">
        <f t="shared" si="27"/>
        <v>0</v>
      </c>
      <c r="R109" s="94">
        <f t="shared" si="24"/>
        <v>0</v>
      </c>
      <c r="S109" s="94">
        <f t="shared" si="28"/>
        <v>0</v>
      </c>
      <c r="T109" s="94">
        <f t="shared" si="20"/>
        <v>10783.753581036864</v>
      </c>
      <c r="V109" s="94">
        <f t="shared" si="29"/>
        <v>10823.753581036864</v>
      </c>
      <c r="AC109" s="111">
        <f t="shared" si="26"/>
        <v>10823.753581036864</v>
      </c>
      <c r="AD109" s="94">
        <v>0</v>
      </c>
      <c r="AE109" s="94">
        <v>0</v>
      </c>
      <c r="AF109" s="94">
        <v>0</v>
      </c>
      <c r="AG109" s="94">
        <v>0</v>
      </c>
      <c r="AH109" s="94">
        <v>10823.753581036864</v>
      </c>
      <c r="AI109" s="94">
        <v>15671.180809035604</v>
      </c>
      <c r="AJ109" s="94">
        <v>20518.608037034341</v>
      </c>
      <c r="AK109" s="94">
        <v>25366.035265033082</v>
      </c>
      <c r="AL109" s="94">
        <v>30213.46249303182</v>
      </c>
      <c r="AM109" s="94">
        <v>35060.889721030566</v>
      </c>
      <c r="AN109" s="94">
        <v>39908.3169490293</v>
      </c>
      <c r="AO109" s="94">
        <v>44755.744177028042</v>
      </c>
      <c r="AP109" s="94">
        <v>49603.171405026784</v>
      </c>
    </row>
    <row r="110" spans="1:42" s="41" customFormat="1" ht="15" customHeight="1" outlineLevel="1" x14ac:dyDescent="0.25">
      <c r="A110" s="76" t="s">
        <v>106</v>
      </c>
      <c r="C110" s="23"/>
      <c r="D110" s="23"/>
      <c r="E110" s="23"/>
      <c r="F110" s="23"/>
      <c r="G110" s="24"/>
      <c r="H110" s="39"/>
      <c r="I110" s="8">
        <v>0</v>
      </c>
      <c r="J110" s="8">
        <v>0</v>
      </c>
      <c r="K110" s="8">
        <f>IF($Q$4&gt;=$Y$6,200,0)</f>
        <v>200</v>
      </c>
      <c r="L110" s="8">
        <f t="shared" si="25"/>
        <v>200</v>
      </c>
      <c r="M110" s="9">
        <f t="shared" si="22"/>
        <v>1.2118568069996849E-4</v>
      </c>
      <c r="N110" s="39"/>
      <c r="O110" s="71"/>
      <c r="P110" s="94">
        <f t="shared" si="23"/>
        <v>20</v>
      </c>
      <c r="Q110" s="94">
        <f t="shared" si="27"/>
        <v>0</v>
      </c>
      <c r="R110" s="94">
        <f t="shared" si="24"/>
        <v>0</v>
      </c>
      <c r="S110" s="94">
        <f t="shared" si="28"/>
        <v>0</v>
      </c>
      <c r="T110" s="94">
        <f t="shared" si="20"/>
        <v>5391.8767905184322</v>
      </c>
      <c r="V110" s="94">
        <f t="shared" si="29"/>
        <v>5411.8767905184322</v>
      </c>
      <c r="AC110" s="111">
        <f t="shared" si="26"/>
        <v>5411.8767905184322</v>
      </c>
      <c r="AD110" s="94">
        <v>0</v>
      </c>
      <c r="AE110" s="94">
        <v>0</v>
      </c>
      <c r="AF110" s="94">
        <v>0</v>
      </c>
      <c r="AG110" s="94">
        <v>0</v>
      </c>
      <c r="AH110" s="94">
        <v>5411.8767905184322</v>
      </c>
      <c r="AI110" s="94">
        <v>7835.5904045178022</v>
      </c>
      <c r="AJ110" s="94">
        <v>10259.30401851717</v>
      </c>
      <c r="AK110" s="94">
        <v>12683.017632516541</v>
      </c>
      <c r="AL110" s="94">
        <v>15106.73124651591</v>
      </c>
      <c r="AM110" s="94">
        <v>17530.444860515283</v>
      </c>
      <c r="AN110" s="94">
        <v>19954.15847451465</v>
      </c>
      <c r="AO110" s="94">
        <v>22377.872088514021</v>
      </c>
      <c r="AP110" s="94">
        <v>24801.585702513392</v>
      </c>
    </row>
    <row r="111" spans="1:42" s="41" customFormat="1" ht="15" customHeight="1" outlineLevel="1" x14ac:dyDescent="0.25">
      <c r="A111" s="76" t="s">
        <v>107</v>
      </c>
      <c r="C111" s="23"/>
      <c r="D111" s="23"/>
      <c r="E111" s="23"/>
      <c r="F111" s="23"/>
      <c r="G111" s="24"/>
      <c r="H111" s="39"/>
      <c r="I111" s="8">
        <v>0</v>
      </c>
      <c r="J111" s="8">
        <v>0</v>
      </c>
      <c r="K111" s="8">
        <f>IF($Q$4&gt;=$Y$6,300,0)</f>
        <v>300</v>
      </c>
      <c r="L111" s="8">
        <f t="shared" si="25"/>
        <v>300</v>
      </c>
      <c r="M111" s="9">
        <f t="shared" si="22"/>
        <v>1.8177852104995273E-4</v>
      </c>
      <c r="N111" s="39"/>
      <c r="O111" s="71"/>
      <c r="P111" s="94">
        <f t="shared" si="23"/>
        <v>30</v>
      </c>
      <c r="Q111" s="94">
        <f t="shared" si="27"/>
        <v>0</v>
      </c>
      <c r="R111" s="94">
        <f t="shared" si="24"/>
        <v>0</v>
      </c>
      <c r="S111" s="94">
        <f t="shared" si="28"/>
        <v>0</v>
      </c>
      <c r="T111" s="94">
        <f t="shared" si="20"/>
        <v>8087.8151857776475</v>
      </c>
      <c r="V111" s="94">
        <f t="shared" si="29"/>
        <v>8117.8151857776475</v>
      </c>
      <c r="AC111" s="111">
        <f t="shared" si="26"/>
        <v>8117.8151857776475</v>
      </c>
      <c r="AD111" s="94">
        <v>0</v>
      </c>
      <c r="AE111" s="94">
        <v>0</v>
      </c>
      <c r="AF111" s="94">
        <v>0</v>
      </c>
      <c r="AG111" s="94">
        <v>0</v>
      </c>
      <c r="AH111" s="94">
        <v>8117.8151857776475</v>
      </c>
      <c r="AI111" s="94">
        <v>11753.385606776703</v>
      </c>
      <c r="AJ111" s="94">
        <v>15388.956027775756</v>
      </c>
      <c r="AK111" s="94">
        <v>19024.52644877481</v>
      </c>
      <c r="AL111" s="94">
        <v>22660.096869773864</v>
      </c>
      <c r="AM111" s="94">
        <v>26295.667290772923</v>
      </c>
      <c r="AN111" s="94">
        <v>29931.237711771977</v>
      </c>
      <c r="AO111" s="94">
        <v>33566.808132771032</v>
      </c>
      <c r="AP111" s="94">
        <v>37202.37855377009</v>
      </c>
    </row>
    <row r="112" spans="1:42" s="41" customFormat="1" ht="15" customHeight="1" outlineLevel="1" x14ac:dyDescent="0.25">
      <c r="A112" s="76" t="s">
        <v>108</v>
      </c>
      <c r="C112" s="23"/>
      <c r="D112" s="23"/>
      <c r="E112" s="23"/>
      <c r="F112" s="23"/>
      <c r="G112" s="24"/>
      <c r="H112" s="39"/>
      <c r="I112" s="8">
        <v>0</v>
      </c>
      <c r="J112" s="8">
        <v>0</v>
      </c>
      <c r="K112" s="8">
        <f>IF($Q$4&gt;=$Y$6,200,0)</f>
        <v>200</v>
      </c>
      <c r="L112" s="8">
        <f t="shared" si="25"/>
        <v>200</v>
      </c>
      <c r="M112" s="9">
        <f t="shared" si="22"/>
        <v>1.2118568069996849E-4</v>
      </c>
      <c r="N112" s="39"/>
      <c r="O112" s="71"/>
      <c r="P112" s="94">
        <f t="shared" si="23"/>
        <v>20</v>
      </c>
      <c r="Q112" s="94">
        <f t="shared" si="27"/>
        <v>0</v>
      </c>
      <c r="R112" s="94">
        <f t="shared" si="24"/>
        <v>0</v>
      </c>
      <c r="S112" s="94">
        <f t="shared" si="28"/>
        <v>0</v>
      </c>
      <c r="T112" s="94">
        <f t="shared" si="20"/>
        <v>5391.8767905184322</v>
      </c>
      <c r="V112" s="94">
        <f t="shared" si="29"/>
        <v>5411.8767905184322</v>
      </c>
      <c r="AC112" s="111">
        <f t="shared" si="26"/>
        <v>5411.8767905184322</v>
      </c>
      <c r="AD112" s="94">
        <v>0</v>
      </c>
      <c r="AE112" s="94">
        <v>0</v>
      </c>
      <c r="AF112" s="94">
        <v>0</v>
      </c>
      <c r="AG112" s="94">
        <v>0</v>
      </c>
      <c r="AH112" s="94">
        <v>5411.8767905184322</v>
      </c>
      <c r="AI112" s="94">
        <v>7835.5904045178022</v>
      </c>
      <c r="AJ112" s="94">
        <v>10259.30401851717</v>
      </c>
      <c r="AK112" s="94">
        <v>12683.017632516541</v>
      </c>
      <c r="AL112" s="94">
        <v>15106.73124651591</v>
      </c>
      <c r="AM112" s="94">
        <v>17530.444860515283</v>
      </c>
      <c r="AN112" s="94">
        <v>19954.15847451465</v>
      </c>
      <c r="AO112" s="94">
        <v>22377.872088514021</v>
      </c>
      <c r="AP112" s="94">
        <v>24801.585702513392</v>
      </c>
    </row>
    <row r="113" spans="1:42" s="41" customFormat="1" ht="15" customHeight="1" outlineLevel="1" x14ac:dyDescent="0.25">
      <c r="A113" s="76" t="s">
        <v>109</v>
      </c>
      <c r="C113" s="23"/>
      <c r="D113" s="23"/>
      <c r="E113" s="23"/>
      <c r="F113" s="23"/>
      <c r="G113" s="24"/>
      <c r="H113" s="39"/>
      <c r="I113" s="8">
        <v>0</v>
      </c>
      <c r="J113" s="8">
        <v>0</v>
      </c>
      <c r="K113" s="8">
        <v>0</v>
      </c>
      <c r="L113" s="8">
        <f t="shared" si="25"/>
        <v>0</v>
      </c>
      <c r="M113" s="9">
        <f t="shared" si="22"/>
        <v>0</v>
      </c>
      <c r="N113" s="39"/>
      <c r="O113" s="71"/>
      <c r="P113" s="94">
        <f t="shared" si="23"/>
        <v>0</v>
      </c>
      <c r="Q113" s="94">
        <f t="shared" si="27"/>
        <v>0</v>
      </c>
      <c r="R113" s="94">
        <f t="shared" si="24"/>
        <v>0</v>
      </c>
      <c r="S113" s="94">
        <f t="shared" si="28"/>
        <v>0</v>
      </c>
      <c r="T113" s="94">
        <f t="shared" ref="T113:T121" si="30">M113*S$124</f>
        <v>0</v>
      </c>
      <c r="V113" s="94">
        <f t="shared" si="29"/>
        <v>0</v>
      </c>
      <c r="AC113" s="111">
        <f t="shared" si="26"/>
        <v>0</v>
      </c>
      <c r="AD113" s="94">
        <v>0</v>
      </c>
      <c r="AE113" s="94">
        <v>0</v>
      </c>
      <c r="AF113" s="94">
        <v>0</v>
      </c>
      <c r="AG113" s="94">
        <v>0</v>
      </c>
      <c r="AH113" s="94">
        <v>0</v>
      </c>
      <c r="AI113" s="94">
        <v>0</v>
      </c>
      <c r="AJ113" s="94">
        <v>0</v>
      </c>
      <c r="AK113" s="94">
        <v>0</v>
      </c>
      <c r="AL113" s="94">
        <v>0</v>
      </c>
      <c r="AM113" s="94">
        <v>0</v>
      </c>
      <c r="AN113" s="94">
        <v>0</v>
      </c>
      <c r="AO113" s="94">
        <v>0</v>
      </c>
      <c r="AP113" s="94">
        <v>0</v>
      </c>
    </row>
    <row r="114" spans="1:42" s="41" customFormat="1" ht="15" customHeight="1" outlineLevel="1" x14ac:dyDescent="0.25">
      <c r="A114" s="76" t="s">
        <v>110</v>
      </c>
      <c r="C114" s="23"/>
      <c r="D114" s="23"/>
      <c r="E114" s="23"/>
      <c r="F114" s="23"/>
      <c r="G114" s="24"/>
      <c r="H114" s="39"/>
      <c r="I114" s="8">
        <v>0</v>
      </c>
      <c r="J114" s="8">
        <v>0</v>
      </c>
      <c r="K114" s="8">
        <f>IF($Q$4&gt;=$Y$6,200,0)</f>
        <v>200</v>
      </c>
      <c r="L114" s="8">
        <f t="shared" si="25"/>
        <v>200</v>
      </c>
      <c r="M114" s="9">
        <f t="shared" si="22"/>
        <v>1.2118568069996849E-4</v>
      </c>
      <c r="N114" s="39"/>
      <c r="O114" s="71"/>
      <c r="P114" s="94">
        <f t="shared" si="23"/>
        <v>20</v>
      </c>
      <c r="Q114" s="94">
        <f t="shared" si="27"/>
        <v>0</v>
      </c>
      <c r="R114" s="94">
        <f t="shared" si="24"/>
        <v>0</v>
      </c>
      <c r="S114" s="94">
        <f t="shared" si="28"/>
        <v>0</v>
      </c>
      <c r="T114" s="94">
        <f t="shared" si="30"/>
        <v>5391.8767905184322</v>
      </c>
      <c r="V114" s="94">
        <f t="shared" si="29"/>
        <v>5411.8767905184322</v>
      </c>
      <c r="AC114" s="111">
        <f t="shared" si="26"/>
        <v>5411.8767905184322</v>
      </c>
      <c r="AD114" s="94">
        <v>0</v>
      </c>
      <c r="AE114" s="94">
        <v>0</v>
      </c>
      <c r="AF114" s="94">
        <v>0</v>
      </c>
      <c r="AG114" s="94">
        <v>0</v>
      </c>
      <c r="AH114" s="94">
        <v>5411.8767905184322</v>
      </c>
      <c r="AI114" s="94">
        <v>7835.5904045178022</v>
      </c>
      <c r="AJ114" s="94">
        <v>10259.30401851717</v>
      </c>
      <c r="AK114" s="94">
        <v>12683.017632516541</v>
      </c>
      <c r="AL114" s="94">
        <v>15106.73124651591</v>
      </c>
      <c r="AM114" s="94">
        <v>17530.444860515283</v>
      </c>
      <c r="AN114" s="94">
        <v>19954.15847451465</v>
      </c>
      <c r="AO114" s="94">
        <v>22377.872088514021</v>
      </c>
      <c r="AP114" s="94">
        <v>24801.585702513392</v>
      </c>
    </row>
    <row r="115" spans="1:42" s="41" customFormat="1" ht="15" customHeight="1" outlineLevel="1" x14ac:dyDescent="0.25">
      <c r="A115" s="38" t="s">
        <v>93</v>
      </c>
      <c r="C115" s="23"/>
      <c r="D115" s="23"/>
      <c r="E115" s="23"/>
      <c r="F115" s="23"/>
      <c r="G115" s="24"/>
      <c r="H115" s="39"/>
      <c r="I115" s="8">
        <v>0</v>
      </c>
      <c r="J115" s="8">
        <f>IF($Q$4&gt;=$Y$5,17000,0)</f>
        <v>17000</v>
      </c>
      <c r="K115" s="8">
        <v>0</v>
      </c>
      <c r="L115" s="8">
        <f t="shared" si="25"/>
        <v>17000</v>
      </c>
      <c r="M115" s="9">
        <f t="shared" si="22"/>
        <v>1.0300782859497322E-2</v>
      </c>
      <c r="N115" s="39"/>
      <c r="O115" s="71"/>
      <c r="P115" s="94">
        <f t="shared" si="23"/>
        <v>1700</v>
      </c>
      <c r="Q115" s="94">
        <f t="shared" si="27"/>
        <v>0</v>
      </c>
      <c r="R115" s="94">
        <f t="shared" si="24"/>
        <v>0</v>
      </c>
      <c r="S115" s="94">
        <f t="shared" si="28"/>
        <v>0</v>
      </c>
      <c r="T115" s="94">
        <f t="shared" si="30"/>
        <v>458309.52719406673</v>
      </c>
      <c r="V115" s="94">
        <f t="shared" si="29"/>
        <v>460009.52719406673</v>
      </c>
      <c r="AC115" s="111">
        <f t="shared" si="26"/>
        <v>460009.52719406673</v>
      </c>
      <c r="AD115" s="94">
        <v>0</v>
      </c>
      <c r="AE115" s="94">
        <v>0</v>
      </c>
      <c r="AF115" s="94">
        <v>0</v>
      </c>
      <c r="AG115" s="94">
        <v>0</v>
      </c>
      <c r="AH115" s="94">
        <v>460009.52719406673</v>
      </c>
      <c r="AI115" s="94">
        <v>666025.18438401318</v>
      </c>
      <c r="AJ115" s="94">
        <v>872040.84157395957</v>
      </c>
      <c r="AK115" s="94">
        <v>1078056.4987639061</v>
      </c>
      <c r="AL115" s="94">
        <v>1284072.1559538525</v>
      </c>
      <c r="AM115" s="94">
        <v>1490087.8131437991</v>
      </c>
      <c r="AN115" s="94">
        <v>1696103.4703337455</v>
      </c>
      <c r="AO115" s="94">
        <v>1902119.1275236919</v>
      </c>
      <c r="AP115" s="94">
        <v>2108134.7847136385</v>
      </c>
    </row>
    <row r="116" spans="1:42" s="41" customFormat="1" ht="15" customHeight="1" outlineLevel="1" x14ac:dyDescent="0.25">
      <c r="A116" s="38" t="s">
        <v>112</v>
      </c>
      <c r="C116" s="23"/>
      <c r="D116" s="23"/>
      <c r="E116" s="23"/>
      <c r="F116" s="23"/>
      <c r="G116" s="24"/>
      <c r="H116" s="39"/>
      <c r="I116" s="8">
        <v>0</v>
      </c>
      <c r="J116" s="8">
        <v>0</v>
      </c>
      <c r="K116" s="8">
        <f>IF($Q$4&gt;=$Y$6,2000,0)</f>
        <v>2000</v>
      </c>
      <c r="L116" s="8">
        <f t="shared" si="25"/>
        <v>2000</v>
      </c>
      <c r="M116" s="9">
        <f t="shared" si="22"/>
        <v>1.2118568069996848E-3</v>
      </c>
      <c r="N116" s="39" t="s">
        <v>114</v>
      </c>
      <c r="O116" s="71"/>
      <c r="P116" s="94">
        <f t="shared" si="23"/>
        <v>200</v>
      </c>
      <c r="Q116" s="94">
        <f t="shared" si="27"/>
        <v>0</v>
      </c>
      <c r="R116" s="94">
        <f t="shared" si="24"/>
        <v>0</v>
      </c>
      <c r="S116" s="94">
        <f t="shared" si="28"/>
        <v>0</v>
      </c>
      <c r="T116" s="94">
        <f t="shared" si="30"/>
        <v>53918.767905184315</v>
      </c>
      <c r="V116" s="94">
        <f t="shared" si="29"/>
        <v>54118.767905184315</v>
      </c>
      <c r="AC116" s="111">
        <f t="shared" si="26"/>
        <v>54118.767905184315</v>
      </c>
      <c r="AD116" s="94">
        <v>0</v>
      </c>
      <c r="AE116" s="94">
        <v>0</v>
      </c>
      <c r="AF116" s="94">
        <v>0</v>
      </c>
      <c r="AG116" s="94">
        <v>0</v>
      </c>
      <c r="AH116" s="94">
        <v>54118.767905184315</v>
      </c>
      <c r="AI116" s="94">
        <v>78355.904045178017</v>
      </c>
      <c r="AJ116" s="94">
        <v>102593.0401851717</v>
      </c>
      <c r="AK116" s="94">
        <v>126830.1763251654</v>
      </c>
      <c r="AL116" s="94">
        <v>151067.31246515911</v>
      </c>
      <c r="AM116" s="94">
        <v>175304.44860515281</v>
      </c>
      <c r="AN116" s="94">
        <v>199541.58474514651</v>
      </c>
      <c r="AO116" s="94">
        <v>223778.72088514021</v>
      </c>
      <c r="AP116" s="94">
        <v>248015.85702513391</v>
      </c>
    </row>
    <row r="117" spans="1:42" s="41" customFormat="1" ht="15" customHeight="1" outlineLevel="1" x14ac:dyDescent="0.25">
      <c r="A117" s="38" t="s">
        <v>113</v>
      </c>
      <c r="C117" s="23"/>
      <c r="D117" s="23"/>
      <c r="E117" s="23"/>
      <c r="F117" s="23"/>
      <c r="G117" s="24"/>
      <c r="H117" s="39"/>
      <c r="I117" s="8">
        <v>0</v>
      </c>
      <c r="J117" s="8">
        <v>0</v>
      </c>
      <c r="K117" s="8">
        <f>IF($Q$4&gt;=$Y$6,2500,0)</f>
        <v>2500</v>
      </c>
      <c r="L117" s="8">
        <f t="shared" si="25"/>
        <v>2500</v>
      </c>
      <c r="M117" s="9">
        <f t="shared" si="22"/>
        <v>1.5148210087496063E-3</v>
      </c>
      <c r="N117" s="39" t="s">
        <v>114</v>
      </c>
      <c r="O117" s="71"/>
      <c r="P117" s="94">
        <f t="shared" si="23"/>
        <v>250</v>
      </c>
      <c r="Q117" s="94">
        <f t="shared" si="27"/>
        <v>0</v>
      </c>
      <c r="R117" s="94">
        <f t="shared" si="24"/>
        <v>0</v>
      </c>
      <c r="S117" s="94">
        <f t="shared" si="28"/>
        <v>0</v>
      </c>
      <c r="T117" s="94">
        <f t="shared" si="30"/>
        <v>67398.459881480405</v>
      </c>
      <c r="V117" s="94">
        <f t="shared" si="29"/>
        <v>67648.459881480405</v>
      </c>
      <c r="AC117" s="111">
        <f t="shared" si="26"/>
        <v>67648.459881480405</v>
      </c>
      <c r="AD117" s="94">
        <v>0</v>
      </c>
      <c r="AE117" s="94">
        <v>0</v>
      </c>
      <c r="AF117" s="94">
        <v>0</v>
      </c>
      <c r="AG117" s="94">
        <v>0</v>
      </c>
      <c r="AH117" s="94">
        <v>67648.459881480405</v>
      </c>
      <c r="AI117" s="94">
        <v>97944.880056472539</v>
      </c>
      <c r="AJ117" s="94">
        <v>128241.30023146464</v>
      </c>
      <c r="AK117" s="94">
        <v>158537.72040645676</v>
      </c>
      <c r="AL117" s="94">
        <v>188834.14058144888</v>
      </c>
      <c r="AM117" s="94">
        <v>219130.56075644103</v>
      </c>
      <c r="AN117" s="94">
        <v>249426.98093143318</v>
      </c>
      <c r="AO117" s="94">
        <v>279723.40110642527</v>
      </c>
      <c r="AP117" s="94">
        <v>310019.82128141745</v>
      </c>
    </row>
    <row r="118" spans="1:42" s="41" customFormat="1" ht="18.75" customHeight="1" x14ac:dyDescent="0.25">
      <c r="A118" s="41" t="s">
        <v>69</v>
      </c>
      <c r="C118" s="23"/>
      <c r="D118" s="23"/>
      <c r="E118" s="23"/>
      <c r="F118" s="23"/>
      <c r="G118" s="24"/>
      <c r="H118" s="39"/>
      <c r="I118" s="8">
        <v>0</v>
      </c>
      <c r="J118" s="8">
        <v>0</v>
      </c>
      <c r="K118" s="8">
        <v>0</v>
      </c>
      <c r="L118" s="8">
        <f t="shared" si="25"/>
        <v>0</v>
      </c>
      <c r="M118" s="9">
        <f t="shared" si="22"/>
        <v>0</v>
      </c>
      <c r="N118" s="39"/>
      <c r="O118" s="71"/>
      <c r="P118" s="94">
        <f t="shared" si="23"/>
        <v>0</v>
      </c>
      <c r="Q118" s="94">
        <f t="shared" si="27"/>
        <v>0</v>
      </c>
      <c r="R118" s="94">
        <f t="shared" si="24"/>
        <v>0</v>
      </c>
      <c r="S118" s="94">
        <f t="shared" si="28"/>
        <v>0</v>
      </c>
      <c r="T118" s="94">
        <f t="shared" si="30"/>
        <v>0</v>
      </c>
      <c r="V118" s="94">
        <f t="shared" si="29"/>
        <v>0</v>
      </c>
      <c r="AC118" s="111">
        <f t="shared" si="26"/>
        <v>0</v>
      </c>
      <c r="AD118" s="94">
        <v>0</v>
      </c>
      <c r="AE118" s="94">
        <v>0</v>
      </c>
      <c r="AF118" s="94">
        <v>0</v>
      </c>
      <c r="AG118" s="94">
        <v>0</v>
      </c>
      <c r="AH118" s="94">
        <v>0</v>
      </c>
      <c r="AI118" s="94">
        <v>0</v>
      </c>
      <c r="AJ118" s="94">
        <v>0</v>
      </c>
      <c r="AK118" s="94">
        <v>0</v>
      </c>
      <c r="AL118" s="94">
        <v>0</v>
      </c>
      <c r="AM118" s="94">
        <v>0</v>
      </c>
      <c r="AN118" s="94">
        <v>0</v>
      </c>
      <c r="AO118" s="94">
        <v>0</v>
      </c>
      <c r="AP118" s="94">
        <v>0</v>
      </c>
    </row>
    <row r="119" spans="1:42" s="38" customFormat="1" x14ac:dyDescent="0.25">
      <c r="A119" s="48" t="s">
        <v>43</v>
      </c>
      <c r="C119" s="7"/>
      <c r="D119" s="7"/>
      <c r="E119" s="7"/>
      <c r="F119" s="7"/>
      <c r="G119" s="8"/>
      <c r="H119" s="39"/>
      <c r="I119" s="24">
        <f>IF($Q$4&gt;=$Y$4,56081,0)</f>
        <v>56081</v>
      </c>
      <c r="J119" s="8">
        <v>0</v>
      </c>
      <c r="K119" s="31"/>
      <c r="L119" s="8">
        <f t="shared" si="25"/>
        <v>56081</v>
      </c>
      <c r="M119" s="12">
        <f t="shared" si="22"/>
        <v>3.3981070796674666E-2</v>
      </c>
      <c r="N119" s="49"/>
      <c r="O119" s="46"/>
      <c r="P119" s="95">
        <f t="shared" si="23"/>
        <v>5608.1</v>
      </c>
      <c r="Q119" s="95">
        <f t="shared" si="27"/>
        <v>0</v>
      </c>
      <c r="R119" s="95">
        <f t="shared" si="24"/>
        <v>0</v>
      </c>
      <c r="S119" s="95">
        <f t="shared" si="28"/>
        <v>0</v>
      </c>
      <c r="T119" s="95">
        <f t="shared" si="30"/>
        <v>1511909.2114453211</v>
      </c>
      <c r="V119" s="95">
        <f t="shared" si="29"/>
        <v>1517517.3114453212</v>
      </c>
      <c r="AC119" s="111">
        <f t="shared" si="26"/>
        <v>1517517.3114453212</v>
      </c>
      <c r="AD119" s="95">
        <v>0</v>
      </c>
      <c r="AE119" s="95">
        <v>0</v>
      </c>
      <c r="AF119" s="95">
        <v>0</v>
      </c>
      <c r="AG119" s="95">
        <v>614118.60258764052</v>
      </c>
      <c r="AH119" s="95">
        <v>1517517.3114453212</v>
      </c>
      <c r="AI119" s="95">
        <v>2197138.7273788145</v>
      </c>
      <c r="AJ119" s="95">
        <v>2876760.1433123075</v>
      </c>
      <c r="AK119" s="95">
        <v>3556381.5592458006</v>
      </c>
      <c r="AL119" s="95">
        <v>4236002.9751792932</v>
      </c>
      <c r="AM119" s="95">
        <v>4915624.3911127876</v>
      </c>
      <c r="AN119" s="95">
        <v>5595245.8070462812</v>
      </c>
      <c r="AO119" s="95">
        <v>6274867.2229797738</v>
      </c>
      <c r="AP119" s="95">
        <v>6954488.6389132673</v>
      </c>
    </row>
    <row r="120" spans="1:42" x14ac:dyDescent="0.25">
      <c r="A120" s="48" t="s">
        <v>66</v>
      </c>
      <c r="C120" s="7"/>
      <c r="D120" s="7"/>
      <c r="E120" s="7"/>
      <c r="F120" s="7"/>
      <c r="G120" s="8"/>
      <c r="H120" s="17"/>
      <c r="I120" s="7"/>
      <c r="J120" s="8">
        <f>IF($Q$4&gt;=$Y$5,22953,0)</f>
        <v>22953</v>
      </c>
      <c r="K120" s="26"/>
      <c r="L120" s="8">
        <f t="shared" si="25"/>
        <v>22953</v>
      </c>
      <c r="M120" s="12">
        <f t="shared" ref="M120" si="31">L120/L$123</f>
        <v>1.3907874645531884E-2</v>
      </c>
      <c r="N120" s="18"/>
      <c r="O120" s="46"/>
      <c r="P120" s="95">
        <f t="shared" ref="P120" si="32">P$10*$L120</f>
        <v>2295.3000000000002</v>
      </c>
      <c r="Q120" s="95">
        <f t="shared" si="27"/>
        <v>0</v>
      </c>
      <c r="R120" s="95">
        <f t="shared" ref="R120:R121" si="33">MIN(R$10*E120,Q$124*E120/E$54)</f>
        <v>0</v>
      </c>
      <c r="S120" s="95">
        <f t="shared" si="28"/>
        <v>0</v>
      </c>
      <c r="T120" s="95">
        <f t="shared" si="30"/>
        <v>618798.73986384785</v>
      </c>
      <c r="V120" s="95">
        <f t="shared" si="29"/>
        <v>621094.03986384789</v>
      </c>
      <c r="AC120" s="111">
        <f t="shared" si="26"/>
        <v>621094.03986384789</v>
      </c>
      <c r="AD120" s="95">
        <v>0</v>
      </c>
      <c r="AE120" s="95">
        <v>0</v>
      </c>
      <c r="AF120" s="95">
        <v>0</v>
      </c>
      <c r="AG120" s="95">
        <v>0</v>
      </c>
      <c r="AH120" s="95">
        <v>621094.03986384789</v>
      </c>
      <c r="AI120" s="95">
        <v>899251.53277448553</v>
      </c>
      <c r="AJ120" s="95">
        <v>1177409.0256851232</v>
      </c>
      <c r="AK120" s="95">
        <v>1455566.5185957609</v>
      </c>
      <c r="AL120" s="95">
        <v>1733724.0115063984</v>
      </c>
      <c r="AM120" s="95">
        <v>2011881.5044170364</v>
      </c>
      <c r="AN120" s="95">
        <v>2290038.9973276737</v>
      </c>
      <c r="AO120" s="95">
        <v>2568196.4902383117</v>
      </c>
      <c r="AP120" s="95">
        <v>2846353.9831489492</v>
      </c>
    </row>
    <row r="121" spans="1:42" x14ac:dyDescent="0.25">
      <c r="A121" s="13"/>
      <c r="B121" s="14" t="s">
        <v>44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6"/>
      <c r="I121" s="15">
        <f>I56+I119+I120</f>
        <v>131533</v>
      </c>
      <c r="J121" s="15">
        <f>J56+J119+J120</f>
        <v>104653</v>
      </c>
      <c r="K121" s="15">
        <f t="shared" ref="K121:L121" si="34">K56+K119+K120</f>
        <v>11800</v>
      </c>
      <c r="L121" s="15">
        <f t="shared" si="34"/>
        <v>247986</v>
      </c>
      <c r="M121" s="16">
        <f>L121/L$123</f>
        <v>0.15026176107031194</v>
      </c>
      <c r="N121" s="18"/>
      <c r="O121" s="28"/>
      <c r="P121" s="93">
        <f>P$10*$L121</f>
        <v>24798.600000000002</v>
      </c>
      <c r="Q121" s="93">
        <f t="shared" si="27"/>
        <v>0</v>
      </c>
      <c r="R121" s="93">
        <f t="shared" si="33"/>
        <v>0</v>
      </c>
      <c r="S121" s="93">
        <f t="shared" si="28"/>
        <v>0</v>
      </c>
      <c r="T121" s="93">
        <f t="shared" si="30"/>
        <v>6685549.7888675202</v>
      </c>
      <c r="V121" s="93">
        <f t="shared" si="29"/>
        <v>6710348.3888675198</v>
      </c>
      <c r="AC121" s="111">
        <f t="shared" si="26"/>
        <v>6710348.3888675198</v>
      </c>
      <c r="AD121" s="93">
        <v>0</v>
      </c>
      <c r="AE121" s="93">
        <v>0</v>
      </c>
      <c r="AF121" s="93">
        <v>0</v>
      </c>
      <c r="AG121" s="93">
        <v>1440360.5883304528</v>
      </c>
      <c r="AH121" s="93">
        <v>6710348.3888675198</v>
      </c>
      <c r="AI121" s="93">
        <v>9715583.6102737579</v>
      </c>
      <c r="AJ121" s="93">
        <v>12720818.831679996</v>
      </c>
      <c r="AK121" s="93">
        <v>15726054.053086236</v>
      </c>
      <c r="AL121" s="93">
        <v>18731289.274492476</v>
      </c>
      <c r="AM121" s="93">
        <v>21736524.495898716</v>
      </c>
      <c r="AN121" s="93">
        <v>24741759.717304956</v>
      </c>
      <c r="AO121" s="93">
        <v>27746994.938711196</v>
      </c>
      <c r="AP121" s="93">
        <v>30752230.160117432</v>
      </c>
    </row>
    <row r="122" spans="1:42" x14ac:dyDescent="0.25">
      <c r="O122" s="47"/>
      <c r="P122" s="47"/>
      <c r="Q122" s="47"/>
      <c r="R122" s="47"/>
      <c r="S122" s="47"/>
      <c r="T122" s="47"/>
      <c r="V122" s="47"/>
      <c r="AC122" s="35"/>
      <c r="AD122" s="36">
        <v>0</v>
      </c>
      <c r="AE122" s="36">
        <v>0</v>
      </c>
      <c r="AF122" s="36">
        <v>0</v>
      </c>
      <c r="AG122" s="36">
        <v>0</v>
      </c>
      <c r="AH122" s="36">
        <v>0</v>
      </c>
      <c r="AI122" s="36">
        <v>0</v>
      </c>
      <c r="AJ122" s="36">
        <v>0</v>
      </c>
      <c r="AK122" s="36">
        <v>0</v>
      </c>
      <c r="AL122" s="36">
        <v>0</v>
      </c>
      <c r="AM122" s="36">
        <v>0</v>
      </c>
      <c r="AN122" s="36">
        <v>0</v>
      </c>
      <c r="AO122" s="36">
        <v>0</v>
      </c>
      <c r="AP122" s="36">
        <v>0</v>
      </c>
    </row>
    <row r="123" spans="1:42" s="1" customFormat="1" x14ac:dyDescent="0.25">
      <c r="A123" s="13" t="s">
        <v>45</v>
      </c>
      <c r="B123" s="14"/>
      <c r="C123" s="15">
        <v>117770</v>
      </c>
      <c r="D123" s="15">
        <v>210526</v>
      </c>
      <c r="E123" s="15">
        <v>499998</v>
      </c>
      <c r="F123" s="15">
        <v>574080</v>
      </c>
      <c r="G123" s="15">
        <v>1402374</v>
      </c>
      <c r="H123" s="16"/>
      <c r="I123" s="15">
        <f>I121</f>
        <v>131533</v>
      </c>
      <c r="J123" s="15">
        <f>J121</f>
        <v>104653</v>
      </c>
      <c r="K123" s="15">
        <f>K121</f>
        <v>11800</v>
      </c>
      <c r="L123" s="15">
        <f>L121+L54</f>
        <v>1650360</v>
      </c>
      <c r="M123" s="16">
        <f>L123/L$123</f>
        <v>1</v>
      </c>
      <c r="N123" s="19"/>
      <c r="O123" s="28"/>
      <c r="P123" s="93">
        <f>P$10*$L123</f>
        <v>165036</v>
      </c>
      <c r="Q123" s="93">
        <f t="shared" si="27"/>
        <v>38692992</v>
      </c>
      <c r="R123" s="93">
        <f>MIN(R$10*E123,Q$124*E123/E$54)</f>
        <v>22449910.199999999</v>
      </c>
      <c r="S123" s="93">
        <f t="shared" si="28"/>
        <v>7978935.3999999994</v>
      </c>
      <c r="T123" s="93">
        <f t="shared" ref="T123" si="35">M123*S$124</f>
        <v>44492688.899999999</v>
      </c>
      <c r="V123" s="93">
        <f t="shared" si="29"/>
        <v>113779562.5</v>
      </c>
      <c r="AB123" s="1" t="s">
        <v>138</v>
      </c>
      <c r="AC123" s="116">
        <f t="shared" ref="AC123" si="36">V123</f>
        <v>113779562.5</v>
      </c>
      <c r="AD123" s="93">
        <v>20000000</v>
      </c>
      <c r="AE123" s="93">
        <v>40000000</v>
      </c>
      <c r="AF123" s="93">
        <v>60000000</v>
      </c>
      <c r="AG123" s="93">
        <v>85918985.000000015</v>
      </c>
      <c r="AH123" s="93">
        <v>113779562.5</v>
      </c>
      <c r="AI123" s="93">
        <v>133779562.5</v>
      </c>
      <c r="AJ123" s="93">
        <v>153779562.5</v>
      </c>
      <c r="AK123" s="93">
        <v>173779562.5</v>
      </c>
      <c r="AL123" s="93">
        <v>193779562.5</v>
      </c>
      <c r="AM123" s="93">
        <v>213779562.5</v>
      </c>
      <c r="AN123" s="93">
        <v>233779562.5</v>
      </c>
      <c r="AO123" s="93">
        <v>253779562.5</v>
      </c>
      <c r="AP123" s="93">
        <v>273779562.5</v>
      </c>
    </row>
    <row r="124" spans="1:42" s="38" customFormat="1" x14ac:dyDescent="0.25">
      <c r="G124" s="48"/>
      <c r="H124" s="41"/>
      <c r="L124" s="48"/>
      <c r="M124" s="41"/>
      <c r="O124" s="50" t="s">
        <v>133</v>
      </c>
      <c r="P124" s="96">
        <f>Q6-P123</f>
        <v>113614526.5</v>
      </c>
      <c r="Q124" s="96">
        <f>P124-Q123</f>
        <v>74921534.5</v>
      </c>
      <c r="R124" s="96">
        <f t="shared" ref="R124:T124" si="37">Q124-R123</f>
        <v>52471624.299999997</v>
      </c>
      <c r="S124" s="96">
        <f t="shared" si="37"/>
        <v>44492688.899999999</v>
      </c>
      <c r="T124" s="96">
        <f t="shared" si="37"/>
        <v>0</v>
      </c>
    </row>
  </sheetData>
  <mergeCells count="5">
    <mergeCell ref="P1:Z1"/>
    <mergeCell ref="AD1:AN1"/>
    <mergeCell ref="AO1:AP1"/>
    <mergeCell ref="A1:M1"/>
    <mergeCell ref="P3:S3"/>
  </mergeCells>
  <conditionalFormatting sqref="W4">
    <cfRule type="expression" dxfId="4" priority="3">
      <formula>AND($C$7&lt;=$G$5,$J$5=1)</formula>
    </cfRule>
  </conditionalFormatting>
  <conditionalFormatting sqref="W5">
    <cfRule type="expression" dxfId="3" priority="4">
      <formula>AND($C$7&lt;=$G$6,$J$6=1)</formula>
    </cfRule>
  </conditionalFormatting>
  <conditionalFormatting sqref="W6">
    <cfRule type="expression" dxfId="1" priority="2">
      <formula>AND($C$7&lt;=$G$6,$J$6=1)</formula>
    </cfRule>
  </conditionalFormatting>
  <conditionalFormatting sqref="Y4:Y6">
    <cfRule type="expression" dxfId="0" priority="1">
      <formula>AND($C$7&lt;=$G$5,$J$5=1)</formula>
    </cfRule>
  </conditionalFormatting>
  <printOptions horizontalCentered="1" verticalCentered="1"/>
  <pageMargins left="0.70866141732283505" right="0.31496062992126" top="0.47244094488188998" bottom="0.47244094488188998" header="0.31496062992126" footer="0.31496062992126"/>
  <pageSetup paperSize="8" scale="42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E0D377B1-C9A4-4885-B247-24ABF00E126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 table post B T3</vt:lpstr>
      <vt:lpstr>'Cap table post B T3'!Print_Area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Brice Epry</dc:creator>
  <cp:keywords/>
  <dc:description/>
  <cp:lastModifiedBy>Hubert Hugo (OMNES CAPITAL)</cp:lastModifiedBy>
  <dcterms:created xsi:type="dcterms:W3CDTF">2021-01-06T10:47:21Z</dcterms:created>
  <dcterms:modified xsi:type="dcterms:W3CDTF">2021-05-10T19:24:37Z</dcterms:modified>
  <cp:category/>
  <cp:contentStatus/>
</cp:coreProperties>
</file>