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<sst xmlns="http://schemas.openxmlformats.org/spreadsheetml/2006/main" count="82" uniqueCount="50">
  <si>
    <t>Primary Role</t>
  </si>
  <si>
    <t>Range</t>
  </si>
  <si>
    <t>Reload Speed</t>
  </si>
  <si>
    <t>Mag Size</t>
  </si>
  <si>
    <t>Movement Speed Modification</t>
  </si>
  <si>
    <t>Special Ability</t>
  </si>
  <si>
    <t>Attack Speed</t>
  </si>
  <si>
    <t>Minimum Damage</t>
  </si>
  <si>
    <t>Maximum Damage</t>
  </si>
  <si>
    <t>Average DPS</t>
  </si>
  <si>
    <t>Burst DPS (Rifles)</t>
  </si>
  <si>
    <t>Maxed Attack Speed DPS (ARs)</t>
  </si>
  <si>
    <t>Time To Empty Mag (Seconds)</t>
  </si>
  <si>
    <t>Time To Empty Mag Burst (Seconds)</t>
  </si>
  <si>
    <t>Average Damage Per Mag</t>
  </si>
  <si>
    <t>Assault Rifle</t>
  </si>
  <si>
    <t>Default</t>
  </si>
  <si>
    <t>N/A</t>
  </si>
  <si>
    <t>HK42</t>
  </si>
  <si>
    <t>Movespeed</t>
  </si>
  <si>
    <t>M5 Mar</t>
  </si>
  <si>
    <t>Utility</t>
  </si>
  <si>
    <t>Active - Smoke Screen</t>
  </si>
  <si>
    <t>Styner BR-2</t>
  </si>
  <si>
    <t>Damage</t>
  </si>
  <si>
    <t>US MCR</t>
  </si>
  <si>
    <t>Burst Damage</t>
  </si>
  <si>
    <t>Passive - 4 Round burst</t>
  </si>
  <si>
    <t>SOFAR</t>
  </si>
  <si>
    <t>Ultimate</t>
  </si>
  <si>
    <t>https://docs.google.com/spreadsheets/d/1t7IHmJJfYeAwOfSO0usvnPUtHvxzObVVuttFPJWa4Ko/edit#gid=0</t>
  </si>
  <si>
    <t>Timed with stopwatch</t>
  </si>
  <si>
    <t>Machine Gun</t>
  </si>
  <si>
    <t>M41 SAW</t>
  </si>
  <si>
    <t>Passive - Faster attack speed build up</t>
  </si>
  <si>
    <t>M241 MMG</t>
  </si>
  <si>
    <t>Combat Shotgun</t>
  </si>
  <si>
    <t>W1200</t>
  </si>
  <si>
    <t>M1014</t>
  </si>
  <si>
    <t>DMR</t>
  </si>
  <si>
    <t>Mk-14</t>
  </si>
  <si>
    <t>M92 Torrent</t>
  </si>
  <si>
    <t>M79 Flamethrower</t>
  </si>
  <si>
    <t>M9 Flamethrower</t>
  </si>
  <si>
    <r>
      <rPr>
        <rFont val="Roboto, RobotoDraft, Helvetica, Arial, sans-serif"/>
        <color rgb="FF000000"/>
        <u/>
      </rPr>
      <t>https://docs.google.com/spreadsheets/d/1t7IHmJJfYeAwOfSO0usvnPUtHvxzObVVuttFPJWa4Ko/edit#gid=0</t>
    </r>
    <r>
      <rPr>
        <rFont val="Roboto, RobotoDraft, Helvetica, Arial, sans-serif"/>
        <color rgb="FF000000"/>
      </rPr>
      <t xml:space="preserve"> </t>
    </r>
  </si>
  <si>
    <t>M135 Minigun</t>
  </si>
  <si>
    <t>M935 Minigun</t>
  </si>
  <si>
    <t>Death Machine</t>
  </si>
  <si>
    <t>Passive - Improved Timing motor by default. Using ITM makes the shots go directly at the target no matter the range</t>
  </si>
  <si>
    <t>Plasma Rifle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</si>
</sst>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u/>
      <color rgb="FF1155CC"/>
    </font>
    <font>
      <u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/>
    </xf>
    <xf borderId="1" fillId="0" fontId="2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1" fillId="0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 shrinkToFit="0" wrapText="0"/>
    </xf>
    <xf borderId="1" fillId="2" fontId="0" numFmtId="0" xfId="0" applyAlignment="1" applyBorder="1" applyFill="1" applyFont="1">
      <alignment horizontal="center" shrinkToFit="0" wrapText="0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left" readingOrder="0" shrinkToFit="0" wrapText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4">
    <dxf>
      <font>
        <color rgb="FF000000"/>
      </font>
      <fill>
        <patternFill patternType="solid">
          <fgColor rgb="FFE67C73"/>
          <bgColor rgb="FFE67C73"/>
        </patternFill>
      </fill>
      <border/>
    </dxf>
    <dxf>
      <font>
        <color rgb="FF000000"/>
      </font>
      <fill>
        <patternFill patternType="solid">
          <fgColor rgb="FF57BB8A"/>
          <bgColor rgb="FF57BB8A"/>
        </patternFill>
      </fill>
      <border/>
    </dxf>
    <dxf>
      <font/>
      <fill>
        <patternFill patternType="solid">
          <fgColor rgb="FFE67C73"/>
          <bgColor rgb="FFE67C73"/>
        </patternFill>
      </fill>
      <border/>
    </dxf>
    <dxf>
      <font/>
      <fill>
        <patternFill patternType="solid">
          <fgColor rgb="FF57BB8A"/>
          <bgColor rgb="FF57BB8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t7IHmJJfYeAwOfSO0usvnPUtHvxzObVVuttFPJWa4Ko/edit" TargetMode="External"/><Relationship Id="rId2" Type="http://schemas.openxmlformats.org/officeDocument/2006/relationships/hyperlink" Target="https://docs.google.com/spreadsheets/d/1t7IHmJJfYeAwOfSO0usvnPUtHvxzObVVuttFPJWa4Ko/edit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57"/>
    <col customWidth="1" min="2" max="6" width="18.0"/>
    <col customWidth="1" min="7" max="7" width="32.57"/>
    <col customWidth="1" min="8" max="18" width="18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/>
      <c r="R1" s="3"/>
    </row>
    <row r="2">
      <c r="A2" s="4" t="s">
        <v>15</v>
      </c>
      <c r="B2" s="5" t="s">
        <v>16</v>
      </c>
      <c r="C2" s="5">
        <v>13.0</v>
      </c>
      <c r="D2" s="5">
        <v>3.9</v>
      </c>
      <c r="E2" s="5">
        <v>60.0</v>
      </c>
      <c r="F2" s="5">
        <v>0.0</v>
      </c>
      <c r="G2" s="5" t="s">
        <v>17</v>
      </c>
      <c r="H2" s="5">
        <v>0.3</v>
      </c>
      <c r="I2" s="5">
        <v>24.0</v>
      </c>
      <c r="J2" s="5">
        <v>30.0</v>
      </c>
      <c r="K2" s="6">
        <f t="shared" ref="K2:K7" si="1">AVERAGE(I2,J2)/H2</f>
        <v>90</v>
      </c>
      <c r="L2" s="6">
        <f t="shared" ref="L2:L5" si="2">(3*AVERAGE(I2,J2))/(3*H2)</f>
        <v>90</v>
      </c>
      <c r="M2" s="7"/>
      <c r="N2" s="6">
        <f t="shared" ref="N2:N7" si="3">E2*H2</f>
        <v>18</v>
      </c>
      <c r="O2" s="6">
        <f t="shared" ref="O2:O5" si="4">(E2/3)*(H2*3)</f>
        <v>18</v>
      </c>
      <c r="P2" s="6">
        <f t="shared" ref="P2:P7" si="5">AVERAGE(I2,J2)*E2</f>
        <v>1620</v>
      </c>
    </row>
    <row r="3">
      <c r="A3" s="4" t="s">
        <v>18</v>
      </c>
      <c r="B3" s="5" t="s">
        <v>19</v>
      </c>
      <c r="C3" s="5">
        <v>13.0</v>
      </c>
      <c r="D3" s="5">
        <f>D2*1.02</f>
        <v>3.978</v>
      </c>
      <c r="E3" s="5">
        <v>50.0</v>
      </c>
      <c r="F3" s="6">
        <f>0.03</f>
        <v>0.03</v>
      </c>
      <c r="G3" s="5" t="s">
        <v>17</v>
      </c>
      <c r="H3" s="5">
        <v>0.285</v>
      </c>
      <c r="I3" s="5">
        <v>26.0</v>
      </c>
      <c r="J3" s="5">
        <v>32.0</v>
      </c>
      <c r="K3" s="6">
        <f t="shared" si="1"/>
        <v>101.754386</v>
      </c>
      <c r="L3" s="6">
        <f t="shared" si="2"/>
        <v>101.754386</v>
      </c>
      <c r="M3" s="7"/>
      <c r="N3" s="6">
        <f t="shared" si="3"/>
        <v>14.25</v>
      </c>
      <c r="O3" s="6">
        <f t="shared" si="4"/>
        <v>14.25</v>
      </c>
      <c r="P3" s="6">
        <f t="shared" si="5"/>
        <v>1450</v>
      </c>
    </row>
    <row r="4">
      <c r="A4" s="4" t="s">
        <v>20</v>
      </c>
      <c r="B4" s="5" t="s">
        <v>21</v>
      </c>
      <c r="C4" s="5">
        <v>13.0</v>
      </c>
      <c r="D4" s="5">
        <f>D2*0.97</f>
        <v>3.783</v>
      </c>
      <c r="E4" s="5">
        <v>55.0</v>
      </c>
      <c r="F4" s="8">
        <v>0.0</v>
      </c>
      <c r="G4" s="5" t="s">
        <v>22</v>
      </c>
      <c r="H4" s="5">
        <v>0.3</v>
      </c>
      <c r="I4" s="5">
        <v>27.0</v>
      </c>
      <c r="J4" s="5">
        <v>33.0</v>
      </c>
      <c r="K4" s="6">
        <f t="shared" si="1"/>
        <v>100</v>
      </c>
      <c r="L4" s="6">
        <f t="shared" si="2"/>
        <v>100</v>
      </c>
      <c r="M4" s="7"/>
      <c r="N4" s="6">
        <f t="shared" si="3"/>
        <v>16.5</v>
      </c>
      <c r="O4" s="6">
        <f t="shared" si="4"/>
        <v>16.5</v>
      </c>
      <c r="P4" s="6">
        <f t="shared" si="5"/>
        <v>1650</v>
      </c>
    </row>
    <row r="5">
      <c r="A5" s="4" t="s">
        <v>23</v>
      </c>
      <c r="B5" s="5" t="s">
        <v>24</v>
      </c>
      <c r="C5" s="5">
        <v>14.5</v>
      </c>
      <c r="D5" s="5">
        <f>D2*1.06</f>
        <v>4.134</v>
      </c>
      <c r="E5" s="5">
        <v>75.0</v>
      </c>
      <c r="F5" s="5">
        <v>0.0</v>
      </c>
      <c r="G5" s="5" t="s">
        <v>17</v>
      </c>
      <c r="H5" s="5">
        <v>0.315</v>
      </c>
      <c r="I5" s="5">
        <v>30.0</v>
      </c>
      <c r="J5" s="5">
        <v>36.0</v>
      </c>
      <c r="K5" s="6">
        <f t="shared" si="1"/>
        <v>104.7619048</v>
      </c>
      <c r="L5" s="6">
        <f t="shared" si="2"/>
        <v>104.7619048</v>
      </c>
      <c r="M5" s="7"/>
      <c r="N5" s="6">
        <f t="shared" si="3"/>
        <v>23.625</v>
      </c>
      <c r="O5" s="6">
        <f t="shared" si="4"/>
        <v>23.625</v>
      </c>
      <c r="P5" s="6">
        <f t="shared" si="5"/>
        <v>2475</v>
      </c>
    </row>
    <row r="6">
      <c r="A6" s="4" t="s">
        <v>25</v>
      </c>
      <c r="B6" s="5" t="s">
        <v>26</v>
      </c>
      <c r="C6" s="5">
        <v>13.0</v>
      </c>
      <c r="D6" s="5">
        <f>D2*0.95</f>
        <v>3.705</v>
      </c>
      <c r="E6" s="5">
        <v>65.0</v>
      </c>
      <c r="F6" s="5">
        <v>0.0</v>
      </c>
      <c r="G6" s="5" t="s">
        <v>27</v>
      </c>
      <c r="H6" s="5">
        <v>0.255</v>
      </c>
      <c r="I6" s="5">
        <v>24.0</v>
      </c>
      <c r="J6" s="5">
        <v>30.0</v>
      </c>
      <c r="K6" s="6">
        <f t="shared" si="1"/>
        <v>105.8823529</v>
      </c>
      <c r="L6" s="6">
        <f t="shared" ref="L6:L7" si="6">(4*AVERAGE(I6,J6))/(3*H6)</f>
        <v>141.1764706</v>
      </c>
      <c r="M6" s="7"/>
      <c r="N6" s="6">
        <f t="shared" si="3"/>
        <v>16.575</v>
      </c>
      <c r="O6" s="6">
        <f t="shared" ref="O6:O7" si="7">(E6/4)*(H6*3)</f>
        <v>12.43125</v>
      </c>
      <c r="P6" s="6">
        <f t="shared" si="5"/>
        <v>1755</v>
      </c>
    </row>
    <row r="7">
      <c r="A7" s="4" t="s">
        <v>28</v>
      </c>
      <c r="B7" s="5" t="s">
        <v>29</v>
      </c>
      <c r="C7" s="5">
        <v>14.5</v>
      </c>
      <c r="D7" s="5">
        <f>D2*0.98</f>
        <v>3.822</v>
      </c>
      <c r="E7" s="5">
        <v>60.0</v>
      </c>
      <c r="F7" s="5">
        <v>-0.02</v>
      </c>
      <c r="G7" s="5" t="s">
        <v>27</v>
      </c>
      <c r="H7" s="5">
        <v>0.3</v>
      </c>
      <c r="I7" s="5">
        <v>28.0</v>
      </c>
      <c r="J7" s="5">
        <v>34.0</v>
      </c>
      <c r="K7" s="6">
        <f t="shared" si="1"/>
        <v>103.3333333</v>
      </c>
      <c r="L7" s="6">
        <f t="shared" si="6"/>
        <v>137.7777778</v>
      </c>
      <c r="M7" s="7"/>
      <c r="N7" s="6">
        <f t="shared" si="3"/>
        <v>18</v>
      </c>
      <c r="O7" s="6">
        <f t="shared" si="7"/>
        <v>13.5</v>
      </c>
      <c r="P7" s="6">
        <f t="shared" si="5"/>
        <v>1860</v>
      </c>
    </row>
    <row r="8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10" t="s">
        <v>30</v>
      </c>
      <c r="N9" s="11" t="s">
        <v>31</v>
      </c>
      <c r="O9" s="7"/>
      <c r="P9" s="7"/>
    </row>
    <row r="10">
      <c r="A10" s="4" t="s">
        <v>32</v>
      </c>
      <c r="B10" s="5" t="s">
        <v>16</v>
      </c>
      <c r="C10" s="5">
        <v>12.0</v>
      </c>
      <c r="D10" s="5">
        <v>6.25</v>
      </c>
      <c r="E10" s="5">
        <v>100.0</v>
      </c>
      <c r="F10" s="5">
        <v>0.0</v>
      </c>
      <c r="G10" s="5" t="s">
        <v>17</v>
      </c>
      <c r="H10" s="5">
        <v>1.0</v>
      </c>
      <c r="I10" s="5">
        <v>22.0</v>
      </c>
      <c r="J10" s="5">
        <v>28.0</v>
      </c>
      <c r="K10" s="12">
        <f t="shared" ref="K10:K12" si="8">4*AVERAGE(I10:J10)/H10</f>
        <v>100</v>
      </c>
      <c r="L10" s="7"/>
      <c r="M10" s="6">
        <f t="shared" ref="M10:M12" si="9">4*AVERAGE(I10:J10)/0.4528904152</f>
        <v>220.8039664</v>
      </c>
      <c r="N10" s="5">
        <v>14.6</v>
      </c>
      <c r="O10" s="7"/>
      <c r="P10" s="6">
        <f t="shared" ref="P10:P12" si="10">AVERAGE(I10,J10)*E10</f>
        <v>2500</v>
      </c>
    </row>
    <row r="11">
      <c r="A11" s="4" t="s">
        <v>33</v>
      </c>
      <c r="B11" s="5" t="s">
        <v>19</v>
      </c>
      <c r="C11" s="5">
        <v>12.0</v>
      </c>
      <c r="D11" s="5">
        <f>D10*1</f>
        <v>6.25</v>
      </c>
      <c r="E11" s="5">
        <v>100.0</v>
      </c>
      <c r="F11" s="6">
        <f>0.05</f>
        <v>0.05</v>
      </c>
      <c r="G11" s="5" t="s">
        <v>34</v>
      </c>
      <c r="H11" s="5">
        <v>1.0</v>
      </c>
      <c r="I11" s="5">
        <v>22.0</v>
      </c>
      <c r="J11" s="5">
        <v>28.0</v>
      </c>
      <c r="K11" s="12">
        <f t="shared" si="8"/>
        <v>100</v>
      </c>
      <c r="L11" s="7"/>
      <c r="M11" s="6">
        <f t="shared" si="9"/>
        <v>220.8039664</v>
      </c>
      <c r="N11" s="5">
        <v>13.9</v>
      </c>
      <c r="O11" s="7"/>
      <c r="P11" s="6">
        <f t="shared" si="10"/>
        <v>2500</v>
      </c>
    </row>
    <row r="12">
      <c r="A12" s="4" t="s">
        <v>35</v>
      </c>
      <c r="B12" s="5" t="s">
        <v>24</v>
      </c>
      <c r="C12" s="5">
        <v>13.5</v>
      </c>
      <c r="D12" s="5">
        <f>D10*0.97</f>
        <v>6.0625</v>
      </c>
      <c r="E12" s="5">
        <v>100.0</v>
      </c>
      <c r="F12" s="5">
        <v>-0.04</v>
      </c>
      <c r="G12" s="5" t="s">
        <v>17</v>
      </c>
      <c r="H12" s="5">
        <v>1.0</v>
      </c>
      <c r="I12" s="5">
        <v>24.5</v>
      </c>
      <c r="J12" s="5">
        <v>30.5</v>
      </c>
      <c r="K12" s="12">
        <f t="shared" si="8"/>
        <v>110</v>
      </c>
      <c r="L12" s="7"/>
      <c r="M12" s="6">
        <f t="shared" si="9"/>
        <v>242.884363</v>
      </c>
      <c r="N12" s="5">
        <v>14.6</v>
      </c>
      <c r="O12" s="7"/>
      <c r="P12" s="6">
        <f t="shared" si="10"/>
        <v>2750</v>
      </c>
    </row>
    <row r="13">
      <c r="A13" s="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>
      <c r="A15" s="4" t="s">
        <v>36</v>
      </c>
      <c r="B15" s="5" t="s">
        <v>16</v>
      </c>
      <c r="C15" s="5">
        <v>10.5</v>
      </c>
      <c r="D15" s="5">
        <v>4.2</v>
      </c>
      <c r="E15" s="5">
        <v>20.0</v>
      </c>
      <c r="F15" s="5">
        <v>0.0</v>
      </c>
      <c r="G15" s="5" t="s">
        <v>17</v>
      </c>
      <c r="H15" s="5">
        <v>1.5</v>
      </c>
      <c r="I15" s="5">
        <v>108.5</v>
      </c>
      <c r="J15" s="5">
        <v>133.0</v>
      </c>
      <c r="K15" s="6">
        <f t="shared" ref="K15:K17" si="11">Average(I15,J15)/H15</f>
        <v>80.5</v>
      </c>
      <c r="L15" s="7"/>
      <c r="M15" s="7"/>
      <c r="N15" s="6">
        <f t="shared" ref="N15:N17" si="12">E15*H15</f>
        <v>30</v>
      </c>
      <c r="O15" s="7"/>
      <c r="P15" s="6">
        <f t="shared" ref="P15:P17" si="13">AVERAGE(I15:J15)*E15</f>
        <v>2415</v>
      </c>
    </row>
    <row r="16">
      <c r="A16" s="4" t="s">
        <v>37</v>
      </c>
      <c r="B16" s="5" t="s">
        <v>24</v>
      </c>
      <c r="C16" s="5">
        <v>12.0</v>
      </c>
      <c r="D16" s="5">
        <f>D15*0.96</f>
        <v>4.032</v>
      </c>
      <c r="E16" s="5">
        <v>20.0</v>
      </c>
      <c r="F16" s="5">
        <v>0.0</v>
      </c>
      <c r="G16" s="5" t="s">
        <v>17</v>
      </c>
      <c r="H16" s="5">
        <v>1.5</v>
      </c>
      <c r="I16" s="5">
        <v>130.2</v>
      </c>
      <c r="J16" s="5">
        <v>154.7</v>
      </c>
      <c r="K16" s="6">
        <f t="shared" si="11"/>
        <v>94.96666667</v>
      </c>
      <c r="L16" s="7"/>
      <c r="M16" s="7"/>
      <c r="N16" s="6">
        <f t="shared" si="12"/>
        <v>30</v>
      </c>
      <c r="O16" s="7"/>
      <c r="P16" s="6">
        <f t="shared" si="13"/>
        <v>2849</v>
      </c>
    </row>
    <row r="17">
      <c r="A17" s="4" t="s">
        <v>38</v>
      </c>
      <c r="B17" s="5" t="s">
        <v>29</v>
      </c>
      <c r="C17" s="5">
        <v>12.0</v>
      </c>
      <c r="D17" s="5">
        <f>D15*0.93</f>
        <v>3.906</v>
      </c>
      <c r="E17" s="5">
        <v>25.0</v>
      </c>
      <c r="F17" s="5">
        <v>0.02</v>
      </c>
      <c r="G17" s="5" t="s">
        <v>17</v>
      </c>
      <c r="H17" s="5">
        <v>1.5</v>
      </c>
      <c r="I17" s="5">
        <v>135.2</v>
      </c>
      <c r="J17" s="5">
        <v>160.8</v>
      </c>
      <c r="K17" s="6">
        <f t="shared" si="11"/>
        <v>98.66666667</v>
      </c>
      <c r="L17" s="7"/>
      <c r="M17" s="7"/>
      <c r="N17" s="6">
        <f t="shared" si="12"/>
        <v>37.5</v>
      </c>
      <c r="O17" s="7"/>
      <c r="P17" s="6">
        <f t="shared" si="13"/>
        <v>3700</v>
      </c>
    </row>
    <row r="18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>
      <c r="A19" s="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>
      <c r="A20" s="4" t="s">
        <v>39</v>
      </c>
      <c r="B20" s="5" t="s">
        <v>16</v>
      </c>
      <c r="C20" s="5">
        <v>16.5</v>
      </c>
      <c r="D20" s="5">
        <v>4.5</v>
      </c>
      <c r="E20" s="5">
        <v>35.0</v>
      </c>
      <c r="F20" s="5">
        <v>0.0</v>
      </c>
      <c r="G20" s="5" t="s">
        <v>17</v>
      </c>
      <c r="H20" s="5">
        <v>1.125</v>
      </c>
      <c r="I20" s="5">
        <v>75.0</v>
      </c>
      <c r="J20" s="5">
        <v>93.75</v>
      </c>
      <c r="K20" s="6">
        <f t="shared" ref="K20:K22" si="14">AVERAGE(I20:J20)/H20</f>
        <v>75</v>
      </c>
      <c r="L20" s="7"/>
      <c r="M20" s="7"/>
      <c r="N20" s="6">
        <f t="shared" ref="N20:N22" si="15">E20*H20</f>
        <v>39.375</v>
      </c>
      <c r="O20" s="7"/>
      <c r="P20" s="6">
        <f t="shared" ref="P20:P22" si="16">AVERAGE(I20:J20)*E20</f>
        <v>2953.125</v>
      </c>
    </row>
    <row r="21">
      <c r="A21" s="4" t="s">
        <v>40</v>
      </c>
      <c r="B21" s="5" t="s">
        <v>19</v>
      </c>
      <c r="C21" s="5">
        <v>16.5</v>
      </c>
      <c r="D21" s="5">
        <f>D20*1</f>
        <v>4.5</v>
      </c>
      <c r="E21" s="5">
        <v>40.0</v>
      </c>
      <c r="F21" s="5">
        <v>0.04</v>
      </c>
      <c r="G21" s="5" t="s">
        <v>17</v>
      </c>
      <c r="H21" s="5">
        <v>1.0124</v>
      </c>
      <c r="I21" s="5">
        <v>75.0</v>
      </c>
      <c r="J21" s="5">
        <v>93.75</v>
      </c>
      <c r="K21" s="6">
        <f t="shared" si="14"/>
        <v>83.3415646</v>
      </c>
      <c r="L21" s="7"/>
      <c r="M21" s="7"/>
      <c r="N21" s="6">
        <f t="shared" si="15"/>
        <v>40.496</v>
      </c>
      <c r="O21" s="7"/>
      <c r="P21" s="6">
        <f t="shared" si="16"/>
        <v>3375</v>
      </c>
    </row>
    <row r="22">
      <c r="A22" s="4" t="s">
        <v>41</v>
      </c>
      <c r="B22" s="5" t="s">
        <v>24</v>
      </c>
      <c r="C22" s="5">
        <v>18.0</v>
      </c>
      <c r="D22" s="5">
        <f>D20*1.06</f>
        <v>4.77</v>
      </c>
      <c r="E22" s="5">
        <v>15.0</v>
      </c>
      <c r="F22" s="5">
        <v>-0.04</v>
      </c>
      <c r="G22" s="5" t="s">
        <v>17</v>
      </c>
      <c r="H22" s="5">
        <v>1.325</v>
      </c>
      <c r="I22" s="5">
        <v>100.0</v>
      </c>
      <c r="J22" s="5">
        <v>118.75</v>
      </c>
      <c r="K22" s="6">
        <f t="shared" si="14"/>
        <v>82.54716981</v>
      </c>
      <c r="L22" s="7"/>
      <c r="M22" s="7"/>
      <c r="N22" s="6">
        <f t="shared" si="15"/>
        <v>19.875</v>
      </c>
      <c r="O22" s="7"/>
      <c r="P22" s="6">
        <f t="shared" si="16"/>
        <v>1640.625</v>
      </c>
    </row>
    <row r="23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>
      <c r="A24" s="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>
      <c r="A25" s="4" t="s">
        <v>42</v>
      </c>
      <c r="B25" s="5" t="s">
        <v>16</v>
      </c>
      <c r="C25" s="5">
        <v>8.0</v>
      </c>
      <c r="D25" s="5">
        <v>6.0</v>
      </c>
      <c r="E25" s="5">
        <v>200.0</v>
      </c>
      <c r="F25" s="5">
        <v>0.0</v>
      </c>
      <c r="G25" s="5" t="s">
        <v>17</v>
      </c>
      <c r="H25" s="5">
        <v>0.1875</v>
      </c>
      <c r="I25" s="5">
        <v>10.0</v>
      </c>
      <c r="J25" s="5">
        <v>12.0</v>
      </c>
      <c r="K25" s="6">
        <f t="shared" ref="K25:K26" si="17">AVERAGE(I25:J25)/H25</f>
        <v>58.66666667</v>
      </c>
      <c r="L25" s="7"/>
      <c r="M25" s="7"/>
      <c r="N25" s="6">
        <f t="shared" ref="N25:N26" si="18">E25*H25</f>
        <v>37.5</v>
      </c>
      <c r="O25" s="7"/>
      <c r="P25" s="6">
        <f t="shared" ref="P25:P26" si="19">AVERAGE(I25:J25)*E25</f>
        <v>2200</v>
      </c>
    </row>
    <row r="26">
      <c r="A26" s="4" t="s">
        <v>43</v>
      </c>
      <c r="B26" s="5" t="s">
        <v>24</v>
      </c>
      <c r="C26" s="5">
        <v>8.0</v>
      </c>
      <c r="D26" s="5">
        <f>D25*0.98</f>
        <v>5.88</v>
      </c>
      <c r="E26" s="5">
        <v>300.0</v>
      </c>
      <c r="F26" s="5">
        <v>-0.04</v>
      </c>
      <c r="G26" s="5" t="s">
        <v>17</v>
      </c>
      <c r="H26" s="5">
        <v>0.1875</v>
      </c>
      <c r="I26" s="5">
        <v>12.0</v>
      </c>
      <c r="J26" s="5">
        <v>14.0</v>
      </c>
      <c r="K26" s="6">
        <f t="shared" si="17"/>
        <v>69.33333333</v>
      </c>
      <c r="L26" s="7"/>
      <c r="M26" s="7"/>
      <c r="N26" s="6">
        <f t="shared" si="18"/>
        <v>56.25</v>
      </c>
      <c r="O26" s="7"/>
      <c r="P26" s="6">
        <f t="shared" si="19"/>
        <v>3900</v>
      </c>
    </row>
    <row r="27">
      <c r="A27" s="9"/>
    </row>
    <row r="28">
      <c r="A28" s="9"/>
      <c r="M28" s="13" t="s">
        <v>44</v>
      </c>
      <c r="N28" s="14" t="s">
        <v>31</v>
      </c>
    </row>
    <row r="29">
      <c r="A29" s="4" t="s">
        <v>45</v>
      </c>
      <c r="B29" s="15" t="s">
        <v>16</v>
      </c>
      <c r="C29" s="15">
        <v>10.0</v>
      </c>
      <c r="D29" s="15">
        <v>7.2</v>
      </c>
      <c r="E29" s="15">
        <v>300.0</v>
      </c>
      <c r="F29" s="15">
        <v>0.0</v>
      </c>
      <c r="G29" s="15" t="s">
        <v>17</v>
      </c>
      <c r="H29" s="15">
        <v>0.75</v>
      </c>
      <c r="I29" s="15">
        <v>5.0</v>
      </c>
      <c r="J29" s="15">
        <v>5.5</v>
      </c>
      <c r="K29" s="16">
        <f t="shared" ref="K29:K31" si="20">6*AVERAGE(I29:J29)/H29</f>
        <v>42</v>
      </c>
      <c r="L29" s="17"/>
      <c r="M29" s="16">
        <f t="shared" ref="M29:M30" si="21">6*AVERAGE(I29:J29)/0.2793229678</f>
        <v>112.7726812</v>
      </c>
      <c r="N29" s="16"/>
      <c r="O29" s="17"/>
      <c r="P29" s="16">
        <f t="shared" ref="P29:P31" si="22">AVERAGE(I29,J29)*E29</f>
        <v>1575</v>
      </c>
    </row>
    <row r="30">
      <c r="A30" s="4" t="s">
        <v>46</v>
      </c>
      <c r="B30" s="15" t="s">
        <v>24</v>
      </c>
      <c r="C30" s="15">
        <v>10.0</v>
      </c>
      <c r="D30" s="15">
        <v>7.416</v>
      </c>
      <c r="E30" s="15">
        <v>300.0</v>
      </c>
      <c r="F30" s="15">
        <v>-0.06</v>
      </c>
      <c r="G30" s="15" t="s">
        <v>17</v>
      </c>
      <c r="H30" s="15">
        <v>0.75</v>
      </c>
      <c r="I30" s="15">
        <v>6.0</v>
      </c>
      <c r="J30" s="15">
        <v>6.5</v>
      </c>
      <c r="K30" s="16">
        <f t="shared" si="20"/>
        <v>50</v>
      </c>
      <c r="L30" s="17"/>
      <c r="M30" s="16">
        <f t="shared" si="21"/>
        <v>134.2531919</v>
      </c>
      <c r="N30" s="16"/>
      <c r="O30" s="17"/>
      <c r="P30" s="16">
        <f t="shared" si="22"/>
        <v>1875</v>
      </c>
    </row>
    <row r="31">
      <c r="A31" s="4" t="s">
        <v>47</v>
      </c>
      <c r="B31" s="15" t="s">
        <v>29</v>
      </c>
      <c r="C31" s="15">
        <v>11.0</v>
      </c>
      <c r="D31" s="15">
        <v>6.84</v>
      </c>
      <c r="E31" s="15">
        <v>350.0</v>
      </c>
      <c r="F31" s="15">
        <v>0.0</v>
      </c>
      <c r="G31" s="18" t="s">
        <v>48</v>
      </c>
      <c r="H31" s="15">
        <v>0.7</v>
      </c>
      <c r="I31" s="15">
        <v>5.0</v>
      </c>
      <c r="J31" s="15">
        <v>5.5</v>
      </c>
      <c r="K31" s="16">
        <f t="shared" si="20"/>
        <v>45</v>
      </c>
      <c r="L31" s="17"/>
      <c r="M31" s="16">
        <f>6*AVERAGE(I31:J31)/0.2607014366</f>
        <v>120.8278727</v>
      </c>
      <c r="N31" s="16"/>
      <c r="O31" s="17"/>
      <c r="P31" s="16">
        <f t="shared" si="22"/>
        <v>1837.5</v>
      </c>
    </row>
    <row r="32">
      <c r="A32" s="9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</row>
    <row r="33">
      <c r="A33" s="9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</row>
    <row r="34">
      <c r="A34" s="19" t="s">
        <v>49</v>
      </c>
      <c r="B34" s="20" t="s">
        <v>16</v>
      </c>
      <c r="C34" s="20">
        <v>14.0</v>
      </c>
      <c r="D34" s="20">
        <v>4.25</v>
      </c>
      <c r="E34" s="20">
        <v>100.0</v>
      </c>
      <c r="F34" s="20">
        <v>0.0</v>
      </c>
      <c r="G34" s="20" t="s">
        <v>17</v>
      </c>
      <c r="H34" s="20">
        <v>0.1875</v>
      </c>
      <c r="I34" s="20">
        <v>16.0</v>
      </c>
      <c r="J34" s="20">
        <v>20.0</v>
      </c>
      <c r="K34" s="17">
        <f>AVERAGE(I34,J34)/H34</f>
        <v>96</v>
      </c>
      <c r="L34" s="17"/>
      <c r="M34" s="17"/>
      <c r="N34" s="17">
        <f>H34*E34</f>
        <v>18.75</v>
      </c>
      <c r="O34" s="17"/>
      <c r="P34" s="17">
        <f>AVERAGE(I34,J34)*E34</f>
        <v>1800</v>
      </c>
    </row>
    <row r="35">
      <c r="A35" s="9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>
      <c r="A36" s="9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>
      <c r="A37" s="9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>
      <c r="A38" s="9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>
      <c r="A39" s="9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>
      <c r="A40" s="9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>
      <c r="A41" s="9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>
      <c r="A42" s="9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>
      <c r="A43" s="9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>
      <c r="A44" s="9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>
      <c r="A45" s="9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>
      <c r="A46" s="9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>
      <c r="A47" s="9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>
      <c r="A48" s="9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>
      <c r="A49" s="9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</sheetData>
  <conditionalFormatting sqref="K2:K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10:K12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20:K22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25:K26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15:K17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2:H7">
    <cfRule type="colorScale" priority="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H10:H12">
    <cfRule type="colorScale" priority="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H15:H17">
    <cfRule type="colorScale" priority="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H20:H22">
    <cfRule type="colorScale" priority="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H25:H26">
    <cfRule type="colorScale" priority="1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I2:I7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10:I12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15:I17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20:I22">
    <cfRule type="colorScale" priority="1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25:I26">
    <cfRule type="colorScale" priority="1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2:J7">
    <cfRule type="colorScale" priority="1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10:J12">
    <cfRule type="colorScale" priority="1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15:J17">
    <cfRule type="colorScale" priority="1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20:J22">
    <cfRule type="colorScale" priority="1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25:J26">
    <cfRule type="colorScale" priority="2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2:L7">
    <cfRule type="colorScale" priority="2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10:M12">
    <cfRule type="colorScale" priority="2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2:N7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N10:N12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N15:N17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N20:N22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N25:N26">
    <cfRule type="colorScale" priority="2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O2:O7">
    <cfRule type="colorScale" priority="2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P2:P7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10:P12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15:P17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20:P22">
    <cfRule type="colorScale" priority="3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25:P26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C2:C7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C10:C12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C15:C17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C20:C22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C25:C26">
    <cfRule type="colorScale" priority="3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2:E7">
    <cfRule type="colorScale" priority="3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10:E12">
    <cfRule type="colorScale" priority="4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15:E17">
    <cfRule type="colorScale" priority="4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20:E22">
    <cfRule type="colorScale" priority="4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25:E26">
    <cfRule type="colorScale" priority="4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2:F7">
    <cfRule type="colorScale" priority="4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10:F12">
    <cfRule type="colorScale" priority="4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15:F17">
    <cfRule type="colorScale" priority="4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20:F22">
    <cfRule type="colorScale" priority="4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25:F26">
    <cfRule type="colorScale" priority="4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2:G7">
    <cfRule type="containsText" dxfId="0" priority="49" operator="containsText" text="N/A">
      <formula>NOT(ISERROR(SEARCH(("N/A"),(G2))))</formula>
    </cfRule>
  </conditionalFormatting>
  <conditionalFormatting sqref="G2:G7">
    <cfRule type="notContainsText" dxfId="1" priority="50" operator="notContains" text="N/A">
      <formula>ISERROR(SEARCH(("N/A"),(G2)))</formula>
    </cfRule>
  </conditionalFormatting>
  <conditionalFormatting sqref="G10:G12">
    <cfRule type="containsText" dxfId="2" priority="51" operator="containsText" text="N/A">
      <formula>NOT(ISERROR(SEARCH(("N/A"),(G10))))</formula>
    </cfRule>
  </conditionalFormatting>
  <conditionalFormatting sqref="G10:G12">
    <cfRule type="notContainsText" dxfId="3" priority="52" operator="notContains" text="N/A">
      <formula>ISERROR(SEARCH(("N/A"),(G10)))</formula>
    </cfRule>
  </conditionalFormatting>
  <conditionalFormatting sqref="G15:G17">
    <cfRule type="containsText" dxfId="2" priority="53" operator="containsText" text="N/A">
      <formula>NOT(ISERROR(SEARCH(("N/A"),(G15))))</formula>
    </cfRule>
  </conditionalFormatting>
  <conditionalFormatting sqref="G15:G17">
    <cfRule type="notContainsText" dxfId="3" priority="54" operator="notContains" text="N/A">
      <formula>ISERROR(SEARCH(("N/A"),(G15)))</formula>
    </cfRule>
  </conditionalFormatting>
  <conditionalFormatting sqref="G20:G22">
    <cfRule type="containsText" dxfId="2" priority="55" operator="containsText" text="N/A">
      <formula>NOT(ISERROR(SEARCH(("N/A"),(G20))))</formula>
    </cfRule>
  </conditionalFormatting>
  <conditionalFormatting sqref="G20:G22">
    <cfRule type="notContainsText" dxfId="3" priority="56" operator="notContains" text="N/A">
      <formula>ISERROR(SEARCH(("N/A"),(G20)))</formula>
    </cfRule>
  </conditionalFormatting>
  <conditionalFormatting sqref="G25:G26">
    <cfRule type="containsText" dxfId="0" priority="57" operator="containsText" text="N/A">
      <formula>NOT(ISERROR(SEARCH(("N/A"),(G25))))</formula>
    </cfRule>
  </conditionalFormatting>
  <conditionalFormatting sqref="G25:G26">
    <cfRule type="notContainsText" dxfId="1" priority="58" operator="notContains" text="N/A">
      <formula>ISERROR(SEARCH(("N/A"),(G25)))</formula>
    </cfRule>
  </conditionalFormatting>
  <conditionalFormatting sqref="D2:D7">
    <cfRule type="colorScale" priority="5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10:D12">
    <cfRule type="colorScale" priority="6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15:D17">
    <cfRule type="colorScale" priority="6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20:D22">
    <cfRule type="colorScale" priority="6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25:D26">
    <cfRule type="colorScale" priority="6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C29:C31">
    <cfRule type="colorScale" priority="6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29:D31">
    <cfRule type="colorScale" priority="6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E29:E31">
    <cfRule type="colorScale" priority="6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29:F31">
    <cfRule type="colorScale" priority="6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29:G31">
    <cfRule type="containsText" dxfId="2" priority="68" operator="containsText" text="N/A">
      <formula>NOT(ISERROR(SEARCH(("N/A"),(G29))))</formula>
    </cfRule>
  </conditionalFormatting>
  <conditionalFormatting sqref="G29:G31">
    <cfRule type="notContainsText" dxfId="3" priority="69" operator="notContains" text="N/A">
      <formula>ISERROR(SEARCH(("N/A"),(G29)))</formula>
    </cfRule>
  </conditionalFormatting>
  <conditionalFormatting sqref="H29:H31">
    <cfRule type="colorScale" priority="7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I29:I31">
    <cfRule type="colorScale" priority="7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29:J31">
    <cfRule type="colorScale" priority="7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29:K31">
    <cfRule type="colorScale" priority="7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29:M31">
    <cfRule type="colorScale" priority="7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29:P31">
    <cfRule type="colorScale" priority="7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hyperlinks>
    <hyperlink r:id="rId1" location="gid=0" ref="M9"/>
    <hyperlink r:id="rId2" location="gid=0" ref="M28"/>
  </hyperlinks>
  <drawing r:id="rId3"/>
</worksheet>
</file>