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bdaGreat\Downloads\Stani Alpha Model\"/>
    </mc:Choice>
  </mc:AlternateContent>
  <xr:revisionPtr revIDLastSave="0" documentId="13_ncr:1_{B7051818-6085-4486-B7ED-B3626BF6107F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simulation" sheetId="1" r:id="rId1"/>
    <sheet name="mortgage rates quarterly" sheetId="2" r:id="rId2"/>
    <sheet name="BoE rate month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D254" i="3"/>
  <c r="E254" i="3" s="1"/>
  <c r="C254" i="3"/>
  <c r="D253" i="3"/>
  <c r="E253" i="3" s="1"/>
  <c r="C253" i="3"/>
  <c r="D252" i="3"/>
  <c r="E252" i="3" s="1"/>
  <c r="C252" i="3"/>
  <c r="D251" i="3"/>
  <c r="E251" i="3" s="1"/>
  <c r="C251" i="3"/>
  <c r="D250" i="3"/>
  <c r="E250" i="3" s="1"/>
  <c r="C250" i="3"/>
  <c r="D249" i="3"/>
  <c r="E249" i="3" s="1"/>
  <c r="C249" i="3"/>
  <c r="D248" i="3"/>
  <c r="E248" i="3" s="1"/>
  <c r="C248" i="3"/>
  <c r="D247" i="3"/>
  <c r="E247" i="3" s="1"/>
  <c r="C247" i="3"/>
  <c r="D246" i="3"/>
  <c r="E246" i="3" s="1"/>
  <c r="C246" i="3"/>
  <c r="D245" i="3"/>
  <c r="E245" i="3" s="1"/>
  <c r="C245" i="3"/>
  <c r="D244" i="3"/>
  <c r="E244" i="3" s="1"/>
  <c r="C244" i="3"/>
  <c r="D243" i="3"/>
  <c r="E243" i="3" s="1"/>
  <c r="C243" i="3"/>
  <c r="D242" i="3"/>
  <c r="E242" i="3" s="1"/>
  <c r="C242" i="3"/>
  <c r="D241" i="3"/>
  <c r="E241" i="3" s="1"/>
  <c r="C241" i="3"/>
  <c r="D240" i="3"/>
  <c r="E240" i="3" s="1"/>
  <c r="C240" i="3"/>
  <c r="D239" i="3"/>
  <c r="E239" i="3" s="1"/>
  <c r="C239" i="3"/>
  <c r="D238" i="3"/>
  <c r="E238" i="3" s="1"/>
  <c r="C238" i="3"/>
  <c r="D237" i="3"/>
  <c r="E237" i="3" s="1"/>
  <c r="C237" i="3"/>
  <c r="D236" i="3"/>
  <c r="E236" i="3" s="1"/>
  <c r="C236" i="3"/>
  <c r="D235" i="3"/>
  <c r="E235" i="3" s="1"/>
  <c r="C235" i="3"/>
  <c r="D234" i="3"/>
  <c r="E234" i="3" s="1"/>
  <c r="C234" i="3"/>
  <c r="D233" i="3"/>
  <c r="E233" i="3" s="1"/>
  <c r="C233" i="3"/>
  <c r="D232" i="3"/>
  <c r="E232" i="3" s="1"/>
  <c r="C232" i="3"/>
  <c r="D231" i="3"/>
  <c r="E231" i="3" s="1"/>
  <c r="C231" i="3"/>
  <c r="D230" i="3"/>
  <c r="E230" i="3" s="1"/>
  <c r="C230" i="3"/>
  <c r="D229" i="3"/>
  <c r="E229" i="3" s="1"/>
  <c r="C229" i="3"/>
  <c r="D228" i="3"/>
  <c r="E228" i="3" s="1"/>
  <c r="C228" i="3"/>
  <c r="D227" i="3"/>
  <c r="E227" i="3" s="1"/>
  <c r="C227" i="3"/>
  <c r="D226" i="3"/>
  <c r="E226" i="3" s="1"/>
  <c r="C226" i="3"/>
  <c r="D225" i="3"/>
  <c r="E225" i="3" s="1"/>
  <c r="C225" i="3"/>
  <c r="D224" i="3"/>
  <c r="E224" i="3" s="1"/>
  <c r="C224" i="3"/>
  <c r="D223" i="3"/>
  <c r="E223" i="3" s="1"/>
  <c r="C223" i="3"/>
  <c r="D222" i="3"/>
  <c r="E222" i="3" s="1"/>
  <c r="C222" i="3"/>
  <c r="D221" i="3"/>
  <c r="E221" i="3" s="1"/>
  <c r="C221" i="3"/>
  <c r="D220" i="3"/>
  <c r="E220" i="3" s="1"/>
  <c r="C220" i="3"/>
  <c r="D219" i="3"/>
  <c r="E219" i="3" s="1"/>
  <c r="C219" i="3"/>
  <c r="D218" i="3"/>
  <c r="E218" i="3" s="1"/>
  <c r="C218" i="3"/>
  <c r="D217" i="3"/>
  <c r="E217" i="3" s="1"/>
  <c r="C217" i="3"/>
  <c r="D216" i="3"/>
  <c r="E216" i="3" s="1"/>
  <c r="C216" i="3"/>
  <c r="D215" i="3"/>
  <c r="E215" i="3" s="1"/>
  <c r="C215" i="3"/>
  <c r="D214" i="3"/>
  <c r="E214" i="3" s="1"/>
  <c r="C214" i="3"/>
  <c r="D213" i="3"/>
  <c r="E213" i="3" s="1"/>
  <c r="C213" i="3"/>
  <c r="D212" i="3"/>
  <c r="E212" i="3" s="1"/>
  <c r="C212" i="3"/>
  <c r="D211" i="3"/>
  <c r="E211" i="3" s="1"/>
  <c r="C211" i="3"/>
  <c r="D210" i="3"/>
  <c r="E210" i="3" s="1"/>
  <c r="C210" i="3"/>
  <c r="D209" i="3"/>
  <c r="E209" i="3" s="1"/>
  <c r="C209" i="3"/>
  <c r="D208" i="3"/>
  <c r="E208" i="3" s="1"/>
  <c r="C208" i="3"/>
  <c r="D207" i="3"/>
  <c r="E207" i="3" s="1"/>
  <c r="C207" i="3"/>
  <c r="D206" i="3"/>
  <c r="E206" i="3" s="1"/>
  <c r="C206" i="3"/>
  <c r="D205" i="3"/>
  <c r="E205" i="3" s="1"/>
  <c r="C205" i="3"/>
  <c r="D204" i="3"/>
  <c r="E204" i="3" s="1"/>
  <c r="C204" i="3"/>
  <c r="D203" i="3"/>
  <c r="E203" i="3" s="1"/>
  <c r="C203" i="3"/>
  <c r="D202" i="3"/>
  <c r="E202" i="3" s="1"/>
  <c r="C202" i="3"/>
  <c r="D201" i="3"/>
  <c r="E201" i="3" s="1"/>
  <c r="C201" i="3"/>
  <c r="D200" i="3"/>
  <c r="E200" i="3" s="1"/>
  <c r="C200" i="3"/>
  <c r="E199" i="3"/>
  <c r="D199" i="3"/>
  <c r="C199" i="3"/>
  <c r="E198" i="3"/>
  <c r="D198" i="3"/>
  <c r="C198" i="3"/>
  <c r="D197" i="3"/>
  <c r="E197" i="3" s="1"/>
  <c r="C197" i="3"/>
  <c r="E196" i="3"/>
  <c r="D196" i="3"/>
  <c r="C196" i="3"/>
  <c r="E195" i="3"/>
  <c r="D195" i="3"/>
  <c r="C195" i="3"/>
  <c r="D194" i="3"/>
  <c r="E194" i="3" s="1"/>
  <c r="C194" i="3"/>
  <c r="D193" i="3"/>
  <c r="E193" i="3" s="1"/>
  <c r="C193" i="3"/>
  <c r="E192" i="3"/>
  <c r="D192" i="3"/>
  <c r="C192" i="3"/>
  <c r="E191" i="3"/>
  <c r="D191" i="3"/>
  <c r="C191" i="3"/>
  <c r="D190" i="3"/>
  <c r="E190" i="3" s="1"/>
  <c r="C190" i="3"/>
  <c r="D189" i="3"/>
  <c r="E189" i="3" s="1"/>
  <c r="C189" i="3"/>
  <c r="E188" i="3"/>
  <c r="D188" i="3"/>
  <c r="C188" i="3"/>
  <c r="E187" i="3"/>
  <c r="D187" i="3"/>
  <c r="C187" i="3"/>
  <c r="D186" i="3"/>
  <c r="E186" i="3" s="1"/>
  <c r="C186" i="3"/>
  <c r="D185" i="3"/>
  <c r="E185" i="3" s="1"/>
  <c r="C185" i="3"/>
  <c r="E184" i="3"/>
  <c r="D184" i="3"/>
  <c r="C184" i="3"/>
  <c r="E183" i="3"/>
  <c r="D183" i="3"/>
  <c r="C183" i="3"/>
  <c r="D182" i="3"/>
  <c r="E182" i="3" s="1"/>
  <c r="C182" i="3"/>
  <c r="D181" i="3"/>
  <c r="E181" i="3" s="1"/>
  <c r="C181" i="3"/>
  <c r="D180" i="3"/>
  <c r="E180" i="3" s="1"/>
  <c r="C180" i="3"/>
  <c r="D179" i="3"/>
  <c r="E179" i="3" s="1"/>
  <c r="C179" i="3"/>
  <c r="E178" i="3"/>
  <c r="D178" i="3"/>
  <c r="C178" i="3"/>
  <c r="E177" i="3"/>
  <c r="D177" i="3"/>
  <c r="C177" i="3"/>
  <c r="D176" i="3"/>
  <c r="E176" i="3" s="1"/>
  <c r="C176" i="3"/>
  <c r="D175" i="3"/>
  <c r="E175" i="3" s="1"/>
  <c r="C175" i="3"/>
  <c r="D174" i="3"/>
  <c r="E174" i="3" s="1"/>
  <c r="C174" i="3"/>
  <c r="D173" i="3"/>
  <c r="E173" i="3" s="1"/>
  <c r="C173" i="3"/>
  <c r="D172" i="3"/>
  <c r="E172" i="3" s="1"/>
  <c r="C172" i="3"/>
  <c r="D171" i="3"/>
  <c r="E171" i="3" s="1"/>
  <c r="C171" i="3"/>
  <c r="D170" i="3"/>
  <c r="E170" i="3" s="1"/>
  <c r="C170" i="3"/>
  <c r="E169" i="3"/>
  <c r="D169" i="3"/>
  <c r="C169" i="3"/>
  <c r="D168" i="3"/>
  <c r="E168" i="3" s="1"/>
  <c r="C168" i="3"/>
  <c r="E167" i="3"/>
  <c r="D167" i="3"/>
  <c r="C167" i="3"/>
  <c r="E166" i="3"/>
  <c r="D166" i="3"/>
  <c r="C166" i="3"/>
  <c r="E165" i="3"/>
  <c r="D165" i="3"/>
  <c r="C165" i="3"/>
  <c r="D164" i="3"/>
  <c r="E164" i="3" s="1"/>
  <c r="C164" i="3"/>
  <c r="D163" i="3"/>
  <c r="E163" i="3" s="1"/>
  <c r="C163" i="3"/>
  <c r="D162" i="3"/>
  <c r="E162" i="3" s="1"/>
  <c r="C162" i="3"/>
  <c r="E161" i="3"/>
  <c r="D161" i="3"/>
  <c r="C161" i="3"/>
  <c r="D160" i="3"/>
  <c r="E160" i="3" s="1"/>
  <c r="C160" i="3"/>
  <c r="E159" i="3"/>
  <c r="D159" i="3"/>
  <c r="C159" i="3"/>
  <c r="E158" i="3"/>
  <c r="D158" i="3"/>
  <c r="C158" i="3"/>
  <c r="E157" i="3"/>
  <c r="D157" i="3"/>
  <c r="C157" i="3"/>
  <c r="D156" i="3"/>
  <c r="E156" i="3" s="1"/>
  <c r="C156" i="3"/>
  <c r="D155" i="3"/>
  <c r="E155" i="3" s="1"/>
  <c r="C155" i="3"/>
  <c r="E154" i="3"/>
  <c r="D154" i="3"/>
  <c r="C154" i="3"/>
  <c r="D153" i="3"/>
  <c r="E153" i="3" s="1"/>
  <c r="C153" i="3"/>
  <c r="D152" i="3"/>
  <c r="E152" i="3" s="1"/>
  <c r="C152" i="3"/>
  <c r="E151" i="3"/>
  <c r="D151" i="3"/>
  <c r="C151" i="3"/>
  <c r="D150" i="3"/>
  <c r="E150" i="3" s="1"/>
  <c r="C150" i="3"/>
  <c r="D149" i="3"/>
  <c r="E149" i="3" s="1"/>
  <c r="C149" i="3"/>
  <c r="E148" i="3"/>
  <c r="D148" i="3"/>
  <c r="C148" i="3"/>
  <c r="D147" i="3"/>
  <c r="E147" i="3" s="1"/>
  <c r="C147" i="3"/>
  <c r="E146" i="3"/>
  <c r="D146" i="3"/>
  <c r="C146" i="3"/>
  <c r="D145" i="3"/>
  <c r="E145" i="3" s="1"/>
  <c r="C145" i="3"/>
  <c r="E144" i="3"/>
  <c r="D144" i="3"/>
  <c r="C144" i="3"/>
  <c r="D143" i="3"/>
  <c r="E143" i="3" s="1"/>
  <c r="C143" i="3"/>
  <c r="E142" i="3"/>
  <c r="D142" i="3"/>
  <c r="C142" i="3"/>
  <c r="D141" i="3"/>
  <c r="E141" i="3" s="1"/>
  <c r="C141" i="3"/>
  <c r="E140" i="3"/>
  <c r="D140" i="3"/>
  <c r="C140" i="3"/>
  <c r="E139" i="3"/>
  <c r="D139" i="3"/>
  <c r="C139" i="3"/>
  <c r="D138" i="3"/>
  <c r="E138" i="3" s="1"/>
  <c r="C138" i="3"/>
  <c r="E137" i="3"/>
  <c r="D137" i="3"/>
  <c r="C137" i="3"/>
  <c r="D136" i="3"/>
  <c r="E136" i="3" s="1"/>
  <c r="C136" i="3"/>
  <c r="D135" i="3"/>
  <c r="E135" i="3" s="1"/>
  <c r="C135" i="3"/>
  <c r="D134" i="3"/>
  <c r="E134" i="3" s="1"/>
  <c r="C134" i="3"/>
  <c r="D133" i="3"/>
  <c r="E133" i="3" s="1"/>
  <c r="C133" i="3"/>
  <c r="E132" i="3"/>
  <c r="D132" i="3"/>
  <c r="C132" i="3"/>
  <c r="D131" i="3"/>
  <c r="E131" i="3" s="1"/>
  <c r="C131" i="3"/>
  <c r="E130" i="3"/>
  <c r="D130" i="3"/>
  <c r="C130" i="3"/>
  <c r="D129" i="3"/>
  <c r="E129" i="3" s="1"/>
  <c r="C129" i="3"/>
  <c r="D128" i="3"/>
  <c r="E128" i="3" s="1"/>
  <c r="C128" i="3"/>
  <c r="D127" i="3"/>
  <c r="E127" i="3" s="1"/>
  <c r="C127" i="3"/>
  <c r="E126" i="3"/>
  <c r="D126" i="3"/>
  <c r="C126" i="3"/>
  <c r="D125" i="3"/>
  <c r="E125" i="3" s="1"/>
  <c r="C125" i="3"/>
  <c r="E124" i="3"/>
  <c r="D124" i="3"/>
  <c r="C124" i="3"/>
  <c r="D123" i="3"/>
  <c r="E123" i="3" s="1"/>
  <c r="C123" i="3"/>
  <c r="D122" i="3"/>
  <c r="E122" i="3" s="1"/>
  <c r="C122" i="3"/>
  <c r="D121" i="3"/>
  <c r="E121" i="3" s="1"/>
  <c r="C121" i="3"/>
  <c r="E120" i="3"/>
  <c r="D120" i="3"/>
  <c r="C120" i="3"/>
  <c r="D119" i="3"/>
  <c r="E119" i="3" s="1"/>
  <c r="C119" i="3"/>
  <c r="D118" i="3"/>
  <c r="E118" i="3" s="1"/>
  <c r="C118" i="3"/>
  <c r="E117" i="3"/>
  <c r="D117" i="3"/>
  <c r="C117" i="3"/>
  <c r="D116" i="3"/>
  <c r="E116" i="3" s="1"/>
  <c r="C116" i="3"/>
  <c r="E115" i="3"/>
  <c r="D115" i="3"/>
  <c r="C115" i="3"/>
  <c r="G114" i="3"/>
  <c r="D114" i="3"/>
  <c r="E114" i="3" s="1"/>
  <c r="C114" i="3"/>
  <c r="G113" i="3"/>
  <c r="E113" i="3"/>
  <c r="D113" i="3"/>
  <c r="C113" i="3"/>
  <c r="G112" i="3"/>
  <c r="E112" i="3"/>
  <c r="D112" i="3"/>
  <c r="C112" i="3"/>
  <c r="G111" i="3"/>
  <c r="E111" i="3"/>
  <c r="D111" i="3"/>
  <c r="C111" i="3"/>
  <c r="G110" i="3"/>
  <c r="E110" i="3"/>
  <c r="D110" i="3"/>
  <c r="C110" i="3"/>
  <c r="G109" i="3"/>
  <c r="E109" i="3"/>
  <c r="D109" i="3"/>
  <c r="C109" i="3"/>
  <c r="G108" i="3"/>
  <c r="E108" i="3"/>
  <c r="D108" i="3"/>
  <c r="C108" i="3"/>
  <c r="G107" i="3"/>
  <c r="E107" i="3"/>
  <c r="D107" i="3"/>
  <c r="C107" i="3"/>
  <c r="G106" i="3"/>
  <c r="D106" i="3"/>
  <c r="E106" i="3" s="1"/>
  <c r="C106" i="3"/>
  <c r="G105" i="3"/>
  <c r="D105" i="3"/>
  <c r="E105" i="3" s="1"/>
  <c r="C105" i="3"/>
  <c r="G104" i="3"/>
  <c r="E104" i="3"/>
  <c r="D104" i="3"/>
  <c r="C104" i="3"/>
  <c r="G103" i="3"/>
  <c r="D103" i="3"/>
  <c r="E103" i="3" s="1"/>
  <c r="C103" i="3"/>
  <c r="G102" i="3"/>
  <c r="D102" i="3"/>
  <c r="E102" i="3" s="1"/>
  <c r="C102" i="3"/>
  <c r="G101" i="3"/>
  <c r="E101" i="3"/>
  <c r="D101" i="3"/>
  <c r="C101" i="3"/>
  <c r="G100" i="3"/>
  <c r="E100" i="3"/>
  <c r="D100" i="3"/>
  <c r="C100" i="3"/>
  <c r="G99" i="3"/>
  <c r="E99" i="3"/>
  <c r="D99" i="3"/>
  <c r="C99" i="3"/>
  <c r="G98" i="3"/>
  <c r="E98" i="3"/>
  <c r="D98" i="3"/>
  <c r="C98" i="3"/>
  <c r="G97" i="3"/>
  <c r="E97" i="3"/>
  <c r="D97" i="3"/>
  <c r="C97" i="3"/>
  <c r="G96" i="3"/>
  <c r="E96" i="3"/>
  <c r="D96" i="3"/>
  <c r="C96" i="3"/>
  <c r="G95" i="3"/>
  <c r="E95" i="3"/>
  <c r="D95" i="3"/>
  <c r="C95" i="3"/>
  <c r="G94" i="3"/>
  <c r="D94" i="3"/>
  <c r="E94" i="3" s="1"/>
  <c r="C94" i="3"/>
  <c r="G93" i="3"/>
  <c r="E93" i="3"/>
  <c r="D93" i="3"/>
  <c r="C93" i="3"/>
  <c r="G92" i="3"/>
  <c r="D92" i="3"/>
  <c r="E92" i="3" s="1"/>
  <c r="C92" i="3"/>
  <c r="G91" i="3"/>
  <c r="D91" i="3"/>
  <c r="E91" i="3" s="1"/>
  <c r="C91" i="3"/>
  <c r="G90" i="3"/>
  <c r="D90" i="3"/>
  <c r="E90" i="3" s="1"/>
  <c r="C90" i="3"/>
  <c r="G89" i="3"/>
  <c r="D89" i="3"/>
  <c r="E89" i="3" s="1"/>
  <c r="C89" i="3"/>
  <c r="G88" i="3"/>
  <c r="D88" i="3"/>
  <c r="E88" i="3" s="1"/>
  <c r="C88" i="3"/>
  <c r="G87" i="3"/>
  <c r="E87" i="3"/>
  <c r="D87" i="3"/>
  <c r="C87" i="3"/>
  <c r="G86" i="3"/>
  <c r="D86" i="3"/>
  <c r="E86" i="3" s="1"/>
  <c r="C86" i="3"/>
  <c r="G85" i="3"/>
  <c r="E85" i="3"/>
  <c r="D85" i="3"/>
  <c r="C85" i="3"/>
  <c r="G84" i="3"/>
  <c r="D84" i="3"/>
  <c r="E84" i="3" s="1"/>
  <c r="C84" i="3"/>
  <c r="G83" i="3"/>
  <c r="D83" i="3"/>
  <c r="E83" i="3" s="1"/>
  <c r="C83" i="3"/>
  <c r="G82" i="3"/>
  <c r="D82" i="3"/>
  <c r="E82" i="3" s="1"/>
  <c r="C82" i="3"/>
  <c r="G81" i="3"/>
  <c r="D81" i="3"/>
  <c r="E81" i="3" s="1"/>
  <c r="C81" i="3"/>
  <c r="G80" i="3"/>
  <c r="D80" i="3"/>
  <c r="E80" i="3" s="1"/>
  <c r="C80" i="3"/>
  <c r="G79" i="3"/>
  <c r="D79" i="3"/>
  <c r="E79" i="3" s="1"/>
  <c r="C79" i="3"/>
  <c r="G78" i="3"/>
  <c r="D78" i="3"/>
  <c r="E78" i="3" s="1"/>
  <c r="C78" i="3"/>
  <c r="G77" i="3"/>
  <c r="D77" i="3"/>
  <c r="E77" i="3" s="1"/>
  <c r="C77" i="3"/>
  <c r="G76" i="3"/>
  <c r="E76" i="3"/>
  <c r="D76" i="3"/>
  <c r="C76" i="3"/>
  <c r="G75" i="3"/>
  <c r="E75" i="3"/>
  <c r="D75" i="3"/>
  <c r="C75" i="3"/>
  <c r="G74" i="3"/>
  <c r="D74" i="3"/>
  <c r="E74" i="3" s="1"/>
  <c r="C74" i="3"/>
  <c r="G73" i="3"/>
  <c r="D73" i="3"/>
  <c r="E73" i="3" s="1"/>
  <c r="C73" i="3"/>
  <c r="G72" i="3"/>
  <c r="D72" i="3"/>
  <c r="E72" i="3" s="1"/>
  <c r="C72" i="3"/>
  <c r="G71" i="3"/>
  <c r="E71" i="3"/>
  <c r="D71" i="3"/>
  <c r="C71" i="3"/>
  <c r="G70" i="3"/>
  <c r="E70" i="3"/>
  <c r="D70" i="3"/>
  <c r="C70" i="3"/>
  <c r="G69" i="3"/>
  <c r="E69" i="3"/>
  <c r="D69" i="3"/>
  <c r="C69" i="3"/>
  <c r="G68" i="3"/>
  <c r="E68" i="3"/>
  <c r="D68" i="3"/>
  <c r="C68" i="3"/>
  <c r="G67" i="3"/>
  <c r="E67" i="3"/>
  <c r="D67" i="3"/>
  <c r="C67" i="3"/>
  <c r="G66" i="3"/>
  <c r="E66" i="3"/>
  <c r="D66" i="3"/>
  <c r="C66" i="3"/>
  <c r="G65" i="3"/>
  <c r="E65" i="3"/>
  <c r="D65" i="3"/>
  <c r="C65" i="3"/>
  <c r="G64" i="3"/>
  <c r="E64" i="3"/>
  <c r="D64" i="3"/>
  <c r="C64" i="3"/>
  <c r="G63" i="3"/>
  <c r="E63" i="3"/>
  <c r="D63" i="3"/>
  <c r="C63" i="3"/>
  <c r="G62" i="3"/>
  <c r="E62" i="3"/>
  <c r="D62" i="3"/>
  <c r="C62" i="3"/>
  <c r="G61" i="3"/>
  <c r="D61" i="3"/>
  <c r="E61" i="3" s="1"/>
  <c r="C61" i="3"/>
  <c r="G60" i="3"/>
  <c r="D60" i="3"/>
  <c r="E60" i="3" s="1"/>
  <c r="C60" i="3"/>
  <c r="G59" i="3"/>
  <c r="D59" i="3"/>
  <c r="E59" i="3" s="1"/>
  <c r="C59" i="3"/>
  <c r="G58" i="3"/>
  <c r="D58" i="3"/>
  <c r="E58" i="3" s="1"/>
  <c r="C58" i="3"/>
  <c r="G57" i="3"/>
  <c r="E57" i="3"/>
  <c r="D57" i="3"/>
  <c r="C57" i="3"/>
  <c r="G56" i="3"/>
  <c r="E56" i="3"/>
  <c r="D56" i="3"/>
  <c r="C56" i="3"/>
  <c r="G55" i="3"/>
  <c r="D55" i="3"/>
  <c r="E55" i="3" s="1"/>
  <c r="C55" i="3"/>
  <c r="G54" i="3"/>
  <c r="D54" i="3"/>
  <c r="E54" i="3" s="1"/>
  <c r="C54" i="3"/>
  <c r="G53" i="3"/>
  <c r="E53" i="3"/>
  <c r="D53" i="3"/>
  <c r="C53" i="3"/>
  <c r="G52" i="3"/>
  <c r="E52" i="3"/>
  <c r="D52" i="3"/>
  <c r="C52" i="3"/>
  <c r="G51" i="3"/>
  <c r="D51" i="3"/>
  <c r="E51" i="3" s="1"/>
  <c r="C51" i="3"/>
  <c r="G50" i="3"/>
  <c r="D50" i="3"/>
  <c r="E50" i="3" s="1"/>
  <c r="C50" i="3"/>
  <c r="G49" i="3"/>
  <c r="E49" i="3"/>
  <c r="D49" i="3"/>
  <c r="C49" i="3"/>
  <c r="G48" i="3"/>
  <c r="E48" i="3"/>
  <c r="D48" i="3"/>
  <c r="C48" i="3"/>
  <c r="G47" i="3"/>
  <c r="D47" i="3"/>
  <c r="E47" i="3" s="1"/>
  <c r="C47" i="3"/>
  <c r="G46" i="3"/>
  <c r="D46" i="3"/>
  <c r="E46" i="3" s="1"/>
  <c r="C46" i="3"/>
  <c r="G45" i="3"/>
  <c r="E45" i="3"/>
  <c r="D45" i="3"/>
  <c r="C45" i="3"/>
  <c r="G44" i="3"/>
  <c r="E44" i="3"/>
  <c r="D44" i="3"/>
  <c r="C44" i="3"/>
  <c r="G43" i="3"/>
  <c r="D43" i="3"/>
  <c r="E43" i="3" s="1"/>
  <c r="C43" i="3"/>
  <c r="G42" i="3"/>
  <c r="D42" i="3"/>
  <c r="E42" i="3" s="1"/>
  <c r="C42" i="3"/>
  <c r="G41" i="3"/>
  <c r="E41" i="3"/>
  <c r="D41" i="3"/>
  <c r="C41" i="3"/>
  <c r="G40" i="3"/>
  <c r="E40" i="3"/>
  <c r="D40" i="3"/>
  <c r="C40" i="3"/>
  <c r="G39" i="3"/>
  <c r="D39" i="3"/>
  <c r="E39" i="3" s="1"/>
  <c r="C39" i="3"/>
  <c r="G38" i="3"/>
  <c r="D38" i="3"/>
  <c r="E38" i="3" s="1"/>
  <c r="C38" i="3"/>
  <c r="G37" i="3"/>
  <c r="E37" i="3"/>
  <c r="D37" i="3"/>
  <c r="C37" i="3"/>
  <c r="G36" i="3"/>
  <c r="E36" i="3"/>
  <c r="D36" i="3"/>
  <c r="C36" i="3"/>
  <c r="G35" i="3"/>
  <c r="D35" i="3"/>
  <c r="E35" i="3" s="1"/>
  <c r="C35" i="3"/>
  <c r="G34" i="3"/>
  <c r="D34" i="3"/>
  <c r="E34" i="3" s="1"/>
  <c r="C34" i="3"/>
  <c r="G33" i="3"/>
  <c r="E33" i="3"/>
  <c r="D33" i="3"/>
  <c r="C33" i="3"/>
  <c r="G32" i="3"/>
  <c r="E32" i="3"/>
  <c r="D32" i="3"/>
  <c r="C32" i="3"/>
  <c r="G31" i="3"/>
  <c r="D31" i="3"/>
  <c r="E31" i="3" s="1"/>
  <c r="C31" i="3"/>
  <c r="G30" i="3"/>
  <c r="D30" i="3"/>
  <c r="E30" i="3" s="1"/>
  <c r="C30" i="3"/>
  <c r="G29" i="3"/>
  <c r="D29" i="3"/>
  <c r="E29" i="3" s="1"/>
  <c r="C29" i="3"/>
  <c r="G28" i="3"/>
  <c r="E28" i="3"/>
  <c r="D28" i="3"/>
  <c r="C28" i="3"/>
  <c r="G27" i="3"/>
  <c r="E27" i="3"/>
  <c r="D27" i="3"/>
  <c r="C27" i="3"/>
  <c r="G26" i="3"/>
  <c r="E26" i="3"/>
  <c r="D26" i="3"/>
  <c r="C26" i="3"/>
  <c r="G25" i="3"/>
  <c r="D25" i="3"/>
  <c r="E25" i="3" s="1"/>
  <c r="C25" i="3"/>
  <c r="G24" i="3"/>
  <c r="D24" i="3"/>
  <c r="E24" i="3" s="1"/>
  <c r="C24" i="3"/>
  <c r="G23" i="3"/>
  <c r="E23" i="3"/>
  <c r="D23" i="3"/>
  <c r="C23" i="3"/>
  <c r="G22" i="3"/>
  <c r="E22" i="3"/>
  <c r="D22" i="3"/>
  <c r="C22" i="3"/>
  <c r="G21" i="3"/>
  <c r="D21" i="3"/>
  <c r="E21" i="3" s="1"/>
  <c r="C21" i="3"/>
  <c r="G20" i="3"/>
  <c r="D20" i="3"/>
  <c r="E20" i="3" s="1"/>
  <c r="C20" i="3"/>
  <c r="G19" i="3"/>
  <c r="D19" i="3"/>
  <c r="E19" i="3" s="1"/>
  <c r="C19" i="3"/>
  <c r="G18" i="3"/>
  <c r="E18" i="3"/>
  <c r="D18" i="3"/>
  <c r="C18" i="3"/>
  <c r="G17" i="3"/>
  <c r="D17" i="3"/>
  <c r="E17" i="3" s="1"/>
  <c r="C17" i="3"/>
  <c r="G16" i="3"/>
  <c r="D16" i="3"/>
  <c r="E16" i="3" s="1"/>
  <c r="C16" i="3"/>
  <c r="G15" i="3"/>
  <c r="E15" i="3"/>
  <c r="D15" i="3"/>
  <c r="C15" i="3"/>
  <c r="G14" i="3"/>
  <c r="D14" i="3"/>
  <c r="E14" i="3" s="1"/>
  <c r="C14" i="3"/>
  <c r="G13" i="3"/>
  <c r="E13" i="3"/>
  <c r="D13" i="3"/>
  <c r="C13" i="3"/>
  <c r="G12" i="3"/>
  <c r="D12" i="3"/>
  <c r="E12" i="3" s="1"/>
  <c r="C12" i="3"/>
  <c r="G11" i="3"/>
  <c r="E11" i="3"/>
  <c r="D11" i="3"/>
  <c r="C11" i="3"/>
  <c r="G10" i="3"/>
  <c r="D10" i="3"/>
  <c r="E10" i="3" s="1"/>
  <c r="C10" i="3"/>
  <c r="G9" i="3"/>
  <c r="E9" i="3"/>
  <c r="D9" i="3"/>
  <c r="C9" i="3"/>
  <c r="G8" i="3"/>
  <c r="E8" i="3"/>
  <c r="D8" i="3"/>
  <c r="C8" i="3"/>
  <c r="G7" i="3"/>
  <c r="E7" i="3"/>
  <c r="D7" i="3"/>
  <c r="C7" i="3"/>
  <c r="G6" i="3"/>
  <c r="E6" i="3"/>
  <c r="D6" i="3"/>
  <c r="C6" i="3"/>
  <c r="G5" i="3"/>
  <c r="E5" i="3"/>
  <c r="D5" i="3"/>
  <c r="C5" i="3"/>
  <c r="G4" i="3"/>
  <c r="E4" i="3"/>
  <c r="D4" i="3"/>
  <c r="C4" i="3"/>
  <c r="G3" i="3"/>
  <c r="E3" i="3"/>
  <c r="D3" i="3"/>
  <c r="C3" i="3"/>
  <c r="S199" i="1"/>
  <c r="P199" i="1"/>
  <c r="O199" i="1"/>
  <c r="Q199" i="1" s="1"/>
  <c r="R199" i="1" s="1"/>
  <c r="M199" i="1"/>
  <c r="L199" i="1"/>
  <c r="K199" i="1"/>
  <c r="G199" i="1"/>
  <c r="E199" i="1"/>
  <c r="M198" i="1"/>
  <c r="J198" i="1"/>
  <c r="I198" i="1"/>
  <c r="G198" i="1"/>
  <c r="C198" i="1"/>
  <c r="M197" i="1"/>
  <c r="I197" i="1"/>
  <c r="I196" i="1" s="1"/>
  <c r="I195" i="1" s="1"/>
  <c r="I194" i="1" s="1"/>
  <c r="G197" i="1"/>
  <c r="M196" i="1"/>
  <c r="G196" i="1"/>
  <c r="M195" i="1"/>
  <c r="G195" i="1"/>
  <c r="M194" i="1"/>
  <c r="G194" i="1"/>
  <c r="M193" i="1"/>
  <c r="I193" i="1"/>
  <c r="I192" i="1" s="1"/>
  <c r="I191" i="1" s="1"/>
  <c r="I190" i="1" s="1"/>
  <c r="G193" i="1"/>
  <c r="M192" i="1"/>
  <c r="G192" i="1"/>
  <c r="M191" i="1"/>
  <c r="G191" i="1"/>
  <c r="M190" i="1"/>
  <c r="G190" i="1"/>
  <c r="M189" i="1"/>
  <c r="I189" i="1"/>
  <c r="I188" i="1" s="1"/>
  <c r="I187" i="1" s="1"/>
  <c r="I186" i="1" s="1"/>
  <c r="G189" i="1"/>
  <c r="M188" i="1"/>
  <c r="G188" i="1"/>
  <c r="M187" i="1"/>
  <c r="G187" i="1"/>
  <c r="M186" i="1"/>
  <c r="G186" i="1"/>
  <c r="M185" i="1"/>
  <c r="I185" i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G185" i="1"/>
  <c r="M184" i="1"/>
  <c r="G184" i="1"/>
  <c r="M183" i="1"/>
  <c r="G183" i="1"/>
  <c r="M182" i="1"/>
  <c r="G182" i="1"/>
  <c r="M181" i="1"/>
  <c r="G181" i="1"/>
  <c r="M180" i="1"/>
  <c r="G180" i="1"/>
  <c r="M179" i="1"/>
  <c r="G179" i="1"/>
  <c r="M178" i="1"/>
  <c r="G178" i="1"/>
  <c r="M177" i="1"/>
  <c r="G177" i="1"/>
  <c r="M176" i="1"/>
  <c r="G176" i="1"/>
  <c r="M175" i="1"/>
  <c r="G175" i="1"/>
  <c r="M174" i="1"/>
  <c r="G174" i="1"/>
  <c r="M173" i="1"/>
  <c r="G173" i="1"/>
  <c r="M172" i="1"/>
  <c r="G172" i="1"/>
  <c r="M171" i="1"/>
  <c r="N171" i="1" s="1"/>
  <c r="G171" i="1"/>
  <c r="M170" i="1"/>
  <c r="G170" i="1"/>
  <c r="M169" i="1"/>
  <c r="G169" i="1"/>
  <c r="M168" i="1"/>
  <c r="G168" i="1"/>
  <c r="M167" i="1"/>
  <c r="G167" i="1"/>
  <c r="M166" i="1"/>
  <c r="G166" i="1"/>
  <c r="M165" i="1"/>
  <c r="G165" i="1"/>
  <c r="M164" i="1"/>
  <c r="G164" i="1"/>
  <c r="M163" i="1"/>
  <c r="G163" i="1"/>
  <c r="M162" i="1"/>
  <c r="G162" i="1"/>
  <c r="M161" i="1"/>
  <c r="G161" i="1"/>
  <c r="M160" i="1"/>
  <c r="G160" i="1"/>
  <c r="M159" i="1"/>
  <c r="G159" i="1"/>
  <c r="N158" i="1"/>
  <c r="M158" i="1"/>
  <c r="G158" i="1"/>
  <c r="M157" i="1"/>
  <c r="G157" i="1"/>
  <c r="M156" i="1"/>
  <c r="G156" i="1"/>
  <c r="M155" i="1"/>
  <c r="G155" i="1"/>
  <c r="M154" i="1"/>
  <c r="G154" i="1"/>
  <c r="M153" i="1"/>
  <c r="G153" i="1"/>
  <c r="M152" i="1"/>
  <c r="G152" i="1"/>
  <c r="M151" i="1"/>
  <c r="G151" i="1"/>
  <c r="M150" i="1"/>
  <c r="G150" i="1"/>
  <c r="M149" i="1"/>
  <c r="G149" i="1"/>
  <c r="M148" i="1"/>
  <c r="G148" i="1"/>
  <c r="M147" i="1"/>
  <c r="G147" i="1"/>
  <c r="M146" i="1"/>
  <c r="N146" i="1" s="1"/>
  <c r="G146" i="1"/>
  <c r="M145" i="1"/>
  <c r="G145" i="1"/>
  <c r="M144" i="1"/>
  <c r="G144" i="1"/>
  <c r="M143" i="1"/>
  <c r="G143" i="1"/>
  <c r="M142" i="1"/>
  <c r="N142" i="1" s="1"/>
  <c r="G142" i="1"/>
  <c r="M141" i="1"/>
  <c r="G141" i="1"/>
  <c r="M140" i="1"/>
  <c r="G140" i="1"/>
  <c r="M139" i="1"/>
  <c r="G139" i="1"/>
  <c r="M138" i="1"/>
  <c r="G138" i="1"/>
  <c r="M137" i="1"/>
  <c r="G137" i="1"/>
  <c r="M136" i="1"/>
  <c r="G136" i="1"/>
  <c r="M135" i="1"/>
  <c r="G135" i="1"/>
  <c r="M134" i="1"/>
  <c r="G134" i="1"/>
  <c r="M133" i="1"/>
  <c r="G133" i="1"/>
  <c r="M132" i="1"/>
  <c r="G132" i="1"/>
  <c r="M131" i="1"/>
  <c r="G131" i="1"/>
  <c r="M130" i="1"/>
  <c r="G130" i="1"/>
  <c r="M129" i="1"/>
  <c r="G129" i="1"/>
  <c r="M128" i="1"/>
  <c r="N128" i="1" s="1"/>
  <c r="G128" i="1"/>
  <c r="M127" i="1"/>
  <c r="G127" i="1"/>
  <c r="M126" i="1"/>
  <c r="N126" i="1" s="1"/>
  <c r="G126" i="1"/>
  <c r="N125" i="1"/>
  <c r="M125" i="1"/>
  <c r="G125" i="1"/>
  <c r="M124" i="1"/>
  <c r="G124" i="1"/>
  <c r="M123" i="1"/>
  <c r="G123" i="1"/>
  <c r="M122" i="1"/>
  <c r="G122" i="1"/>
  <c r="M121" i="1"/>
  <c r="G121" i="1"/>
  <c r="M120" i="1"/>
  <c r="G120" i="1"/>
  <c r="M119" i="1"/>
  <c r="G119" i="1"/>
  <c r="M118" i="1"/>
  <c r="G118" i="1"/>
  <c r="M117" i="1"/>
  <c r="G117" i="1"/>
  <c r="M116" i="1"/>
  <c r="G116" i="1"/>
  <c r="M115" i="1"/>
  <c r="G115" i="1"/>
  <c r="M114" i="1"/>
  <c r="G114" i="1"/>
  <c r="M113" i="1"/>
  <c r="G113" i="1"/>
  <c r="M112" i="1"/>
  <c r="N112" i="1" s="1"/>
  <c r="G112" i="1"/>
  <c r="M111" i="1"/>
  <c r="G111" i="1"/>
  <c r="M110" i="1"/>
  <c r="N110" i="1" s="1"/>
  <c r="G110" i="1"/>
  <c r="N109" i="1"/>
  <c r="M109" i="1"/>
  <c r="G109" i="1"/>
  <c r="M108" i="1"/>
  <c r="G108" i="1"/>
  <c r="M107" i="1"/>
  <c r="G107" i="1"/>
  <c r="M106" i="1"/>
  <c r="N106" i="1" s="1"/>
  <c r="G106" i="1"/>
  <c r="M105" i="1"/>
  <c r="G105" i="1"/>
  <c r="M104" i="1"/>
  <c r="G104" i="1"/>
  <c r="M103" i="1"/>
  <c r="G103" i="1"/>
  <c r="M102" i="1"/>
  <c r="G102" i="1"/>
  <c r="M101" i="1"/>
  <c r="G101" i="1"/>
  <c r="M100" i="1"/>
  <c r="G100" i="1"/>
  <c r="M99" i="1"/>
  <c r="G99" i="1"/>
  <c r="M98" i="1"/>
  <c r="G98" i="1"/>
  <c r="M97" i="1"/>
  <c r="G97" i="1"/>
  <c r="M96" i="1"/>
  <c r="G96" i="1"/>
  <c r="M95" i="1"/>
  <c r="G95" i="1"/>
  <c r="M94" i="1"/>
  <c r="G94" i="1"/>
  <c r="M93" i="1"/>
  <c r="G93" i="1"/>
  <c r="M92" i="1"/>
  <c r="G92" i="1"/>
  <c r="M91" i="1"/>
  <c r="G91" i="1"/>
  <c r="M90" i="1"/>
  <c r="G90" i="1"/>
  <c r="M89" i="1"/>
  <c r="G89" i="1"/>
  <c r="M88" i="1"/>
  <c r="G88" i="1"/>
  <c r="M87" i="1"/>
  <c r="G87" i="1"/>
  <c r="M86" i="1"/>
  <c r="G86" i="1"/>
  <c r="M85" i="1"/>
  <c r="G85" i="1"/>
  <c r="M84" i="1"/>
  <c r="G84" i="1"/>
  <c r="M83" i="1"/>
  <c r="G83" i="1"/>
  <c r="M82" i="1"/>
  <c r="G82" i="1"/>
  <c r="M81" i="1"/>
  <c r="G81" i="1"/>
  <c r="M80" i="1"/>
  <c r="G80" i="1"/>
  <c r="M79" i="1"/>
  <c r="G79" i="1"/>
  <c r="M78" i="1"/>
  <c r="G78" i="1"/>
  <c r="M77" i="1"/>
  <c r="G77" i="1"/>
  <c r="M76" i="1"/>
  <c r="G76" i="1"/>
  <c r="M75" i="1"/>
  <c r="G75" i="1"/>
  <c r="M74" i="1"/>
  <c r="G74" i="1"/>
  <c r="M73" i="1"/>
  <c r="G73" i="1"/>
  <c r="M72" i="1"/>
  <c r="G72" i="1"/>
  <c r="N71" i="1"/>
  <c r="M71" i="1"/>
  <c r="G71" i="1"/>
  <c r="M70" i="1"/>
  <c r="G70" i="1"/>
  <c r="N69" i="1"/>
  <c r="M69" i="1"/>
  <c r="G69" i="1"/>
  <c r="M68" i="1"/>
  <c r="G68" i="1"/>
  <c r="N67" i="1"/>
  <c r="M67" i="1"/>
  <c r="G67" i="1"/>
  <c r="M66" i="1"/>
  <c r="G66" i="1"/>
  <c r="N65" i="1"/>
  <c r="M65" i="1"/>
  <c r="G65" i="1"/>
  <c r="M64" i="1"/>
  <c r="G64" i="1"/>
  <c r="N63" i="1"/>
  <c r="M63" i="1"/>
  <c r="G63" i="1"/>
  <c r="M62" i="1"/>
  <c r="G62" i="1"/>
  <c r="N61" i="1"/>
  <c r="M61" i="1"/>
  <c r="G61" i="1"/>
  <c r="M60" i="1"/>
  <c r="G60" i="1"/>
  <c r="M59" i="1"/>
  <c r="G59" i="1"/>
  <c r="N58" i="1"/>
  <c r="M58" i="1"/>
  <c r="G58" i="1"/>
  <c r="M57" i="1"/>
  <c r="N57" i="1" s="1"/>
  <c r="G57" i="1"/>
  <c r="M56" i="1"/>
  <c r="G56" i="1"/>
  <c r="M55" i="1"/>
  <c r="G55" i="1"/>
  <c r="N54" i="1"/>
  <c r="M54" i="1"/>
  <c r="G54" i="1"/>
  <c r="M53" i="1"/>
  <c r="N53" i="1" s="1"/>
  <c r="G53" i="1"/>
  <c r="M52" i="1"/>
  <c r="G52" i="1"/>
  <c r="M51" i="1"/>
  <c r="G51" i="1"/>
  <c r="N50" i="1"/>
  <c r="M50" i="1"/>
  <c r="G50" i="1"/>
  <c r="M49" i="1"/>
  <c r="N49" i="1" s="1"/>
  <c r="G49" i="1"/>
  <c r="M48" i="1"/>
  <c r="G48" i="1"/>
  <c r="M47" i="1"/>
  <c r="G47" i="1"/>
  <c r="N46" i="1"/>
  <c r="M46" i="1"/>
  <c r="G46" i="1"/>
  <c r="M45" i="1"/>
  <c r="N45" i="1" s="1"/>
  <c r="G45" i="1"/>
  <c r="M44" i="1"/>
  <c r="G44" i="1"/>
  <c r="M43" i="1"/>
  <c r="G43" i="1"/>
  <c r="N42" i="1"/>
  <c r="M42" i="1"/>
  <c r="G42" i="1"/>
  <c r="M41" i="1"/>
  <c r="N41" i="1" s="1"/>
  <c r="G41" i="1"/>
  <c r="M40" i="1"/>
  <c r="G40" i="1"/>
  <c r="M39" i="1"/>
  <c r="G39" i="1"/>
  <c r="N38" i="1"/>
  <c r="M38" i="1"/>
  <c r="G38" i="1"/>
  <c r="M37" i="1"/>
  <c r="N37" i="1" s="1"/>
  <c r="G37" i="1"/>
  <c r="M36" i="1"/>
  <c r="G36" i="1"/>
  <c r="M35" i="1"/>
  <c r="G35" i="1"/>
  <c r="N34" i="1"/>
  <c r="M34" i="1"/>
  <c r="G34" i="1"/>
  <c r="M33" i="1"/>
  <c r="N33" i="1" s="1"/>
  <c r="G33" i="1"/>
  <c r="N32" i="1"/>
  <c r="M32" i="1"/>
  <c r="G32" i="1"/>
  <c r="M31" i="1"/>
  <c r="N31" i="1" s="1"/>
  <c r="G31" i="1"/>
  <c r="N30" i="1"/>
  <c r="M30" i="1"/>
  <c r="G30" i="1"/>
  <c r="M29" i="1"/>
  <c r="N29" i="1" s="1"/>
  <c r="G29" i="1"/>
  <c r="N28" i="1"/>
  <c r="M28" i="1"/>
  <c r="G28" i="1"/>
  <c r="M27" i="1"/>
  <c r="N27" i="1" s="1"/>
  <c r="G27" i="1"/>
  <c r="N26" i="1"/>
  <c r="M26" i="1"/>
  <c r="G26" i="1"/>
  <c r="M25" i="1"/>
  <c r="N25" i="1" s="1"/>
  <c r="G25" i="1"/>
  <c r="N24" i="1"/>
  <c r="M24" i="1"/>
  <c r="G24" i="1"/>
  <c r="M23" i="1"/>
  <c r="G23" i="1"/>
  <c r="M22" i="1"/>
  <c r="N22" i="1" s="1"/>
  <c r="G22" i="1"/>
  <c r="M21" i="1"/>
  <c r="N21" i="1" s="1"/>
  <c r="G21" i="1"/>
  <c r="M20" i="1"/>
  <c r="N20" i="1" s="1"/>
  <c r="G20" i="1"/>
  <c r="AC19" i="1"/>
  <c r="N154" i="1" s="1"/>
  <c r="N19" i="1"/>
  <c r="M19" i="1"/>
  <c r="G19" i="1"/>
  <c r="N18" i="1"/>
  <c r="M18" i="1"/>
  <c r="G18" i="1"/>
  <c r="N17" i="1"/>
  <c r="M17" i="1"/>
  <c r="G17" i="1"/>
  <c r="N16" i="1"/>
  <c r="M16" i="1"/>
  <c r="G16" i="1"/>
  <c r="N15" i="1"/>
  <c r="M15" i="1"/>
  <c r="G15" i="1"/>
  <c r="N14" i="1"/>
  <c r="M14" i="1"/>
  <c r="G14" i="1"/>
  <c r="N13" i="1"/>
  <c r="M13" i="1"/>
  <c r="G13" i="1"/>
  <c r="N12" i="1"/>
  <c r="M12" i="1"/>
  <c r="G12" i="1"/>
  <c r="AD11" i="1"/>
  <c r="M11" i="1"/>
  <c r="N11" i="1" s="1"/>
  <c r="G11" i="1"/>
  <c r="M10" i="1"/>
  <c r="N10" i="1" s="1"/>
  <c r="G10" i="1"/>
  <c r="M9" i="1"/>
  <c r="N9" i="1" s="1"/>
  <c r="G9" i="1"/>
  <c r="M8" i="1"/>
  <c r="N8" i="1" s="1"/>
  <c r="G8" i="1"/>
  <c r="M7" i="1"/>
  <c r="N7" i="1" s="1"/>
  <c r="G7" i="1"/>
  <c r="M6" i="1"/>
  <c r="N6" i="1" s="1"/>
  <c r="G6" i="1"/>
  <c r="M5" i="1"/>
  <c r="N5" i="1" s="1"/>
  <c r="G5" i="1"/>
  <c r="M4" i="1"/>
  <c r="N4" i="1" s="1"/>
  <c r="G4" i="1"/>
  <c r="M3" i="1"/>
  <c r="N3" i="1" s="1"/>
  <c r="G3" i="1"/>
  <c r="G2" i="1"/>
  <c r="I87" i="2" a="1"/>
  <c r="I79" i="2" a="1"/>
  <c r="I75" i="2" a="1"/>
  <c r="I71" i="2" a="1"/>
  <c r="I67" i="2" a="1"/>
  <c r="I63" i="2" a="1"/>
  <c r="I59" i="2" a="1"/>
  <c r="I55" i="2" a="1"/>
  <c r="I51" i="2" a="1"/>
  <c r="I47" i="2" a="1"/>
  <c r="I43" i="2" a="1"/>
  <c r="I27" i="2" a="1"/>
  <c r="I23" i="2" a="1"/>
  <c r="I11" i="2" a="1"/>
  <c r="I96" i="2" a="1"/>
  <c r="I88" i="2" a="1"/>
  <c r="I84" i="2" a="1"/>
  <c r="I80" i="2" a="1"/>
  <c r="I76" i="2" a="1"/>
  <c r="I72" i="2" a="1"/>
  <c r="I68" i="2" a="1"/>
  <c r="I64" i="2" a="1"/>
  <c r="I60" i="2" a="1"/>
  <c r="I56" i="2" a="1"/>
  <c r="I52" i="2" a="1"/>
  <c r="I48" i="2" a="1"/>
  <c r="I44" i="2" a="1"/>
  <c r="I40" i="2" a="1"/>
  <c r="I28" i="2" a="1"/>
  <c r="I24" i="2" a="1"/>
  <c r="I16" i="2" a="1"/>
  <c r="I12" i="2" a="1"/>
  <c r="I4" i="2" a="1"/>
  <c r="I97" i="2" a="1"/>
  <c r="I89" i="2" a="1"/>
  <c r="I85" i="2" a="1"/>
  <c r="I81" i="2" a="1"/>
  <c r="I73" i="2" a="1"/>
  <c r="I65" i="2" a="1"/>
  <c r="I61" i="2" a="1"/>
  <c r="I57" i="2" a="1"/>
  <c r="I53" i="2" a="1"/>
  <c r="I49" i="2" a="1"/>
  <c r="I45" i="2" a="1"/>
  <c r="I41" i="2" a="1"/>
  <c r="I37" i="2" a="1"/>
  <c r="I13" i="2" a="1"/>
  <c r="I5" i="2" a="1"/>
  <c r="I78" i="2" a="1"/>
  <c r="I62" i="2" a="1"/>
  <c r="I46" i="2" a="1"/>
  <c r="I14" i="2" a="1"/>
  <c r="I82" i="2" a="1"/>
  <c r="I66" i="2" a="1"/>
  <c r="I50" i="2" a="1"/>
  <c r="I86" i="2" a="1"/>
  <c r="I70" i="2" a="1"/>
  <c r="I54" i="2" a="1"/>
  <c r="I22" i="2" a="1"/>
  <c r="I6" i="2" a="1"/>
  <c r="I26" i="2" a="1"/>
  <c r="I42" i="2" a="1"/>
  <c r="I58" i="2" a="1"/>
  <c r="I25" i="3" l="1"/>
  <c r="I58" i="2"/>
  <c r="J58" i="2" s="1"/>
  <c r="I42" i="2"/>
  <c r="J42" i="2" s="1"/>
  <c r="I26" i="2"/>
  <c r="J26" i="2" s="1"/>
  <c r="I6" i="2"/>
  <c r="J6" i="2" s="1"/>
  <c r="I22" i="2"/>
  <c r="J22" i="2" s="1"/>
  <c r="I54" i="2"/>
  <c r="J54" i="2" s="1"/>
  <c r="I70" i="2"/>
  <c r="J70" i="2" s="1"/>
  <c r="I86" i="2"/>
  <c r="J86" i="2" s="1"/>
  <c r="I50" i="2"/>
  <c r="J50" i="2" s="1"/>
  <c r="I66" i="2"/>
  <c r="J66" i="2" s="1"/>
  <c r="I82" i="2"/>
  <c r="J82" i="2" s="1"/>
  <c r="I14" i="2"/>
  <c r="J14" i="2" s="1"/>
  <c r="I46" i="2"/>
  <c r="J46" i="2" s="1"/>
  <c r="I62" i="2"/>
  <c r="J62" i="2" s="1"/>
  <c r="I78" i="2"/>
  <c r="J78" i="2" s="1"/>
  <c r="I5" i="2"/>
  <c r="J5" i="2" s="1"/>
  <c r="I13" i="2"/>
  <c r="J13" i="2" s="1"/>
  <c r="I37" i="2"/>
  <c r="J37" i="2" s="1"/>
  <c r="I41" i="2"/>
  <c r="J41" i="2" s="1"/>
  <c r="I45" i="2"/>
  <c r="J45" i="2" s="1"/>
  <c r="I49" i="2"/>
  <c r="J49" i="2" s="1"/>
  <c r="I53" i="2"/>
  <c r="J53" i="2" s="1"/>
  <c r="I57" i="2"/>
  <c r="J57" i="2" s="1"/>
  <c r="I61" i="2"/>
  <c r="J61" i="2" s="1"/>
  <c r="I65" i="2"/>
  <c r="J65" i="2" s="1"/>
  <c r="I73" i="2"/>
  <c r="J73" i="2" s="1"/>
  <c r="I81" i="2"/>
  <c r="J81" i="2" s="1"/>
  <c r="I85" i="2"/>
  <c r="J85" i="2" s="1"/>
  <c r="I89" i="2"/>
  <c r="J89" i="2" s="1"/>
  <c r="I97" i="2"/>
  <c r="J97" i="2" s="1"/>
  <c r="I4" i="2"/>
  <c r="J4" i="2" s="1"/>
  <c r="I12" i="2"/>
  <c r="J12" i="2" s="1"/>
  <c r="I16" i="2"/>
  <c r="J16" i="2" s="1"/>
  <c r="I24" i="2"/>
  <c r="J24" i="2" s="1"/>
  <c r="I28" i="2"/>
  <c r="J28" i="2" s="1"/>
  <c r="I40" i="2"/>
  <c r="J40" i="2" s="1"/>
  <c r="I44" i="2"/>
  <c r="J44" i="2" s="1"/>
  <c r="I48" i="2"/>
  <c r="J48" i="2" s="1"/>
  <c r="I52" i="2"/>
  <c r="J52" i="2" s="1"/>
  <c r="I56" i="2"/>
  <c r="J56" i="2" s="1"/>
  <c r="I60" i="2"/>
  <c r="J60" i="2" s="1"/>
  <c r="I64" i="2"/>
  <c r="J64" i="2" s="1"/>
  <c r="I68" i="2"/>
  <c r="J68" i="2" s="1"/>
  <c r="I72" i="2"/>
  <c r="J72" i="2" s="1"/>
  <c r="I76" i="2"/>
  <c r="J76" i="2" s="1"/>
  <c r="I80" i="2"/>
  <c r="J80" i="2" s="1"/>
  <c r="I84" i="2"/>
  <c r="J84" i="2" s="1"/>
  <c r="I88" i="2"/>
  <c r="J88" i="2" s="1"/>
  <c r="I96" i="2"/>
  <c r="J96" i="2" s="1"/>
  <c r="I11" i="2"/>
  <c r="J11" i="2" s="1"/>
  <c r="I23" i="2"/>
  <c r="J23" i="2" s="1"/>
  <c r="I27" i="2"/>
  <c r="J27" i="2" s="1"/>
  <c r="I43" i="2"/>
  <c r="J43" i="2" s="1"/>
  <c r="I47" i="2"/>
  <c r="J47" i="2" s="1"/>
  <c r="I51" i="2"/>
  <c r="J51" i="2" s="1"/>
  <c r="I55" i="2"/>
  <c r="J55" i="2" s="1"/>
  <c r="I59" i="2"/>
  <c r="J59" i="2" s="1"/>
  <c r="I63" i="2"/>
  <c r="J63" i="2" s="1"/>
  <c r="I67" i="2"/>
  <c r="J67" i="2" s="1"/>
  <c r="I71" i="2"/>
  <c r="J71" i="2" s="1"/>
  <c r="I75" i="2"/>
  <c r="J75" i="2" s="1"/>
  <c r="I79" i="2"/>
  <c r="J79" i="2" s="1"/>
  <c r="I87" i="2"/>
  <c r="J87" i="2" s="1"/>
  <c r="AC22" i="1"/>
  <c r="N75" i="1"/>
  <c r="N79" i="1"/>
  <c r="N83" i="1"/>
  <c r="N87" i="1"/>
  <c r="N91" i="1"/>
  <c r="N95" i="1"/>
  <c r="N99" i="1"/>
  <c r="N103" i="1"/>
  <c r="N107" i="1"/>
  <c r="N113" i="1"/>
  <c r="N114" i="1"/>
  <c r="N116" i="1"/>
  <c r="N129" i="1"/>
  <c r="N130" i="1"/>
  <c r="N132" i="1"/>
  <c r="N199" i="1"/>
  <c r="N194" i="1"/>
  <c r="N190" i="1"/>
  <c r="N186" i="1"/>
  <c r="N182" i="1"/>
  <c r="N178" i="1"/>
  <c r="N198" i="1"/>
  <c r="N157" i="1"/>
  <c r="N155" i="1"/>
  <c r="N153" i="1"/>
  <c r="N176" i="1"/>
  <c r="N172" i="1"/>
  <c r="N168" i="1"/>
  <c r="N151" i="1"/>
  <c r="N147" i="1"/>
  <c r="N196" i="1"/>
  <c r="N174" i="1"/>
  <c r="N166" i="1"/>
  <c r="N149" i="1"/>
  <c r="N102" i="1"/>
  <c r="N100" i="1"/>
  <c r="N98" i="1"/>
  <c r="N96" i="1"/>
  <c r="N94" i="1"/>
  <c r="N92" i="1"/>
  <c r="N90" i="1"/>
  <c r="N88" i="1"/>
  <c r="N86" i="1"/>
  <c r="N84" i="1"/>
  <c r="N82" i="1"/>
  <c r="N80" i="1"/>
  <c r="N78" i="1"/>
  <c r="N76" i="1"/>
  <c r="N74" i="1"/>
  <c r="N72" i="1"/>
  <c r="N70" i="1"/>
  <c r="N68" i="1"/>
  <c r="N66" i="1"/>
  <c r="N64" i="1"/>
  <c r="N62" i="1"/>
  <c r="N164" i="1"/>
  <c r="N160" i="1"/>
  <c r="N156" i="1"/>
  <c r="N152" i="1"/>
  <c r="N135" i="1"/>
  <c r="N131" i="1"/>
  <c r="N127" i="1"/>
  <c r="N123" i="1"/>
  <c r="N119" i="1"/>
  <c r="N115" i="1"/>
  <c r="N111" i="1"/>
  <c r="N170" i="1"/>
  <c r="N145" i="1"/>
  <c r="N143" i="1"/>
  <c r="N141" i="1"/>
  <c r="N139" i="1"/>
  <c r="N23" i="1"/>
  <c r="N36" i="1"/>
  <c r="N40" i="1"/>
  <c r="N44" i="1"/>
  <c r="N48" i="1"/>
  <c r="N52" i="1"/>
  <c r="N56" i="1"/>
  <c r="N60" i="1"/>
  <c r="N104" i="1"/>
  <c r="N108" i="1"/>
  <c r="N117" i="1"/>
  <c r="N118" i="1"/>
  <c r="N120" i="1"/>
  <c r="N133" i="1"/>
  <c r="N134" i="1"/>
  <c r="N136" i="1"/>
  <c r="N140" i="1"/>
  <c r="N144" i="1"/>
  <c r="N148" i="1"/>
  <c r="N35" i="1"/>
  <c r="N39" i="1"/>
  <c r="N43" i="1"/>
  <c r="N47" i="1"/>
  <c r="N51" i="1"/>
  <c r="N55" i="1"/>
  <c r="N59" i="1"/>
  <c r="N73" i="1"/>
  <c r="N77" i="1"/>
  <c r="N81" i="1"/>
  <c r="N85" i="1"/>
  <c r="N89" i="1"/>
  <c r="N93" i="1"/>
  <c r="N97" i="1"/>
  <c r="N101" i="1"/>
  <c r="N105" i="1"/>
  <c r="N121" i="1"/>
  <c r="N122" i="1"/>
  <c r="N124" i="1"/>
  <c r="N137" i="1"/>
  <c r="N138" i="1"/>
  <c r="N162" i="1"/>
  <c r="N150" i="1"/>
  <c r="N167" i="1"/>
  <c r="N175" i="1"/>
  <c r="N180" i="1"/>
  <c r="N184" i="1"/>
  <c r="H168" i="3"/>
  <c r="I6" i="3"/>
  <c r="H6" i="3"/>
  <c r="N188" i="1"/>
  <c r="H78" i="3"/>
  <c r="I64" i="3"/>
  <c r="N159" i="1"/>
  <c r="N161" i="1"/>
  <c r="N163" i="1"/>
  <c r="N165" i="1"/>
  <c r="N169" i="1"/>
  <c r="N173" i="1"/>
  <c r="N177" i="1"/>
  <c r="N192" i="1"/>
  <c r="N179" i="1"/>
  <c r="N183" i="1"/>
  <c r="N187" i="1"/>
  <c r="N191" i="1"/>
  <c r="N195" i="1"/>
  <c r="C197" i="1"/>
  <c r="E198" i="1"/>
  <c r="H7" i="3"/>
  <c r="I19" i="3"/>
  <c r="H20" i="3"/>
  <c r="I22" i="3"/>
  <c r="H22" i="3"/>
  <c r="J22" i="3" s="1"/>
  <c r="M67" i="3" s="1"/>
  <c r="I49" i="3"/>
  <c r="H49" i="3"/>
  <c r="H50" i="3"/>
  <c r="I51" i="3"/>
  <c r="I52" i="3"/>
  <c r="I68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197" i="3"/>
  <c r="H193" i="3"/>
  <c r="H189" i="3"/>
  <c r="H185" i="3"/>
  <c r="H180" i="3"/>
  <c r="H173" i="3"/>
  <c r="H200" i="3"/>
  <c r="H196" i="3"/>
  <c r="H192" i="3"/>
  <c r="H188" i="3"/>
  <c r="H184" i="3"/>
  <c r="H179" i="3"/>
  <c r="H172" i="3"/>
  <c r="H167" i="3"/>
  <c r="H163" i="3"/>
  <c r="H159" i="3"/>
  <c r="H155" i="3"/>
  <c r="H198" i="3"/>
  <c r="H191" i="3"/>
  <c r="H183" i="3"/>
  <c r="H181" i="3"/>
  <c r="H174" i="3"/>
  <c r="H164" i="3"/>
  <c r="H161" i="3"/>
  <c r="H158" i="3"/>
  <c r="H151" i="3"/>
  <c r="H146" i="3"/>
  <c r="H142" i="3"/>
  <c r="H137" i="3"/>
  <c r="H130" i="3"/>
  <c r="H124" i="3"/>
  <c r="H117" i="3"/>
  <c r="I107" i="3"/>
  <c r="H190" i="3"/>
  <c r="H182" i="3"/>
  <c r="H178" i="3"/>
  <c r="H177" i="3"/>
  <c r="H175" i="3"/>
  <c r="H171" i="3"/>
  <c r="H170" i="3"/>
  <c r="H160" i="3"/>
  <c r="H157" i="3"/>
  <c r="H150" i="3"/>
  <c r="H149" i="3"/>
  <c r="H145" i="3"/>
  <c r="H141" i="3"/>
  <c r="H136" i="3"/>
  <c r="H135" i="3"/>
  <c r="H134" i="3"/>
  <c r="H133" i="3"/>
  <c r="H129" i="3"/>
  <c r="H128" i="3"/>
  <c r="H127" i="3"/>
  <c r="H123" i="3"/>
  <c r="H122" i="3"/>
  <c r="H121" i="3"/>
  <c r="H116" i="3"/>
  <c r="H107" i="3"/>
  <c r="H195" i="3"/>
  <c r="H187" i="3"/>
  <c r="H176" i="3"/>
  <c r="H169" i="3"/>
  <c r="H166" i="3"/>
  <c r="H156" i="3"/>
  <c r="H154" i="3"/>
  <c r="H148" i="3"/>
  <c r="H144" i="3"/>
  <c r="H140" i="3"/>
  <c r="H139" i="3"/>
  <c r="H132" i="3"/>
  <c r="H126" i="3"/>
  <c r="H120" i="3"/>
  <c r="H115" i="3"/>
  <c r="H165" i="3"/>
  <c r="H147" i="3"/>
  <c r="H143" i="3"/>
  <c r="H118" i="3"/>
  <c r="I114" i="3"/>
  <c r="H113" i="3"/>
  <c r="H106" i="3"/>
  <c r="H103" i="3"/>
  <c r="H98" i="3"/>
  <c r="H92" i="3"/>
  <c r="H90" i="3"/>
  <c r="H88" i="3"/>
  <c r="H84" i="3"/>
  <c r="H83" i="3"/>
  <c r="H74" i="3"/>
  <c r="H73" i="3"/>
  <c r="H61" i="3"/>
  <c r="H60" i="3"/>
  <c r="H59" i="3"/>
  <c r="H55" i="3"/>
  <c r="H51" i="3"/>
  <c r="H47" i="3"/>
  <c r="H43" i="3"/>
  <c r="H39" i="3"/>
  <c r="H35" i="3"/>
  <c r="H31" i="3"/>
  <c r="H26" i="3"/>
  <c r="H131" i="3"/>
  <c r="H125" i="3"/>
  <c r="H119" i="3"/>
  <c r="H112" i="3"/>
  <c r="I104" i="3"/>
  <c r="I93" i="3"/>
  <c r="I85" i="3"/>
  <c r="H199" i="3"/>
  <c r="H194" i="3"/>
  <c r="H162" i="3"/>
  <c r="H152" i="3"/>
  <c r="H111" i="3"/>
  <c r="I105" i="3"/>
  <c r="H104" i="3"/>
  <c r="H93" i="3"/>
  <c r="H85" i="3"/>
  <c r="J85" i="3" s="1"/>
  <c r="M161" i="3" s="1"/>
  <c r="I82" i="3"/>
  <c r="I81" i="3"/>
  <c r="I80" i="3"/>
  <c r="I79" i="3"/>
  <c r="I78" i="3"/>
  <c r="I77" i="3"/>
  <c r="I72" i="3"/>
  <c r="I58" i="3"/>
  <c r="I54" i="3"/>
  <c r="I50" i="3"/>
  <c r="I46" i="3"/>
  <c r="I42" i="3"/>
  <c r="I38" i="3"/>
  <c r="I34" i="3"/>
  <c r="I30" i="3"/>
  <c r="I29" i="3"/>
  <c r="H186" i="3"/>
  <c r="H110" i="3"/>
  <c r="H101" i="3"/>
  <c r="I90" i="3"/>
  <c r="I74" i="3"/>
  <c r="I73" i="3"/>
  <c r="H72" i="3"/>
  <c r="J72" i="3" s="1"/>
  <c r="M146" i="3" s="1"/>
  <c r="I47" i="3"/>
  <c r="H46" i="3"/>
  <c r="I31" i="3"/>
  <c r="H30" i="3"/>
  <c r="J30" i="3" s="1"/>
  <c r="M81" i="3" s="1"/>
  <c r="H29" i="3"/>
  <c r="J29" i="3" s="1"/>
  <c r="M80" i="3" s="1"/>
  <c r="H25" i="3"/>
  <c r="J25" i="3" s="1"/>
  <c r="I24" i="3"/>
  <c r="I17" i="3"/>
  <c r="H14" i="3"/>
  <c r="H10" i="3"/>
  <c r="H8" i="3"/>
  <c r="H4" i="3"/>
  <c r="I106" i="3"/>
  <c r="H105" i="3"/>
  <c r="J105" i="3" s="1"/>
  <c r="I103" i="3"/>
  <c r="I94" i="3"/>
  <c r="I92" i="3"/>
  <c r="I61" i="3"/>
  <c r="I60" i="3"/>
  <c r="I59" i="3"/>
  <c r="H58" i="3"/>
  <c r="J58" i="3" s="1"/>
  <c r="M126" i="3" s="1"/>
  <c r="I43" i="3"/>
  <c r="H42" i="3"/>
  <c r="H24" i="3"/>
  <c r="I15" i="3"/>
  <c r="I11" i="3"/>
  <c r="I55" i="3"/>
  <c r="H54" i="3"/>
  <c r="I39" i="3"/>
  <c r="H38" i="3"/>
  <c r="J38" i="3" s="1"/>
  <c r="I26" i="3"/>
  <c r="I20" i="3"/>
  <c r="I16" i="3"/>
  <c r="H15" i="3"/>
  <c r="H11" i="3"/>
  <c r="H3" i="3"/>
  <c r="I10" i="3"/>
  <c r="I12" i="3"/>
  <c r="I14" i="3"/>
  <c r="H16" i="3"/>
  <c r="I18" i="3"/>
  <c r="H18" i="3"/>
  <c r="I33" i="3"/>
  <c r="H33" i="3"/>
  <c r="H34" i="3"/>
  <c r="J34" i="3" s="1"/>
  <c r="M90" i="3" s="1"/>
  <c r="I35" i="3"/>
  <c r="I36" i="3"/>
  <c r="H153" i="3"/>
  <c r="N181" i="1"/>
  <c r="N185" i="1"/>
  <c r="N189" i="1"/>
  <c r="N193" i="1"/>
  <c r="N197" i="1"/>
  <c r="I76" i="3"/>
  <c r="H76" i="3"/>
  <c r="H77" i="3"/>
  <c r="H79" i="3"/>
  <c r="J79" i="3" s="1"/>
  <c r="M155" i="3" s="1"/>
  <c r="H80" i="3"/>
  <c r="H81" i="3"/>
  <c r="J81" i="3" s="1"/>
  <c r="M157" i="3" s="1"/>
  <c r="H82" i="3"/>
  <c r="J82" i="3" s="1"/>
  <c r="I83" i="3"/>
  <c r="I84" i="3"/>
  <c r="I86" i="3"/>
  <c r="I88" i="3"/>
  <c r="H97" i="3"/>
  <c r="H138" i="3"/>
  <c r="I5" i="3"/>
  <c r="I9" i="3"/>
  <c r="I13" i="3"/>
  <c r="I23" i="3"/>
  <c r="I37" i="3"/>
  <c r="H37" i="3"/>
  <c r="I40" i="3"/>
  <c r="I53" i="3"/>
  <c r="H53" i="3"/>
  <c r="I56" i="3"/>
  <c r="I65" i="3"/>
  <c r="I69" i="3"/>
  <c r="I4" i="3"/>
  <c r="H5" i="3"/>
  <c r="I8" i="3"/>
  <c r="H9" i="3"/>
  <c r="H13" i="3"/>
  <c r="H17" i="3"/>
  <c r="H19" i="3"/>
  <c r="J19" i="3" s="1"/>
  <c r="M64" i="3" s="1"/>
  <c r="I21" i="3"/>
  <c r="H21" i="3"/>
  <c r="H23" i="3"/>
  <c r="I27" i="3"/>
  <c r="H27" i="3"/>
  <c r="I41" i="3"/>
  <c r="H41" i="3"/>
  <c r="I44" i="3"/>
  <c r="I57" i="3"/>
  <c r="H57" i="3"/>
  <c r="I62" i="3"/>
  <c r="I66" i="3"/>
  <c r="I70" i="3"/>
  <c r="I91" i="3"/>
  <c r="H91" i="3"/>
  <c r="I100" i="3"/>
  <c r="H100" i="3"/>
  <c r="I102" i="3"/>
  <c r="H102" i="3"/>
  <c r="M200" i="3"/>
  <c r="M196" i="3"/>
  <c r="M199" i="3"/>
  <c r="M158" i="3"/>
  <c r="M197" i="3"/>
  <c r="M186" i="3"/>
  <c r="M97" i="3"/>
  <c r="M73" i="3"/>
  <c r="I3" i="3"/>
  <c r="M198" i="3"/>
  <c r="I7" i="3"/>
  <c r="H12" i="3"/>
  <c r="J12" i="3" s="1"/>
  <c r="M21" i="3" s="1"/>
  <c r="I28" i="3"/>
  <c r="H28" i="3"/>
  <c r="I32" i="3"/>
  <c r="I45" i="3"/>
  <c r="H45" i="3"/>
  <c r="I48" i="3"/>
  <c r="I63" i="3"/>
  <c r="I67" i="3"/>
  <c r="I71" i="3"/>
  <c r="H71" i="3"/>
  <c r="I75" i="3"/>
  <c r="I89" i="3"/>
  <c r="H89" i="3"/>
  <c r="I96" i="3"/>
  <c r="H96" i="3"/>
  <c r="I111" i="3"/>
  <c r="I87" i="3"/>
  <c r="I95" i="3"/>
  <c r="I99" i="3"/>
  <c r="I112" i="3"/>
  <c r="H32" i="3"/>
  <c r="H36" i="3"/>
  <c r="J36" i="3" s="1"/>
  <c r="M95" i="3" s="1"/>
  <c r="H40" i="3"/>
  <c r="H44" i="3"/>
  <c r="H48" i="3"/>
  <c r="J48" i="3" s="1"/>
  <c r="M111" i="3" s="1"/>
  <c r="H52" i="3"/>
  <c r="J52" i="3" s="1"/>
  <c r="M117" i="3" s="1"/>
  <c r="H56" i="3"/>
  <c r="H62" i="3"/>
  <c r="H63" i="3"/>
  <c r="H64" i="3"/>
  <c r="H65" i="3"/>
  <c r="H66" i="3"/>
  <c r="H67" i="3"/>
  <c r="H68" i="3"/>
  <c r="J68" i="3" s="1"/>
  <c r="M142" i="3" s="1"/>
  <c r="H69" i="3"/>
  <c r="J69" i="3" s="1"/>
  <c r="M143" i="3" s="1"/>
  <c r="H70" i="3"/>
  <c r="H75" i="3"/>
  <c r="H87" i="3"/>
  <c r="H95" i="3"/>
  <c r="I98" i="3"/>
  <c r="H99" i="3"/>
  <c r="I108" i="3"/>
  <c r="H108" i="3"/>
  <c r="I113" i="3"/>
  <c r="H114" i="3"/>
  <c r="H86" i="3"/>
  <c r="J86" i="3" s="1"/>
  <c r="M162" i="3" s="1"/>
  <c r="H94" i="3"/>
  <c r="I97" i="3"/>
  <c r="I101" i="3"/>
  <c r="I109" i="3"/>
  <c r="H109" i="3"/>
  <c r="I110" i="3"/>
  <c r="I34" i="2" a="1"/>
  <c r="I8" i="2" a="1"/>
  <c r="I31" i="2" a="1"/>
  <c r="I18" i="2" a="1"/>
  <c r="I17" i="2" a="1"/>
  <c r="I25" i="2" a="1"/>
  <c r="I77" i="2" a="1"/>
  <c r="J62" i="3" l="1"/>
  <c r="M132" i="3" s="1"/>
  <c r="J67" i="3"/>
  <c r="M141" i="3" s="1"/>
  <c r="J23" i="3"/>
  <c r="M68" i="3" s="1"/>
  <c r="J54" i="3"/>
  <c r="M120" i="3" s="1"/>
  <c r="J5" i="3"/>
  <c r="M3" i="3" s="1"/>
  <c r="J77" i="3"/>
  <c r="M153" i="3" s="1"/>
  <c r="J24" i="3"/>
  <c r="M69" i="3" s="1"/>
  <c r="J114" i="3"/>
  <c r="M195" i="3" s="1"/>
  <c r="J99" i="3"/>
  <c r="M179" i="3" s="1"/>
  <c r="J75" i="3"/>
  <c r="M150" i="3" s="1"/>
  <c r="J63" i="3"/>
  <c r="M136" i="3" s="1"/>
  <c r="J32" i="3"/>
  <c r="M88" i="3" s="1"/>
  <c r="J66" i="3"/>
  <c r="M140" i="3" s="1"/>
  <c r="J44" i="3"/>
  <c r="M105" i="3" s="1"/>
  <c r="J51" i="3"/>
  <c r="M116" i="3" s="1"/>
  <c r="J94" i="3"/>
  <c r="M171" i="3" s="1"/>
  <c r="J87" i="3"/>
  <c r="M163" i="3" s="1"/>
  <c r="J64" i="3"/>
  <c r="M137" i="3" s="1"/>
  <c r="J96" i="3"/>
  <c r="M173" i="3" s="1"/>
  <c r="J9" i="3"/>
  <c r="M7" i="3" s="1"/>
  <c r="J80" i="3"/>
  <c r="M156" i="3" s="1"/>
  <c r="J6" i="3"/>
  <c r="M4" i="3" s="1"/>
  <c r="J97" i="3"/>
  <c r="M176" i="3" s="1"/>
  <c r="J14" i="3"/>
  <c r="M29" i="3" s="1"/>
  <c r="J112" i="3"/>
  <c r="M193" i="3" s="1"/>
  <c r="J26" i="3"/>
  <c r="M77" i="3" s="1"/>
  <c r="J43" i="3"/>
  <c r="M104" i="3" s="1"/>
  <c r="J59" i="3"/>
  <c r="M129" i="3" s="1"/>
  <c r="J74" i="3"/>
  <c r="M148" i="3" s="1"/>
  <c r="J102" i="3"/>
  <c r="M183" i="3" s="1"/>
  <c r="J37" i="3"/>
  <c r="M96" i="3" s="1"/>
  <c r="J33" i="3"/>
  <c r="M89" i="3" s="1"/>
  <c r="J93" i="3"/>
  <c r="M169" i="3" s="1"/>
  <c r="J31" i="3"/>
  <c r="M83" i="3" s="1"/>
  <c r="J89" i="3"/>
  <c r="M165" i="3" s="1"/>
  <c r="J45" i="3"/>
  <c r="M106" i="3" s="1"/>
  <c r="J13" i="3"/>
  <c r="M24" i="3" s="1"/>
  <c r="J53" i="3"/>
  <c r="M119" i="3" s="1"/>
  <c r="J107" i="3"/>
  <c r="M188" i="3" s="1"/>
  <c r="J49" i="3"/>
  <c r="M112" i="3" s="1"/>
  <c r="J27" i="3"/>
  <c r="M78" i="3" s="1"/>
  <c r="I77" i="2"/>
  <c r="J77" i="2" s="1"/>
  <c r="I25" i="2"/>
  <c r="J25" i="2" s="1"/>
  <c r="I17" i="2"/>
  <c r="J17" i="2" s="1"/>
  <c r="I18" i="2"/>
  <c r="J18" i="2" s="1"/>
  <c r="I31" i="2"/>
  <c r="J31" i="2" s="1"/>
  <c r="I8" i="2"/>
  <c r="J8" i="2" s="1"/>
  <c r="I34" i="2"/>
  <c r="J34" i="2" s="1"/>
  <c r="J111" i="3"/>
  <c r="M192" i="3" s="1"/>
  <c r="J90" i="3"/>
  <c r="M166" i="3" s="1"/>
  <c r="J106" i="3"/>
  <c r="M187" i="3" s="1"/>
  <c r="J70" i="3"/>
  <c r="M144" i="3" s="1"/>
  <c r="J109" i="3"/>
  <c r="M190" i="3" s="1"/>
  <c r="J108" i="3"/>
  <c r="M189" i="3" s="1"/>
  <c r="J95" i="3"/>
  <c r="M172" i="3" s="1"/>
  <c r="J65" i="3"/>
  <c r="M138" i="3" s="1"/>
  <c r="J56" i="3"/>
  <c r="M124" i="3" s="1"/>
  <c r="J40" i="3"/>
  <c r="M99" i="3" s="1"/>
  <c r="J71" i="3"/>
  <c r="M145" i="3" s="1"/>
  <c r="J28" i="3"/>
  <c r="M79" i="3" s="1"/>
  <c r="J91" i="3"/>
  <c r="M167" i="3" s="1"/>
  <c r="J41" i="3"/>
  <c r="M100" i="3" s="1"/>
  <c r="J17" i="3"/>
  <c r="M62" i="3" s="1"/>
  <c r="J76" i="3"/>
  <c r="M151" i="3" s="1"/>
  <c r="J11" i="3"/>
  <c r="M15" i="3" s="1"/>
  <c r="J42" i="3"/>
  <c r="M102" i="3" s="1"/>
  <c r="J8" i="3"/>
  <c r="M6" i="3" s="1"/>
  <c r="J110" i="3"/>
  <c r="M191" i="3" s="1"/>
  <c r="J104" i="3"/>
  <c r="M185" i="3" s="1"/>
  <c r="J35" i="3"/>
  <c r="M91" i="3" s="1"/>
  <c r="J61" i="3"/>
  <c r="M131" i="3" s="1"/>
  <c r="J84" i="3"/>
  <c r="M160" i="3" s="1"/>
  <c r="J98" i="3"/>
  <c r="M178" i="3" s="1"/>
  <c r="J20" i="3"/>
  <c r="M65" i="3" s="1"/>
  <c r="P198" i="1"/>
  <c r="L198" i="1"/>
  <c r="O198" i="1" s="1"/>
  <c r="Q198" i="1" s="1"/>
  <c r="R198" i="1" s="1"/>
  <c r="S198" i="1" s="1"/>
  <c r="K198" i="1"/>
  <c r="J78" i="3"/>
  <c r="M154" i="3" s="1"/>
  <c r="J100" i="3"/>
  <c r="M180" i="3" s="1"/>
  <c r="J57" i="3"/>
  <c r="M125" i="3" s="1"/>
  <c r="J21" i="3"/>
  <c r="M66" i="3" s="1"/>
  <c r="J18" i="3"/>
  <c r="M63" i="3" s="1"/>
  <c r="J15" i="3"/>
  <c r="M59" i="3" s="1"/>
  <c r="J10" i="3"/>
  <c r="M8" i="3" s="1"/>
  <c r="J46" i="3"/>
  <c r="M108" i="3" s="1"/>
  <c r="J39" i="3"/>
  <c r="M98" i="3" s="1"/>
  <c r="J55" i="3"/>
  <c r="M123" i="3" s="1"/>
  <c r="J73" i="3"/>
  <c r="M147" i="3" s="1"/>
  <c r="J88" i="3"/>
  <c r="M164" i="3" s="1"/>
  <c r="J103" i="3"/>
  <c r="M184" i="3" s="1"/>
  <c r="E197" i="1"/>
  <c r="C196" i="1"/>
  <c r="J7" i="3"/>
  <c r="M5" i="3" s="1"/>
  <c r="J197" i="1"/>
  <c r="J16" i="3"/>
  <c r="M60" i="3" s="1"/>
  <c r="J3" i="3"/>
  <c r="J4" i="3"/>
  <c r="J101" i="3"/>
  <c r="M182" i="3" s="1"/>
  <c r="J47" i="3"/>
  <c r="M110" i="3" s="1"/>
  <c r="J60" i="3"/>
  <c r="M130" i="3" s="1"/>
  <c r="J83" i="3"/>
  <c r="M159" i="3" s="1"/>
  <c r="J92" i="3"/>
  <c r="M168" i="3" s="1"/>
  <c r="J113" i="3"/>
  <c r="M194" i="3" s="1"/>
  <c r="J50" i="3"/>
  <c r="M115" i="3" s="1"/>
  <c r="I30" i="2" a="1"/>
  <c r="I95" i="2" a="1"/>
  <c r="I29" i="2" a="1"/>
  <c r="I10" i="2" a="1"/>
  <c r="I94" i="2" a="1"/>
  <c r="I91" i="2" a="1"/>
  <c r="I69" i="2" a="1"/>
  <c r="I74" i="2" a="1"/>
  <c r="I20" i="2" a="1"/>
  <c r="I9" i="2" a="1"/>
  <c r="I21" i="2" a="1"/>
  <c r="I15" i="2" a="1"/>
  <c r="I7" i="2" a="1"/>
  <c r="I33" i="2" a="1"/>
  <c r="I35" i="2" a="1"/>
  <c r="I93" i="2" a="1"/>
  <c r="I32" i="2" a="1"/>
  <c r="I36" i="2" a="1"/>
  <c r="I92" i="2" a="1"/>
  <c r="I39" i="2" a="1"/>
  <c r="I19" i="2" a="1"/>
  <c r="I90" i="2" a="1"/>
  <c r="I38" i="2" a="1"/>
  <c r="I83" i="2" a="1"/>
  <c r="I30" i="2" l="1"/>
  <c r="J30" i="2" s="1"/>
  <c r="I10" i="2"/>
  <c r="J10" i="2" s="1"/>
  <c r="I29" i="2"/>
  <c r="J29" i="2" s="1"/>
  <c r="I95" i="2"/>
  <c r="J95" i="2" s="1"/>
  <c r="I91" i="2"/>
  <c r="J91" i="2" s="1"/>
  <c r="I94" i="2"/>
  <c r="J94" i="2" s="1"/>
  <c r="I15" i="2"/>
  <c r="J15" i="2" s="1"/>
  <c r="I21" i="2"/>
  <c r="J21" i="2" s="1"/>
  <c r="I9" i="2"/>
  <c r="J9" i="2" s="1"/>
  <c r="I20" i="2"/>
  <c r="J20" i="2" s="1"/>
  <c r="I74" i="2"/>
  <c r="J74" i="2" s="1"/>
  <c r="I69" i="2"/>
  <c r="J69" i="2" s="1"/>
  <c r="I83" i="2"/>
  <c r="J83" i="2" s="1"/>
  <c r="I38" i="2"/>
  <c r="J38" i="2" s="1"/>
  <c r="I90" i="2"/>
  <c r="J90" i="2" s="1"/>
  <c r="I19" i="2"/>
  <c r="J19" i="2" s="1"/>
  <c r="I39" i="2"/>
  <c r="J39" i="2" s="1"/>
  <c r="I92" i="2"/>
  <c r="J92" i="2" s="1"/>
  <c r="I36" i="2"/>
  <c r="J36" i="2" s="1"/>
  <c r="I32" i="2"/>
  <c r="J32" i="2" s="1"/>
  <c r="I93" i="2"/>
  <c r="J93" i="2" s="1"/>
  <c r="I35" i="2"/>
  <c r="J35" i="2" s="1"/>
  <c r="I33" i="2"/>
  <c r="J33" i="2" s="1"/>
  <c r="I7" i="2"/>
  <c r="J7" i="2" s="1"/>
  <c r="C195" i="1"/>
  <c r="E196" i="1"/>
  <c r="O197" i="1"/>
  <c r="J196" i="1"/>
  <c r="K197" i="1"/>
  <c r="L197" i="1"/>
  <c r="P197" i="1"/>
  <c r="J195" i="1" l="1"/>
  <c r="O196" i="1"/>
  <c r="J99" i="2"/>
  <c r="P196" i="1"/>
  <c r="L196" i="1"/>
  <c r="K196" i="1"/>
  <c r="Q197" i="1"/>
  <c r="R197" i="1" s="1"/>
  <c r="S197" i="1" s="1"/>
  <c r="E195" i="1"/>
  <c r="C194" i="1"/>
  <c r="P195" i="1" l="1"/>
  <c r="K195" i="1"/>
  <c r="L195" i="1"/>
  <c r="Q196" i="1"/>
  <c r="R196" i="1" s="1"/>
  <c r="S196" i="1" s="1"/>
  <c r="C193" i="1"/>
  <c r="E194" i="1"/>
  <c r="O195" i="1"/>
  <c r="Q195" i="1" s="1"/>
  <c r="R195" i="1" s="1"/>
  <c r="S195" i="1" s="1"/>
  <c r="J194" i="1"/>
  <c r="J193" i="1" l="1"/>
  <c r="P194" i="1"/>
  <c r="L194" i="1"/>
  <c r="O194" i="1" s="1"/>
  <c r="Q194" i="1" s="1"/>
  <c r="R194" i="1" s="1"/>
  <c r="S194" i="1" s="1"/>
  <c r="K194" i="1"/>
  <c r="E193" i="1"/>
  <c r="C192" i="1"/>
  <c r="C191" i="1" l="1"/>
  <c r="E192" i="1"/>
  <c r="L193" i="1"/>
  <c r="O193" i="1" s="1"/>
  <c r="Q193" i="1" s="1"/>
  <c r="R193" i="1" s="1"/>
  <c r="S193" i="1" s="1"/>
  <c r="P193" i="1"/>
  <c r="K193" i="1"/>
  <c r="J192" i="1"/>
  <c r="J191" i="1" l="1"/>
  <c r="O192" i="1"/>
  <c r="Q192" i="1" s="1"/>
  <c r="R192" i="1" s="1"/>
  <c r="S192" i="1" s="1"/>
  <c r="P192" i="1"/>
  <c r="L192" i="1"/>
  <c r="K192" i="1"/>
  <c r="E191" i="1"/>
  <c r="C190" i="1"/>
  <c r="C189" i="1" l="1"/>
  <c r="E190" i="1"/>
  <c r="P191" i="1"/>
  <c r="K191" i="1"/>
  <c r="L191" i="1"/>
  <c r="O191" i="1"/>
  <c r="Q191" i="1" s="1"/>
  <c r="R191" i="1" s="1"/>
  <c r="S191" i="1" s="1"/>
  <c r="J190" i="1"/>
  <c r="J189" i="1" l="1"/>
  <c r="P190" i="1"/>
  <c r="L190" i="1"/>
  <c r="O190" i="1" s="1"/>
  <c r="Q190" i="1" s="1"/>
  <c r="R190" i="1" s="1"/>
  <c r="S190" i="1" s="1"/>
  <c r="K190" i="1"/>
  <c r="E189" i="1"/>
  <c r="C188" i="1"/>
  <c r="C187" i="1" l="1"/>
  <c r="E188" i="1"/>
  <c r="L189" i="1"/>
  <c r="P189" i="1"/>
  <c r="K189" i="1"/>
  <c r="J188" i="1"/>
  <c r="O189" i="1"/>
  <c r="Q189" i="1" s="1"/>
  <c r="R189" i="1" s="1"/>
  <c r="S189" i="1" s="1"/>
  <c r="P188" i="1" l="1"/>
  <c r="L188" i="1"/>
  <c r="O188" i="1" s="1"/>
  <c r="Q188" i="1" s="1"/>
  <c r="R188" i="1" s="1"/>
  <c r="S188" i="1" s="1"/>
  <c r="K188" i="1"/>
  <c r="J187" i="1"/>
  <c r="C186" i="1"/>
  <c r="E187" i="1"/>
  <c r="J186" i="1" l="1"/>
  <c r="P187" i="1"/>
  <c r="K187" i="1"/>
  <c r="L187" i="1"/>
  <c r="O187" i="1" s="1"/>
  <c r="Q187" i="1" s="1"/>
  <c r="R187" i="1" s="1"/>
  <c r="S187" i="1" s="1"/>
  <c r="C185" i="1"/>
  <c r="E186" i="1"/>
  <c r="P186" i="1" l="1"/>
  <c r="L186" i="1"/>
  <c r="O186" i="1" s="1"/>
  <c r="Q186" i="1" s="1"/>
  <c r="R186" i="1" s="1"/>
  <c r="S186" i="1" s="1"/>
  <c r="K186" i="1"/>
  <c r="J185" i="1"/>
  <c r="E185" i="1"/>
  <c r="C184" i="1"/>
  <c r="J184" i="1" l="1"/>
  <c r="L185" i="1"/>
  <c r="O185" i="1" s="1"/>
  <c r="Q185" i="1" s="1"/>
  <c r="R185" i="1" s="1"/>
  <c r="S185" i="1" s="1"/>
  <c r="P185" i="1"/>
  <c r="K185" i="1"/>
  <c r="C183" i="1"/>
  <c r="E184" i="1"/>
  <c r="P184" i="1" l="1"/>
  <c r="L184" i="1"/>
  <c r="K184" i="1"/>
  <c r="E183" i="1"/>
  <c r="C182" i="1"/>
  <c r="J183" i="1"/>
  <c r="O184" i="1"/>
  <c r="Q184" i="1" s="1"/>
  <c r="R184" i="1" s="1"/>
  <c r="S184" i="1" s="1"/>
  <c r="P183" i="1" l="1"/>
  <c r="K183" i="1"/>
  <c r="L183" i="1"/>
  <c r="O183" i="1"/>
  <c r="Q183" i="1" s="1"/>
  <c r="R183" i="1" s="1"/>
  <c r="S183" i="1" s="1"/>
  <c r="J182" i="1"/>
  <c r="C181" i="1"/>
  <c r="E182" i="1"/>
  <c r="P182" i="1" l="1"/>
  <c r="L182" i="1"/>
  <c r="K182" i="1"/>
  <c r="E181" i="1"/>
  <c r="C180" i="1"/>
  <c r="J181" i="1"/>
  <c r="O182" i="1"/>
  <c r="Q182" i="1" s="1"/>
  <c r="R182" i="1" s="1"/>
  <c r="S182" i="1" s="1"/>
  <c r="L181" i="1" l="1"/>
  <c r="P181" i="1"/>
  <c r="K181" i="1"/>
  <c r="J180" i="1"/>
  <c r="O181" i="1"/>
  <c r="Q181" i="1" s="1"/>
  <c r="R181" i="1" s="1"/>
  <c r="S181" i="1" s="1"/>
  <c r="C179" i="1"/>
  <c r="E180" i="1"/>
  <c r="J179" i="1" l="1"/>
  <c r="P180" i="1"/>
  <c r="L180" i="1"/>
  <c r="O180" i="1" s="1"/>
  <c r="Q180" i="1" s="1"/>
  <c r="R180" i="1" s="1"/>
  <c r="S180" i="1" s="1"/>
  <c r="K180" i="1"/>
  <c r="E179" i="1"/>
  <c r="C178" i="1"/>
  <c r="J178" i="1" l="1"/>
  <c r="C177" i="1"/>
  <c r="E178" i="1"/>
  <c r="P179" i="1"/>
  <c r="K179" i="1"/>
  <c r="L179" i="1"/>
  <c r="O179" i="1" s="1"/>
  <c r="Q179" i="1" s="1"/>
  <c r="R179" i="1" s="1"/>
  <c r="S179" i="1" s="1"/>
  <c r="E177" i="1" l="1"/>
  <c r="C176" i="1"/>
  <c r="J177" i="1"/>
  <c r="O178" i="1"/>
  <c r="P178" i="1"/>
  <c r="L178" i="1"/>
  <c r="K178" i="1"/>
  <c r="K177" i="1" l="1"/>
  <c r="L177" i="1"/>
  <c r="P177" i="1"/>
  <c r="Q178" i="1"/>
  <c r="R178" i="1" s="1"/>
  <c r="S178" i="1" s="1"/>
  <c r="O177" i="1"/>
  <c r="Q177" i="1" s="1"/>
  <c r="R177" i="1" s="1"/>
  <c r="S177" i="1" s="1"/>
  <c r="J176" i="1"/>
  <c r="C175" i="1"/>
  <c r="E176" i="1"/>
  <c r="P176" i="1" l="1"/>
  <c r="L176" i="1"/>
  <c r="K176" i="1"/>
  <c r="E175" i="1"/>
  <c r="C174" i="1"/>
  <c r="J175" i="1"/>
  <c r="O176" i="1"/>
  <c r="Q176" i="1" s="1"/>
  <c r="R176" i="1" s="1"/>
  <c r="S176" i="1" s="1"/>
  <c r="K175" i="1" l="1"/>
  <c r="P175" i="1"/>
  <c r="L175" i="1"/>
  <c r="O175" i="1" s="1"/>
  <c r="Q175" i="1" s="1"/>
  <c r="R175" i="1" s="1"/>
  <c r="S175" i="1" s="1"/>
  <c r="J174" i="1"/>
  <c r="C173" i="1"/>
  <c r="E174" i="1"/>
  <c r="E173" i="1" l="1"/>
  <c r="C172" i="1"/>
  <c r="P174" i="1"/>
  <c r="L174" i="1"/>
  <c r="O174" i="1" s="1"/>
  <c r="Q174" i="1" s="1"/>
  <c r="R174" i="1" s="1"/>
  <c r="S174" i="1" s="1"/>
  <c r="K174" i="1"/>
  <c r="J173" i="1"/>
  <c r="O173" i="1" l="1"/>
  <c r="Q173" i="1" s="1"/>
  <c r="R173" i="1" s="1"/>
  <c r="S173" i="1" s="1"/>
  <c r="J172" i="1"/>
  <c r="C171" i="1"/>
  <c r="E172" i="1"/>
  <c r="K173" i="1"/>
  <c r="L173" i="1"/>
  <c r="P173" i="1"/>
  <c r="E171" i="1" l="1"/>
  <c r="C170" i="1"/>
  <c r="P172" i="1"/>
  <c r="L172" i="1"/>
  <c r="O172" i="1" s="1"/>
  <c r="Q172" i="1" s="1"/>
  <c r="R172" i="1" s="1"/>
  <c r="S172" i="1" s="1"/>
  <c r="K172" i="1"/>
  <c r="J171" i="1"/>
  <c r="K171" i="1" l="1"/>
  <c r="P171" i="1"/>
  <c r="L171" i="1"/>
  <c r="O171" i="1"/>
  <c r="Q171" i="1" s="1"/>
  <c r="R171" i="1" s="1"/>
  <c r="S171" i="1" s="1"/>
  <c r="J170" i="1"/>
  <c r="C169" i="1"/>
  <c r="E170" i="1"/>
  <c r="J169" i="1" l="1"/>
  <c r="P170" i="1"/>
  <c r="L170" i="1"/>
  <c r="O170" i="1" s="1"/>
  <c r="Q170" i="1" s="1"/>
  <c r="R170" i="1" s="1"/>
  <c r="S170" i="1" s="1"/>
  <c r="K170" i="1"/>
  <c r="E169" i="1"/>
  <c r="C168" i="1"/>
  <c r="O169" i="1" l="1"/>
  <c r="Q169" i="1" s="1"/>
  <c r="R169" i="1" s="1"/>
  <c r="S169" i="1" s="1"/>
  <c r="J168" i="1"/>
  <c r="C167" i="1"/>
  <c r="E168" i="1"/>
  <c r="K169" i="1"/>
  <c r="L169" i="1"/>
  <c r="P169" i="1"/>
  <c r="E167" i="1" l="1"/>
  <c r="C166" i="1"/>
  <c r="P168" i="1"/>
  <c r="L168" i="1"/>
  <c r="O168" i="1" s="1"/>
  <c r="Q168" i="1" s="1"/>
  <c r="R168" i="1" s="1"/>
  <c r="S168" i="1" s="1"/>
  <c r="K168" i="1"/>
  <c r="J167" i="1"/>
  <c r="K167" i="1" l="1"/>
  <c r="P167" i="1"/>
  <c r="L167" i="1"/>
  <c r="O167" i="1"/>
  <c r="Q167" i="1" s="1"/>
  <c r="R167" i="1" s="1"/>
  <c r="S167" i="1" s="1"/>
  <c r="J166" i="1"/>
  <c r="C165" i="1"/>
  <c r="E166" i="1"/>
  <c r="J165" i="1" l="1"/>
  <c r="P166" i="1"/>
  <c r="L166" i="1"/>
  <c r="O166" i="1" s="1"/>
  <c r="Q166" i="1" s="1"/>
  <c r="R166" i="1" s="1"/>
  <c r="S166" i="1" s="1"/>
  <c r="K166" i="1"/>
  <c r="E165" i="1"/>
  <c r="C164" i="1"/>
  <c r="J164" i="1" l="1"/>
  <c r="C163" i="1"/>
  <c r="E164" i="1"/>
  <c r="L165" i="1"/>
  <c r="O165" i="1" s="1"/>
  <c r="Q165" i="1" s="1"/>
  <c r="R165" i="1" s="1"/>
  <c r="S165" i="1" s="1"/>
  <c r="P165" i="1"/>
  <c r="K165" i="1"/>
  <c r="E163" i="1" l="1"/>
  <c r="C162" i="1"/>
  <c r="P164" i="1"/>
  <c r="L164" i="1"/>
  <c r="O164" i="1" s="1"/>
  <c r="Q164" i="1" s="1"/>
  <c r="R164" i="1" s="1"/>
  <c r="S164" i="1" s="1"/>
  <c r="K164" i="1"/>
  <c r="J163" i="1"/>
  <c r="L163" i="1" l="1"/>
  <c r="K163" i="1"/>
  <c r="P163" i="1"/>
  <c r="J162" i="1"/>
  <c r="O163" i="1"/>
  <c r="Q163" i="1" s="1"/>
  <c r="R163" i="1" s="1"/>
  <c r="S163" i="1" s="1"/>
  <c r="C161" i="1"/>
  <c r="E162" i="1"/>
  <c r="J161" i="1" l="1"/>
  <c r="P162" i="1"/>
  <c r="L162" i="1"/>
  <c r="O162" i="1" s="1"/>
  <c r="Q162" i="1" s="1"/>
  <c r="R162" i="1" s="1"/>
  <c r="S162" i="1" s="1"/>
  <c r="K162" i="1"/>
  <c r="E161" i="1"/>
  <c r="C160" i="1"/>
  <c r="C159" i="1" l="1"/>
  <c r="E160" i="1"/>
  <c r="J160" i="1"/>
  <c r="L161" i="1"/>
  <c r="O161" i="1" s="1"/>
  <c r="Q161" i="1" s="1"/>
  <c r="R161" i="1" s="1"/>
  <c r="S161" i="1" s="1"/>
  <c r="K161" i="1"/>
  <c r="P161" i="1"/>
  <c r="J159" i="1" l="1"/>
  <c r="P160" i="1"/>
  <c r="L160" i="1"/>
  <c r="O160" i="1" s="1"/>
  <c r="Q160" i="1" s="1"/>
  <c r="R160" i="1" s="1"/>
  <c r="S160" i="1" s="1"/>
  <c r="K160" i="1"/>
  <c r="E159" i="1"/>
  <c r="C158" i="1"/>
  <c r="L159" i="1" l="1"/>
  <c r="K159" i="1"/>
  <c r="P159" i="1"/>
  <c r="C157" i="1"/>
  <c r="E158" i="1"/>
  <c r="J158" i="1"/>
  <c r="O159" i="1"/>
  <c r="Q159" i="1" s="1"/>
  <c r="R159" i="1" s="1"/>
  <c r="S159" i="1" s="1"/>
  <c r="E157" i="1" l="1"/>
  <c r="C156" i="1"/>
  <c r="J157" i="1"/>
  <c r="O158" i="1"/>
  <c r="Q158" i="1" s="1"/>
  <c r="R158" i="1" s="1"/>
  <c r="S158" i="1" s="1"/>
  <c r="P158" i="1"/>
  <c r="L158" i="1"/>
  <c r="K158" i="1"/>
  <c r="J156" i="1" l="1"/>
  <c r="C155" i="1"/>
  <c r="E156" i="1"/>
  <c r="L157" i="1"/>
  <c r="O157" i="1" s="1"/>
  <c r="Q157" i="1" s="1"/>
  <c r="R157" i="1" s="1"/>
  <c r="S157" i="1" s="1"/>
  <c r="K157" i="1"/>
  <c r="P157" i="1"/>
  <c r="E155" i="1" l="1"/>
  <c r="C154" i="1"/>
  <c r="P156" i="1"/>
  <c r="L156" i="1"/>
  <c r="O156" i="1" s="1"/>
  <c r="Q156" i="1" s="1"/>
  <c r="R156" i="1" s="1"/>
  <c r="S156" i="1" s="1"/>
  <c r="K156" i="1"/>
  <c r="J155" i="1"/>
  <c r="L155" i="1" l="1"/>
  <c r="K155" i="1"/>
  <c r="P155" i="1"/>
  <c r="J154" i="1"/>
  <c r="O155" i="1"/>
  <c r="Q155" i="1" s="1"/>
  <c r="R155" i="1" s="1"/>
  <c r="S155" i="1" s="1"/>
  <c r="C153" i="1"/>
  <c r="E154" i="1"/>
  <c r="J153" i="1" l="1"/>
  <c r="P154" i="1"/>
  <c r="L154" i="1"/>
  <c r="O154" i="1" s="1"/>
  <c r="Q154" i="1" s="1"/>
  <c r="R154" i="1" s="1"/>
  <c r="S154" i="1" s="1"/>
  <c r="K154" i="1"/>
  <c r="E153" i="1"/>
  <c r="C152" i="1"/>
  <c r="E152" i="1" l="1"/>
  <c r="C151" i="1"/>
  <c r="L153" i="1"/>
  <c r="O153" i="1" s="1"/>
  <c r="Q153" i="1" s="1"/>
  <c r="R153" i="1" s="1"/>
  <c r="S153" i="1" s="1"/>
  <c r="K153" i="1"/>
  <c r="P153" i="1"/>
  <c r="J152" i="1"/>
  <c r="P152" i="1" l="1"/>
  <c r="L152" i="1"/>
  <c r="K152" i="1"/>
  <c r="O152" i="1"/>
  <c r="Q152" i="1" s="1"/>
  <c r="R152" i="1" s="1"/>
  <c r="S152" i="1" s="1"/>
  <c r="J151" i="1"/>
  <c r="C150" i="1"/>
  <c r="E151" i="1"/>
  <c r="K151" i="1" l="1"/>
  <c r="L151" i="1"/>
  <c r="P151" i="1"/>
  <c r="E150" i="1"/>
  <c r="C149" i="1"/>
  <c r="O151" i="1"/>
  <c r="J150" i="1"/>
  <c r="K150" i="1" l="1"/>
  <c r="P150" i="1"/>
  <c r="L150" i="1"/>
  <c r="O150" i="1"/>
  <c r="Q150" i="1" s="1"/>
  <c r="R150" i="1" s="1"/>
  <c r="S150" i="1" s="1"/>
  <c r="J149" i="1"/>
  <c r="Q151" i="1"/>
  <c r="R151" i="1" s="1"/>
  <c r="S151" i="1" s="1"/>
  <c r="C148" i="1"/>
  <c r="E149" i="1"/>
  <c r="P149" i="1" l="1"/>
  <c r="L149" i="1"/>
  <c r="K149" i="1"/>
  <c r="E148" i="1"/>
  <c r="C147" i="1"/>
  <c r="J148" i="1"/>
  <c r="O149" i="1"/>
  <c r="Q149" i="1" s="1"/>
  <c r="R149" i="1" s="1"/>
  <c r="S149" i="1" s="1"/>
  <c r="K148" i="1" l="1"/>
  <c r="L148" i="1"/>
  <c r="P148" i="1"/>
  <c r="O148" i="1"/>
  <c r="Q148" i="1" s="1"/>
  <c r="R148" i="1" s="1"/>
  <c r="S148" i="1" s="1"/>
  <c r="J147" i="1"/>
  <c r="C146" i="1"/>
  <c r="E147" i="1"/>
  <c r="O147" i="1" l="1"/>
  <c r="Q147" i="1" s="1"/>
  <c r="R147" i="1" s="1"/>
  <c r="S147" i="1" s="1"/>
  <c r="J146" i="1"/>
  <c r="K147" i="1"/>
  <c r="P147" i="1"/>
  <c r="L147" i="1"/>
  <c r="E146" i="1"/>
  <c r="C145" i="1"/>
  <c r="C144" i="1" l="1"/>
  <c r="E145" i="1"/>
  <c r="K146" i="1"/>
  <c r="L146" i="1"/>
  <c r="O146" i="1" s="1"/>
  <c r="Q146" i="1" s="1"/>
  <c r="R146" i="1" s="1"/>
  <c r="S146" i="1" s="1"/>
  <c r="P146" i="1"/>
  <c r="J145" i="1"/>
  <c r="E144" i="1" l="1"/>
  <c r="C143" i="1"/>
  <c r="J144" i="1"/>
  <c r="O145" i="1"/>
  <c r="P145" i="1"/>
  <c r="L145" i="1"/>
  <c r="K145" i="1"/>
  <c r="K144" i="1" l="1"/>
  <c r="L144" i="1"/>
  <c r="P144" i="1"/>
  <c r="Q145" i="1"/>
  <c r="R145" i="1" s="1"/>
  <c r="S145" i="1" s="1"/>
  <c r="O144" i="1"/>
  <c r="Q144" i="1" s="1"/>
  <c r="R144" i="1" s="1"/>
  <c r="S144" i="1" s="1"/>
  <c r="J143" i="1"/>
  <c r="C142" i="1"/>
  <c r="E143" i="1"/>
  <c r="P143" i="1" l="1"/>
  <c r="L143" i="1"/>
  <c r="K143" i="1"/>
  <c r="E142" i="1"/>
  <c r="C141" i="1"/>
  <c r="J142" i="1"/>
  <c r="O143" i="1"/>
  <c r="Q143" i="1" s="1"/>
  <c r="R143" i="1" s="1"/>
  <c r="S143" i="1" s="1"/>
  <c r="O142" i="1" l="1"/>
  <c r="J141" i="1"/>
  <c r="K142" i="1"/>
  <c r="L142" i="1"/>
  <c r="P142" i="1"/>
  <c r="C140" i="1"/>
  <c r="E141" i="1"/>
  <c r="Q142" i="1" l="1"/>
  <c r="R142" i="1" s="1"/>
  <c r="S142" i="1" s="1"/>
  <c r="P141" i="1"/>
  <c r="L141" i="1"/>
  <c r="K141" i="1"/>
  <c r="E140" i="1"/>
  <c r="C139" i="1"/>
  <c r="J140" i="1"/>
  <c r="O141" i="1"/>
  <c r="Q141" i="1" s="1"/>
  <c r="R141" i="1" s="1"/>
  <c r="S141" i="1" s="1"/>
  <c r="K140" i="1" l="1"/>
  <c r="L140" i="1"/>
  <c r="P140" i="1"/>
  <c r="O140" i="1"/>
  <c r="Q140" i="1" s="1"/>
  <c r="R140" i="1" s="1"/>
  <c r="S140" i="1" s="1"/>
  <c r="J139" i="1"/>
  <c r="C138" i="1"/>
  <c r="E139" i="1"/>
  <c r="O139" i="1" l="1"/>
  <c r="Q139" i="1" s="1"/>
  <c r="R139" i="1" s="1"/>
  <c r="S139" i="1" s="1"/>
  <c r="J138" i="1"/>
  <c r="P139" i="1"/>
  <c r="L139" i="1"/>
  <c r="K139" i="1"/>
  <c r="E138" i="1"/>
  <c r="C137" i="1"/>
  <c r="C136" i="1" l="1"/>
  <c r="E137" i="1"/>
  <c r="K138" i="1"/>
  <c r="L138" i="1"/>
  <c r="O138" i="1" s="1"/>
  <c r="Q138" i="1" s="1"/>
  <c r="R138" i="1" s="1"/>
  <c r="S138" i="1" s="1"/>
  <c r="P138" i="1"/>
  <c r="J137" i="1"/>
  <c r="J136" i="1" l="1"/>
  <c r="E136" i="1"/>
  <c r="C135" i="1"/>
  <c r="P137" i="1"/>
  <c r="L137" i="1"/>
  <c r="O137" i="1" s="1"/>
  <c r="Q137" i="1" s="1"/>
  <c r="R137" i="1" s="1"/>
  <c r="S137" i="1" s="1"/>
  <c r="K137" i="1"/>
  <c r="K136" i="1" l="1"/>
  <c r="L136" i="1"/>
  <c r="P136" i="1"/>
  <c r="O136" i="1"/>
  <c r="Q136" i="1" s="1"/>
  <c r="R136" i="1" s="1"/>
  <c r="S136" i="1" s="1"/>
  <c r="J135" i="1"/>
  <c r="C134" i="1"/>
  <c r="E135" i="1"/>
  <c r="O135" i="1" l="1"/>
  <c r="Q135" i="1" s="1"/>
  <c r="R135" i="1" s="1"/>
  <c r="S135" i="1" s="1"/>
  <c r="J134" i="1"/>
  <c r="K135" i="1"/>
  <c r="L135" i="1"/>
  <c r="P135" i="1"/>
  <c r="E134" i="1"/>
  <c r="C133" i="1"/>
  <c r="C132" i="1" l="1"/>
  <c r="E133" i="1"/>
  <c r="K134" i="1"/>
  <c r="L134" i="1"/>
  <c r="O134" i="1" s="1"/>
  <c r="Q134" i="1" s="1"/>
  <c r="R134" i="1" s="1"/>
  <c r="S134" i="1" s="1"/>
  <c r="P134" i="1"/>
  <c r="J133" i="1"/>
  <c r="J132" i="1" l="1"/>
  <c r="P133" i="1"/>
  <c r="L133" i="1"/>
  <c r="O133" i="1" s="1"/>
  <c r="Q133" i="1" s="1"/>
  <c r="R133" i="1" s="1"/>
  <c r="S133" i="1" s="1"/>
  <c r="K133" i="1"/>
  <c r="E132" i="1"/>
  <c r="C131" i="1"/>
  <c r="C130" i="1" l="1"/>
  <c r="E131" i="1"/>
  <c r="K132" i="1"/>
  <c r="L132" i="1"/>
  <c r="O132" i="1" s="1"/>
  <c r="Q132" i="1" s="1"/>
  <c r="R132" i="1" s="1"/>
  <c r="S132" i="1" s="1"/>
  <c r="P132" i="1"/>
  <c r="J131" i="1"/>
  <c r="J130" i="1" l="1"/>
  <c r="K131" i="1"/>
  <c r="P131" i="1"/>
  <c r="L131" i="1"/>
  <c r="O131" i="1" s="1"/>
  <c r="Q131" i="1" s="1"/>
  <c r="R131" i="1" s="1"/>
  <c r="S131" i="1" s="1"/>
  <c r="E130" i="1"/>
  <c r="C129" i="1"/>
  <c r="C128" i="1" l="1"/>
  <c r="E129" i="1"/>
  <c r="K130" i="1"/>
  <c r="L130" i="1"/>
  <c r="O130" i="1" s="1"/>
  <c r="Q130" i="1" s="1"/>
  <c r="R130" i="1" s="1"/>
  <c r="S130" i="1" s="1"/>
  <c r="P130" i="1"/>
  <c r="J129" i="1"/>
  <c r="J128" i="1" l="1"/>
  <c r="P129" i="1"/>
  <c r="L129" i="1"/>
  <c r="O129" i="1" s="1"/>
  <c r="Q129" i="1" s="1"/>
  <c r="R129" i="1" s="1"/>
  <c r="S129" i="1" s="1"/>
  <c r="K129" i="1"/>
  <c r="E128" i="1"/>
  <c r="C127" i="1"/>
  <c r="K128" i="1" l="1"/>
  <c r="L128" i="1"/>
  <c r="P128" i="1"/>
  <c r="C126" i="1"/>
  <c r="E127" i="1"/>
  <c r="O128" i="1"/>
  <c r="Q128" i="1" s="1"/>
  <c r="R128" i="1" s="1"/>
  <c r="S128" i="1" s="1"/>
  <c r="J127" i="1"/>
  <c r="K127" i="1" l="1"/>
  <c r="P127" i="1"/>
  <c r="L127" i="1"/>
  <c r="E126" i="1"/>
  <c r="C125" i="1"/>
  <c r="O127" i="1"/>
  <c r="Q127" i="1" s="1"/>
  <c r="R127" i="1" s="1"/>
  <c r="S127" i="1" s="1"/>
  <c r="J126" i="1"/>
  <c r="K126" i="1" l="1"/>
  <c r="L126" i="1"/>
  <c r="P126" i="1"/>
  <c r="O126" i="1"/>
  <c r="Q126" i="1" s="1"/>
  <c r="R126" i="1" s="1"/>
  <c r="S126" i="1" s="1"/>
  <c r="J125" i="1"/>
  <c r="C124" i="1"/>
  <c r="E125" i="1"/>
  <c r="P125" i="1" l="1"/>
  <c r="L125" i="1"/>
  <c r="K125" i="1"/>
  <c r="E124" i="1"/>
  <c r="C123" i="1"/>
  <c r="J124" i="1"/>
  <c r="O125" i="1"/>
  <c r="Q125" i="1" l="1"/>
  <c r="R125" i="1" s="1"/>
  <c r="S125" i="1" s="1"/>
  <c r="C122" i="1"/>
  <c r="E123" i="1"/>
  <c r="K124" i="1"/>
  <c r="L124" i="1"/>
  <c r="O124" i="1" s="1"/>
  <c r="Q124" i="1" s="1"/>
  <c r="R124" i="1" s="1"/>
  <c r="S124" i="1" s="1"/>
  <c r="P124" i="1"/>
  <c r="J123" i="1"/>
  <c r="J122" i="1" l="1"/>
  <c r="K123" i="1"/>
  <c r="L123" i="1"/>
  <c r="O123" i="1" s="1"/>
  <c r="Q123" i="1" s="1"/>
  <c r="R123" i="1" s="1"/>
  <c r="S123" i="1" s="1"/>
  <c r="P123" i="1"/>
  <c r="E122" i="1"/>
  <c r="C121" i="1"/>
  <c r="O122" i="1" l="1"/>
  <c r="Q122" i="1" s="1"/>
  <c r="R122" i="1" s="1"/>
  <c r="S122" i="1" s="1"/>
  <c r="J121" i="1"/>
  <c r="C120" i="1"/>
  <c r="E121" i="1"/>
  <c r="K122" i="1"/>
  <c r="L122" i="1"/>
  <c r="P122" i="1"/>
  <c r="E120" i="1" l="1"/>
  <c r="C119" i="1"/>
  <c r="P121" i="1"/>
  <c r="L121" i="1"/>
  <c r="O121" i="1" s="1"/>
  <c r="Q121" i="1" s="1"/>
  <c r="R121" i="1" s="1"/>
  <c r="S121" i="1" s="1"/>
  <c r="K121" i="1"/>
  <c r="J120" i="1"/>
  <c r="C118" i="1" l="1"/>
  <c r="E119" i="1"/>
  <c r="O120" i="1"/>
  <c r="J119" i="1"/>
  <c r="K120" i="1"/>
  <c r="L120" i="1"/>
  <c r="P120" i="1"/>
  <c r="J118" i="1" l="1"/>
  <c r="Q120" i="1"/>
  <c r="R120" i="1" s="1"/>
  <c r="S120" i="1" s="1"/>
  <c r="K119" i="1"/>
  <c r="L119" i="1"/>
  <c r="O119" i="1" s="1"/>
  <c r="Q119" i="1" s="1"/>
  <c r="R119" i="1" s="1"/>
  <c r="S119" i="1" s="1"/>
  <c r="P119" i="1"/>
  <c r="E118" i="1"/>
  <c r="C117" i="1"/>
  <c r="C116" i="1" l="1"/>
  <c r="E117" i="1"/>
  <c r="K118" i="1"/>
  <c r="L118" i="1"/>
  <c r="O118" i="1" s="1"/>
  <c r="Q118" i="1" s="1"/>
  <c r="R118" i="1" s="1"/>
  <c r="S118" i="1" s="1"/>
  <c r="P118" i="1"/>
  <c r="J117" i="1"/>
  <c r="P117" i="1" l="1"/>
  <c r="L117" i="1"/>
  <c r="O117" i="1" s="1"/>
  <c r="Q117" i="1" s="1"/>
  <c r="R117" i="1" s="1"/>
  <c r="S117" i="1" s="1"/>
  <c r="K117" i="1"/>
  <c r="J116" i="1"/>
  <c r="E116" i="1"/>
  <c r="C115" i="1"/>
  <c r="O116" i="1" l="1"/>
  <c r="Q116" i="1" s="1"/>
  <c r="R116" i="1" s="1"/>
  <c r="S116" i="1" s="1"/>
  <c r="J115" i="1"/>
  <c r="C114" i="1"/>
  <c r="E115" i="1"/>
  <c r="K116" i="1"/>
  <c r="L116" i="1"/>
  <c r="P116" i="1"/>
  <c r="E114" i="1" l="1"/>
  <c r="C113" i="1"/>
  <c r="K115" i="1"/>
  <c r="P115" i="1"/>
  <c r="L115" i="1"/>
  <c r="O115" i="1"/>
  <c r="J114" i="1"/>
  <c r="O114" i="1" l="1"/>
  <c r="Q114" i="1" s="1"/>
  <c r="R114" i="1" s="1"/>
  <c r="S114" i="1" s="1"/>
  <c r="J113" i="1"/>
  <c r="C112" i="1"/>
  <c r="E113" i="1"/>
  <c r="Q115" i="1"/>
  <c r="R115" i="1" s="1"/>
  <c r="S115" i="1" s="1"/>
  <c r="K114" i="1"/>
  <c r="L114" i="1"/>
  <c r="P114" i="1"/>
  <c r="E112" i="1" l="1"/>
  <c r="C111" i="1"/>
  <c r="P113" i="1"/>
  <c r="L113" i="1"/>
  <c r="O113" i="1" s="1"/>
  <c r="Q113" i="1" s="1"/>
  <c r="R113" i="1" s="1"/>
  <c r="S113" i="1" s="1"/>
  <c r="K113" i="1"/>
  <c r="J112" i="1"/>
  <c r="K112" i="1" l="1"/>
  <c r="L112" i="1"/>
  <c r="P112" i="1"/>
  <c r="O112" i="1"/>
  <c r="Q112" i="1" s="1"/>
  <c r="R112" i="1" s="1"/>
  <c r="S112" i="1" s="1"/>
  <c r="J111" i="1"/>
  <c r="C110" i="1"/>
  <c r="E111" i="1"/>
  <c r="K111" i="1" l="1"/>
  <c r="P111" i="1"/>
  <c r="L111" i="1"/>
  <c r="O111" i="1" s="1"/>
  <c r="Q111" i="1" s="1"/>
  <c r="R111" i="1" s="1"/>
  <c r="S111" i="1" s="1"/>
  <c r="E110" i="1"/>
  <c r="C109" i="1"/>
  <c r="J110" i="1"/>
  <c r="C108" i="1" l="1"/>
  <c r="E109" i="1"/>
  <c r="O110" i="1"/>
  <c r="Q110" i="1" s="1"/>
  <c r="R110" i="1" s="1"/>
  <c r="S110" i="1" s="1"/>
  <c r="J109" i="1"/>
  <c r="K110" i="1"/>
  <c r="L110" i="1"/>
  <c r="P110" i="1"/>
  <c r="P109" i="1" l="1"/>
  <c r="L109" i="1"/>
  <c r="K109" i="1"/>
  <c r="J108" i="1"/>
  <c r="O109" i="1"/>
  <c r="Q109" i="1" s="1"/>
  <c r="R109" i="1" s="1"/>
  <c r="S109" i="1" s="1"/>
  <c r="C107" i="1"/>
  <c r="E108" i="1"/>
  <c r="J107" i="1" l="1"/>
  <c r="P108" i="1"/>
  <c r="L108" i="1"/>
  <c r="O108" i="1" s="1"/>
  <c r="Q108" i="1" s="1"/>
  <c r="R108" i="1" s="1"/>
  <c r="S108" i="1" s="1"/>
  <c r="K108" i="1"/>
  <c r="C106" i="1"/>
  <c r="E107" i="1"/>
  <c r="J106" i="1" l="1"/>
  <c r="P107" i="1"/>
  <c r="L107" i="1"/>
  <c r="O107" i="1" s="1"/>
  <c r="Q107" i="1" s="1"/>
  <c r="R107" i="1" s="1"/>
  <c r="S107" i="1" s="1"/>
  <c r="K107" i="1"/>
  <c r="C105" i="1"/>
  <c r="E106" i="1"/>
  <c r="J105" i="1" l="1"/>
  <c r="P106" i="1"/>
  <c r="L106" i="1"/>
  <c r="O106" i="1" s="1"/>
  <c r="Q106" i="1" s="1"/>
  <c r="R106" i="1" s="1"/>
  <c r="S106" i="1" s="1"/>
  <c r="K106" i="1"/>
  <c r="C104" i="1"/>
  <c r="E105" i="1"/>
  <c r="P105" i="1" l="1"/>
  <c r="L105" i="1"/>
  <c r="K105" i="1"/>
  <c r="J104" i="1"/>
  <c r="O105" i="1"/>
  <c r="Q105" i="1" s="1"/>
  <c r="R105" i="1" s="1"/>
  <c r="S105" i="1" s="1"/>
  <c r="C103" i="1"/>
  <c r="E104" i="1"/>
  <c r="P104" i="1" l="1"/>
  <c r="L104" i="1"/>
  <c r="K104" i="1"/>
  <c r="J103" i="1"/>
  <c r="O104" i="1"/>
  <c r="Q104" i="1" s="1"/>
  <c r="R104" i="1" s="1"/>
  <c r="S104" i="1" s="1"/>
  <c r="C102" i="1"/>
  <c r="E103" i="1"/>
  <c r="J102" i="1" l="1"/>
  <c r="P103" i="1"/>
  <c r="L103" i="1"/>
  <c r="O103" i="1" s="1"/>
  <c r="Q103" i="1" s="1"/>
  <c r="R103" i="1" s="1"/>
  <c r="S103" i="1" s="1"/>
  <c r="K103" i="1"/>
  <c r="C101" i="1"/>
  <c r="E102" i="1"/>
  <c r="P102" i="1" l="1"/>
  <c r="L102" i="1"/>
  <c r="K102" i="1"/>
  <c r="C100" i="1"/>
  <c r="E101" i="1"/>
  <c r="J101" i="1"/>
  <c r="O102" i="1"/>
  <c r="P101" i="1" l="1"/>
  <c r="L101" i="1"/>
  <c r="K101" i="1"/>
  <c r="C99" i="1"/>
  <c r="E100" i="1"/>
  <c r="Q102" i="1"/>
  <c r="R102" i="1" s="1"/>
  <c r="S102" i="1" s="1"/>
  <c r="J100" i="1"/>
  <c r="O101" i="1"/>
  <c r="Q101" i="1" s="1"/>
  <c r="R101" i="1" s="1"/>
  <c r="S101" i="1" s="1"/>
  <c r="P100" i="1" l="1"/>
  <c r="L100" i="1"/>
  <c r="K100" i="1"/>
  <c r="C98" i="1"/>
  <c r="E99" i="1"/>
  <c r="J99" i="1"/>
  <c r="O100" i="1"/>
  <c r="Q100" i="1" s="1"/>
  <c r="R100" i="1" s="1"/>
  <c r="S100" i="1" s="1"/>
  <c r="P99" i="1" l="1"/>
  <c r="L99" i="1"/>
  <c r="K99" i="1"/>
  <c r="C97" i="1"/>
  <c r="E98" i="1"/>
  <c r="J98" i="1"/>
  <c r="O99" i="1"/>
  <c r="P98" i="1" l="1"/>
  <c r="L98" i="1"/>
  <c r="K98" i="1"/>
  <c r="C96" i="1"/>
  <c r="E97" i="1"/>
  <c r="Q99" i="1"/>
  <c r="R99" i="1" s="1"/>
  <c r="S99" i="1" s="1"/>
  <c r="J97" i="1"/>
  <c r="O98" i="1"/>
  <c r="Q98" i="1" s="1"/>
  <c r="R98" i="1" s="1"/>
  <c r="S98" i="1" s="1"/>
  <c r="C95" i="1" l="1"/>
  <c r="E96" i="1"/>
  <c r="J96" i="1"/>
  <c r="O97" i="1"/>
  <c r="Q97" i="1" s="1"/>
  <c r="R97" i="1" s="1"/>
  <c r="S97" i="1" s="1"/>
  <c r="P97" i="1"/>
  <c r="L97" i="1"/>
  <c r="K97" i="1"/>
  <c r="J95" i="1" l="1"/>
  <c r="P96" i="1"/>
  <c r="L96" i="1"/>
  <c r="O96" i="1" s="1"/>
  <c r="Q96" i="1" s="1"/>
  <c r="R96" i="1" s="1"/>
  <c r="S96" i="1" s="1"/>
  <c r="K96" i="1"/>
  <c r="C94" i="1"/>
  <c r="E95" i="1"/>
  <c r="P95" i="1" l="1"/>
  <c r="L95" i="1"/>
  <c r="K95" i="1"/>
  <c r="C93" i="1"/>
  <c r="E94" i="1"/>
  <c r="J94" i="1"/>
  <c r="O95" i="1"/>
  <c r="Q95" i="1" s="1"/>
  <c r="R95" i="1" s="1"/>
  <c r="S95" i="1" s="1"/>
  <c r="C92" i="1" l="1"/>
  <c r="E93" i="1"/>
  <c r="J93" i="1"/>
  <c r="O94" i="1"/>
  <c r="Q94" i="1" s="1"/>
  <c r="R94" i="1" s="1"/>
  <c r="S94" i="1" s="1"/>
  <c r="P94" i="1"/>
  <c r="L94" i="1"/>
  <c r="K94" i="1"/>
  <c r="J92" i="1" l="1"/>
  <c r="P93" i="1"/>
  <c r="L93" i="1"/>
  <c r="O93" i="1" s="1"/>
  <c r="Q93" i="1" s="1"/>
  <c r="R93" i="1" s="1"/>
  <c r="S93" i="1" s="1"/>
  <c r="K93" i="1"/>
  <c r="C91" i="1"/>
  <c r="E92" i="1"/>
  <c r="P92" i="1" l="1"/>
  <c r="L92" i="1"/>
  <c r="K92" i="1"/>
  <c r="C90" i="1"/>
  <c r="E91" i="1"/>
  <c r="J91" i="1"/>
  <c r="O92" i="1"/>
  <c r="Q92" i="1" s="1"/>
  <c r="R92" i="1" s="1"/>
  <c r="S92" i="1" s="1"/>
  <c r="C89" i="1" l="1"/>
  <c r="E90" i="1"/>
  <c r="J90" i="1"/>
  <c r="O91" i="1"/>
  <c r="Q91" i="1" s="1"/>
  <c r="R91" i="1" s="1"/>
  <c r="S91" i="1" s="1"/>
  <c r="P91" i="1"/>
  <c r="L91" i="1"/>
  <c r="K91" i="1"/>
  <c r="J89" i="1" l="1"/>
  <c r="P90" i="1"/>
  <c r="L90" i="1"/>
  <c r="O90" i="1" s="1"/>
  <c r="Q90" i="1" s="1"/>
  <c r="R90" i="1" s="1"/>
  <c r="S90" i="1" s="1"/>
  <c r="K90" i="1"/>
  <c r="C88" i="1"/>
  <c r="E89" i="1"/>
  <c r="P89" i="1" l="1"/>
  <c r="L89" i="1"/>
  <c r="K89" i="1"/>
  <c r="C87" i="1"/>
  <c r="E88" i="1"/>
  <c r="J88" i="1"/>
  <c r="O89" i="1"/>
  <c r="Q89" i="1" s="1"/>
  <c r="R89" i="1" s="1"/>
  <c r="S89" i="1" s="1"/>
  <c r="C86" i="1" l="1"/>
  <c r="E87" i="1"/>
  <c r="J87" i="1"/>
  <c r="O88" i="1"/>
  <c r="Q88" i="1" s="1"/>
  <c r="R88" i="1" s="1"/>
  <c r="S88" i="1" s="1"/>
  <c r="P88" i="1"/>
  <c r="L88" i="1"/>
  <c r="K88" i="1"/>
  <c r="J86" i="1" l="1"/>
  <c r="P87" i="1"/>
  <c r="L87" i="1"/>
  <c r="O87" i="1" s="1"/>
  <c r="Q87" i="1" s="1"/>
  <c r="R87" i="1" s="1"/>
  <c r="S87" i="1" s="1"/>
  <c r="K87" i="1"/>
  <c r="C85" i="1"/>
  <c r="E86" i="1"/>
  <c r="P86" i="1" l="1"/>
  <c r="L86" i="1"/>
  <c r="K86" i="1"/>
  <c r="C84" i="1"/>
  <c r="E85" i="1"/>
  <c r="J85" i="1"/>
  <c r="O86" i="1"/>
  <c r="Q86" i="1" s="1"/>
  <c r="R86" i="1" s="1"/>
  <c r="S86" i="1" s="1"/>
  <c r="C83" i="1" l="1"/>
  <c r="E84" i="1"/>
  <c r="J84" i="1"/>
  <c r="O85" i="1"/>
  <c r="Q85" i="1" s="1"/>
  <c r="R85" i="1" s="1"/>
  <c r="S85" i="1" s="1"/>
  <c r="P85" i="1"/>
  <c r="L85" i="1"/>
  <c r="K85" i="1"/>
  <c r="J83" i="1" l="1"/>
  <c r="P84" i="1"/>
  <c r="L84" i="1"/>
  <c r="O84" i="1" s="1"/>
  <c r="Q84" i="1" s="1"/>
  <c r="R84" i="1" s="1"/>
  <c r="S84" i="1" s="1"/>
  <c r="K84" i="1"/>
  <c r="C82" i="1"/>
  <c r="E83" i="1"/>
  <c r="P83" i="1" l="1"/>
  <c r="L83" i="1"/>
  <c r="K83" i="1"/>
  <c r="C81" i="1"/>
  <c r="E82" i="1"/>
  <c r="J82" i="1"/>
  <c r="O83" i="1"/>
  <c r="Q83" i="1" s="1"/>
  <c r="R83" i="1" s="1"/>
  <c r="S83" i="1" s="1"/>
  <c r="J81" i="1" l="1"/>
  <c r="C80" i="1"/>
  <c r="E81" i="1"/>
  <c r="P82" i="1"/>
  <c r="L82" i="1"/>
  <c r="O82" i="1" s="1"/>
  <c r="Q82" i="1" s="1"/>
  <c r="R82" i="1" s="1"/>
  <c r="S82" i="1" s="1"/>
  <c r="K82" i="1"/>
  <c r="C79" i="1" l="1"/>
  <c r="E80" i="1"/>
  <c r="P81" i="1"/>
  <c r="L81" i="1"/>
  <c r="O81" i="1" s="1"/>
  <c r="Q81" i="1" s="1"/>
  <c r="R81" i="1" s="1"/>
  <c r="S81" i="1" s="1"/>
  <c r="K81" i="1"/>
  <c r="J80" i="1"/>
  <c r="J79" i="1" l="1"/>
  <c r="P80" i="1"/>
  <c r="L80" i="1"/>
  <c r="O80" i="1" s="1"/>
  <c r="Q80" i="1" s="1"/>
  <c r="R80" i="1" s="1"/>
  <c r="S80" i="1" s="1"/>
  <c r="K80" i="1"/>
  <c r="C78" i="1"/>
  <c r="E79" i="1"/>
  <c r="C77" i="1" l="1"/>
  <c r="E78" i="1"/>
  <c r="P79" i="1"/>
  <c r="L79" i="1"/>
  <c r="O79" i="1" s="1"/>
  <c r="Q79" i="1" s="1"/>
  <c r="R79" i="1" s="1"/>
  <c r="S79" i="1" s="1"/>
  <c r="K79" i="1"/>
  <c r="J78" i="1"/>
  <c r="J77" i="1" l="1"/>
  <c r="P78" i="1"/>
  <c r="L78" i="1"/>
  <c r="O78" i="1" s="1"/>
  <c r="Q78" i="1" s="1"/>
  <c r="R78" i="1" s="1"/>
  <c r="S78" i="1" s="1"/>
  <c r="K78" i="1"/>
  <c r="C76" i="1"/>
  <c r="E77" i="1"/>
  <c r="P77" i="1" l="1"/>
  <c r="L77" i="1"/>
  <c r="K77" i="1"/>
  <c r="C75" i="1"/>
  <c r="E76" i="1"/>
  <c r="J76" i="1"/>
  <c r="O77" i="1"/>
  <c r="Q77" i="1" s="1"/>
  <c r="R77" i="1" s="1"/>
  <c r="S77" i="1" s="1"/>
  <c r="C74" i="1" l="1"/>
  <c r="E75" i="1"/>
  <c r="J75" i="1"/>
  <c r="O76" i="1"/>
  <c r="P76" i="1"/>
  <c r="L76" i="1"/>
  <c r="K76" i="1"/>
  <c r="C73" i="1" l="1"/>
  <c r="E74" i="1"/>
  <c r="J74" i="1"/>
  <c r="Q76" i="1"/>
  <c r="R76" i="1" s="1"/>
  <c r="S76" i="1" s="1"/>
  <c r="P75" i="1"/>
  <c r="L75" i="1"/>
  <c r="O75" i="1" s="1"/>
  <c r="Q75" i="1" s="1"/>
  <c r="R75" i="1" s="1"/>
  <c r="S75" i="1" s="1"/>
  <c r="K75" i="1"/>
  <c r="J73" i="1" l="1"/>
  <c r="P74" i="1"/>
  <c r="L74" i="1"/>
  <c r="O74" i="1" s="1"/>
  <c r="Q74" i="1" s="1"/>
  <c r="R74" i="1" s="1"/>
  <c r="S74" i="1" s="1"/>
  <c r="K74" i="1"/>
  <c r="C72" i="1"/>
  <c r="E73" i="1"/>
  <c r="P73" i="1" l="1"/>
  <c r="L73" i="1"/>
  <c r="K73" i="1"/>
  <c r="E72" i="1"/>
  <c r="C71" i="1"/>
  <c r="J72" i="1"/>
  <c r="O73" i="1"/>
  <c r="C70" i="1" l="1"/>
  <c r="E71" i="1"/>
  <c r="P72" i="1"/>
  <c r="L72" i="1"/>
  <c r="O72" i="1" s="1"/>
  <c r="Q72" i="1" s="1"/>
  <c r="R72" i="1" s="1"/>
  <c r="S72" i="1" s="1"/>
  <c r="K72" i="1"/>
  <c r="Q73" i="1"/>
  <c r="R73" i="1" s="1"/>
  <c r="S73" i="1" s="1"/>
  <c r="J71" i="1"/>
  <c r="P71" i="1" l="1"/>
  <c r="L71" i="1"/>
  <c r="O71" i="1" s="1"/>
  <c r="Q71" i="1" s="1"/>
  <c r="R71" i="1" s="1"/>
  <c r="S71" i="1" s="1"/>
  <c r="K71" i="1"/>
  <c r="J70" i="1"/>
  <c r="E70" i="1"/>
  <c r="C69" i="1"/>
  <c r="J69" i="1" l="1"/>
  <c r="L70" i="1"/>
  <c r="O70" i="1" s="1"/>
  <c r="Q70" i="1" s="1"/>
  <c r="R70" i="1" s="1"/>
  <c r="S70" i="1" s="1"/>
  <c r="P70" i="1"/>
  <c r="K70" i="1"/>
  <c r="C68" i="1"/>
  <c r="E69" i="1"/>
  <c r="P69" i="1" l="1"/>
  <c r="L69" i="1"/>
  <c r="K69" i="1"/>
  <c r="E68" i="1"/>
  <c r="C67" i="1"/>
  <c r="J68" i="1"/>
  <c r="O69" i="1"/>
  <c r="Q69" i="1" s="1"/>
  <c r="R69" i="1" s="1"/>
  <c r="S69" i="1" s="1"/>
  <c r="L68" i="1" l="1"/>
  <c r="P68" i="1"/>
  <c r="K68" i="1"/>
  <c r="J67" i="1"/>
  <c r="O68" i="1"/>
  <c r="C66" i="1"/>
  <c r="E67" i="1"/>
  <c r="E66" i="1" l="1"/>
  <c r="C65" i="1"/>
  <c r="J66" i="1"/>
  <c r="O67" i="1"/>
  <c r="Q67" i="1" s="1"/>
  <c r="R67" i="1" s="1"/>
  <c r="S67" i="1" s="1"/>
  <c r="P67" i="1"/>
  <c r="L67" i="1"/>
  <c r="K67" i="1"/>
  <c r="Q68" i="1"/>
  <c r="R68" i="1" s="1"/>
  <c r="S68" i="1" s="1"/>
  <c r="C64" i="1" l="1"/>
  <c r="E65" i="1"/>
  <c r="J65" i="1"/>
  <c r="L66" i="1"/>
  <c r="O66" i="1" s="1"/>
  <c r="Q66" i="1" s="1"/>
  <c r="R66" i="1" s="1"/>
  <c r="S66" i="1" s="1"/>
  <c r="P66" i="1"/>
  <c r="K66" i="1"/>
  <c r="J64" i="1" l="1"/>
  <c r="P65" i="1"/>
  <c r="L65" i="1"/>
  <c r="O65" i="1" s="1"/>
  <c r="Q65" i="1" s="1"/>
  <c r="R65" i="1" s="1"/>
  <c r="S65" i="1" s="1"/>
  <c r="K65" i="1"/>
  <c r="E64" i="1"/>
  <c r="C63" i="1"/>
  <c r="L64" i="1" l="1"/>
  <c r="O64" i="1" s="1"/>
  <c r="Q64" i="1" s="1"/>
  <c r="R64" i="1" s="1"/>
  <c r="S64" i="1" s="1"/>
  <c r="P64" i="1"/>
  <c r="K64" i="1"/>
  <c r="C62" i="1"/>
  <c r="E63" i="1"/>
  <c r="J63" i="1"/>
  <c r="P63" i="1" l="1"/>
  <c r="L63" i="1"/>
  <c r="K63" i="1"/>
  <c r="E62" i="1"/>
  <c r="C61" i="1"/>
  <c r="J62" i="1"/>
  <c r="O63" i="1"/>
  <c r="Q63" i="1" s="1"/>
  <c r="R63" i="1" s="1"/>
  <c r="S63" i="1" s="1"/>
  <c r="L62" i="1" l="1"/>
  <c r="P62" i="1"/>
  <c r="K62" i="1"/>
  <c r="J61" i="1"/>
  <c r="O62" i="1"/>
  <c r="E61" i="1"/>
  <c r="C60" i="1"/>
  <c r="J60" i="1" l="1"/>
  <c r="P61" i="1"/>
  <c r="L61" i="1"/>
  <c r="O61" i="1" s="1"/>
  <c r="Q61" i="1" s="1"/>
  <c r="R61" i="1" s="1"/>
  <c r="S61" i="1" s="1"/>
  <c r="K61" i="1"/>
  <c r="Q62" i="1"/>
  <c r="R62" i="1" s="1"/>
  <c r="S62" i="1" s="1"/>
  <c r="E60" i="1"/>
  <c r="C59" i="1"/>
  <c r="E59" i="1" l="1"/>
  <c r="C58" i="1"/>
  <c r="K60" i="1"/>
  <c r="P60" i="1"/>
  <c r="L60" i="1"/>
  <c r="O60" i="1"/>
  <c r="Q60" i="1" s="1"/>
  <c r="R60" i="1" s="1"/>
  <c r="S60" i="1" s="1"/>
  <c r="J59" i="1"/>
  <c r="C57" i="1" l="1"/>
  <c r="E58" i="1"/>
  <c r="K59" i="1"/>
  <c r="P59" i="1"/>
  <c r="L59" i="1"/>
  <c r="O59" i="1" s="1"/>
  <c r="Q59" i="1" s="1"/>
  <c r="R59" i="1" s="1"/>
  <c r="S59" i="1" s="1"/>
  <c r="J58" i="1"/>
  <c r="E57" i="1" l="1"/>
  <c r="C56" i="1"/>
  <c r="J57" i="1"/>
  <c r="O58" i="1"/>
  <c r="Q58" i="1" s="1"/>
  <c r="R58" i="1" s="1"/>
  <c r="S58" i="1" s="1"/>
  <c r="P58" i="1"/>
  <c r="L58" i="1"/>
  <c r="K58" i="1"/>
  <c r="J56" i="1" l="1"/>
  <c r="K57" i="1"/>
  <c r="L57" i="1"/>
  <c r="O57" i="1" s="1"/>
  <c r="Q57" i="1" s="1"/>
  <c r="R57" i="1" s="1"/>
  <c r="S57" i="1" s="1"/>
  <c r="P57" i="1"/>
  <c r="E56" i="1"/>
  <c r="C55" i="1"/>
  <c r="E55" i="1" l="1"/>
  <c r="C54" i="1"/>
  <c r="K56" i="1"/>
  <c r="P56" i="1"/>
  <c r="L56" i="1"/>
  <c r="O56" i="1" s="1"/>
  <c r="Q56" i="1" s="1"/>
  <c r="R56" i="1" s="1"/>
  <c r="S56" i="1" s="1"/>
  <c r="J55" i="1"/>
  <c r="K55" i="1" l="1"/>
  <c r="P55" i="1"/>
  <c r="L55" i="1"/>
  <c r="O55" i="1"/>
  <c r="Q55" i="1" s="1"/>
  <c r="R55" i="1" s="1"/>
  <c r="S55" i="1" s="1"/>
  <c r="J54" i="1"/>
  <c r="C53" i="1"/>
  <c r="E54" i="1"/>
  <c r="J53" i="1" l="1"/>
  <c r="P54" i="1"/>
  <c r="L54" i="1"/>
  <c r="O54" i="1" s="1"/>
  <c r="Q54" i="1" s="1"/>
  <c r="R54" i="1" s="1"/>
  <c r="S54" i="1" s="1"/>
  <c r="K54" i="1"/>
  <c r="E53" i="1"/>
  <c r="C52" i="1"/>
  <c r="J52" i="1" l="1"/>
  <c r="C51" i="1"/>
  <c r="E52" i="1"/>
  <c r="K53" i="1"/>
  <c r="L53" i="1"/>
  <c r="O53" i="1" s="1"/>
  <c r="Q53" i="1" s="1"/>
  <c r="R53" i="1" s="1"/>
  <c r="S53" i="1" s="1"/>
  <c r="P53" i="1"/>
  <c r="K52" i="1" l="1"/>
  <c r="P52" i="1"/>
  <c r="L52" i="1"/>
  <c r="O52" i="1" s="1"/>
  <c r="Q52" i="1" s="1"/>
  <c r="R52" i="1" s="1"/>
  <c r="S52" i="1" s="1"/>
  <c r="E51" i="1"/>
  <c r="C50" i="1"/>
  <c r="J51" i="1"/>
  <c r="K51" i="1" l="1"/>
  <c r="L51" i="1"/>
  <c r="P51" i="1"/>
  <c r="O51" i="1"/>
  <c r="Q51" i="1" s="1"/>
  <c r="R51" i="1" s="1"/>
  <c r="S51" i="1" s="1"/>
  <c r="J50" i="1"/>
  <c r="C49" i="1"/>
  <c r="E50" i="1"/>
  <c r="P50" i="1" l="1"/>
  <c r="L50" i="1"/>
  <c r="K50" i="1"/>
  <c r="E49" i="1"/>
  <c r="C48" i="1"/>
  <c r="J49" i="1"/>
  <c r="O50" i="1"/>
  <c r="Q50" i="1" s="1"/>
  <c r="R50" i="1" s="1"/>
  <c r="S50" i="1" s="1"/>
  <c r="K49" i="1" l="1"/>
  <c r="L49" i="1"/>
  <c r="P49" i="1"/>
  <c r="O49" i="1"/>
  <c r="Q49" i="1" s="1"/>
  <c r="R49" i="1" s="1"/>
  <c r="S49" i="1" s="1"/>
  <c r="J48" i="1"/>
  <c r="E48" i="1"/>
  <c r="C47" i="1"/>
  <c r="E47" i="1" l="1"/>
  <c r="C46" i="1"/>
  <c r="K48" i="1"/>
  <c r="P48" i="1"/>
  <c r="L48" i="1"/>
  <c r="O48" i="1"/>
  <c r="J47" i="1"/>
  <c r="J46" i="1" l="1"/>
  <c r="Q48" i="1"/>
  <c r="R48" i="1" s="1"/>
  <c r="S48" i="1" s="1"/>
  <c r="C45" i="1"/>
  <c r="E46" i="1"/>
  <c r="K47" i="1"/>
  <c r="L47" i="1"/>
  <c r="O47" i="1" s="1"/>
  <c r="Q47" i="1" s="1"/>
  <c r="R47" i="1" s="1"/>
  <c r="S47" i="1" s="1"/>
  <c r="P47" i="1"/>
  <c r="E45" i="1" l="1"/>
  <c r="C44" i="1"/>
  <c r="J45" i="1"/>
  <c r="O46" i="1"/>
  <c r="Q46" i="1" s="1"/>
  <c r="R46" i="1" s="1"/>
  <c r="S46" i="1" s="1"/>
  <c r="P46" i="1"/>
  <c r="L46" i="1"/>
  <c r="K46" i="1"/>
  <c r="J44" i="1" l="1"/>
  <c r="E44" i="1"/>
  <c r="C43" i="1"/>
  <c r="K45" i="1"/>
  <c r="L45" i="1"/>
  <c r="O45" i="1" s="1"/>
  <c r="Q45" i="1" s="1"/>
  <c r="R45" i="1" s="1"/>
  <c r="S45" i="1" s="1"/>
  <c r="P45" i="1"/>
  <c r="E43" i="1" l="1"/>
  <c r="C42" i="1"/>
  <c r="K44" i="1"/>
  <c r="L44" i="1"/>
  <c r="O44" i="1" s="1"/>
  <c r="Q44" i="1" s="1"/>
  <c r="R44" i="1" s="1"/>
  <c r="S44" i="1" s="1"/>
  <c r="P44" i="1"/>
  <c r="J43" i="1"/>
  <c r="J42" i="1" l="1"/>
  <c r="C41" i="1"/>
  <c r="E42" i="1"/>
  <c r="K43" i="1"/>
  <c r="P43" i="1"/>
  <c r="L43" i="1"/>
  <c r="O43" i="1" s="1"/>
  <c r="Q43" i="1" s="1"/>
  <c r="R43" i="1" s="1"/>
  <c r="S43" i="1" s="1"/>
  <c r="P42" i="1" l="1"/>
  <c r="L42" i="1"/>
  <c r="K42" i="1"/>
  <c r="E41" i="1"/>
  <c r="C40" i="1"/>
  <c r="J41" i="1"/>
  <c r="O42" i="1"/>
  <c r="Q42" i="1" s="1"/>
  <c r="R42" i="1" s="1"/>
  <c r="S42" i="1" s="1"/>
  <c r="K41" i="1" l="1"/>
  <c r="L41" i="1"/>
  <c r="O41" i="1" s="1"/>
  <c r="Q41" i="1" s="1"/>
  <c r="R41" i="1" s="1"/>
  <c r="S41" i="1" s="1"/>
  <c r="P41" i="1"/>
  <c r="J40" i="1"/>
  <c r="E40" i="1"/>
  <c r="C39" i="1"/>
  <c r="E39" i="1" l="1"/>
  <c r="C38" i="1"/>
  <c r="K40" i="1"/>
  <c r="P40" i="1"/>
  <c r="L40" i="1"/>
  <c r="O40" i="1"/>
  <c r="J39" i="1"/>
  <c r="J38" i="1" l="1"/>
  <c r="C37" i="1"/>
  <c r="E38" i="1"/>
  <c r="Q40" i="1"/>
  <c r="R40" i="1" s="1"/>
  <c r="S40" i="1" s="1"/>
  <c r="K39" i="1"/>
  <c r="L39" i="1"/>
  <c r="O39" i="1" s="1"/>
  <c r="Q39" i="1" s="1"/>
  <c r="R39" i="1" s="1"/>
  <c r="S39" i="1" s="1"/>
  <c r="P39" i="1"/>
  <c r="P38" i="1" l="1"/>
  <c r="L38" i="1"/>
  <c r="K38" i="1"/>
  <c r="E37" i="1"/>
  <c r="C36" i="1"/>
  <c r="J37" i="1"/>
  <c r="O38" i="1"/>
  <c r="Q38" i="1" s="1"/>
  <c r="R38" i="1" s="1"/>
  <c r="S38" i="1" s="1"/>
  <c r="K37" i="1" l="1"/>
  <c r="L37" i="1"/>
  <c r="P37" i="1"/>
  <c r="O37" i="1"/>
  <c r="Q37" i="1" s="1"/>
  <c r="R37" i="1" s="1"/>
  <c r="S37" i="1" s="1"/>
  <c r="J36" i="1"/>
  <c r="C35" i="1"/>
  <c r="E36" i="1"/>
  <c r="K36" i="1" l="1"/>
  <c r="L36" i="1"/>
  <c r="O36" i="1" s="1"/>
  <c r="Q36" i="1" s="1"/>
  <c r="R36" i="1" s="1"/>
  <c r="S36" i="1" s="1"/>
  <c r="P36" i="1"/>
  <c r="E35" i="1"/>
  <c r="C34" i="1"/>
  <c r="J35" i="1"/>
  <c r="K35" i="1" l="1"/>
  <c r="P35" i="1"/>
  <c r="L35" i="1"/>
  <c r="O35" i="1" s="1"/>
  <c r="Q35" i="1" s="1"/>
  <c r="R35" i="1" s="1"/>
  <c r="S35" i="1" s="1"/>
  <c r="J34" i="1"/>
  <c r="E34" i="1"/>
  <c r="C33" i="1"/>
  <c r="E33" i="1" l="1"/>
  <c r="C32" i="1"/>
  <c r="P34" i="1"/>
  <c r="L34" i="1"/>
  <c r="O34" i="1" s="1"/>
  <c r="Q34" i="1" s="1"/>
  <c r="R34" i="1" s="1"/>
  <c r="S34" i="1" s="1"/>
  <c r="K34" i="1"/>
  <c r="J33" i="1"/>
  <c r="C31" i="1" l="1"/>
  <c r="E32" i="1"/>
  <c r="O33" i="1"/>
  <c r="Q33" i="1" s="1"/>
  <c r="R33" i="1" s="1"/>
  <c r="S33" i="1" s="1"/>
  <c r="J32" i="1"/>
  <c r="K33" i="1"/>
  <c r="L33" i="1"/>
  <c r="P33" i="1"/>
  <c r="P32" i="1" l="1"/>
  <c r="L32" i="1"/>
  <c r="O32" i="1" s="1"/>
  <c r="Q32" i="1" s="1"/>
  <c r="R32" i="1" s="1"/>
  <c r="S32" i="1" s="1"/>
  <c r="K32" i="1"/>
  <c r="J31" i="1"/>
  <c r="E31" i="1"/>
  <c r="C30" i="1"/>
  <c r="C29" i="1" l="1"/>
  <c r="E30" i="1"/>
  <c r="J30" i="1"/>
  <c r="K31" i="1"/>
  <c r="P31" i="1"/>
  <c r="L31" i="1"/>
  <c r="O31" i="1" s="1"/>
  <c r="Q31" i="1" s="1"/>
  <c r="R31" i="1" s="1"/>
  <c r="S31" i="1" s="1"/>
  <c r="J29" i="1" l="1"/>
  <c r="P30" i="1"/>
  <c r="L30" i="1"/>
  <c r="O30" i="1" s="1"/>
  <c r="Q30" i="1" s="1"/>
  <c r="R30" i="1" s="1"/>
  <c r="S30" i="1" s="1"/>
  <c r="K30" i="1"/>
  <c r="E29" i="1"/>
  <c r="C28" i="1"/>
  <c r="C27" i="1" l="1"/>
  <c r="E28" i="1"/>
  <c r="K29" i="1"/>
  <c r="L29" i="1"/>
  <c r="O29" i="1" s="1"/>
  <c r="Q29" i="1" s="1"/>
  <c r="R29" i="1" s="1"/>
  <c r="S29" i="1" s="1"/>
  <c r="P29" i="1"/>
  <c r="J28" i="1"/>
  <c r="J27" i="1" l="1"/>
  <c r="P28" i="1"/>
  <c r="L28" i="1"/>
  <c r="O28" i="1" s="1"/>
  <c r="Q28" i="1" s="1"/>
  <c r="R28" i="1" s="1"/>
  <c r="S28" i="1" s="1"/>
  <c r="K28" i="1"/>
  <c r="E27" i="1"/>
  <c r="C26" i="1"/>
  <c r="C25" i="1" l="1"/>
  <c r="E26" i="1"/>
  <c r="K27" i="1"/>
  <c r="P27" i="1"/>
  <c r="L27" i="1"/>
  <c r="O27" i="1"/>
  <c r="J26" i="1"/>
  <c r="J25" i="1" l="1"/>
  <c r="P26" i="1"/>
  <c r="L26" i="1"/>
  <c r="O26" i="1" s="1"/>
  <c r="Q26" i="1" s="1"/>
  <c r="R26" i="1" s="1"/>
  <c r="S26" i="1" s="1"/>
  <c r="K26" i="1"/>
  <c r="Q27" i="1"/>
  <c r="R27" i="1" s="1"/>
  <c r="S27" i="1" s="1"/>
  <c r="E25" i="1"/>
  <c r="C24" i="1"/>
  <c r="C23" i="1" l="1"/>
  <c r="E24" i="1"/>
  <c r="K25" i="1"/>
  <c r="P25" i="1"/>
  <c r="L25" i="1"/>
  <c r="O25" i="1"/>
  <c r="J24" i="1"/>
  <c r="J23" i="1" l="1"/>
  <c r="P24" i="1"/>
  <c r="L24" i="1"/>
  <c r="O24" i="1" s="1"/>
  <c r="Q24" i="1" s="1"/>
  <c r="R24" i="1" s="1"/>
  <c r="S24" i="1" s="1"/>
  <c r="K24" i="1"/>
  <c r="Q25" i="1"/>
  <c r="R25" i="1" s="1"/>
  <c r="S25" i="1" s="1"/>
  <c r="E23" i="1"/>
  <c r="C22" i="1"/>
  <c r="E22" i="1" l="1"/>
  <c r="C21" i="1"/>
  <c r="K23" i="1"/>
  <c r="P23" i="1"/>
  <c r="L23" i="1"/>
  <c r="O23" i="1"/>
  <c r="J22" i="1"/>
  <c r="J21" i="1" l="1"/>
  <c r="C20" i="1"/>
  <c r="E21" i="1"/>
  <c r="Q23" i="1"/>
  <c r="R23" i="1" s="1"/>
  <c r="S23" i="1" s="1"/>
  <c r="K22" i="1"/>
  <c r="P22" i="1"/>
  <c r="L22" i="1"/>
  <c r="O22" i="1" s="1"/>
  <c r="Q22" i="1" s="1"/>
  <c r="R22" i="1" s="1"/>
  <c r="S22" i="1" s="1"/>
  <c r="P21" i="1" l="1"/>
  <c r="L21" i="1"/>
  <c r="O21" i="1" s="1"/>
  <c r="Q21" i="1" s="1"/>
  <c r="R21" i="1" s="1"/>
  <c r="S21" i="1" s="1"/>
  <c r="K21" i="1"/>
  <c r="E20" i="1"/>
  <c r="C19" i="1"/>
  <c r="J20" i="1"/>
  <c r="P20" i="1" l="1"/>
  <c r="L20" i="1"/>
  <c r="K20" i="1"/>
  <c r="O20" i="1"/>
  <c r="Q20" i="1" s="1"/>
  <c r="R20" i="1" s="1"/>
  <c r="S20" i="1" s="1"/>
  <c r="J19" i="1"/>
  <c r="C18" i="1"/>
  <c r="E19" i="1"/>
  <c r="P19" i="1" l="1"/>
  <c r="L19" i="1"/>
  <c r="K19" i="1"/>
  <c r="E18" i="1"/>
  <c r="C17" i="1"/>
  <c r="J18" i="1"/>
  <c r="O19" i="1"/>
  <c r="Q19" i="1" s="1"/>
  <c r="R19" i="1" s="1"/>
  <c r="S19" i="1" s="1"/>
  <c r="K18" i="1" l="1"/>
  <c r="P18" i="1"/>
  <c r="L18" i="1"/>
  <c r="O18" i="1" s="1"/>
  <c r="Q18" i="1" s="1"/>
  <c r="R18" i="1" s="1"/>
  <c r="S18" i="1" s="1"/>
  <c r="J17" i="1"/>
  <c r="C16" i="1"/>
  <c r="E17" i="1"/>
  <c r="P17" i="1" l="1"/>
  <c r="L17" i="1"/>
  <c r="K17" i="1"/>
  <c r="E16" i="1"/>
  <c r="C15" i="1"/>
  <c r="J16" i="1"/>
  <c r="O17" i="1"/>
  <c r="Q17" i="1" s="1"/>
  <c r="R17" i="1" s="1"/>
  <c r="S17" i="1" s="1"/>
  <c r="K16" i="1" l="1"/>
  <c r="P16" i="1"/>
  <c r="L16" i="1"/>
  <c r="O16" i="1"/>
  <c r="Q16" i="1" s="1"/>
  <c r="R16" i="1" s="1"/>
  <c r="S16" i="1" s="1"/>
  <c r="J15" i="1"/>
  <c r="C14" i="1"/>
  <c r="E15" i="1"/>
  <c r="P15" i="1" l="1"/>
  <c r="L15" i="1"/>
  <c r="K15" i="1"/>
  <c r="E14" i="1"/>
  <c r="C13" i="1"/>
  <c r="J14" i="1"/>
  <c r="O15" i="1"/>
  <c r="Q15" i="1" s="1"/>
  <c r="R15" i="1" s="1"/>
  <c r="S15" i="1" s="1"/>
  <c r="K14" i="1" l="1"/>
  <c r="P14" i="1"/>
  <c r="L14" i="1"/>
  <c r="O14" i="1" s="1"/>
  <c r="Q14" i="1" s="1"/>
  <c r="R14" i="1" s="1"/>
  <c r="S14" i="1" s="1"/>
  <c r="J13" i="1"/>
  <c r="C12" i="1"/>
  <c r="E13" i="1"/>
  <c r="P13" i="1" l="1"/>
  <c r="L13" i="1"/>
  <c r="O13" i="1" s="1"/>
  <c r="Q13" i="1" s="1"/>
  <c r="R13" i="1" s="1"/>
  <c r="S13" i="1" s="1"/>
  <c r="K13" i="1"/>
  <c r="E12" i="1"/>
  <c r="C11" i="1"/>
  <c r="J12" i="1"/>
  <c r="K12" i="1" l="1"/>
  <c r="L12" i="1"/>
  <c r="P12" i="1"/>
  <c r="O12" i="1"/>
  <c r="Q12" i="1" s="1"/>
  <c r="R12" i="1" s="1"/>
  <c r="S12" i="1" s="1"/>
  <c r="J11" i="1"/>
  <c r="E11" i="1"/>
  <c r="C10" i="1"/>
  <c r="C9" i="1" l="1"/>
  <c r="E10" i="1"/>
  <c r="K11" i="1"/>
  <c r="P11" i="1"/>
  <c r="L11" i="1"/>
  <c r="J10" i="1"/>
  <c r="O11" i="1"/>
  <c r="Q11" i="1" l="1"/>
  <c r="R11" i="1" s="1"/>
  <c r="S11" i="1" s="1"/>
  <c r="P10" i="1"/>
  <c r="L10" i="1"/>
  <c r="O10" i="1" s="1"/>
  <c r="Q10" i="1" s="1"/>
  <c r="R10" i="1" s="1"/>
  <c r="S10" i="1" s="1"/>
  <c r="K10" i="1"/>
  <c r="J9" i="1"/>
  <c r="C8" i="1"/>
  <c r="E9" i="1"/>
  <c r="K9" i="1" l="1"/>
  <c r="P9" i="1"/>
  <c r="L9" i="1"/>
  <c r="O9" i="1" s="1"/>
  <c r="Q9" i="1" s="1"/>
  <c r="R9" i="1" s="1"/>
  <c r="S9" i="1" s="1"/>
  <c r="C7" i="1"/>
  <c r="E8" i="1"/>
  <c r="J8" i="1"/>
  <c r="C6" i="1" l="1"/>
  <c r="E7" i="1"/>
  <c r="J7" i="1"/>
  <c r="O8" i="1"/>
  <c r="Q8" i="1" s="1"/>
  <c r="R8" i="1" s="1"/>
  <c r="S8" i="1" s="1"/>
  <c r="P8" i="1"/>
  <c r="L8" i="1"/>
  <c r="K8" i="1"/>
  <c r="J6" i="1" l="1"/>
  <c r="O7" i="1"/>
  <c r="K7" i="1"/>
  <c r="P7" i="1"/>
  <c r="L7" i="1"/>
  <c r="C5" i="1"/>
  <c r="E6" i="1"/>
  <c r="Q7" i="1" l="1"/>
  <c r="R7" i="1" s="1"/>
  <c r="S7" i="1" s="1"/>
  <c r="P6" i="1"/>
  <c r="L6" i="1"/>
  <c r="K6" i="1"/>
  <c r="E5" i="1"/>
  <c r="C4" i="1"/>
  <c r="J5" i="1"/>
  <c r="O6" i="1"/>
  <c r="Q6" i="1" s="1"/>
  <c r="R6" i="1" s="1"/>
  <c r="S6" i="1" s="1"/>
  <c r="J4" i="1" l="1"/>
  <c r="C3" i="1"/>
  <c r="E4" i="1"/>
  <c r="P5" i="1"/>
  <c r="L5" i="1"/>
  <c r="O5" i="1" s="1"/>
  <c r="Q5" i="1" s="1"/>
  <c r="R5" i="1" s="1"/>
  <c r="S5" i="1" s="1"/>
  <c r="K5" i="1"/>
  <c r="E3" i="1" l="1"/>
  <c r="C2" i="1"/>
  <c r="E2" i="1" s="1"/>
  <c r="J3" i="1"/>
  <c r="O4" i="1"/>
  <c r="Q4" i="1" s="1"/>
  <c r="R4" i="1" s="1"/>
  <c r="S4" i="1" s="1"/>
  <c r="P4" i="1"/>
  <c r="L4" i="1"/>
  <c r="K4" i="1"/>
  <c r="P2" i="1" l="1"/>
  <c r="L2" i="1"/>
  <c r="K2" i="1"/>
  <c r="J2" i="1"/>
  <c r="K3" i="1"/>
  <c r="P3" i="1"/>
  <c r="L3" i="1"/>
  <c r="O3" i="1" s="1"/>
  <c r="Q3" i="1" s="1"/>
  <c r="R3" i="1" s="1"/>
  <c r="S3" i="1" s="1"/>
  <c r="O2" i="1" l="1"/>
  <c r="Q2" i="1" s="1"/>
  <c r="R2" i="1" s="1"/>
  <c r="S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Microsoft Office Stani:
We use Nationwide but in the future this will be replaced with the 3 digit postcode indices by LA from Land Registry.</t>
        </r>
      </text>
    </comment>
  </commentList>
</comments>
</file>

<file path=xl/sharedStrings.xml><?xml version="1.0" encoding="utf-8"?>
<sst xmlns="http://schemas.openxmlformats.org/spreadsheetml/2006/main" count="677" uniqueCount="367">
  <si>
    <t>Quarter</t>
  </si>
  <si>
    <t>LONDON HOUSE PRICES (£)</t>
  </si>
  <si>
    <t>House price index</t>
  </si>
  <si>
    <t>BoE interest rates</t>
  </si>
  <si>
    <t>Simulated house prices</t>
  </si>
  <si>
    <t>Date</t>
  </si>
  <si>
    <t>Simulated date</t>
  </si>
  <si>
    <t>Inflation</t>
  </si>
  <si>
    <t>Adjusted inflation index</t>
  </si>
  <si>
    <t>Simulated income (quarterly)</t>
  </si>
  <si>
    <t>Simulated rent (monthly)</t>
  </si>
  <si>
    <t>Simulated rent (quarterly)</t>
  </si>
  <si>
    <t>Simulated variable mortgage rates</t>
  </si>
  <si>
    <t>Simulated mortgage payments in each month</t>
  </si>
  <si>
    <t>Simulated savings while renting</t>
  </si>
  <si>
    <t>Required deposit HO</t>
  </si>
  <si>
    <t>Affordability HO dummy</t>
  </si>
  <si>
    <t>Sum dummy HO</t>
  </si>
  <si>
    <t>HO dummy</t>
  </si>
  <si>
    <t>Wealth for HO</t>
  </si>
  <si>
    <t>Required deposit SO</t>
  </si>
  <si>
    <t>Affordability SO dummy</t>
  </si>
  <si>
    <t>Sum dummy SO</t>
  </si>
  <si>
    <t>SO dummy</t>
  </si>
  <si>
    <t>Wealth for SO</t>
  </si>
  <si>
    <t>Input variables</t>
  </si>
  <si>
    <t>Q1 2023</t>
  </si>
  <si>
    <t>Q4 2022</t>
  </si>
  <si>
    <t xml:space="preserve">Property </t>
  </si>
  <si>
    <t>Q3 2022</t>
  </si>
  <si>
    <t>Property Size (choose)</t>
  </si>
  <si>
    <t>1 Bed</t>
  </si>
  <si>
    <t>2 Bed</t>
  </si>
  <si>
    <t>3 Bed or more</t>
  </si>
  <si>
    <t>Q2 2022</t>
  </si>
  <si>
    <t>3 digit postcode (choose) same as Local Authority</t>
  </si>
  <si>
    <t>RG4</t>
  </si>
  <si>
    <t>Q1 2022</t>
  </si>
  <si>
    <t>house vs flat (choose)</t>
  </si>
  <si>
    <t>house</t>
  </si>
  <si>
    <t>flat</t>
  </si>
  <si>
    <t>Q4 2021</t>
  </si>
  <si>
    <t>Household</t>
  </si>
  <si>
    <t>Q3 2021</t>
  </si>
  <si>
    <t>Profession (choose - look up the classification in the English Household Survey)</t>
  </si>
  <si>
    <t>Teacher</t>
  </si>
  <si>
    <t>Q2 2021</t>
  </si>
  <si>
    <t>Household size (choose)</t>
  </si>
  <si>
    <t>3+</t>
  </si>
  <si>
    <t>Q1 2021</t>
  </si>
  <si>
    <t>Quarterly</t>
  </si>
  <si>
    <t>Q4 2020</t>
  </si>
  <si>
    <t>Monthly household disposable (after tax) income (write in)</t>
  </si>
  <si>
    <t>Q3 2020</t>
  </si>
  <si>
    <t>Age of lead household member (write in)</t>
  </si>
  <si>
    <t>Q2 2020</t>
  </si>
  <si>
    <t>Current savings (write in)</t>
  </si>
  <si>
    <t>Q1 2020</t>
  </si>
  <si>
    <t>Assumptions for simulation</t>
  </si>
  <si>
    <t>Q4 2019</t>
  </si>
  <si>
    <t>Percentage of income spent on consumption</t>
  </si>
  <si>
    <t>Q3 2019</t>
  </si>
  <si>
    <t>Q2 2019</t>
  </si>
  <si>
    <t>Mortgage assumptions</t>
  </si>
  <si>
    <t>Q1 2019</t>
  </si>
  <si>
    <t>Mortgage rate</t>
  </si>
  <si>
    <t>relax this by making it variable over time</t>
  </si>
  <si>
    <t>Q4 2018</t>
  </si>
  <si>
    <t>Mortgage term (years)</t>
  </si>
  <si>
    <t>Q3 2018</t>
  </si>
  <si>
    <t>LTV</t>
  </si>
  <si>
    <t>Q2 2018</t>
  </si>
  <si>
    <t>Q1 2018</t>
  </si>
  <si>
    <t>Mortgage payment (monthly)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</si>
  <si>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</si>
  <si>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</si>
  <si>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</si>
  <si>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</si>
  <si>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</si>
  <si>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</si>
  <si>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</si>
  <si>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</si>
  <si>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</si>
  <si>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</si>
  <si>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</si>
  <si>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</si>
  <si>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</si>
  <si>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</si>
  <si>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</si>
  <si>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</si>
  <si>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</si>
  <si>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</si>
  <si>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</si>
  <si>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</si>
  <si>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</si>
  <si>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</si>
  <si>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</si>
  <si>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</si>
  <si>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</si>
  <si>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</si>
  <si>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</si>
  <si>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</si>
  <si>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</si>
  <si>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</si>
  <si>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</si>
  <si>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</si>
  <si>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</si>
  <si>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</si>
  <si>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</si>
  <si>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</si>
  <si>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</si>
  <si>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</si>
  <si>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</si>
  <si>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</si>
  <si>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</si>
  <si>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</si>
  <si>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</si>
  <si>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</si>
  <si>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</si>
  <si>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</si>
  <si>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</si>
  <si>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</si>
  <si>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</si>
  <si>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</si>
  <si>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</si>
  <si>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</si>
  <si>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</si>
  <si>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</si>
  <si>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</si>
  <si>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</si>
  <si>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</si>
  <si>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</si>
  <si>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</si>
  <si>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</si>
  <si>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</si>
  <si>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</si>
  <si>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</si>
  <si>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</si>
  <si>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</si>
  <si>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</si>
  <si>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</si>
  <si>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</si>
  <si>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</si>
  <si>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</si>
  <si>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</si>
  <si>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</si>
  <si>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</si>
  <si>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</si>
  <si>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</si>
  <si>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</si>
  <si>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</si>
  <si>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</si>
  <si>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</si>
  <si>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</si>
  <si>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</si>
  <si>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</si>
  <si>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</si>
  <si>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</si>
  <si>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</si>
  <si>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</si>
  <si>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</si>
  <si>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</si>
  <si>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</si>
  <si>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</si>
  <si>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</si>
  <si>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</si>
  <si>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</si>
  <si>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</si>
  <si>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</si>
  <si>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</si>
  <si>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</si>
  <si>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</si>
  <si>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</si>
  <si>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</si>
  <si>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</si>
  <si>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</si>
  <si>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</si>
  <si>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</si>
  <si>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</si>
  <si>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</si>
  <si>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</si>
  <si>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</si>
  <si>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</si>
  <si>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</si>
  <si>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</si>
  <si>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</si>
  <si>
    <t>Q4 1989</t>
  </si>
  <si>
    <t>Q3 1989</t>
  </si>
  <si>
    <t>Q2 1989</t>
  </si>
  <si>
    <t>Q1 1989</t>
  </si>
  <si>
    <t>Q4 1988</t>
  </si>
  <si>
    <t>Q3 1988</t>
  </si>
  <si>
    <t>Q2 1988</t>
  </si>
  <si>
    <t>Q1 1988</t>
  </si>
  <si>
    <t>Q4 1987</t>
  </si>
  <si>
    <t>Q3 1987</t>
  </si>
  <si>
    <t>Q2 1987</t>
  </si>
  <si>
    <t>Q1 1987</t>
  </si>
  <si>
    <t>Q4 1986</t>
  </si>
  <si>
    <t>Q3 1986</t>
  </si>
  <si>
    <t>Q2 1986</t>
  </si>
  <si>
    <t>Q1 1986</t>
  </si>
  <si>
    <t>Q4 1985</t>
  </si>
  <si>
    <t>Q3 1985</t>
  </si>
  <si>
    <t>Q2 1985</t>
  </si>
  <si>
    <t>Q1 1985</t>
  </si>
  <si>
    <t>Q4 1984</t>
  </si>
  <si>
    <t>Q3 1984</t>
  </si>
  <si>
    <t>Q2 1984</t>
  </si>
  <si>
    <t>Q1 1984</t>
  </si>
  <si>
    <t>Q4 1983</t>
  </si>
  <si>
    <t>Q3 1983</t>
  </si>
  <si>
    <t>Q2 1983</t>
  </si>
  <si>
    <t>Q1 1983</t>
  </si>
  <si>
    <t>Q4 1982</t>
  </si>
  <si>
    <t>Q3 1982</t>
  </si>
  <si>
    <t>Q2 1982</t>
  </si>
  <si>
    <t>Q1 1982</t>
  </si>
  <si>
    <t>Q4 1981</t>
  </si>
  <si>
    <t>Q3 1981</t>
  </si>
  <si>
    <t>Q2 1981</t>
  </si>
  <si>
    <t>Q1 1981</t>
  </si>
  <si>
    <t>Q4 1980</t>
  </si>
  <si>
    <t>Q3 1980</t>
  </si>
  <si>
    <t>Q2 1980</t>
  </si>
  <si>
    <t>Q1 1980</t>
  </si>
  <si>
    <t>Q4 1979</t>
  </si>
  <si>
    <t>Q3 1979</t>
  </si>
  <si>
    <t>Q2 1979</t>
  </si>
  <si>
    <t>Q1 1979</t>
  </si>
  <si>
    <t>Q4 1978</t>
  </si>
  <si>
    <t>Q3 1978</t>
  </si>
  <si>
    <t>Q2 1978</t>
  </si>
  <si>
    <t>Q1 1978</t>
  </si>
  <si>
    <t>Q4 1977</t>
  </si>
  <si>
    <t>Q3 1977</t>
  </si>
  <si>
    <t>Q2 1977</t>
  </si>
  <si>
    <t>Q1 1977</t>
  </si>
  <si>
    <t>Q4 1976</t>
  </si>
  <si>
    <t>Q3 1976</t>
  </si>
  <si>
    <t>Q2 1976</t>
  </si>
  <si>
    <t>Q1 1976</t>
  </si>
  <si>
    <t>Q4 1975</t>
  </si>
  <si>
    <t>Q3 1975</t>
  </si>
  <si>
    <t>Q2 1975</t>
  </si>
  <si>
    <t>Q1 1975</t>
  </si>
  <si>
    <t>Q4 1974</t>
  </si>
  <si>
    <t>Q3 1974</t>
  </si>
  <si>
    <t>Q2 1974</t>
  </si>
  <si>
    <t>Q1 1974</t>
  </si>
  <si>
    <t>Q4 1973</t>
  </si>
  <si>
    <t>Average mortgage interest rates in the UK 2000-2023</t>
  </si>
  <si>
    <t>Average interest rates for mortgages in the United Kingdom (UK) from March 2000 to May 2023, by type of mortgage</t>
  </si>
  <si>
    <t>2 year fixed rate mortgages</t>
  </si>
  <si>
    <t>3 year fixed mortgage</t>
  </si>
  <si>
    <t>5 year fixed mortgage</t>
  </si>
  <si>
    <t>10 year fixed</t>
  </si>
  <si>
    <t>2 year variable</t>
  </si>
  <si>
    <t>BoE rates</t>
  </si>
  <si>
    <t xml:space="preserve">Difference bw 2y variable mortgage rate and BoE rate </t>
  </si>
  <si>
    <t>Mar '00</t>
  </si>
  <si>
    <t>in %</t>
  </si>
  <si>
    <t>Jun '00</t>
  </si>
  <si>
    <t>Sep '00</t>
  </si>
  <si>
    <t>Dec '00</t>
  </si>
  <si>
    <t>Mar '01</t>
  </si>
  <si>
    <t>Jun '01</t>
  </si>
  <si>
    <t>Sep '01</t>
  </si>
  <si>
    <t>Dec '01</t>
  </si>
  <si>
    <t>Mar '02</t>
  </si>
  <si>
    <t>Jun '02</t>
  </si>
  <si>
    <t>Sep '02</t>
  </si>
  <si>
    <t>Dec '02</t>
  </si>
  <si>
    <t>Mar '03</t>
  </si>
  <si>
    <t>Jun '03</t>
  </si>
  <si>
    <t>Sep '03</t>
  </si>
  <si>
    <t>Dec '03</t>
  </si>
  <si>
    <t>Mar '04</t>
  </si>
  <si>
    <t>Jun '04</t>
  </si>
  <si>
    <t>Sep '04</t>
  </si>
  <si>
    <t>Dec '04</t>
  </si>
  <si>
    <t>Mar '05</t>
  </si>
  <si>
    <t>Jun '05</t>
  </si>
  <si>
    <t>Sep '05</t>
  </si>
  <si>
    <t>Dec '05</t>
  </si>
  <si>
    <t>Mar '06</t>
  </si>
  <si>
    <t>Jun '06</t>
  </si>
  <si>
    <t>Sep '06</t>
  </si>
  <si>
    <t>Dec '06</t>
  </si>
  <si>
    <t>Mar '07</t>
  </si>
  <si>
    <t>Jun '07</t>
  </si>
  <si>
    <t>Sep '07</t>
  </si>
  <si>
    <t>Dec '07</t>
  </si>
  <si>
    <t>Mar '08</t>
  </si>
  <si>
    <t>Jun '08</t>
  </si>
  <si>
    <t>Sep '08</t>
  </si>
  <si>
    <t>Dec '08</t>
  </si>
  <si>
    <t>Mar '09</t>
  </si>
  <si>
    <t>Jun '09</t>
  </si>
  <si>
    <t>Sep '09</t>
  </si>
  <si>
    <t>Dec '09</t>
  </si>
  <si>
    <t/>
  </si>
  <si>
    <t>Mar '10</t>
  </si>
  <si>
    <t>Jun '10</t>
  </si>
  <si>
    <t>Sep '10</t>
  </si>
  <si>
    <t>Dec '10</t>
  </si>
  <si>
    <t>Mar '11</t>
  </si>
  <si>
    <t>Jun '11</t>
  </si>
  <si>
    <t>Sep '11</t>
  </si>
  <si>
    <t>Dec '11</t>
  </si>
  <si>
    <t>Mar '12</t>
  </si>
  <si>
    <t>Jun '12</t>
  </si>
  <si>
    <t>Sep '12</t>
  </si>
  <si>
    <t>Dec '12</t>
  </si>
  <si>
    <t>Mar '13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</si>
  <si>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</si>
  <si>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</si>
  <si>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</si>
  <si>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</si>
  <si>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</si>
  <si>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</si>
  <si>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</si>
  <si>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</si>
  <si>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</si>
  <si>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</si>
  <si>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</si>
  <si>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</si>
  <si>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</si>
  <si>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</si>
  <si>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</si>
  <si>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</si>
  <si>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</si>
  <si>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</si>
  <si>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</si>
  <si>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</si>
  <si>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</si>
  <si>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</si>
  <si>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</si>
  <si>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</si>
  <si>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</si>
  <si>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</si>
  <si>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</si>
  <si>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</si>
  <si>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</si>
  <si>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</si>
  <si>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</si>
  <si>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</si>
  <si>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</si>
  <si>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</si>
  <si>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</si>
  <si>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</si>
  <si>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</si>
  <si>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</si>
  <si>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</si>
  <si>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</si>
  <si>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May '23</t>
  </si>
  <si>
    <t>average</t>
  </si>
  <si>
    <t>Bank Rate history and data | Bank of England Database</t>
  </si>
  <si>
    <t>Date Changed</t>
  </si>
  <si>
    <t>Rate</t>
  </si>
  <si>
    <t>Days in effect</t>
  </si>
  <si>
    <t xml:space="preserve">Rate*Days </t>
  </si>
  <si>
    <t>Unique Quarter</t>
  </si>
  <si>
    <t>Total Weighted Interest</t>
  </si>
  <si>
    <t>Total Days</t>
  </si>
  <si>
    <t xml:space="preserve">Average Interest </t>
  </si>
  <si>
    <t>All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</si>
</sst>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0.000%"/>
    <numFmt numFmtId="165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sz val="10"/>
      <color rgb="FF000000"/>
      <name val="Calibri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2" borderId="1" xfId="0" applyFont="1" applyFill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2" fontId="4" fillId="0" borderId="0" xfId="0" applyNumberFormat="1" applyFont="1"/>
    <xf numFmtId="164" fontId="4" fillId="0" borderId="0" xfId="0" applyNumberFormat="1" applyFont="1"/>
    <xf numFmtId="14" fontId="4" fillId="0" borderId="0" xfId="0" applyNumberFormat="1" applyFont="1"/>
    <xf numFmtId="165" fontId="4" fillId="0" borderId="0" xfId="0" applyNumberFormat="1" applyFont="1"/>
    <xf numFmtId="10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3" fillId="0" borderId="3" xfId="0" applyFont="1" applyBorder="1" applyAlignment="1">
      <alignment horizontal="left"/>
    </xf>
    <xf numFmtId="0" fontId="4" fillId="3" borderId="1" xfId="0" applyFont="1" applyFill="1" applyBorder="1"/>
    <xf numFmtId="0" fontId="3" fillId="0" borderId="4" xfId="0" applyFont="1" applyBorder="1" applyAlignment="1">
      <alignment horizontal="left"/>
    </xf>
    <xf numFmtId="0" fontId="4" fillId="4" borderId="1" xfId="0" applyFont="1" applyFill="1" applyBorder="1"/>
    <xf numFmtId="0" fontId="4" fillId="5" borderId="1" xfId="0" applyFont="1" applyFill="1" applyBorder="1"/>
    <xf numFmtId="0" fontId="6" fillId="0" borderId="0" xfId="0" applyFont="1"/>
    <xf numFmtId="0" fontId="4" fillId="2" borderId="1" xfId="0" applyFont="1" applyFill="1" applyBorder="1"/>
    <xf numFmtId="9" fontId="4" fillId="2" borderId="1" xfId="0" applyNumberFormat="1" applyFont="1" applyFill="1" applyBorder="1"/>
    <xf numFmtId="8" fontId="4" fillId="0" borderId="0" xfId="0" applyNumberFormat="1" applyFont="1"/>
    <xf numFmtId="9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4" fontId="4" fillId="5" borderId="1" xfId="0" applyNumberFormat="1" applyFont="1" applyFill="1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0" xfId="0" applyNumberFormat="1" applyFont="1"/>
    <xf numFmtId="3" fontId="4" fillId="0" borderId="0" xfId="0" applyNumberFormat="1" applyFont="1" applyAlignment="1">
      <alignment horizontal="right" vertical="center"/>
    </xf>
    <xf numFmtId="15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E1000"/>
  <sheetViews>
    <sheetView tabSelected="1" topLeftCell="AA1" workbookViewId="0">
      <pane ySplit="1" topLeftCell="A2" activePane="bottomLeft" state="frozen"/>
      <selection pane="bottomLeft" activeCell="T1" sqref="T1:Y1"/>
    </sheetView>
  </sheetViews>
  <sheetFormatPr defaultColWidth="14.42578125" defaultRowHeight="15" customHeight="1" x14ac:dyDescent="0.25"/>
  <cols>
    <col min="1" max="1" width="11.42578125" customWidth="1"/>
    <col min="2" max="5" width="25" customWidth="1"/>
    <col min="6" max="8" width="15.28515625" customWidth="1"/>
    <col min="9" max="9" width="21.42578125" customWidth="1"/>
    <col min="10" max="10" width="27.42578125" customWidth="1"/>
    <col min="11" max="11" width="25.7109375" customWidth="1"/>
    <col min="12" max="14" width="24.42578125" customWidth="1"/>
    <col min="15" max="15" width="29.42578125" customWidth="1"/>
    <col min="16" max="25" width="23.42578125" customWidth="1"/>
    <col min="26" max="26" width="25" customWidth="1"/>
    <col min="27" max="27" width="23.42578125" customWidth="1"/>
    <col min="28" max="28" width="56.42578125" customWidth="1"/>
    <col min="29" max="29" width="11.85546875" customWidth="1"/>
    <col min="30" max="30" width="11.42578125" customWidth="1"/>
    <col min="31" max="31" width="12.1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B1" s="1" t="s">
        <v>25</v>
      </c>
    </row>
    <row r="2" spans="1:31" x14ac:dyDescent="0.25">
      <c r="A2" s="5" t="s">
        <v>26</v>
      </c>
      <c r="B2" s="1">
        <v>511293</v>
      </c>
      <c r="C2" s="6">
        <f t="shared" ref="C2:C198" si="0">C3*B2/B3</f>
        <v>3979.5532378580306</v>
      </c>
      <c r="D2" s="7">
        <v>4.1250000000000002E-2</v>
      </c>
      <c r="E2" s="6">
        <f t="shared" ref="E2:E198" si="1">$E$199*C2/$C$199</f>
        <v>20347177.136441458</v>
      </c>
      <c r="F2" s="8">
        <v>45017</v>
      </c>
      <c r="G2" s="8">
        <f t="shared" ref="G2:G199" si="2">DATE(YEAR(F2)+50, MONTH(F2), DAY(F2))</f>
        <v>63280</v>
      </c>
      <c r="H2" s="9">
        <v>128.9</v>
      </c>
      <c r="I2" s="1">
        <f t="shared" ref="I2:I198" si="3">I3*H2/H3</f>
        <v>1104.2464689799722</v>
      </c>
      <c r="J2" s="1">
        <f t="shared" ref="J2:J3" si="4">J3*(0*I2/I3+1*C2/C3)</f>
        <v>203781.09750764284</v>
      </c>
      <c r="K2" s="1">
        <f t="shared" ref="K2:K199" si="5">E2*0.045/12</f>
        <v>76301.91426165546</v>
      </c>
      <c r="L2" s="1">
        <f t="shared" ref="L2:L199" si="6">0.045*E2/4</f>
        <v>228905.74278496639</v>
      </c>
      <c r="M2" s="10">
        <f>D2+0.003</f>
        <v>4.4250000000000005E-2</v>
      </c>
      <c r="N2" s="1">
        <f t="shared" ref="N2:N199" si="7">ABS(PMT(M2/3,$AC$19*12,$AC$20*B2))</f>
        <v>7201.4896715114637</v>
      </c>
      <c r="O2" s="1">
        <f t="shared" ref="O2:O199" si="8">$AD$13+J2*(1-$AC$15)-L2+O3</f>
        <v>-5114678.4969885256</v>
      </c>
      <c r="P2" s="1">
        <f t="shared" ref="P2:P199" si="9">0.05*E2</f>
        <v>1017358.856822073</v>
      </c>
      <c r="Q2" s="1">
        <f t="shared" ref="Q2:Q199" si="10">IF(O2&gt;=P2, 1, 0)</f>
        <v>0</v>
      </c>
      <c r="R2" s="1">
        <f t="shared" ref="R2:R199" si="11">SUM($Q2:Q$199)</f>
        <v>20</v>
      </c>
      <c r="S2" s="1">
        <f t="shared" ref="S2:S199" si="12">IF(R2=0,0,1)</f>
        <v>1</v>
      </c>
      <c r="Z2" s="11"/>
      <c r="AA2" s="10"/>
    </row>
    <row r="3" spans="1:31" x14ac:dyDescent="0.25">
      <c r="A3" s="5" t="s">
        <v>27</v>
      </c>
      <c r="B3" s="1">
        <v>528000</v>
      </c>
      <c r="C3" s="6">
        <f t="shared" si="0"/>
        <v>4109.5890410958882</v>
      </c>
      <c r="D3" s="7">
        <v>3.2692307692307694E-2</v>
      </c>
      <c r="E3" s="6">
        <f t="shared" si="1"/>
        <v>21012041.095890399</v>
      </c>
      <c r="F3" s="8">
        <v>44927</v>
      </c>
      <c r="G3" s="8">
        <f t="shared" si="2"/>
        <v>63190</v>
      </c>
      <c r="H3" s="9">
        <v>125.9</v>
      </c>
      <c r="I3" s="1">
        <f t="shared" si="3"/>
        <v>1078.5463960013849</v>
      </c>
      <c r="J3" s="1">
        <f t="shared" si="4"/>
        <v>210439.84463709735</v>
      </c>
      <c r="K3" s="1">
        <f t="shared" si="5"/>
        <v>78795.154109588984</v>
      </c>
      <c r="L3" s="1">
        <f t="shared" si="6"/>
        <v>236385.46232876697</v>
      </c>
      <c r="M3" s="10">
        <f t="shared" ref="M2:M199" si="13">D3+0.003</f>
        <v>3.5692307692307697E-2</v>
      </c>
      <c r="N3" s="1">
        <f t="shared" si="7"/>
        <v>6053.4306421083684</v>
      </c>
      <c r="O3" s="1">
        <f t="shared" si="8"/>
        <v>-5018230.4675835269</v>
      </c>
      <c r="P3" s="1">
        <f t="shared" si="9"/>
        <v>1050602.0547945199</v>
      </c>
      <c r="Q3" s="1">
        <f t="shared" si="10"/>
        <v>0</v>
      </c>
      <c r="R3" s="1">
        <f t="shared" si="11"/>
        <v>20</v>
      </c>
      <c r="S3" s="1">
        <f t="shared" si="12"/>
        <v>1</v>
      </c>
      <c r="Z3" s="11"/>
      <c r="AA3" s="10"/>
      <c r="AB3" s="12" t="s">
        <v>28</v>
      </c>
    </row>
    <row r="4" spans="1:31" x14ac:dyDescent="0.25">
      <c r="A4" s="13" t="s">
        <v>29</v>
      </c>
      <c r="B4" s="1">
        <v>534545</v>
      </c>
      <c r="C4" s="6">
        <f t="shared" si="0"/>
        <v>4160.530821917806</v>
      </c>
      <c r="D4" s="7">
        <v>1.9807692307692307E-2</v>
      </c>
      <c r="E4" s="6">
        <f t="shared" si="1"/>
        <v>21272502.855308209</v>
      </c>
      <c r="F4" s="8">
        <v>44835</v>
      </c>
      <c r="G4" s="8">
        <f t="shared" si="2"/>
        <v>63098</v>
      </c>
      <c r="H4" s="9">
        <v>124.8</v>
      </c>
      <c r="I4" s="1">
        <f t="shared" si="3"/>
        <v>1069.1230359092363</v>
      </c>
      <c r="J4" s="1">
        <f t="shared" ref="J4:J197" si="14">J5*(0.5*I4/I5+0.5*C4/C5)</f>
        <v>213048.42187791137</v>
      </c>
      <c r="K4" s="1">
        <f t="shared" si="5"/>
        <v>79771.885707405789</v>
      </c>
      <c r="L4" s="1">
        <f t="shared" si="6"/>
        <v>239315.65712221735</v>
      </c>
      <c r="M4" s="10">
        <f t="shared" si="13"/>
        <v>2.2807692307692307E-2</v>
      </c>
      <c r="N4" s="1">
        <f t="shared" si="7"/>
        <v>4131.067545716488</v>
      </c>
      <c r="O4" s="1">
        <f t="shared" si="8"/>
        <v>-4918630.9042688729</v>
      </c>
      <c r="P4" s="1">
        <f t="shared" si="9"/>
        <v>1063625.1427654105</v>
      </c>
      <c r="Q4" s="1">
        <f t="shared" si="10"/>
        <v>0</v>
      </c>
      <c r="R4" s="1">
        <f t="shared" si="11"/>
        <v>20</v>
      </c>
      <c r="S4" s="1">
        <f t="shared" si="12"/>
        <v>1</v>
      </c>
      <c r="Z4" s="11"/>
      <c r="AA4" s="10"/>
      <c r="AB4" s="14" t="s">
        <v>30</v>
      </c>
      <c r="AC4" s="14" t="s">
        <v>31</v>
      </c>
      <c r="AD4" s="14" t="s">
        <v>32</v>
      </c>
      <c r="AE4" s="14" t="s">
        <v>33</v>
      </c>
    </row>
    <row r="5" spans="1:31" x14ac:dyDescent="0.25">
      <c r="A5" s="13" t="s">
        <v>34</v>
      </c>
      <c r="B5" s="1">
        <v>540399</v>
      </c>
      <c r="C5" s="6">
        <f t="shared" si="0"/>
        <v>4206.0943337484405</v>
      </c>
      <c r="D5" s="7">
        <v>1.1346153846153846E-2</v>
      </c>
      <c r="E5" s="6">
        <f t="shared" si="1"/>
        <v>21505465.901852414</v>
      </c>
      <c r="F5" s="8">
        <v>44743</v>
      </c>
      <c r="G5" s="8">
        <f t="shared" si="2"/>
        <v>63006</v>
      </c>
      <c r="H5" s="9">
        <v>121.8</v>
      </c>
      <c r="I5" s="1">
        <f t="shared" si="3"/>
        <v>1043.4229629306487</v>
      </c>
      <c r="J5" s="1">
        <f t="shared" si="14"/>
        <v>211588.69208725999</v>
      </c>
      <c r="K5" s="1">
        <f t="shared" si="5"/>
        <v>80645.49713194654</v>
      </c>
      <c r="L5" s="1">
        <f t="shared" si="6"/>
        <v>241936.49139583964</v>
      </c>
      <c r="M5" s="10">
        <f t="shared" si="13"/>
        <v>1.4346153846153845E-2</v>
      </c>
      <c r="N5" s="1">
        <f t="shared" si="7"/>
        <v>2992.1788039438229</v>
      </c>
      <c r="O5" s="1">
        <f t="shared" si="8"/>
        <v>-4817796.7213672977</v>
      </c>
      <c r="P5" s="1">
        <f t="shared" si="9"/>
        <v>1075273.2950926207</v>
      </c>
      <c r="Q5" s="1">
        <f t="shared" si="10"/>
        <v>0</v>
      </c>
      <c r="R5" s="1">
        <f t="shared" si="11"/>
        <v>20</v>
      </c>
      <c r="S5" s="1">
        <f t="shared" si="12"/>
        <v>1</v>
      </c>
      <c r="Z5" s="11"/>
      <c r="AA5" s="10"/>
      <c r="AB5" s="14" t="s">
        <v>35</v>
      </c>
      <c r="AC5" s="14" t="s">
        <v>36</v>
      </c>
    </row>
    <row r="6" spans="1:31" x14ac:dyDescent="0.25">
      <c r="A6" s="15" t="s">
        <v>37</v>
      </c>
      <c r="B6" s="1">
        <v>518333</v>
      </c>
      <c r="C6" s="6">
        <f t="shared" si="0"/>
        <v>4034.3477584059747</v>
      </c>
      <c r="D6" s="7">
        <v>6.346153846153846E-3</v>
      </c>
      <c r="E6" s="6">
        <f t="shared" si="1"/>
        <v>20627337.684386659</v>
      </c>
      <c r="F6" s="8">
        <v>44652</v>
      </c>
      <c r="G6" s="8">
        <f t="shared" si="2"/>
        <v>62915</v>
      </c>
      <c r="H6" s="9">
        <v>119.7</v>
      </c>
      <c r="I6" s="1">
        <f t="shared" si="3"/>
        <v>1025.4329118456376</v>
      </c>
      <c r="J6" s="1">
        <f t="shared" si="14"/>
        <v>205414.45250948152</v>
      </c>
      <c r="K6" s="1">
        <f t="shared" si="5"/>
        <v>77352.516316449968</v>
      </c>
      <c r="L6" s="1">
        <f t="shared" si="6"/>
        <v>232057.5489493499</v>
      </c>
      <c r="M6" s="10">
        <f t="shared" si="13"/>
        <v>9.346153846153846E-3</v>
      </c>
      <c r="N6" s="1">
        <f t="shared" si="7"/>
        <v>2277.2340667928747</v>
      </c>
      <c r="O6" s="1">
        <f t="shared" si="8"/>
        <v>-4713392.8798281774</v>
      </c>
      <c r="P6" s="1">
        <f t="shared" si="9"/>
        <v>1031366.8842193331</v>
      </c>
      <c r="Q6" s="1">
        <f t="shared" si="10"/>
        <v>0</v>
      </c>
      <c r="R6" s="1">
        <f t="shared" si="11"/>
        <v>20</v>
      </c>
      <c r="S6" s="1">
        <f t="shared" si="12"/>
        <v>1</v>
      </c>
      <c r="Z6" s="11"/>
      <c r="AA6" s="10"/>
      <c r="AB6" s="14" t="s">
        <v>38</v>
      </c>
      <c r="AC6" s="14" t="s">
        <v>39</v>
      </c>
      <c r="AD6" s="14" t="s">
        <v>40</v>
      </c>
    </row>
    <row r="7" spans="1:31" x14ac:dyDescent="0.25">
      <c r="A7" s="5" t="s">
        <v>41</v>
      </c>
      <c r="B7" s="1">
        <v>507230</v>
      </c>
      <c r="C7" s="6">
        <f t="shared" si="0"/>
        <v>3947.9296388542934</v>
      </c>
      <c r="D7" s="7">
        <v>2.5000000000000001E-3</v>
      </c>
      <c r="E7" s="6">
        <f t="shared" si="1"/>
        <v>20185487.888387281</v>
      </c>
      <c r="F7" s="8">
        <v>44562</v>
      </c>
      <c r="G7" s="8">
        <f t="shared" si="2"/>
        <v>62824</v>
      </c>
      <c r="H7" s="9">
        <v>115.5</v>
      </c>
      <c r="I7" s="1">
        <f t="shared" si="3"/>
        <v>989.4528096756153</v>
      </c>
      <c r="J7" s="1">
        <f t="shared" si="14"/>
        <v>199600.76927508417</v>
      </c>
      <c r="K7" s="1">
        <f t="shared" si="5"/>
        <v>75695.579581452301</v>
      </c>
      <c r="L7" s="1">
        <f t="shared" si="6"/>
        <v>227086.7387443569</v>
      </c>
      <c r="M7" s="10">
        <f t="shared" si="13"/>
        <v>5.4999999999999997E-3</v>
      </c>
      <c r="N7" s="1">
        <f t="shared" si="7"/>
        <v>1829.6587490874367</v>
      </c>
      <c r="O7" s="1">
        <f t="shared" si="8"/>
        <v>-4614854.7250099909</v>
      </c>
      <c r="P7" s="1">
        <f t="shared" si="9"/>
        <v>1009274.3944193642</v>
      </c>
      <c r="Q7" s="1">
        <f t="shared" si="10"/>
        <v>0</v>
      </c>
      <c r="R7" s="1">
        <f t="shared" si="11"/>
        <v>20</v>
      </c>
      <c r="S7" s="1">
        <f t="shared" si="12"/>
        <v>1</v>
      </c>
      <c r="Z7" s="11"/>
      <c r="AA7" s="10"/>
      <c r="AB7" s="12" t="s">
        <v>42</v>
      </c>
    </row>
    <row r="8" spans="1:31" x14ac:dyDescent="0.25">
      <c r="A8" s="13" t="s">
        <v>43</v>
      </c>
      <c r="B8" s="1">
        <v>500980</v>
      </c>
      <c r="C8" s="6">
        <f t="shared" si="0"/>
        <v>3899.2839352428364</v>
      </c>
      <c r="D8" s="7">
        <v>1.0186046511627908E-3</v>
      </c>
      <c r="E8" s="6">
        <f t="shared" si="1"/>
        <v>19936765.811021157</v>
      </c>
      <c r="F8" s="8">
        <v>44470</v>
      </c>
      <c r="G8" s="8">
        <f t="shared" si="2"/>
        <v>62732</v>
      </c>
      <c r="H8" s="9">
        <v>114.1</v>
      </c>
      <c r="I8" s="1">
        <f t="shared" si="3"/>
        <v>977.45944228560779</v>
      </c>
      <c r="J8" s="1">
        <f t="shared" si="14"/>
        <v>197161.34259678013</v>
      </c>
      <c r="K8" s="1">
        <f t="shared" si="5"/>
        <v>74762.871791329337</v>
      </c>
      <c r="L8" s="1">
        <f t="shared" si="6"/>
        <v>224288.615373988</v>
      </c>
      <c r="M8" s="10">
        <f t="shared" si="13"/>
        <v>4.0186046511627906E-3</v>
      </c>
      <c r="N8" s="1">
        <f t="shared" si="7"/>
        <v>1667.1828593190201</v>
      </c>
      <c r="O8" s="1">
        <f t="shared" si="8"/>
        <v>-4517508.4862944391</v>
      </c>
      <c r="P8" s="1">
        <f t="shared" si="9"/>
        <v>996838.2905510579</v>
      </c>
      <c r="Q8" s="1">
        <f t="shared" si="10"/>
        <v>0</v>
      </c>
      <c r="R8" s="1">
        <f t="shared" si="11"/>
        <v>20</v>
      </c>
      <c r="S8" s="1">
        <f t="shared" si="12"/>
        <v>1</v>
      </c>
      <c r="Z8" s="11"/>
      <c r="AA8" s="10"/>
      <c r="AB8" s="16" t="s">
        <v>44</v>
      </c>
      <c r="AC8" s="16" t="s">
        <v>45</v>
      </c>
    </row>
    <row r="9" spans="1:31" x14ac:dyDescent="0.25">
      <c r="A9" s="13" t="s">
        <v>46</v>
      </c>
      <c r="B9" s="1">
        <v>509935</v>
      </c>
      <c r="C9" s="6">
        <f t="shared" si="0"/>
        <v>3968.983499377332</v>
      </c>
      <c r="D9" s="7">
        <v>1.0186046511627908E-3</v>
      </c>
      <c r="E9" s="6">
        <f t="shared" si="1"/>
        <v>20293134.803471342</v>
      </c>
      <c r="F9" s="8">
        <v>44378</v>
      </c>
      <c r="G9" s="8">
        <f t="shared" si="2"/>
        <v>62640</v>
      </c>
      <c r="H9" s="9">
        <v>112</v>
      </c>
      <c r="I9" s="1">
        <f t="shared" si="3"/>
        <v>959.46939120059665</v>
      </c>
      <c r="J9" s="1">
        <f t="shared" si="14"/>
        <v>197044.20589557741</v>
      </c>
      <c r="K9" s="1">
        <f t="shared" si="5"/>
        <v>76099.255513017531</v>
      </c>
      <c r="L9" s="1">
        <f t="shared" si="6"/>
        <v>228297.76653905259</v>
      </c>
      <c r="M9" s="10">
        <f t="shared" si="13"/>
        <v>4.0186046511627906E-3</v>
      </c>
      <c r="N9" s="1">
        <f t="shared" si="7"/>
        <v>1696.9836946920923</v>
      </c>
      <c r="O9" s="1">
        <f t="shared" si="8"/>
        <v>-4421374.7436083583</v>
      </c>
      <c r="P9" s="1">
        <f t="shared" si="9"/>
        <v>1014656.7401735671</v>
      </c>
      <c r="Q9" s="1">
        <f t="shared" si="10"/>
        <v>0</v>
      </c>
      <c r="R9" s="1">
        <f t="shared" si="11"/>
        <v>20</v>
      </c>
      <c r="S9" s="1">
        <f t="shared" si="12"/>
        <v>1</v>
      </c>
      <c r="Z9" s="11"/>
      <c r="AA9" s="10"/>
      <c r="AB9" s="14" t="s">
        <v>47</v>
      </c>
      <c r="AC9" s="14">
        <v>1</v>
      </c>
      <c r="AD9" s="14">
        <v>2</v>
      </c>
      <c r="AE9" s="14" t="s">
        <v>48</v>
      </c>
    </row>
    <row r="10" spans="1:31" x14ac:dyDescent="0.25">
      <c r="A10" s="15" t="s">
        <v>49</v>
      </c>
      <c r="B10" s="1">
        <v>482576</v>
      </c>
      <c r="C10" s="6">
        <f t="shared" si="0"/>
        <v>3756.0398505603957</v>
      </c>
      <c r="D10" s="7">
        <v>1.0186046511627908E-3</v>
      </c>
      <c r="E10" s="6">
        <f t="shared" si="1"/>
        <v>19204368.833125766</v>
      </c>
      <c r="F10" s="8">
        <v>44287</v>
      </c>
      <c r="G10" s="8">
        <f t="shared" si="2"/>
        <v>62549</v>
      </c>
      <c r="H10" s="9">
        <v>110.9</v>
      </c>
      <c r="I10" s="1">
        <f t="shared" si="3"/>
        <v>950.04603110844801</v>
      </c>
      <c r="J10" s="1">
        <f t="shared" si="14"/>
        <v>190692.93859040627</v>
      </c>
      <c r="K10" s="1">
        <f t="shared" si="5"/>
        <v>72016.383124221626</v>
      </c>
      <c r="L10" s="1">
        <f t="shared" si="6"/>
        <v>216049.14937266486</v>
      </c>
      <c r="M10" s="10">
        <f t="shared" si="13"/>
        <v>4.0186046511627906E-3</v>
      </c>
      <c r="N10" s="1">
        <f t="shared" si="7"/>
        <v>1605.9372340587156</v>
      </c>
      <c r="O10" s="1">
        <f t="shared" si="8"/>
        <v>-4321155.7109014308</v>
      </c>
      <c r="P10" s="1">
        <f t="shared" si="9"/>
        <v>960218.44165628834</v>
      </c>
      <c r="Q10" s="1">
        <f t="shared" si="10"/>
        <v>0</v>
      </c>
      <c r="R10" s="1">
        <f t="shared" si="11"/>
        <v>20</v>
      </c>
      <c r="S10" s="1">
        <f t="shared" si="12"/>
        <v>1</v>
      </c>
      <c r="Z10" s="11"/>
      <c r="AA10" s="10"/>
      <c r="AD10" s="1" t="s">
        <v>50</v>
      </c>
    </row>
    <row r="11" spans="1:31" x14ac:dyDescent="0.25">
      <c r="A11" s="5" t="s">
        <v>51</v>
      </c>
      <c r="B11" s="1">
        <v>486562</v>
      </c>
      <c r="C11" s="6">
        <f t="shared" si="0"/>
        <v>3787.0641344956384</v>
      </c>
      <c r="D11" s="7">
        <v>1.0186046511627908E-3</v>
      </c>
      <c r="E11" s="6">
        <f t="shared" si="1"/>
        <v>19362993.825186785</v>
      </c>
      <c r="F11" s="8">
        <v>44197</v>
      </c>
      <c r="G11" s="8">
        <f t="shared" si="2"/>
        <v>62459</v>
      </c>
      <c r="H11" s="9">
        <v>109.5</v>
      </c>
      <c r="I11" s="1">
        <f t="shared" si="3"/>
        <v>938.0526637184405</v>
      </c>
      <c r="J11" s="1">
        <f t="shared" si="14"/>
        <v>190255.99521721844</v>
      </c>
      <c r="K11" s="1">
        <f t="shared" si="5"/>
        <v>72611.226844450444</v>
      </c>
      <c r="L11" s="1">
        <f t="shared" si="6"/>
        <v>217833.68053335132</v>
      </c>
      <c r="M11" s="10">
        <f t="shared" si="13"/>
        <v>4.0186046511627906E-3</v>
      </c>
      <c r="N11" s="1">
        <f t="shared" si="7"/>
        <v>1619.2020168389574</v>
      </c>
      <c r="O11" s="1">
        <f t="shared" si="8"/>
        <v>-4229056.9716125298</v>
      </c>
      <c r="P11" s="1">
        <f t="shared" si="9"/>
        <v>968149.69125933934</v>
      </c>
      <c r="Q11" s="1">
        <f t="shared" si="10"/>
        <v>0</v>
      </c>
      <c r="R11" s="1">
        <f t="shared" si="11"/>
        <v>20</v>
      </c>
      <c r="S11" s="1">
        <f t="shared" si="12"/>
        <v>1</v>
      </c>
      <c r="Z11" s="11"/>
      <c r="AA11" s="10"/>
      <c r="AB11" s="14" t="s">
        <v>52</v>
      </c>
      <c r="AC11" s="14">
        <v>3000</v>
      </c>
      <c r="AD11" s="17">
        <f>AC11*3</f>
        <v>9000</v>
      </c>
    </row>
    <row r="12" spans="1:31" x14ac:dyDescent="0.25">
      <c r="A12" s="13" t="s">
        <v>53</v>
      </c>
      <c r="B12" s="1">
        <v>480857</v>
      </c>
      <c r="C12" s="6">
        <f t="shared" si="0"/>
        <v>3742.6603362391006</v>
      </c>
      <c r="D12" s="7">
        <v>1.0186046511627908E-3</v>
      </c>
      <c r="E12" s="6">
        <f t="shared" si="1"/>
        <v>19135960.312966987</v>
      </c>
      <c r="F12" s="8">
        <v>44105</v>
      </c>
      <c r="G12" s="8">
        <f t="shared" si="2"/>
        <v>62367</v>
      </c>
      <c r="H12" s="9">
        <v>109.3</v>
      </c>
      <c r="I12" s="1">
        <f t="shared" si="3"/>
        <v>936.339325519868</v>
      </c>
      <c r="J12" s="1">
        <f t="shared" si="14"/>
        <v>188962.16557872173</v>
      </c>
      <c r="K12" s="1">
        <f t="shared" si="5"/>
        <v>71759.851173626201</v>
      </c>
      <c r="L12" s="1">
        <f t="shared" si="6"/>
        <v>215279.5535208786</v>
      </c>
      <c r="M12" s="10">
        <f t="shared" si="13"/>
        <v>4.0186046511627906E-3</v>
      </c>
      <c r="N12" s="1">
        <f t="shared" si="7"/>
        <v>1600.2166716906183</v>
      </c>
      <c r="O12" s="1">
        <f t="shared" si="8"/>
        <v>-4134889.6879703701</v>
      </c>
      <c r="P12" s="1">
        <f t="shared" si="9"/>
        <v>956798.01564834942</v>
      </c>
      <c r="Q12" s="1">
        <f t="shared" si="10"/>
        <v>0</v>
      </c>
      <c r="R12" s="1">
        <f t="shared" si="11"/>
        <v>20</v>
      </c>
      <c r="S12" s="1">
        <f t="shared" si="12"/>
        <v>1</v>
      </c>
      <c r="Z12" s="11"/>
      <c r="AA12" s="10"/>
      <c r="AB12" s="14" t="s">
        <v>54</v>
      </c>
      <c r="AC12" s="14">
        <v>30</v>
      </c>
    </row>
    <row r="13" spans="1:31" x14ac:dyDescent="0.25">
      <c r="A13" s="13" t="s">
        <v>55</v>
      </c>
      <c r="B13" s="1">
        <v>475448</v>
      </c>
      <c r="C13" s="6">
        <f t="shared" si="0"/>
        <v>3700.5603985056009</v>
      </c>
      <c r="D13" s="7">
        <v>1.0186046511627908E-3</v>
      </c>
      <c r="E13" s="6">
        <f t="shared" si="1"/>
        <v>18920706.278331243</v>
      </c>
      <c r="F13" s="8">
        <v>44013</v>
      </c>
      <c r="G13" s="8">
        <f t="shared" si="2"/>
        <v>62275</v>
      </c>
      <c r="H13" s="9">
        <v>109.1</v>
      </c>
      <c r="I13" s="1">
        <f t="shared" si="3"/>
        <v>934.6259873212955</v>
      </c>
      <c r="J13" s="1">
        <f t="shared" si="14"/>
        <v>187722.27692633384</v>
      </c>
      <c r="K13" s="1">
        <f t="shared" si="5"/>
        <v>70952.648543742151</v>
      </c>
      <c r="L13" s="1">
        <f t="shared" si="6"/>
        <v>212857.94563122647</v>
      </c>
      <c r="M13" s="10">
        <f t="shared" si="13"/>
        <v>4.0186046511627906E-3</v>
      </c>
      <c r="N13" s="1">
        <f t="shared" si="7"/>
        <v>1582.2163681135162</v>
      </c>
      <c r="O13" s="1">
        <f t="shared" si="8"/>
        <v>-4042435.5420756605</v>
      </c>
      <c r="P13" s="1">
        <f t="shared" si="9"/>
        <v>946035.31391656213</v>
      </c>
      <c r="Q13" s="1">
        <f t="shared" si="10"/>
        <v>0</v>
      </c>
      <c r="R13" s="1">
        <f t="shared" si="11"/>
        <v>20</v>
      </c>
      <c r="S13" s="1">
        <f t="shared" si="12"/>
        <v>1</v>
      </c>
      <c r="Z13" s="11"/>
      <c r="AA13" s="10"/>
      <c r="AB13" s="14" t="s">
        <v>56</v>
      </c>
      <c r="AC13" s="14">
        <v>10000</v>
      </c>
    </row>
    <row r="14" spans="1:31" x14ac:dyDescent="0.25">
      <c r="A14" s="15" t="s">
        <v>57</v>
      </c>
      <c r="B14" s="1">
        <v>460266</v>
      </c>
      <c r="C14" s="6">
        <f t="shared" si="0"/>
        <v>3582.3941469489387</v>
      </c>
      <c r="D14" s="7">
        <v>1.0186046511627908E-3</v>
      </c>
      <c r="E14" s="6">
        <f t="shared" si="1"/>
        <v>18316530.505759638</v>
      </c>
      <c r="F14" s="8">
        <v>43922</v>
      </c>
      <c r="G14" s="8">
        <f t="shared" si="2"/>
        <v>62184</v>
      </c>
      <c r="H14" s="9">
        <v>108.7</v>
      </c>
      <c r="I14" s="1">
        <f t="shared" si="3"/>
        <v>931.19931092415061</v>
      </c>
      <c r="J14" s="1">
        <f t="shared" si="14"/>
        <v>184342.80086618656</v>
      </c>
      <c r="K14" s="1">
        <f t="shared" si="5"/>
        <v>68686.989396598641</v>
      </c>
      <c r="L14" s="1">
        <f t="shared" si="6"/>
        <v>206060.96818979591</v>
      </c>
      <c r="M14" s="10">
        <f t="shared" si="13"/>
        <v>4.0186046511627906E-3</v>
      </c>
      <c r="N14" s="1">
        <f t="shared" si="7"/>
        <v>1531.6930534698552</v>
      </c>
      <c r="O14" s="1">
        <f t="shared" si="8"/>
        <v>-3951597.0764465509</v>
      </c>
      <c r="P14" s="1">
        <f t="shared" si="9"/>
        <v>915826.52528798196</v>
      </c>
      <c r="Q14" s="1">
        <f t="shared" si="10"/>
        <v>0</v>
      </c>
      <c r="R14" s="1">
        <f t="shared" si="11"/>
        <v>20</v>
      </c>
      <c r="S14" s="1">
        <f t="shared" si="12"/>
        <v>1</v>
      </c>
      <c r="Z14" s="11"/>
      <c r="AA14" s="10"/>
      <c r="AB14" s="18" t="s">
        <v>58</v>
      </c>
    </row>
    <row r="15" spans="1:31" x14ac:dyDescent="0.25">
      <c r="A15" s="5" t="s">
        <v>59</v>
      </c>
      <c r="B15" s="1">
        <v>458363</v>
      </c>
      <c r="C15" s="6">
        <f t="shared" si="0"/>
        <v>3567.5825031133222</v>
      </c>
      <c r="D15" s="7">
        <v>7.4999999999999997E-3</v>
      </c>
      <c r="E15" s="6">
        <f t="shared" si="1"/>
        <v>18240799.607643198</v>
      </c>
      <c r="F15" s="8">
        <v>43831</v>
      </c>
      <c r="G15" s="8">
        <f t="shared" si="2"/>
        <v>62094</v>
      </c>
      <c r="H15" s="9">
        <v>108.5</v>
      </c>
      <c r="I15" s="1">
        <f t="shared" si="3"/>
        <v>929.48597272557811</v>
      </c>
      <c r="J15" s="1">
        <f t="shared" si="14"/>
        <v>183791.8801801966</v>
      </c>
      <c r="K15" s="1">
        <f t="shared" si="5"/>
        <v>68402.998528661992</v>
      </c>
      <c r="L15" s="1">
        <f t="shared" si="6"/>
        <v>205208.99558598598</v>
      </c>
      <c r="M15" s="10">
        <f t="shared" si="13"/>
        <v>1.0499999999999999E-2</v>
      </c>
      <c r="N15" s="1">
        <f t="shared" si="7"/>
        <v>2129.4000985511029</v>
      </c>
      <c r="O15" s="1">
        <f t="shared" si="8"/>
        <v>-3865358.928819776</v>
      </c>
      <c r="P15" s="1">
        <f t="shared" si="9"/>
        <v>912039.98038215993</v>
      </c>
      <c r="Q15" s="1">
        <f t="shared" si="10"/>
        <v>0</v>
      </c>
      <c r="R15" s="1">
        <f t="shared" si="11"/>
        <v>20</v>
      </c>
      <c r="S15" s="1">
        <f t="shared" si="12"/>
        <v>1</v>
      </c>
      <c r="Z15" s="11"/>
      <c r="AA15" s="10"/>
      <c r="AB15" s="19" t="s">
        <v>60</v>
      </c>
      <c r="AC15" s="20">
        <v>0.35</v>
      </c>
      <c r="AD15" s="1">
        <v>5000</v>
      </c>
    </row>
    <row r="16" spans="1:31" x14ac:dyDescent="0.25">
      <c r="A16" s="13" t="s">
        <v>61</v>
      </c>
      <c r="B16" s="1">
        <v>460686</v>
      </c>
      <c r="C16" s="6">
        <f t="shared" si="0"/>
        <v>3585.6631382316286</v>
      </c>
      <c r="D16" s="7">
        <v>7.4999999999999997E-3</v>
      </c>
      <c r="E16" s="6">
        <f t="shared" si="1"/>
        <v>18333244.629358642</v>
      </c>
      <c r="F16" s="8">
        <v>43739</v>
      </c>
      <c r="G16" s="8">
        <f t="shared" si="2"/>
        <v>62002</v>
      </c>
      <c r="H16" s="9">
        <v>108.4</v>
      </c>
      <c r="I16" s="1">
        <f t="shared" si="3"/>
        <v>928.62930362629197</v>
      </c>
      <c r="J16" s="1">
        <f t="shared" si="14"/>
        <v>184171.27031757706</v>
      </c>
      <c r="K16" s="1">
        <f t="shared" si="5"/>
        <v>68749.6673600949</v>
      </c>
      <c r="L16" s="1">
        <f t="shared" si="6"/>
        <v>206249.0020802847</v>
      </c>
      <c r="M16" s="10">
        <f t="shared" si="13"/>
        <v>1.0499999999999999E-2</v>
      </c>
      <c r="N16" s="1">
        <f t="shared" si="7"/>
        <v>2140.1919740491999</v>
      </c>
      <c r="O16" s="1">
        <f t="shared" si="8"/>
        <v>-3779614.655350918</v>
      </c>
      <c r="P16" s="1">
        <f t="shared" si="9"/>
        <v>916662.23146793211</v>
      </c>
      <c r="Q16" s="1">
        <f t="shared" si="10"/>
        <v>0</v>
      </c>
      <c r="R16" s="1">
        <f t="shared" si="11"/>
        <v>20</v>
      </c>
      <c r="S16" s="1">
        <f t="shared" si="12"/>
        <v>1</v>
      </c>
      <c r="Z16" s="11"/>
      <c r="AA16" s="10"/>
    </row>
    <row r="17" spans="1:30" x14ac:dyDescent="0.25">
      <c r="A17" s="13" t="s">
        <v>62</v>
      </c>
      <c r="B17" s="1">
        <v>465722</v>
      </c>
      <c r="C17" s="6">
        <f t="shared" si="0"/>
        <v>3624.8599003735962</v>
      </c>
      <c r="D17" s="7">
        <v>7.4999999999999997E-3</v>
      </c>
      <c r="E17" s="6">
        <f t="shared" si="1"/>
        <v>18533654.930417169</v>
      </c>
      <c r="F17" s="8">
        <v>43647</v>
      </c>
      <c r="G17" s="8">
        <f t="shared" si="2"/>
        <v>61910</v>
      </c>
      <c r="H17" s="9">
        <v>108.2</v>
      </c>
      <c r="I17" s="1">
        <f t="shared" si="3"/>
        <v>926.91596542771947</v>
      </c>
      <c r="J17" s="1">
        <f t="shared" si="14"/>
        <v>185000.52490113367</v>
      </c>
      <c r="K17" s="1">
        <f t="shared" si="5"/>
        <v>69501.205989064372</v>
      </c>
      <c r="L17" s="1">
        <f t="shared" si="6"/>
        <v>208503.61796719313</v>
      </c>
      <c r="M17" s="10">
        <f t="shared" si="13"/>
        <v>1.0499999999999999E-2</v>
      </c>
      <c r="N17" s="1">
        <f t="shared" si="7"/>
        <v>2163.5875336740028</v>
      </c>
      <c r="O17" s="1">
        <f t="shared" si="8"/>
        <v>-3693076.9789770585</v>
      </c>
      <c r="P17" s="1">
        <f t="shared" si="9"/>
        <v>926682.74652085849</v>
      </c>
      <c r="Q17" s="1">
        <f t="shared" si="10"/>
        <v>0</v>
      </c>
      <c r="R17" s="1">
        <f t="shared" si="11"/>
        <v>20</v>
      </c>
      <c r="S17" s="1">
        <f t="shared" si="12"/>
        <v>1</v>
      </c>
      <c r="Z17" s="11"/>
      <c r="AA17" s="10"/>
      <c r="AB17" s="12" t="s">
        <v>63</v>
      </c>
    </row>
    <row r="18" spans="1:30" x14ac:dyDescent="0.25">
      <c r="A18" s="15" t="s">
        <v>64</v>
      </c>
      <c r="B18" s="1">
        <v>455594</v>
      </c>
      <c r="C18" s="6">
        <f t="shared" si="0"/>
        <v>3546.0305105853026</v>
      </c>
      <c r="D18" s="7">
        <v>7.4999999999999997E-3</v>
      </c>
      <c r="E18" s="6">
        <f t="shared" si="1"/>
        <v>18130605.778486911</v>
      </c>
      <c r="F18" s="8">
        <v>43556</v>
      </c>
      <c r="G18" s="8">
        <f t="shared" si="2"/>
        <v>61819</v>
      </c>
      <c r="H18" s="9">
        <v>107.8</v>
      </c>
      <c r="I18" s="1">
        <f t="shared" si="3"/>
        <v>923.48928903057435</v>
      </c>
      <c r="J18" s="1">
        <f t="shared" si="14"/>
        <v>182631.70996468855</v>
      </c>
      <c r="K18" s="1">
        <f t="shared" si="5"/>
        <v>67989.771669325914</v>
      </c>
      <c r="L18" s="1">
        <f t="shared" si="6"/>
        <v>203969.31500797774</v>
      </c>
      <c r="M18" s="10">
        <f t="shared" si="13"/>
        <v>1.0499999999999999E-2</v>
      </c>
      <c r="N18" s="1">
        <f t="shared" si="7"/>
        <v>2116.5362572879822</v>
      </c>
      <c r="O18" s="1">
        <f t="shared" si="8"/>
        <v>-3604823.7021956025</v>
      </c>
      <c r="P18" s="1">
        <f t="shared" si="9"/>
        <v>906530.28892434563</v>
      </c>
      <c r="Q18" s="1">
        <f t="shared" si="10"/>
        <v>0</v>
      </c>
      <c r="R18" s="1">
        <f t="shared" si="11"/>
        <v>20</v>
      </c>
      <c r="S18" s="1">
        <f t="shared" si="12"/>
        <v>1</v>
      </c>
      <c r="Z18" s="11"/>
      <c r="AA18" s="10"/>
      <c r="AB18" s="19" t="s">
        <v>65</v>
      </c>
      <c r="AC18" s="11">
        <v>0.06</v>
      </c>
      <c r="AD18" s="1" t="s">
        <v>66</v>
      </c>
    </row>
    <row r="19" spans="1:30" x14ac:dyDescent="0.25">
      <c r="A19" s="5" t="s">
        <v>67</v>
      </c>
      <c r="B19" s="1">
        <v>466988</v>
      </c>
      <c r="C19" s="6">
        <f t="shared" si="0"/>
        <v>3634.713574097133</v>
      </c>
      <c r="D19" s="7">
        <v>7.4999999999999997E-3</v>
      </c>
      <c r="E19" s="6">
        <f t="shared" si="1"/>
        <v>18584036.074408457</v>
      </c>
      <c r="F19" s="8">
        <v>43466</v>
      </c>
      <c r="G19" s="8">
        <f t="shared" si="2"/>
        <v>61729</v>
      </c>
      <c r="H19" s="9">
        <v>106.7</v>
      </c>
      <c r="I19" s="1">
        <f t="shared" si="3"/>
        <v>914.06592893842571</v>
      </c>
      <c r="J19" s="1">
        <f t="shared" si="14"/>
        <v>183927.4452997458</v>
      </c>
      <c r="K19" s="1">
        <f t="shared" si="5"/>
        <v>69690.135279031718</v>
      </c>
      <c r="L19" s="1">
        <f t="shared" si="6"/>
        <v>209070.40583709514</v>
      </c>
      <c r="M19" s="10">
        <f t="shared" si="13"/>
        <v>1.0499999999999999E-2</v>
      </c>
      <c r="N19" s="1">
        <f t="shared" si="7"/>
        <v>2169.4689432222553</v>
      </c>
      <c r="O19" s="1">
        <f t="shared" si="8"/>
        <v>-3519564.9986646725</v>
      </c>
      <c r="P19" s="1">
        <f t="shared" si="9"/>
        <v>929201.8037204229</v>
      </c>
      <c r="Q19" s="1">
        <f t="shared" si="10"/>
        <v>0</v>
      </c>
      <c r="R19" s="1">
        <f t="shared" si="11"/>
        <v>20</v>
      </c>
      <c r="S19" s="1">
        <f t="shared" si="12"/>
        <v>1</v>
      </c>
      <c r="Z19" s="11"/>
      <c r="AA19" s="10"/>
      <c r="AB19" s="19" t="s">
        <v>68</v>
      </c>
      <c r="AC19" s="19">
        <f>IF(67-AC12&gt;30,30,67-AC12)</f>
        <v>30</v>
      </c>
    </row>
    <row r="20" spans="1:30" x14ac:dyDescent="0.25">
      <c r="A20" s="13" t="s">
        <v>69</v>
      </c>
      <c r="B20" s="1">
        <v>468544</v>
      </c>
      <c r="C20" s="6">
        <f t="shared" si="0"/>
        <v>3646.8244084682415</v>
      </c>
      <c r="D20" s="7">
        <v>7.4999999999999997E-3</v>
      </c>
      <c r="E20" s="6">
        <f t="shared" si="1"/>
        <v>18645957.922789525</v>
      </c>
      <c r="F20" s="8">
        <v>43374</v>
      </c>
      <c r="G20" s="8">
        <f t="shared" si="2"/>
        <v>61637</v>
      </c>
      <c r="H20" s="9">
        <v>106.9</v>
      </c>
      <c r="I20" s="1">
        <f t="shared" si="3"/>
        <v>915.77926713699821</v>
      </c>
      <c r="J20" s="1">
        <f t="shared" si="14"/>
        <v>184406.14830830385</v>
      </c>
      <c r="K20" s="1">
        <f t="shared" si="5"/>
        <v>69922.342210460716</v>
      </c>
      <c r="L20" s="1">
        <f t="shared" si="6"/>
        <v>209767.02663138215</v>
      </c>
      <c r="M20" s="10">
        <f t="shared" si="13"/>
        <v>1.0499999999999999E-2</v>
      </c>
      <c r="N20" s="1">
        <f t="shared" si="7"/>
        <v>2176.6975950840888</v>
      </c>
      <c r="O20" s="1">
        <f t="shared" si="8"/>
        <v>-3430047.4322724123</v>
      </c>
      <c r="P20" s="1">
        <f t="shared" si="9"/>
        <v>932297.89613947633</v>
      </c>
      <c r="Q20" s="1">
        <f t="shared" si="10"/>
        <v>0</v>
      </c>
      <c r="R20" s="1">
        <f t="shared" si="11"/>
        <v>20</v>
      </c>
      <c r="S20" s="1">
        <f t="shared" si="12"/>
        <v>1</v>
      </c>
      <c r="Z20" s="11"/>
      <c r="AA20" s="10"/>
      <c r="AB20" s="19" t="s">
        <v>70</v>
      </c>
      <c r="AC20" s="20">
        <v>0.95</v>
      </c>
    </row>
    <row r="21" spans="1:30" ht="15.75" customHeight="1" x14ac:dyDescent="0.25">
      <c r="A21" s="13" t="s">
        <v>71</v>
      </c>
      <c r="B21" s="1">
        <v>468845</v>
      </c>
      <c r="C21" s="6">
        <f t="shared" si="0"/>
        <v>3649.167185554169</v>
      </c>
      <c r="D21" s="7">
        <v>5.0000000000000001E-3</v>
      </c>
      <c r="E21" s="6">
        <f t="shared" si="1"/>
        <v>18657936.378035475</v>
      </c>
      <c r="F21" s="8">
        <v>43282</v>
      </c>
      <c r="G21" s="8">
        <f t="shared" si="2"/>
        <v>61545</v>
      </c>
      <c r="H21" s="9">
        <v>106.3</v>
      </c>
      <c r="I21" s="1">
        <f t="shared" si="3"/>
        <v>910.63925254128071</v>
      </c>
      <c r="J21" s="1">
        <f t="shared" si="14"/>
        <v>183946.06247080563</v>
      </c>
      <c r="K21" s="1">
        <f t="shared" si="5"/>
        <v>69967.261417633024</v>
      </c>
      <c r="L21" s="1">
        <f t="shared" si="6"/>
        <v>209901.78425289909</v>
      </c>
      <c r="M21" s="10">
        <f t="shared" si="13"/>
        <v>8.0000000000000002E-3</v>
      </c>
      <c r="N21" s="1">
        <f t="shared" si="7"/>
        <v>1926.2193104892972</v>
      </c>
      <c r="O21" s="1">
        <f t="shared" si="8"/>
        <v>-3340144.4020414278</v>
      </c>
      <c r="P21" s="1">
        <f t="shared" si="9"/>
        <v>932896.81890177377</v>
      </c>
      <c r="Q21" s="1">
        <f t="shared" si="10"/>
        <v>0</v>
      </c>
      <c r="R21" s="1">
        <f t="shared" si="11"/>
        <v>20</v>
      </c>
      <c r="S21" s="1">
        <f t="shared" si="12"/>
        <v>1</v>
      </c>
      <c r="Z21" s="11"/>
      <c r="AA21" s="10"/>
    </row>
    <row r="22" spans="1:30" ht="15.75" customHeight="1" x14ac:dyDescent="0.25">
      <c r="A22" s="15" t="s">
        <v>72</v>
      </c>
      <c r="B22" s="1">
        <v>473776</v>
      </c>
      <c r="C22" s="6">
        <f t="shared" si="0"/>
        <v>3687.5466998754646</v>
      </c>
      <c r="D22" s="7">
        <v>5.0000000000000001E-3</v>
      </c>
      <c r="E22" s="6">
        <f t="shared" si="1"/>
        <v>18854168.148194257</v>
      </c>
      <c r="F22" s="8">
        <v>43191</v>
      </c>
      <c r="G22" s="8">
        <f t="shared" si="2"/>
        <v>61454</v>
      </c>
      <c r="H22" s="9">
        <v>105.8</v>
      </c>
      <c r="I22" s="1">
        <f t="shared" si="3"/>
        <v>906.35590704484957</v>
      </c>
      <c r="J22" s="1">
        <f t="shared" si="14"/>
        <v>184470.13975393545</v>
      </c>
      <c r="K22" s="1">
        <f t="shared" si="5"/>
        <v>70703.130555728465</v>
      </c>
      <c r="L22" s="1">
        <f t="shared" si="6"/>
        <v>212109.39166718538</v>
      </c>
      <c r="M22" s="10">
        <f t="shared" si="13"/>
        <v>8.0000000000000002E-3</v>
      </c>
      <c r="N22" s="1">
        <f t="shared" si="7"/>
        <v>1946.4780045566811</v>
      </c>
      <c r="O22" s="1">
        <f t="shared" si="8"/>
        <v>-3249807.5583945522</v>
      </c>
      <c r="P22" s="1">
        <f t="shared" si="9"/>
        <v>942708.40740971291</v>
      </c>
      <c r="Q22" s="1">
        <f t="shared" si="10"/>
        <v>0</v>
      </c>
      <c r="R22" s="1">
        <f t="shared" si="11"/>
        <v>20</v>
      </c>
      <c r="S22" s="1">
        <f t="shared" si="12"/>
        <v>1</v>
      </c>
      <c r="Z22" s="11"/>
      <c r="AA22" s="10"/>
      <c r="AB22" s="1" t="s">
        <v>73</v>
      </c>
      <c r="AC22" s="21">
        <f>PMT(AC18/12,AC19*12,AC20*B107)</f>
        <v>-458.12465020130753</v>
      </c>
    </row>
    <row r="23" spans="1:30" ht="15.75" customHeight="1" x14ac:dyDescent="0.25">
      <c r="A23" s="5" t="s">
        <v>74</v>
      </c>
      <c r="B23" s="1">
        <v>470922</v>
      </c>
      <c r="C23" s="6">
        <f t="shared" si="0"/>
        <v>3665.3331257783288</v>
      </c>
      <c r="D23" s="7">
        <v>5.0000000000000001E-3</v>
      </c>
      <c r="E23" s="6">
        <f t="shared" si="1"/>
        <v>18740591.698785793</v>
      </c>
      <c r="F23" s="8">
        <v>43101</v>
      </c>
      <c r="G23" s="8">
        <f t="shared" si="2"/>
        <v>61363</v>
      </c>
      <c r="H23" s="9">
        <v>104.8</v>
      </c>
      <c r="I23" s="1">
        <f t="shared" si="3"/>
        <v>897.78921605198707</v>
      </c>
      <c r="J23" s="1">
        <f t="shared" si="14"/>
        <v>183042.18771168005</v>
      </c>
      <c r="K23" s="1">
        <f t="shared" si="5"/>
        <v>70277.218870446712</v>
      </c>
      <c r="L23" s="1">
        <f t="shared" si="6"/>
        <v>210831.65661134015</v>
      </c>
      <c r="M23" s="10">
        <f t="shared" si="13"/>
        <v>8.0000000000000002E-3</v>
      </c>
      <c r="N23" s="1">
        <f t="shared" si="7"/>
        <v>1934.7525304402109</v>
      </c>
      <c r="O23" s="1">
        <f t="shared" si="8"/>
        <v>-3157603.7575674248</v>
      </c>
      <c r="P23" s="1">
        <f t="shared" si="9"/>
        <v>937029.58493928972</v>
      </c>
      <c r="Q23" s="1">
        <f t="shared" si="10"/>
        <v>0</v>
      </c>
      <c r="R23" s="1">
        <f t="shared" si="11"/>
        <v>20</v>
      </c>
      <c r="S23" s="1">
        <f t="shared" si="12"/>
        <v>1</v>
      </c>
      <c r="Z23" s="11"/>
      <c r="AA23" s="10"/>
    </row>
    <row r="24" spans="1:30" ht="15.75" customHeight="1" x14ac:dyDescent="0.25">
      <c r="A24" s="13" t="s">
        <v>75</v>
      </c>
      <c r="B24" s="1">
        <v>471761</v>
      </c>
      <c r="C24" s="6">
        <f t="shared" si="0"/>
        <v>3671.8633250311309</v>
      </c>
      <c r="D24" s="7">
        <v>2.5000000000000001E-3</v>
      </c>
      <c r="E24" s="6">
        <f t="shared" si="1"/>
        <v>18773980.150451418</v>
      </c>
      <c r="F24" s="8">
        <v>43009</v>
      </c>
      <c r="G24" s="8">
        <f t="shared" si="2"/>
        <v>61271</v>
      </c>
      <c r="H24" s="9">
        <v>104.7</v>
      </c>
      <c r="I24" s="1">
        <f t="shared" si="3"/>
        <v>896.93254695270093</v>
      </c>
      <c r="J24" s="1">
        <f t="shared" si="14"/>
        <v>183117.57108678448</v>
      </c>
      <c r="K24" s="1">
        <f t="shared" si="5"/>
        <v>70402.425564192818</v>
      </c>
      <c r="L24" s="1">
        <f t="shared" si="6"/>
        <v>211207.27669257845</v>
      </c>
      <c r="M24" s="10">
        <f t="shared" si="13"/>
        <v>5.4999999999999997E-3</v>
      </c>
      <c r="N24" s="1">
        <f t="shared" si="7"/>
        <v>1701.716462212878</v>
      </c>
      <c r="O24" s="1">
        <f t="shared" si="8"/>
        <v>-3065749.5229686769</v>
      </c>
      <c r="P24" s="1">
        <f t="shared" si="9"/>
        <v>938699.0075225709</v>
      </c>
      <c r="Q24" s="1">
        <f t="shared" si="10"/>
        <v>0</v>
      </c>
      <c r="R24" s="1">
        <f t="shared" si="11"/>
        <v>20</v>
      </c>
      <c r="S24" s="1">
        <f t="shared" si="12"/>
        <v>1</v>
      </c>
      <c r="Z24" s="11"/>
      <c r="AA24" s="10"/>
    </row>
    <row r="25" spans="1:30" ht="15.75" customHeight="1" x14ac:dyDescent="0.25">
      <c r="A25" s="13" t="s">
        <v>76</v>
      </c>
      <c r="B25" s="1">
        <v>478142</v>
      </c>
      <c r="C25" s="6">
        <f t="shared" si="0"/>
        <v>3721.5286425902841</v>
      </c>
      <c r="D25" s="7">
        <v>2.5000000000000001E-3</v>
      </c>
      <c r="E25" s="6">
        <f t="shared" si="1"/>
        <v>19027915.442559142</v>
      </c>
      <c r="F25" s="8">
        <v>42917</v>
      </c>
      <c r="G25" s="8">
        <f t="shared" si="2"/>
        <v>61179</v>
      </c>
      <c r="H25" s="9">
        <v>103.9</v>
      </c>
      <c r="I25" s="1">
        <f t="shared" si="3"/>
        <v>890.07919415841104</v>
      </c>
      <c r="J25" s="1">
        <f t="shared" si="14"/>
        <v>183635.9475079909</v>
      </c>
      <c r="K25" s="1">
        <f t="shared" si="5"/>
        <v>71354.682909596784</v>
      </c>
      <c r="L25" s="1">
        <f t="shared" si="6"/>
        <v>214064.04872879034</v>
      </c>
      <c r="M25" s="10">
        <f t="shared" si="13"/>
        <v>5.4999999999999997E-3</v>
      </c>
      <c r="N25" s="1">
        <f t="shared" si="7"/>
        <v>1724.7337373699606</v>
      </c>
      <c r="O25" s="1">
        <f t="shared" si="8"/>
        <v>-2973568.6674825083</v>
      </c>
      <c r="P25" s="1">
        <f t="shared" si="9"/>
        <v>951395.77212795708</v>
      </c>
      <c r="Q25" s="1">
        <f t="shared" si="10"/>
        <v>0</v>
      </c>
      <c r="R25" s="1">
        <f t="shared" si="11"/>
        <v>20</v>
      </c>
      <c r="S25" s="1">
        <f t="shared" si="12"/>
        <v>1</v>
      </c>
      <c r="Z25" s="11"/>
      <c r="AA25" s="10"/>
    </row>
    <row r="26" spans="1:30" ht="15.75" customHeight="1" x14ac:dyDescent="0.25">
      <c r="A26" s="15" t="s">
        <v>77</v>
      </c>
      <c r="B26" s="1">
        <v>478782</v>
      </c>
      <c r="C26" s="6">
        <f t="shared" si="0"/>
        <v>3726.509962640097</v>
      </c>
      <c r="D26" s="7">
        <v>2.5000000000000001E-3</v>
      </c>
      <c r="E26" s="6">
        <f t="shared" si="1"/>
        <v>19053384.583281431</v>
      </c>
      <c r="F26" s="8">
        <v>42826</v>
      </c>
      <c r="G26" s="8">
        <f t="shared" si="2"/>
        <v>61088</v>
      </c>
      <c r="H26" s="9">
        <v>103.4</v>
      </c>
      <c r="I26" s="1">
        <f t="shared" si="3"/>
        <v>885.79584866197979</v>
      </c>
      <c r="J26" s="1">
        <f t="shared" si="14"/>
        <v>183315.24988250755</v>
      </c>
      <c r="K26" s="1">
        <f t="shared" si="5"/>
        <v>71450.192187305365</v>
      </c>
      <c r="L26" s="1">
        <f t="shared" si="6"/>
        <v>214350.5765619161</v>
      </c>
      <c r="M26" s="10">
        <f t="shared" si="13"/>
        <v>5.4999999999999997E-3</v>
      </c>
      <c r="N26" s="1">
        <f t="shared" si="7"/>
        <v>1727.0423184858566</v>
      </c>
      <c r="O26" s="1">
        <f t="shared" si="8"/>
        <v>-2878867.9846339123</v>
      </c>
      <c r="P26" s="1">
        <f t="shared" si="9"/>
        <v>952669.22916407161</v>
      </c>
      <c r="Q26" s="1">
        <f t="shared" si="10"/>
        <v>0</v>
      </c>
      <c r="R26" s="1">
        <f t="shared" si="11"/>
        <v>20</v>
      </c>
      <c r="S26" s="1">
        <f t="shared" si="12"/>
        <v>1</v>
      </c>
      <c r="Z26" s="11"/>
      <c r="AA26" s="10"/>
    </row>
    <row r="27" spans="1:30" ht="15.75" customHeight="1" x14ac:dyDescent="0.25">
      <c r="A27" s="5" t="s">
        <v>78</v>
      </c>
      <c r="B27" s="1">
        <v>473073</v>
      </c>
      <c r="C27" s="6">
        <f t="shared" si="0"/>
        <v>3682.0750311332476</v>
      </c>
      <c r="D27" s="7">
        <v>2.5000000000000001E-3</v>
      </c>
      <c r="E27" s="6">
        <f t="shared" si="1"/>
        <v>18826191.888932116</v>
      </c>
      <c r="F27" s="8">
        <v>42736</v>
      </c>
      <c r="G27" s="8">
        <f t="shared" si="2"/>
        <v>60998</v>
      </c>
      <c r="H27" s="9">
        <v>102.3</v>
      </c>
      <c r="I27" s="1">
        <f t="shared" si="3"/>
        <v>876.37248856983103</v>
      </c>
      <c r="J27" s="1">
        <f t="shared" si="14"/>
        <v>181247.16596766745</v>
      </c>
      <c r="K27" s="1">
        <f t="shared" si="5"/>
        <v>70598.219583495433</v>
      </c>
      <c r="L27" s="1">
        <f t="shared" si="6"/>
        <v>211794.6587504863</v>
      </c>
      <c r="M27" s="10">
        <f t="shared" si="13"/>
        <v>5.4999999999999997E-3</v>
      </c>
      <c r="N27" s="1">
        <f t="shared" si="7"/>
        <v>1706.449053500465</v>
      </c>
      <c r="O27" s="1">
        <f t="shared" si="8"/>
        <v>-2783672.320495626</v>
      </c>
      <c r="P27" s="1">
        <f t="shared" si="9"/>
        <v>941309.59444660589</v>
      </c>
      <c r="Q27" s="1">
        <f t="shared" si="10"/>
        <v>0</v>
      </c>
      <c r="R27" s="1">
        <f t="shared" si="11"/>
        <v>20</v>
      </c>
      <c r="S27" s="1">
        <f t="shared" si="12"/>
        <v>1</v>
      </c>
      <c r="Z27" s="11"/>
      <c r="AA27" s="10"/>
    </row>
    <row r="28" spans="1:30" ht="15.75" customHeight="1" x14ac:dyDescent="0.25">
      <c r="A28" s="13" t="s">
        <v>79</v>
      </c>
      <c r="B28" s="1">
        <v>474736</v>
      </c>
      <c r="C28" s="6">
        <f t="shared" si="0"/>
        <v>3695.0186799501839</v>
      </c>
      <c r="D28" s="7">
        <v>2.5000000000000001E-3</v>
      </c>
      <c r="E28" s="6">
        <f t="shared" si="1"/>
        <v>18892371.859277695</v>
      </c>
      <c r="F28" s="8">
        <v>42644</v>
      </c>
      <c r="G28" s="8">
        <f t="shared" si="2"/>
        <v>60906</v>
      </c>
      <c r="H28" s="9">
        <v>101.9</v>
      </c>
      <c r="I28" s="1">
        <f t="shared" si="3"/>
        <v>872.94581217268615</v>
      </c>
      <c r="J28" s="1">
        <f t="shared" si="14"/>
        <v>181208.89306263329</v>
      </c>
      <c r="K28" s="1">
        <f t="shared" si="5"/>
        <v>70846.394472291358</v>
      </c>
      <c r="L28" s="1">
        <f t="shared" si="6"/>
        <v>212539.18341687406</v>
      </c>
      <c r="M28" s="10">
        <f t="shared" si="13"/>
        <v>5.4999999999999997E-3</v>
      </c>
      <c r="N28" s="1">
        <f t="shared" si="7"/>
        <v>1712.4477572438011</v>
      </c>
      <c r="O28" s="1">
        <f t="shared" si="8"/>
        <v>-2689688.3196241236</v>
      </c>
      <c r="P28" s="1">
        <f t="shared" si="9"/>
        <v>944618.59296388482</v>
      </c>
      <c r="Q28" s="1">
        <f t="shared" si="10"/>
        <v>0</v>
      </c>
      <c r="R28" s="1">
        <f t="shared" si="11"/>
        <v>20</v>
      </c>
      <c r="S28" s="1">
        <f t="shared" si="12"/>
        <v>1</v>
      </c>
      <c r="Z28" s="11"/>
      <c r="AA28" s="10"/>
    </row>
    <row r="29" spans="1:30" ht="15.75" customHeight="1" x14ac:dyDescent="0.25">
      <c r="A29" s="13" t="s">
        <v>80</v>
      </c>
      <c r="B29" s="1">
        <v>472384</v>
      </c>
      <c r="C29" s="6">
        <f t="shared" si="0"/>
        <v>3676.7123287671202</v>
      </c>
      <c r="D29" s="7">
        <v>5.1518987341772149E-3</v>
      </c>
      <c r="E29" s="6">
        <f t="shared" si="1"/>
        <v>18798772.767123271</v>
      </c>
      <c r="F29" s="8">
        <v>42552</v>
      </c>
      <c r="G29" s="8">
        <f t="shared" si="2"/>
        <v>60814</v>
      </c>
      <c r="H29" s="9">
        <v>101.2</v>
      </c>
      <c r="I29" s="1">
        <f t="shared" si="3"/>
        <v>866.94912847768239</v>
      </c>
      <c r="J29" s="1">
        <f t="shared" si="14"/>
        <v>180137.43593747722</v>
      </c>
      <c r="K29" s="1">
        <f t="shared" si="5"/>
        <v>70495.397876712261</v>
      </c>
      <c r="L29" s="1">
        <f t="shared" si="6"/>
        <v>211486.19363013678</v>
      </c>
      <c r="M29" s="10">
        <f t="shared" si="13"/>
        <v>8.151898734177215E-3</v>
      </c>
      <c r="N29" s="1">
        <f t="shared" si="7"/>
        <v>1955.7037936320694</v>
      </c>
      <c r="O29" s="1">
        <f t="shared" si="8"/>
        <v>-2594934.9166979613</v>
      </c>
      <c r="P29" s="1">
        <f t="shared" si="9"/>
        <v>939938.63835616363</v>
      </c>
      <c r="Q29" s="1">
        <f t="shared" si="10"/>
        <v>0</v>
      </c>
      <c r="R29" s="1">
        <f t="shared" si="11"/>
        <v>20</v>
      </c>
      <c r="S29" s="1">
        <f t="shared" si="12"/>
        <v>1</v>
      </c>
      <c r="Z29" s="11"/>
      <c r="AA29" s="10"/>
    </row>
    <row r="30" spans="1:30" ht="15.75" customHeight="1" x14ac:dyDescent="0.25">
      <c r="A30" s="15" t="s">
        <v>81</v>
      </c>
      <c r="B30" s="1">
        <v>455984</v>
      </c>
      <c r="C30" s="6">
        <f t="shared" si="0"/>
        <v>3549.066002490657</v>
      </c>
      <c r="D30" s="7">
        <v>5.1518987341772149E-3</v>
      </c>
      <c r="E30" s="6">
        <f t="shared" si="1"/>
        <v>18146126.036114555</v>
      </c>
      <c r="F30" s="8">
        <v>42461</v>
      </c>
      <c r="G30" s="8">
        <f t="shared" si="2"/>
        <v>60723</v>
      </c>
      <c r="H30" s="9">
        <v>100.8</v>
      </c>
      <c r="I30" s="1">
        <f t="shared" si="3"/>
        <v>863.52245208053739</v>
      </c>
      <c r="J30" s="1">
        <f t="shared" si="14"/>
        <v>176611.00616323497</v>
      </c>
      <c r="K30" s="1">
        <f t="shared" si="5"/>
        <v>68047.972635429571</v>
      </c>
      <c r="L30" s="1">
        <f t="shared" si="6"/>
        <v>204143.91790628873</v>
      </c>
      <c r="M30" s="10">
        <f t="shared" si="13"/>
        <v>8.151898734177215E-3</v>
      </c>
      <c r="N30" s="1">
        <f t="shared" si="7"/>
        <v>1887.806612068837</v>
      </c>
      <c r="O30" s="1">
        <f t="shared" si="8"/>
        <v>-2500538.0564271845</v>
      </c>
      <c r="P30" s="1">
        <f t="shared" si="9"/>
        <v>907306.30180572777</v>
      </c>
      <c r="Q30" s="1">
        <f t="shared" si="10"/>
        <v>0</v>
      </c>
      <c r="R30" s="1">
        <f t="shared" si="11"/>
        <v>20</v>
      </c>
      <c r="S30" s="1">
        <f t="shared" si="12"/>
        <v>1</v>
      </c>
      <c r="Z30" s="11"/>
      <c r="AA30" s="10"/>
    </row>
    <row r="31" spans="1:30" ht="15.75" customHeight="1" x14ac:dyDescent="0.25">
      <c r="A31" s="5" t="s">
        <v>82</v>
      </c>
      <c r="B31" s="1">
        <v>456229</v>
      </c>
      <c r="C31" s="6">
        <f t="shared" si="0"/>
        <v>3550.9729140722261</v>
      </c>
      <c r="D31" s="7">
        <v>5.1518987341772149E-3</v>
      </c>
      <c r="E31" s="6">
        <f t="shared" si="1"/>
        <v>18155875.941547308</v>
      </c>
      <c r="F31" s="8">
        <v>42370</v>
      </c>
      <c r="G31" s="8">
        <f t="shared" si="2"/>
        <v>60633</v>
      </c>
      <c r="H31" s="9">
        <v>100.1</v>
      </c>
      <c r="I31" s="1">
        <f t="shared" si="3"/>
        <v>857.52576838553352</v>
      </c>
      <c r="J31" s="1">
        <f t="shared" si="14"/>
        <v>176042.7405510734</v>
      </c>
      <c r="K31" s="1">
        <f t="shared" si="5"/>
        <v>68084.534780802394</v>
      </c>
      <c r="L31" s="1">
        <f t="shared" si="6"/>
        <v>204253.6043424072</v>
      </c>
      <c r="M31" s="10">
        <f t="shared" si="13"/>
        <v>8.151898734177215E-3</v>
      </c>
      <c r="N31" s="1">
        <f t="shared" si="7"/>
        <v>1888.8209297202388</v>
      </c>
      <c r="O31" s="1">
        <f t="shared" si="8"/>
        <v>-2411191.2925269986</v>
      </c>
      <c r="P31" s="1">
        <f t="shared" si="9"/>
        <v>907793.79707736545</v>
      </c>
      <c r="Q31" s="1">
        <f t="shared" si="10"/>
        <v>0</v>
      </c>
      <c r="R31" s="1">
        <f t="shared" si="11"/>
        <v>20</v>
      </c>
      <c r="S31" s="1">
        <f t="shared" si="12"/>
        <v>1</v>
      </c>
      <c r="Z31" s="11"/>
      <c r="AA31" s="10"/>
    </row>
    <row r="32" spans="1:30" ht="15.75" customHeight="1" x14ac:dyDescent="0.25">
      <c r="A32" s="13" t="s">
        <v>83</v>
      </c>
      <c r="B32" s="1">
        <v>443399</v>
      </c>
      <c r="C32" s="6">
        <f t="shared" si="0"/>
        <v>3451.1130136986271</v>
      </c>
      <c r="D32" s="7">
        <v>5.1518987341772149E-3</v>
      </c>
      <c r="E32" s="6">
        <f t="shared" si="1"/>
        <v>17645299.261130121</v>
      </c>
      <c r="F32" s="8">
        <v>42278</v>
      </c>
      <c r="G32" s="8">
        <f t="shared" si="2"/>
        <v>60541</v>
      </c>
      <c r="H32" s="9">
        <v>100.4</v>
      </c>
      <c r="I32" s="1">
        <f t="shared" si="3"/>
        <v>860.09577568339239</v>
      </c>
      <c r="J32" s="1">
        <f t="shared" si="14"/>
        <v>173788.05637558419</v>
      </c>
      <c r="K32" s="1">
        <f t="shared" si="5"/>
        <v>66169.872229237953</v>
      </c>
      <c r="L32" s="1">
        <f t="shared" si="6"/>
        <v>198509.61668771386</v>
      </c>
      <c r="M32" s="10">
        <f t="shared" si="13"/>
        <v>8.151898734177215E-3</v>
      </c>
      <c r="N32" s="1">
        <f t="shared" si="7"/>
        <v>1835.7038053631493</v>
      </c>
      <c r="O32" s="1">
        <f t="shared" si="8"/>
        <v>-2321365.4695427893</v>
      </c>
      <c r="P32" s="1">
        <f t="shared" si="9"/>
        <v>882264.96305650612</v>
      </c>
      <c r="Q32" s="1">
        <f t="shared" si="10"/>
        <v>0</v>
      </c>
      <c r="R32" s="1">
        <f t="shared" si="11"/>
        <v>20</v>
      </c>
      <c r="S32" s="1">
        <f t="shared" si="12"/>
        <v>1</v>
      </c>
      <c r="Z32" s="11"/>
      <c r="AA32" s="10"/>
    </row>
    <row r="33" spans="1:27" ht="15.75" customHeight="1" x14ac:dyDescent="0.25">
      <c r="A33" s="13" t="s">
        <v>84</v>
      </c>
      <c r="B33" s="1">
        <v>429711</v>
      </c>
      <c r="C33" s="6">
        <f t="shared" si="0"/>
        <v>3344.5750311332472</v>
      </c>
      <c r="D33" s="7">
        <v>5.1518987341772149E-3</v>
      </c>
      <c r="E33" s="6">
        <f t="shared" si="1"/>
        <v>17100578.013932113</v>
      </c>
      <c r="F33" s="8">
        <v>42186</v>
      </c>
      <c r="G33" s="8">
        <f t="shared" si="2"/>
        <v>60449</v>
      </c>
      <c r="H33" s="9">
        <v>100.2</v>
      </c>
      <c r="I33" s="1">
        <f t="shared" si="3"/>
        <v>858.38243748481977</v>
      </c>
      <c r="J33" s="1">
        <f t="shared" si="14"/>
        <v>170895.64964558455</v>
      </c>
      <c r="K33" s="1">
        <f t="shared" si="5"/>
        <v>64127.167552245424</v>
      </c>
      <c r="L33" s="1">
        <f t="shared" si="6"/>
        <v>192381.50265673627</v>
      </c>
      <c r="M33" s="10">
        <f t="shared" si="13"/>
        <v>8.151898734177215E-3</v>
      </c>
      <c r="N33" s="1">
        <f t="shared" si="7"/>
        <v>1779.0344991901293</v>
      </c>
      <c r="O33" s="1">
        <f t="shared" si="8"/>
        <v>-2235818.0894992054</v>
      </c>
      <c r="P33" s="1">
        <f t="shared" si="9"/>
        <v>855028.90069660568</v>
      </c>
      <c r="Q33" s="1">
        <f t="shared" si="10"/>
        <v>0</v>
      </c>
      <c r="R33" s="1">
        <f t="shared" si="11"/>
        <v>20</v>
      </c>
      <c r="S33" s="1">
        <f t="shared" si="12"/>
        <v>1</v>
      </c>
      <c r="Z33" s="11"/>
      <c r="AA33" s="10"/>
    </row>
    <row r="34" spans="1:27" ht="15.75" customHeight="1" x14ac:dyDescent="0.25">
      <c r="A34" s="15" t="s">
        <v>85</v>
      </c>
      <c r="B34" s="1">
        <v>408780</v>
      </c>
      <c r="C34" s="6">
        <f t="shared" si="0"/>
        <v>3181.662515566622</v>
      </c>
      <c r="D34" s="7">
        <v>5.1518987341772149E-3</v>
      </c>
      <c r="E34" s="6">
        <f t="shared" si="1"/>
        <v>16267617.725716049</v>
      </c>
      <c r="F34" s="8">
        <v>42095</v>
      </c>
      <c r="G34" s="8">
        <f t="shared" si="2"/>
        <v>60358</v>
      </c>
      <c r="H34" s="9">
        <v>100</v>
      </c>
      <c r="I34" s="1">
        <f t="shared" si="3"/>
        <v>856.66909928624727</v>
      </c>
      <c r="J34" s="1">
        <f t="shared" si="14"/>
        <v>166467.32081970436</v>
      </c>
      <c r="K34" s="1">
        <f t="shared" si="5"/>
        <v>61003.566471435181</v>
      </c>
      <c r="L34" s="1">
        <f t="shared" si="6"/>
        <v>183010.69941430553</v>
      </c>
      <c r="M34" s="10">
        <f t="shared" si="13"/>
        <v>8.151898734177215E-3</v>
      </c>
      <c r="N34" s="1">
        <f t="shared" si="7"/>
        <v>1692.3786511840312</v>
      </c>
      <c r="O34" s="1">
        <f t="shared" si="8"/>
        <v>-2154518.7591120992</v>
      </c>
      <c r="P34" s="1">
        <f t="shared" si="9"/>
        <v>813380.88628580247</v>
      </c>
      <c r="Q34" s="1">
        <f t="shared" si="10"/>
        <v>0</v>
      </c>
      <c r="R34" s="1">
        <f t="shared" si="11"/>
        <v>20</v>
      </c>
      <c r="S34" s="1">
        <f t="shared" si="12"/>
        <v>1</v>
      </c>
      <c r="Z34" s="11"/>
      <c r="AA34" s="10"/>
    </row>
    <row r="35" spans="1:27" ht="15.75" customHeight="1" x14ac:dyDescent="0.25">
      <c r="A35" s="5" t="s">
        <v>86</v>
      </c>
      <c r="B35" s="1">
        <v>406730</v>
      </c>
      <c r="C35" s="6">
        <f t="shared" si="0"/>
        <v>3165.7067247820637</v>
      </c>
      <c r="D35" s="7">
        <v>5.1518987341772149E-3</v>
      </c>
      <c r="E35" s="6">
        <f t="shared" si="1"/>
        <v>16186036.884339957</v>
      </c>
      <c r="F35" s="8">
        <v>42005</v>
      </c>
      <c r="G35" s="8">
        <f t="shared" si="2"/>
        <v>60268</v>
      </c>
      <c r="H35" s="9">
        <v>99.4</v>
      </c>
      <c r="I35" s="1">
        <f t="shared" si="3"/>
        <v>851.52908469052988</v>
      </c>
      <c r="J35" s="1">
        <f t="shared" si="14"/>
        <v>165550.46789718675</v>
      </c>
      <c r="K35" s="1">
        <f t="shared" si="5"/>
        <v>60697.638316274832</v>
      </c>
      <c r="L35" s="1">
        <f t="shared" si="6"/>
        <v>182092.9149488245</v>
      </c>
      <c r="M35" s="10">
        <f t="shared" si="13"/>
        <v>8.151898734177215E-3</v>
      </c>
      <c r="N35" s="1">
        <f t="shared" si="7"/>
        <v>1683.891503488627</v>
      </c>
      <c r="O35" s="1">
        <f t="shared" si="8"/>
        <v>-2079711.8182306017</v>
      </c>
      <c r="P35" s="1">
        <f t="shared" si="9"/>
        <v>809301.84421699785</v>
      </c>
      <c r="Q35" s="1">
        <f t="shared" si="10"/>
        <v>0</v>
      </c>
      <c r="R35" s="1">
        <f t="shared" si="11"/>
        <v>20</v>
      </c>
      <c r="S35" s="1">
        <f t="shared" si="12"/>
        <v>1</v>
      </c>
      <c r="Z35" s="11"/>
      <c r="AA35" s="10"/>
    </row>
    <row r="36" spans="1:27" ht="15.75" customHeight="1" x14ac:dyDescent="0.25">
      <c r="A36" s="13" t="s">
        <v>87</v>
      </c>
      <c r="B36" s="1">
        <v>401072</v>
      </c>
      <c r="C36" s="6">
        <f t="shared" si="0"/>
        <v>3121.6687422166842</v>
      </c>
      <c r="D36" s="7">
        <v>5.1518987341772149E-3</v>
      </c>
      <c r="E36" s="6">
        <f t="shared" si="1"/>
        <v>15960873.76214195</v>
      </c>
      <c r="F36" s="8">
        <v>41913</v>
      </c>
      <c r="G36" s="8">
        <f t="shared" si="2"/>
        <v>60176</v>
      </c>
      <c r="H36" s="9">
        <v>100</v>
      </c>
      <c r="I36" s="1">
        <f t="shared" si="3"/>
        <v>856.66909928624727</v>
      </c>
      <c r="J36" s="1">
        <f t="shared" si="14"/>
        <v>164882.10240675297</v>
      </c>
      <c r="K36" s="1">
        <f t="shared" si="5"/>
        <v>59853.276608032313</v>
      </c>
      <c r="L36" s="1">
        <f t="shared" si="6"/>
        <v>179559.82982409693</v>
      </c>
      <c r="M36" s="10">
        <f t="shared" si="13"/>
        <v>8.151898734177215E-3</v>
      </c>
      <c r="N36" s="1">
        <f t="shared" si="7"/>
        <v>1660.4669758493117</v>
      </c>
      <c r="O36" s="1">
        <f t="shared" si="8"/>
        <v>-2005226.7074149486</v>
      </c>
      <c r="P36" s="1">
        <f t="shared" si="9"/>
        <v>798043.68810709752</v>
      </c>
      <c r="Q36" s="1">
        <f t="shared" si="10"/>
        <v>0</v>
      </c>
      <c r="R36" s="1">
        <f t="shared" si="11"/>
        <v>20</v>
      </c>
      <c r="S36" s="1">
        <f t="shared" si="12"/>
        <v>1</v>
      </c>
      <c r="Z36" s="11"/>
      <c r="AA36" s="10"/>
    </row>
    <row r="37" spans="1:27" ht="15.75" customHeight="1" x14ac:dyDescent="0.25">
      <c r="A37" s="13" t="s">
        <v>88</v>
      </c>
      <c r="B37" s="1">
        <v>400404</v>
      </c>
      <c r="C37" s="6">
        <f t="shared" si="0"/>
        <v>3116.4694894146915</v>
      </c>
      <c r="D37" s="7">
        <v>5.1518987341772149E-3</v>
      </c>
      <c r="E37" s="6">
        <f t="shared" si="1"/>
        <v>15934290.346513059</v>
      </c>
      <c r="F37" s="8">
        <v>41821</v>
      </c>
      <c r="G37" s="8">
        <f t="shared" si="2"/>
        <v>60084</v>
      </c>
      <c r="H37" s="9">
        <v>99.8</v>
      </c>
      <c r="I37" s="1">
        <f t="shared" si="3"/>
        <v>854.95576108767477</v>
      </c>
      <c r="J37" s="1">
        <f t="shared" si="14"/>
        <v>164579.90711616131</v>
      </c>
      <c r="K37" s="1">
        <f t="shared" si="5"/>
        <v>59753.588799423967</v>
      </c>
      <c r="L37" s="1">
        <f t="shared" si="6"/>
        <v>179260.7663982719</v>
      </c>
      <c r="M37" s="10">
        <f t="shared" si="13"/>
        <v>8.151898734177215E-3</v>
      </c>
      <c r="N37" s="1">
        <f t="shared" si="7"/>
        <v>1657.7014077222241</v>
      </c>
      <c r="O37" s="1">
        <f t="shared" si="8"/>
        <v>-1932840.2441552412</v>
      </c>
      <c r="P37" s="1">
        <f t="shared" si="9"/>
        <v>796714.517325653</v>
      </c>
      <c r="Q37" s="1">
        <f t="shared" si="10"/>
        <v>0</v>
      </c>
      <c r="R37" s="1">
        <f t="shared" si="11"/>
        <v>20</v>
      </c>
      <c r="S37" s="1">
        <f t="shared" si="12"/>
        <v>1</v>
      </c>
      <c r="Z37" s="11"/>
      <c r="AA37" s="10"/>
    </row>
    <row r="38" spans="1:27" ht="15.75" customHeight="1" x14ac:dyDescent="0.25">
      <c r="A38" s="15" t="s">
        <v>89</v>
      </c>
      <c r="B38" s="1">
        <v>362699</v>
      </c>
      <c r="C38" s="6">
        <f t="shared" si="0"/>
        <v>2822.9996886674935</v>
      </c>
      <c r="D38" s="7">
        <v>5.1518987341772149E-3</v>
      </c>
      <c r="E38" s="6">
        <f t="shared" si="1"/>
        <v>14433799.798178688</v>
      </c>
      <c r="F38" s="8">
        <v>41730</v>
      </c>
      <c r="G38" s="8">
        <f t="shared" si="2"/>
        <v>59993</v>
      </c>
      <c r="H38" s="9">
        <v>99.7</v>
      </c>
      <c r="I38" s="1">
        <f t="shared" si="3"/>
        <v>854.09909198838852</v>
      </c>
      <c r="J38" s="1">
        <f t="shared" si="14"/>
        <v>156373.449333948</v>
      </c>
      <c r="K38" s="1">
        <f t="shared" si="5"/>
        <v>54126.749243170081</v>
      </c>
      <c r="L38" s="1">
        <f t="shared" si="6"/>
        <v>162380.24772951024</v>
      </c>
      <c r="M38" s="10">
        <f t="shared" si="13"/>
        <v>8.151898734177215E-3</v>
      </c>
      <c r="N38" s="1">
        <f t="shared" si="7"/>
        <v>1501.5999912074878</v>
      </c>
      <c r="O38" s="1">
        <f t="shared" si="8"/>
        <v>-1860556.4173824741</v>
      </c>
      <c r="P38" s="1">
        <f t="shared" si="9"/>
        <v>721689.98990893445</v>
      </c>
      <c r="Q38" s="1">
        <f t="shared" si="10"/>
        <v>0</v>
      </c>
      <c r="R38" s="1">
        <f t="shared" si="11"/>
        <v>20</v>
      </c>
      <c r="S38" s="1">
        <f t="shared" si="12"/>
        <v>1</v>
      </c>
      <c r="Z38" s="11"/>
      <c r="AA38" s="10"/>
    </row>
    <row r="39" spans="1:27" ht="15.75" customHeight="1" x14ac:dyDescent="0.25">
      <c r="A39" s="5" t="s">
        <v>90</v>
      </c>
      <c r="B39" s="1">
        <v>345186</v>
      </c>
      <c r="C39" s="6">
        <f t="shared" si="0"/>
        <v>2686.6905354919022</v>
      </c>
      <c r="D39" s="7">
        <v>5.1518987341772149E-3</v>
      </c>
      <c r="E39" s="6">
        <f t="shared" si="1"/>
        <v>13736860.639632611</v>
      </c>
      <c r="F39" s="8">
        <v>41640</v>
      </c>
      <c r="G39" s="8">
        <f t="shared" si="2"/>
        <v>59902</v>
      </c>
      <c r="H39" s="9">
        <v>99</v>
      </c>
      <c r="I39" s="1">
        <f t="shared" si="3"/>
        <v>848.10240829338477</v>
      </c>
      <c r="J39" s="1">
        <f t="shared" si="14"/>
        <v>151980.77386462709</v>
      </c>
      <c r="K39" s="1">
        <f t="shared" si="5"/>
        <v>51513.227398622286</v>
      </c>
      <c r="L39" s="1">
        <f t="shared" si="6"/>
        <v>154539.68219586686</v>
      </c>
      <c r="M39" s="10">
        <f t="shared" si="13"/>
        <v>8.151898734177215E-3</v>
      </c>
      <c r="N39" s="1">
        <f t="shared" si="7"/>
        <v>1429.0949094564583</v>
      </c>
      <c r="O39" s="1">
        <f t="shared" si="8"/>
        <v>-1799818.91172003</v>
      </c>
      <c r="P39" s="1">
        <f t="shared" si="9"/>
        <v>686843.0319816306</v>
      </c>
      <c r="Q39" s="1">
        <f t="shared" si="10"/>
        <v>0</v>
      </c>
      <c r="R39" s="1">
        <f t="shared" si="11"/>
        <v>20</v>
      </c>
      <c r="S39" s="1">
        <f t="shared" si="12"/>
        <v>1</v>
      </c>
      <c r="Z39" s="11"/>
      <c r="AA39" s="10"/>
    </row>
    <row r="40" spans="1:27" ht="15.75" customHeight="1" x14ac:dyDescent="0.25">
      <c r="A40" s="13" t="s">
        <v>91</v>
      </c>
      <c r="B40" s="1">
        <v>331338</v>
      </c>
      <c r="C40" s="6">
        <f t="shared" si="0"/>
        <v>2578.9072229140693</v>
      </c>
      <c r="D40" s="7">
        <v>5.1518987341772149E-3</v>
      </c>
      <c r="E40" s="6">
        <f t="shared" si="1"/>
        <v>13185772.107254034</v>
      </c>
      <c r="F40" s="8">
        <v>41548</v>
      </c>
      <c r="G40" s="8">
        <f t="shared" si="2"/>
        <v>59810</v>
      </c>
      <c r="H40" s="9">
        <v>98.9</v>
      </c>
      <c r="I40" s="1">
        <f t="shared" si="3"/>
        <v>847.24573919409852</v>
      </c>
      <c r="J40" s="1">
        <f t="shared" si="14"/>
        <v>148796.14194557542</v>
      </c>
      <c r="K40" s="1">
        <f t="shared" si="5"/>
        <v>49446.645402202623</v>
      </c>
      <c r="L40" s="1">
        <f t="shared" si="6"/>
        <v>148339.93620660788</v>
      </c>
      <c r="M40" s="10">
        <f t="shared" si="13"/>
        <v>8.151898734177215E-3</v>
      </c>
      <c r="N40" s="1">
        <f t="shared" si="7"/>
        <v>1371.7631917559922</v>
      </c>
      <c r="O40" s="1">
        <f t="shared" si="8"/>
        <v>-1744066.7325361709</v>
      </c>
      <c r="P40" s="1">
        <f t="shared" si="9"/>
        <v>659288.6053627017</v>
      </c>
      <c r="Q40" s="1">
        <f t="shared" si="10"/>
        <v>0</v>
      </c>
      <c r="R40" s="1">
        <f t="shared" si="11"/>
        <v>20</v>
      </c>
      <c r="S40" s="1">
        <f t="shared" si="12"/>
        <v>1</v>
      </c>
      <c r="Z40" s="11"/>
      <c r="AA40" s="10"/>
    </row>
    <row r="41" spans="1:27" ht="15.75" customHeight="1" x14ac:dyDescent="0.25">
      <c r="A41" s="13" t="s">
        <v>92</v>
      </c>
      <c r="B41" s="1">
        <v>318214</v>
      </c>
      <c r="C41" s="6">
        <f t="shared" si="0"/>
        <v>2476.7590286425875</v>
      </c>
      <c r="D41" s="7">
        <v>5.1518987341772149E-3</v>
      </c>
      <c r="E41" s="6">
        <f t="shared" si="1"/>
        <v>12663495.540317545</v>
      </c>
      <c r="F41" s="8">
        <v>41456</v>
      </c>
      <c r="G41" s="8">
        <f t="shared" si="2"/>
        <v>59718</v>
      </c>
      <c r="H41" s="9">
        <v>98.4</v>
      </c>
      <c r="I41" s="1">
        <f t="shared" si="3"/>
        <v>842.96239369766738</v>
      </c>
      <c r="J41" s="1">
        <f t="shared" si="14"/>
        <v>145427.74548250803</v>
      </c>
      <c r="K41" s="1">
        <f t="shared" si="5"/>
        <v>47488.108276190789</v>
      </c>
      <c r="L41" s="1">
        <f t="shared" si="6"/>
        <v>142464.32482857237</v>
      </c>
      <c r="M41" s="10">
        <f t="shared" si="13"/>
        <v>8.151898734177215E-3</v>
      </c>
      <c r="N41" s="1">
        <f t="shared" si="7"/>
        <v>1317.42888621722</v>
      </c>
      <c r="O41" s="1">
        <f t="shared" si="8"/>
        <v>-1692444.288594187</v>
      </c>
      <c r="P41" s="1">
        <f t="shared" si="9"/>
        <v>633174.77701587731</v>
      </c>
      <c r="Q41" s="1">
        <f t="shared" si="10"/>
        <v>0</v>
      </c>
      <c r="R41" s="1">
        <f t="shared" si="11"/>
        <v>20</v>
      </c>
      <c r="S41" s="1">
        <f t="shared" si="12"/>
        <v>1</v>
      </c>
      <c r="Z41" s="11"/>
      <c r="AA41" s="10"/>
    </row>
    <row r="42" spans="1:27" ht="15.75" customHeight="1" x14ac:dyDescent="0.25">
      <c r="A42" s="15" t="s">
        <v>93</v>
      </c>
      <c r="B42" s="1">
        <v>306919</v>
      </c>
      <c r="C42" s="6">
        <f t="shared" si="0"/>
        <v>2388.8465130759628</v>
      </c>
      <c r="D42" s="7">
        <v>5.1518987341772149E-3</v>
      </c>
      <c r="E42" s="6">
        <f t="shared" si="1"/>
        <v>12214005.002101483</v>
      </c>
      <c r="F42" s="8">
        <v>41365</v>
      </c>
      <c r="G42" s="8">
        <f t="shared" si="2"/>
        <v>59627</v>
      </c>
      <c r="H42" s="9">
        <v>98.1</v>
      </c>
      <c r="I42" s="1">
        <f t="shared" si="3"/>
        <v>840.39238639980863</v>
      </c>
      <c r="J42" s="1">
        <f t="shared" si="14"/>
        <v>142586.05218129887</v>
      </c>
      <c r="K42" s="1">
        <f t="shared" si="5"/>
        <v>45802.518757880556</v>
      </c>
      <c r="L42" s="1">
        <f t="shared" si="6"/>
        <v>137407.55627364168</v>
      </c>
      <c r="M42" s="10">
        <f t="shared" si="13"/>
        <v>8.151898734177215E-3</v>
      </c>
      <c r="N42" s="1">
        <f t="shared" si="7"/>
        <v>1270.6667724515671</v>
      </c>
      <c r="O42" s="1">
        <f t="shared" si="8"/>
        <v>-1644507.9983292448</v>
      </c>
      <c r="P42" s="1">
        <f t="shared" si="9"/>
        <v>610700.25010507414</v>
      </c>
      <c r="Q42" s="1">
        <f t="shared" si="10"/>
        <v>0</v>
      </c>
      <c r="R42" s="1">
        <f t="shared" si="11"/>
        <v>20</v>
      </c>
      <c r="S42" s="1">
        <f t="shared" si="12"/>
        <v>1</v>
      </c>
      <c r="Z42" s="11"/>
      <c r="AA42" s="10"/>
    </row>
    <row r="43" spans="1:27" ht="15.75" customHeight="1" x14ac:dyDescent="0.25">
      <c r="A43" s="5" t="s">
        <v>94</v>
      </c>
      <c r="B43" s="1">
        <v>300361</v>
      </c>
      <c r="C43" s="6">
        <f t="shared" si="0"/>
        <v>2337.803549190533</v>
      </c>
      <c r="D43" s="7">
        <v>5.1518987341772149E-3</v>
      </c>
      <c r="E43" s="6">
        <f t="shared" si="1"/>
        <v>11953025.900762752</v>
      </c>
      <c r="F43" s="8">
        <v>41275</v>
      </c>
      <c r="G43" s="8">
        <f t="shared" si="2"/>
        <v>59537</v>
      </c>
      <c r="H43" s="9">
        <v>97.4</v>
      </c>
      <c r="I43" s="1">
        <f t="shared" si="3"/>
        <v>834.39570270480499</v>
      </c>
      <c r="J43" s="1">
        <f t="shared" si="14"/>
        <v>140546.67875804595</v>
      </c>
      <c r="K43" s="1">
        <f t="shared" si="5"/>
        <v>44823.847127860317</v>
      </c>
      <c r="L43" s="1">
        <f t="shared" si="6"/>
        <v>134471.54138358094</v>
      </c>
      <c r="M43" s="10">
        <f t="shared" si="13"/>
        <v>8.151898734177215E-3</v>
      </c>
      <c r="N43" s="1">
        <f t="shared" si="7"/>
        <v>1243.5161799703674</v>
      </c>
      <c r="O43" s="1">
        <f t="shared" si="8"/>
        <v>-1599781.3759734475</v>
      </c>
      <c r="P43" s="1">
        <f t="shared" si="9"/>
        <v>597651.29503813758</v>
      </c>
      <c r="Q43" s="1">
        <f t="shared" si="10"/>
        <v>0</v>
      </c>
      <c r="R43" s="1">
        <f t="shared" si="11"/>
        <v>20</v>
      </c>
      <c r="S43" s="1">
        <f t="shared" si="12"/>
        <v>1</v>
      </c>
      <c r="Z43" s="11"/>
      <c r="AA43" s="10"/>
    </row>
    <row r="44" spans="1:27" ht="15.75" customHeight="1" x14ac:dyDescent="0.25">
      <c r="A44" s="13" t="s">
        <v>95</v>
      </c>
      <c r="B44" s="1">
        <v>301168</v>
      </c>
      <c r="C44" s="6">
        <f t="shared" si="0"/>
        <v>2344.0846824408445</v>
      </c>
      <c r="D44" s="7">
        <v>5.1518987341772149E-3</v>
      </c>
      <c r="E44" s="6">
        <f t="shared" si="1"/>
        <v>11985140.895392267</v>
      </c>
      <c r="F44" s="8">
        <v>41183</v>
      </c>
      <c r="G44" s="8">
        <f t="shared" si="2"/>
        <v>59445</v>
      </c>
      <c r="H44" s="9">
        <v>97</v>
      </c>
      <c r="I44" s="1">
        <f t="shared" si="3"/>
        <v>830.96902630765999</v>
      </c>
      <c r="J44" s="1">
        <f t="shared" si="14"/>
        <v>140445.26717784029</v>
      </c>
      <c r="K44" s="1">
        <f t="shared" si="5"/>
        <v>44944.278357720999</v>
      </c>
      <c r="L44" s="1">
        <f t="shared" si="6"/>
        <v>134832.83507316301</v>
      </c>
      <c r="M44" s="10">
        <f t="shared" si="13"/>
        <v>8.151898734177215E-3</v>
      </c>
      <c r="N44" s="1">
        <f t="shared" si="7"/>
        <v>1246.8572181119239</v>
      </c>
      <c r="O44" s="1">
        <f t="shared" si="8"/>
        <v>-1556665.1757825965</v>
      </c>
      <c r="P44" s="1">
        <f t="shared" si="9"/>
        <v>599257.04476961342</v>
      </c>
      <c r="Q44" s="1">
        <f t="shared" si="10"/>
        <v>0</v>
      </c>
      <c r="R44" s="1">
        <f t="shared" si="11"/>
        <v>20</v>
      </c>
      <c r="S44" s="1">
        <f t="shared" si="12"/>
        <v>1</v>
      </c>
      <c r="Z44" s="11"/>
      <c r="AA44" s="10"/>
    </row>
    <row r="45" spans="1:27" ht="15.75" customHeight="1" x14ac:dyDescent="0.25">
      <c r="A45" s="13" t="s">
        <v>96</v>
      </c>
      <c r="B45" s="1">
        <v>302399</v>
      </c>
      <c r="C45" s="6">
        <f t="shared" si="0"/>
        <v>2353.6659402241571</v>
      </c>
      <c r="D45" s="7">
        <v>5.1518987341772149E-3</v>
      </c>
      <c r="E45" s="6">
        <f t="shared" si="1"/>
        <v>12034129.195750298</v>
      </c>
      <c r="F45" s="8">
        <v>41091</v>
      </c>
      <c r="G45" s="8">
        <f t="shared" si="2"/>
        <v>59353</v>
      </c>
      <c r="H45" s="9">
        <v>96.1</v>
      </c>
      <c r="I45" s="1">
        <f t="shared" si="3"/>
        <v>823.25900441408373</v>
      </c>
      <c r="J45" s="1">
        <f t="shared" si="14"/>
        <v>140074.45759973233</v>
      </c>
      <c r="K45" s="1">
        <f t="shared" si="5"/>
        <v>45127.984484063614</v>
      </c>
      <c r="L45" s="1">
        <f t="shared" si="6"/>
        <v>135383.95345219085</v>
      </c>
      <c r="M45" s="10">
        <f t="shared" si="13"/>
        <v>8.151898734177215E-3</v>
      </c>
      <c r="N45" s="1">
        <f t="shared" si="7"/>
        <v>1251.9536468012127</v>
      </c>
      <c r="O45" s="1">
        <f t="shared" si="8"/>
        <v>-1513121.7643750296</v>
      </c>
      <c r="P45" s="1">
        <f t="shared" si="9"/>
        <v>601706.45978751488</v>
      </c>
      <c r="Q45" s="1">
        <f t="shared" si="10"/>
        <v>0</v>
      </c>
      <c r="R45" s="1">
        <f t="shared" si="11"/>
        <v>20</v>
      </c>
      <c r="S45" s="1">
        <f t="shared" si="12"/>
        <v>1</v>
      </c>
      <c r="Z45" s="11"/>
      <c r="AA45" s="10"/>
    </row>
    <row r="46" spans="1:27" ht="15.75" customHeight="1" x14ac:dyDescent="0.25">
      <c r="A46" s="15" t="s">
        <v>97</v>
      </c>
      <c r="B46" s="1">
        <v>293375</v>
      </c>
      <c r="C46" s="6">
        <f t="shared" si="0"/>
        <v>2283.429327521791</v>
      </c>
      <c r="D46" s="7">
        <v>5.1518987341772149E-3</v>
      </c>
      <c r="E46" s="6">
        <f t="shared" si="1"/>
        <v>11675014.31156599</v>
      </c>
      <c r="F46" s="8">
        <v>41000</v>
      </c>
      <c r="G46" s="8">
        <f t="shared" si="2"/>
        <v>59262</v>
      </c>
      <c r="H46" s="9">
        <v>95.8</v>
      </c>
      <c r="I46" s="1">
        <f t="shared" si="3"/>
        <v>820.68899711622498</v>
      </c>
      <c r="J46" s="1">
        <f t="shared" si="14"/>
        <v>137740.39216725822</v>
      </c>
      <c r="K46" s="1">
        <f t="shared" si="5"/>
        <v>43781.303668372457</v>
      </c>
      <c r="L46" s="1">
        <f t="shared" si="6"/>
        <v>131343.91100511738</v>
      </c>
      <c r="M46" s="10">
        <f t="shared" si="13"/>
        <v>8.151898734177215E-3</v>
      </c>
      <c r="N46" s="1">
        <f t="shared" si="7"/>
        <v>1214.593636653249</v>
      </c>
      <c r="O46" s="1">
        <f t="shared" si="8"/>
        <v>-1468786.2083626648</v>
      </c>
      <c r="P46" s="1">
        <f t="shared" si="9"/>
        <v>583750.71557829948</v>
      </c>
      <c r="Q46" s="1">
        <f t="shared" si="10"/>
        <v>0</v>
      </c>
      <c r="R46" s="1">
        <f t="shared" si="11"/>
        <v>20</v>
      </c>
      <c r="S46" s="1">
        <f t="shared" si="12"/>
        <v>1</v>
      </c>
      <c r="Z46" s="11"/>
      <c r="AA46" s="10"/>
    </row>
    <row r="47" spans="1:27" ht="15.75" customHeight="1" x14ac:dyDescent="0.25">
      <c r="A47" s="5" t="s">
        <v>98</v>
      </c>
      <c r="B47" s="1">
        <v>298216</v>
      </c>
      <c r="C47" s="6">
        <f t="shared" si="0"/>
        <v>2321.1083437110815</v>
      </c>
      <c r="D47" s="7">
        <v>5.1518987341772149E-3</v>
      </c>
      <c r="E47" s="6">
        <f t="shared" si="1"/>
        <v>11867664.483810699</v>
      </c>
      <c r="F47" s="8">
        <v>40909</v>
      </c>
      <c r="G47" s="8">
        <f t="shared" si="2"/>
        <v>59172</v>
      </c>
      <c r="H47" s="9">
        <v>95.1</v>
      </c>
      <c r="I47" s="1">
        <f t="shared" si="3"/>
        <v>814.69231342122123</v>
      </c>
      <c r="J47" s="1">
        <f t="shared" si="14"/>
        <v>138354.16771994089</v>
      </c>
      <c r="K47" s="1">
        <f t="shared" si="5"/>
        <v>44503.741814290115</v>
      </c>
      <c r="L47" s="1">
        <f t="shared" si="6"/>
        <v>133511.22544287035</v>
      </c>
      <c r="M47" s="10">
        <f t="shared" si="13"/>
        <v>8.151898734177215E-3</v>
      </c>
      <c r="N47" s="1">
        <f t="shared" si="7"/>
        <v>1234.6357254305422</v>
      </c>
      <c r="O47" s="1">
        <f t="shared" si="8"/>
        <v>-1426973.5522662653</v>
      </c>
      <c r="P47" s="1">
        <f t="shared" si="9"/>
        <v>593383.22419053491</v>
      </c>
      <c r="Q47" s="1">
        <f t="shared" si="10"/>
        <v>0</v>
      </c>
      <c r="R47" s="1">
        <f t="shared" si="11"/>
        <v>20</v>
      </c>
      <c r="S47" s="1">
        <f t="shared" si="12"/>
        <v>1</v>
      </c>
      <c r="Z47" s="11"/>
      <c r="AA47" s="10"/>
    </row>
    <row r="48" spans="1:27" ht="15.75" customHeight="1" x14ac:dyDescent="0.25">
      <c r="A48" s="13" t="s">
        <v>99</v>
      </c>
      <c r="B48" s="1">
        <v>295024</v>
      </c>
      <c r="C48" s="6">
        <f t="shared" si="0"/>
        <v>2296.2640099626383</v>
      </c>
      <c r="D48" s="7">
        <v>5.1518987341772149E-3</v>
      </c>
      <c r="E48" s="6">
        <f t="shared" si="1"/>
        <v>11740637.144458272</v>
      </c>
      <c r="F48" s="8">
        <v>40817</v>
      </c>
      <c r="G48" s="8">
        <f t="shared" si="2"/>
        <v>59080</v>
      </c>
      <c r="H48" s="9">
        <v>94.7</v>
      </c>
      <c r="I48" s="1">
        <f t="shared" si="3"/>
        <v>811.26563702407634</v>
      </c>
      <c r="J48" s="1">
        <f t="shared" si="14"/>
        <v>137321.28346828453</v>
      </c>
      <c r="K48" s="1">
        <f t="shared" si="5"/>
        <v>44027.389291718515</v>
      </c>
      <c r="L48" s="1">
        <f t="shared" si="6"/>
        <v>132082.16787515554</v>
      </c>
      <c r="M48" s="10">
        <f t="shared" si="13"/>
        <v>8.151898734177215E-3</v>
      </c>
      <c r="N48" s="1">
        <f t="shared" si="7"/>
        <v>1221.4206154579911</v>
      </c>
      <c r="O48" s="1">
        <f t="shared" si="8"/>
        <v>-1383392.5358413565</v>
      </c>
      <c r="P48" s="1">
        <f t="shared" si="9"/>
        <v>587031.85722291365</v>
      </c>
      <c r="Q48" s="1">
        <f t="shared" si="10"/>
        <v>0</v>
      </c>
      <c r="R48" s="1">
        <f t="shared" si="11"/>
        <v>20</v>
      </c>
      <c r="S48" s="1">
        <f t="shared" si="12"/>
        <v>1</v>
      </c>
      <c r="Z48" s="11"/>
      <c r="AA48" s="10"/>
    </row>
    <row r="49" spans="1:27" ht="15.75" customHeight="1" x14ac:dyDescent="0.25">
      <c r="A49" s="13" t="s">
        <v>100</v>
      </c>
      <c r="B49" s="1">
        <v>298729</v>
      </c>
      <c r="C49" s="6">
        <f t="shared" si="0"/>
        <v>2325.1011830635098</v>
      </c>
      <c r="D49" s="7">
        <v>5.1518987341772149E-3</v>
      </c>
      <c r="E49" s="6">
        <f t="shared" si="1"/>
        <v>11888079.59192091</v>
      </c>
      <c r="F49" s="8">
        <v>40725</v>
      </c>
      <c r="G49" s="8">
        <f t="shared" si="2"/>
        <v>58988</v>
      </c>
      <c r="H49" s="9">
        <v>93.9</v>
      </c>
      <c r="I49" s="1">
        <f t="shared" si="3"/>
        <v>804.41228422978634</v>
      </c>
      <c r="J49" s="1">
        <f t="shared" si="14"/>
        <v>137588.40059140301</v>
      </c>
      <c r="K49" s="1">
        <f t="shared" si="5"/>
        <v>44580.298469703412</v>
      </c>
      <c r="L49" s="1">
        <f t="shared" si="6"/>
        <v>133740.89540911024</v>
      </c>
      <c r="M49" s="10">
        <f t="shared" si="13"/>
        <v>8.151898734177215E-3</v>
      </c>
      <c r="N49" s="1">
        <f t="shared" si="7"/>
        <v>1236.7595823904164</v>
      </c>
      <c r="O49" s="1">
        <f t="shared" si="8"/>
        <v>-1340569.2022205859</v>
      </c>
      <c r="P49" s="1">
        <f t="shared" si="9"/>
        <v>594403.97959604557</v>
      </c>
      <c r="Q49" s="1">
        <f t="shared" si="10"/>
        <v>0</v>
      </c>
      <c r="R49" s="1">
        <f t="shared" si="11"/>
        <v>20</v>
      </c>
      <c r="S49" s="1">
        <f t="shared" si="12"/>
        <v>1</v>
      </c>
      <c r="Z49" s="11"/>
      <c r="AA49" s="10"/>
    </row>
    <row r="50" spans="1:27" ht="15.75" customHeight="1" x14ac:dyDescent="0.25">
      <c r="A50" s="15" t="s">
        <v>101</v>
      </c>
      <c r="B50" s="1">
        <v>286658</v>
      </c>
      <c r="C50" s="6">
        <f t="shared" si="0"/>
        <v>2231.1488169364861</v>
      </c>
      <c r="D50" s="7">
        <v>5.1518987341772149E-3</v>
      </c>
      <c r="E50" s="6">
        <f t="shared" si="1"/>
        <v>11407707.720579069</v>
      </c>
      <c r="F50" s="8">
        <v>40634</v>
      </c>
      <c r="G50" s="8">
        <f t="shared" si="2"/>
        <v>58897</v>
      </c>
      <c r="H50" s="9">
        <v>93.4</v>
      </c>
      <c r="I50" s="1">
        <f t="shared" si="3"/>
        <v>800.12893873335508</v>
      </c>
      <c r="J50" s="1">
        <f t="shared" si="14"/>
        <v>134398.93040623667</v>
      </c>
      <c r="K50" s="1">
        <f t="shared" si="5"/>
        <v>42778.903952171509</v>
      </c>
      <c r="L50" s="1">
        <f t="shared" si="6"/>
        <v>128336.71185651452</v>
      </c>
      <c r="M50" s="10">
        <f t="shared" si="13"/>
        <v>8.151898734177215E-3</v>
      </c>
      <c r="N50" s="1">
        <f t="shared" si="7"/>
        <v>1186.7847727166495</v>
      </c>
      <c r="O50" s="1">
        <f t="shared" si="8"/>
        <v>-1296260.7671958876</v>
      </c>
      <c r="P50" s="1">
        <f t="shared" si="9"/>
        <v>570385.38602895348</v>
      </c>
      <c r="Q50" s="1">
        <f t="shared" si="10"/>
        <v>0</v>
      </c>
      <c r="R50" s="1">
        <f t="shared" si="11"/>
        <v>20</v>
      </c>
      <c r="S50" s="1">
        <f t="shared" si="12"/>
        <v>1</v>
      </c>
      <c r="Z50" s="11"/>
      <c r="AA50" s="10"/>
    </row>
    <row r="51" spans="1:27" ht="15.75" customHeight="1" x14ac:dyDescent="0.25">
      <c r="A51" s="5" t="s">
        <v>102</v>
      </c>
      <c r="B51" s="1">
        <v>282948</v>
      </c>
      <c r="C51" s="6">
        <f t="shared" si="0"/>
        <v>2202.2727272727252</v>
      </c>
      <c r="D51" s="7">
        <v>5.1518987341772149E-3</v>
      </c>
      <c r="E51" s="6">
        <f t="shared" si="1"/>
        <v>11260066.295454536</v>
      </c>
      <c r="F51" s="8">
        <v>40544</v>
      </c>
      <c r="G51" s="8">
        <f t="shared" si="2"/>
        <v>58807</v>
      </c>
      <c r="H51" s="9">
        <v>92.2</v>
      </c>
      <c r="I51" s="1">
        <f t="shared" si="3"/>
        <v>789.84890954192008</v>
      </c>
      <c r="J51" s="1">
        <f t="shared" si="14"/>
        <v>132665.84128142573</v>
      </c>
      <c r="K51" s="1">
        <f t="shared" si="5"/>
        <v>42225.248607954505</v>
      </c>
      <c r="L51" s="1">
        <f t="shared" si="6"/>
        <v>126675.74582386352</v>
      </c>
      <c r="M51" s="10">
        <f t="shared" si="13"/>
        <v>8.151898734177215E-3</v>
      </c>
      <c r="N51" s="1">
        <f t="shared" si="7"/>
        <v>1171.4251054239912</v>
      </c>
      <c r="O51" s="1">
        <f t="shared" si="8"/>
        <v>-1255283.360103427</v>
      </c>
      <c r="P51" s="1">
        <f t="shared" si="9"/>
        <v>563003.31477272685</v>
      </c>
      <c r="Q51" s="1">
        <f t="shared" si="10"/>
        <v>0</v>
      </c>
      <c r="R51" s="1">
        <f t="shared" si="11"/>
        <v>20</v>
      </c>
      <c r="S51" s="1">
        <f t="shared" si="12"/>
        <v>1</v>
      </c>
      <c r="Z51" s="11"/>
      <c r="AA51" s="10"/>
    </row>
    <row r="52" spans="1:27" ht="15.75" customHeight="1" x14ac:dyDescent="0.25">
      <c r="A52" s="13" t="s">
        <v>103</v>
      </c>
      <c r="B52" s="1">
        <v>293582</v>
      </c>
      <c r="C52" s="6">
        <f t="shared" si="0"/>
        <v>2285.0404732254028</v>
      </c>
      <c r="D52" s="7">
        <v>5.1518987341772149E-3</v>
      </c>
      <c r="E52" s="6">
        <f t="shared" si="1"/>
        <v>11683251.986768357</v>
      </c>
      <c r="F52" s="8">
        <v>40452</v>
      </c>
      <c r="G52" s="8">
        <f t="shared" si="2"/>
        <v>58715</v>
      </c>
      <c r="H52" s="9">
        <v>91.1</v>
      </c>
      <c r="I52" s="1">
        <f t="shared" si="3"/>
        <v>780.42554944977132</v>
      </c>
      <c r="J52" s="1">
        <f t="shared" si="14"/>
        <v>134287.15207335996</v>
      </c>
      <c r="K52" s="1">
        <f t="shared" si="5"/>
        <v>43812.194950381345</v>
      </c>
      <c r="L52" s="1">
        <f t="shared" si="6"/>
        <v>131436.58485114403</v>
      </c>
      <c r="M52" s="10">
        <f t="shared" si="13"/>
        <v>8.151898734177215E-3</v>
      </c>
      <c r="N52" s="1">
        <f t="shared" si="7"/>
        <v>1215.4506315668823</v>
      </c>
      <c r="O52" s="1">
        <f t="shared" si="8"/>
        <v>-1214840.4111124901</v>
      </c>
      <c r="P52" s="1">
        <f t="shared" si="9"/>
        <v>584162.59933841787</v>
      </c>
      <c r="Q52" s="1">
        <f t="shared" si="10"/>
        <v>0</v>
      </c>
      <c r="R52" s="1">
        <f t="shared" si="11"/>
        <v>20</v>
      </c>
      <c r="S52" s="1">
        <f t="shared" si="12"/>
        <v>1</v>
      </c>
      <c r="Z52" s="11"/>
      <c r="AA52" s="10"/>
    </row>
    <row r="53" spans="1:27" ht="15.75" customHeight="1" x14ac:dyDescent="0.25">
      <c r="A53" s="13" t="s">
        <v>104</v>
      </c>
      <c r="B53" s="1">
        <v>290249</v>
      </c>
      <c r="C53" s="6">
        <f t="shared" si="0"/>
        <v>2259.0986924034846</v>
      </c>
      <c r="D53" s="7">
        <v>5.1518987341772149E-3</v>
      </c>
      <c r="E53" s="6">
        <f t="shared" si="1"/>
        <v>11550613.47735055</v>
      </c>
      <c r="F53" s="8">
        <v>40360</v>
      </c>
      <c r="G53" s="8">
        <f t="shared" si="2"/>
        <v>58623</v>
      </c>
      <c r="H53" s="9">
        <v>90.3</v>
      </c>
      <c r="I53" s="1">
        <f t="shared" si="3"/>
        <v>773.57219665548132</v>
      </c>
      <c r="J53" s="1">
        <f t="shared" si="14"/>
        <v>132935.02991095631</v>
      </c>
      <c r="K53" s="1">
        <f t="shared" si="5"/>
        <v>43314.800540064556</v>
      </c>
      <c r="L53" s="1">
        <f t="shared" si="6"/>
        <v>129944.40162019368</v>
      </c>
      <c r="M53" s="10">
        <f t="shared" si="13"/>
        <v>8.151898734177215E-3</v>
      </c>
      <c r="N53" s="1">
        <f t="shared" si="7"/>
        <v>1201.6517714357694</v>
      </c>
      <c r="O53" s="1">
        <f t="shared" si="8"/>
        <v>-1170690.47510903</v>
      </c>
      <c r="P53" s="1">
        <f t="shared" si="9"/>
        <v>577530.67386752751</v>
      </c>
      <c r="Q53" s="1">
        <f t="shared" si="10"/>
        <v>0</v>
      </c>
      <c r="R53" s="1">
        <f t="shared" si="11"/>
        <v>20</v>
      </c>
      <c r="S53" s="1">
        <f t="shared" si="12"/>
        <v>1</v>
      </c>
      <c r="Z53" s="11"/>
      <c r="AA53" s="10"/>
    </row>
    <row r="54" spans="1:27" ht="15.75" customHeight="1" x14ac:dyDescent="0.25">
      <c r="A54" s="15" t="s">
        <v>105</v>
      </c>
      <c r="B54" s="1">
        <v>280791</v>
      </c>
      <c r="C54" s="6">
        <f t="shared" si="0"/>
        <v>2185.4841220423391</v>
      </c>
      <c r="D54" s="7">
        <v>5.1518987341772149E-3</v>
      </c>
      <c r="E54" s="6">
        <f t="shared" si="1"/>
        <v>11174227.332113937</v>
      </c>
      <c r="F54" s="8">
        <v>40269</v>
      </c>
      <c r="G54" s="8">
        <f t="shared" si="2"/>
        <v>58532</v>
      </c>
      <c r="H54" s="9">
        <v>90</v>
      </c>
      <c r="I54" s="1">
        <f t="shared" si="3"/>
        <v>771.00218935762257</v>
      </c>
      <c r="J54" s="1">
        <f t="shared" si="14"/>
        <v>130519.32927786226</v>
      </c>
      <c r="K54" s="1">
        <f t="shared" si="5"/>
        <v>41903.352495427265</v>
      </c>
      <c r="L54" s="1">
        <f t="shared" si="6"/>
        <v>125710.05748628179</v>
      </c>
      <c r="M54" s="10">
        <f t="shared" si="13"/>
        <v>8.151898734177215E-3</v>
      </c>
      <c r="N54" s="1">
        <f t="shared" si="7"/>
        <v>1162.4949700196078</v>
      </c>
      <c r="O54" s="1">
        <f t="shared" si="8"/>
        <v>-1127153.8429309579</v>
      </c>
      <c r="P54" s="1">
        <f t="shared" si="9"/>
        <v>558711.36660569685</v>
      </c>
      <c r="Q54" s="1">
        <f t="shared" si="10"/>
        <v>0</v>
      </c>
      <c r="R54" s="1">
        <f t="shared" si="11"/>
        <v>20</v>
      </c>
      <c r="S54" s="1">
        <f t="shared" si="12"/>
        <v>1</v>
      </c>
      <c r="Z54" s="11"/>
      <c r="AA54" s="10"/>
    </row>
    <row r="55" spans="1:27" ht="15.75" customHeight="1" x14ac:dyDescent="0.25">
      <c r="A55" s="22" t="s">
        <v>106</v>
      </c>
      <c r="B55" s="1">
        <v>276088</v>
      </c>
      <c r="C55" s="6">
        <f t="shared" si="0"/>
        <v>2148.87920298879</v>
      </c>
      <c r="D55" s="7">
        <v>5.1518987341772149E-3</v>
      </c>
      <c r="E55" s="6">
        <f t="shared" si="1"/>
        <v>10987068.943337474</v>
      </c>
      <c r="F55" s="8">
        <v>40179</v>
      </c>
      <c r="G55" s="8">
        <f t="shared" si="2"/>
        <v>58441</v>
      </c>
      <c r="H55" s="9">
        <v>89.1</v>
      </c>
      <c r="I55" s="1">
        <f t="shared" si="3"/>
        <v>763.29216746404632</v>
      </c>
      <c r="J55" s="1">
        <f t="shared" si="14"/>
        <v>128772.18472398465</v>
      </c>
      <c r="K55" s="1">
        <f t="shared" si="5"/>
        <v>41201.508537515525</v>
      </c>
      <c r="L55" s="1">
        <f t="shared" si="6"/>
        <v>123604.52561254658</v>
      </c>
      <c r="M55" s="10">
        <f t="shared" si="13"/>
        <v>8.151898734177215E-3</v>
      </c>
      <c r="N55" s="1">
        <f t="shared" si="7"/>
        <v>1143.0242111847369</v>
      </c>
      <c r="O55" s="1">
        <f t="shared" si="8"/>
        <v>-1086281.3494752867</v>
      </c>
      <c r="P55" s="1">
        <f t="shared" si="9"/>
        <v>549353.44716687372</v>
      </c>
      <c r="Q55" s="1">
        <f t="shared" si="10"/>
        <v>0</v>
      </c>
      <c r="R55" s="1">
        <f t="shared" si="11"/>
        <v>20</v>
      </c>
      <c r="S55" s="1">
        <f t="shared" si="12"/>
        <v>1</v>
      </c>
      <c r="Z55" s="11"/>
      <c r="AA55" s="10"/>
    </row>
    <row r="56" spans="1:27" ht="15.75" customHeight="1" x14ac:dyDescent="0.25">
      <c r="A56" s="13" t="s">
        <v>107</v>
      </c>
      <c r="B56" s="1">
        <v>268847</v>
      </c>
      <c r="C56" s="6">
        <f t="shared" si="0"/>
        <v>2092.5202366127005</v>
      </c>
      <c r="D56" s="7">
        <v>5.1518987341772149E-3</v>
      </c>
      <c r="E56" s="6">
        <f t="shared" si="1"/>
        <v>10698909.493384175</v>
      </c>
      <c r="F56" s="8">
        <v>40087</v>
      </c>
      <c r="G56" s="8">
        <f t="shared" si="2"/>
        <v>58349</v>
      </c>
      <c r="H56" s="9">
        <v>88.6</v>
      </c>
      <c r="I56" s="1">
        <f t="shared" si="3"/>
        <v>759.00882196761506</v>
      </c>
      <c r="J56" s="1">
        <f t="shared" si="14"/>
        <v>126708.30439263865</v>
      </c>
      <c r="K56" s="1">
        <f t="shared" si="5"/>
        <v>40120.910600190655</v>
      </c>
      <c r="L56" s="1">
        <f t="shared" si="6"/>
        <v>120362.73180057196</v>
      </c>
      <c r="M56" s="10">
        <f t="shared" si="13"/>
        <v>8.151898734177215E-3</v>
      </c>
      <c r="N56" s="1">
        <f t="shared" si="7"/>
        <v>1113.0459494957511</v>
      </c>
      <c r="O56" s="1">
        <f t="shared" si="8"/>
        <v>-1046378.7439333301</v>
      </c>
      <c r="P56" s="1">
        <f t="shared" si="9"/>
        <v>534945.47466920875</v>
      </c>
      <c r="Q56" s="1">
        <f t="shared" si="10"/>
        <v>0</v>
      </c>
      <c r="R56" s="1">
        <f t="shared" si="11"/>
        <v>20</v>
      </c>
      <c r="S56" s="1">
        <f t="shared" si="12"/>
        <v>1</v>
      </c>
      <c r="Z56" s="11"/>
      <c r="AA56" s="10"/>
    </row>
    <row r="57" spans="1:27" ht="15.75" customHeight="1" x14ac:dyDescent="0.25">
      <c r="A57" s="13" t="s">
        <v>108</v>
      </c>
      <c r="B57" s="1">
        <v>256496</v>
      </c>
      <c r="C57" s="6">
        <f t="shared" si="0"/>
        <v>1996.3885429638835</v>
      </c>
      <c r="D57" s="7">
        <v>5.1518987341772149E-3</v>
      </c>
      <c r="E57" s="6">
        <f t="shared" si="1"/>
        <v>10207394.872976329</v>
      </c>
      <c r="F57" s="8">
        <v>39995</v>
      </c>
      <c r="G57" s="8">
        <f t="shared" si="2"/>
        <v>58257</v>
      </c>
      <c r="H57" s="9">
        <v>88.2</v>
      </c>
      <c r="I57" s="1">
        <f t="shared" si="3"/>
        <v>755.58214557047006</v>
      </c>
      <c r="J57" s="1">
        <f t="shared" si="14"/>
        <v>123455.98335617177</v>
      </c>
      <c r="K57" s="1">
        <f t="shared" si="5"/>
        <v>38277.730773661235</v>
      </c>
      <c r="L57" s="1">
        <f t="shared" si="6"/>
        <v>114833.1923209837</v>
      </c>
      <c r="M57" s="10">
        <f t="shared" si="13"/>
        <v>8.151898734177215E-3</v>
      </c>
      <c r="N57" s="1">
        <f t="shared" si="7"/>
        <v>1061.9119196489535</v>
      </c>
      <c r="O57" s="1">
        <f t="shared" si="8"/>
        <v>-1008376.4099879732</v>
      </c>
      <c r="P57" s="1">
        <f t="shared" si="9"/>
        <v>510369.74364881648</v>
      </c>
      <c r="Q57" s="1">
        <f t="shared" si="10"/>
        <v>0</v>
      </c>
      <c r="R57" s="1">
        <f t="shared" si="11"/>
        <v>20</v>
      </c>
      <c r="S57" s="1">
        <f t="shared" si="12"/>
        <v>1</v>
      </c>
      <c r="Z57" s="11"/>
      <c r="AA57" s="10"/>
    </row>
    <row r="58" spans="1:27" ht="15.75" customHeight="1" x14ac:dyDescent="0.25">
      <c r="A58" s="15" t="s">
        <v>109</v>
      </c>
      <c r="B58" s="1">
        <v>242678</v>
      </c>
      <c r="C58" s="6">
        <f t="shared" si="0"/>
        <v>1888.8387297633856</v>
      </c>
      <c r="D58" s="7">
        <v>5.1518987341772149E-3</v>
      </c>
      <c r="E58" s="6">
        <f t="shared" si="1"/>
        <v>9657500.2065691072</v>
      </c>
      <c r="F58" s="8">
        <v>39904</v>
      </c>
      <c r="G58" s="8">
        <f t="shared" si="2"/>
        <v>58166</v>
      </c>
      <c r="H58" s="9">
        <v>87.8</v>
      </c>
      <c r="I58" s="1">
        <f t="shared" si="3"/>
        <v>752.15546917332495</v>
      </c>
      <c r="J58" s="1">
        <f t="shared" si="14"/>
        <v>119773.22863577645</v>
      </c>
      <c r="K58" s="1">
        <f t="shared" si="5"/>
        <v>36215.625774634151</v>
      </c>
      <c r="L58" s="1">
        <f t="shared" si="6"/>
        <v>108646.87732390246</v>
      </c>
      <c r="M58" s="10">
        <f t="shared" si="13"/>
        <v>8.151898734177215E-3</v>
      </c>
      <c r="N58" s="1">
        <f t="shared" si="7"/>
        <v>1004.7044041098837</v>
      </c>
      <c r="O58" s="1">
        <f t="shared" si="8"/>
        <v>-973789.60684850113</v>
      </c>
      <c r="P58" s="1">
        <f t="shared" si="9"/>
        <v>482875.01032845536</v>
      </c>
      <c r="Q58" s="1">
        <f t="shared" si="10"/>
        <v>0</v>
      </c>
      <c r="R58" s="1">
        <f t="shared" si="11"/>
        <v>20</v>
      </c>
      <c r="S58" s="1">
        <f t="shared" si="12"/>
        <v>1</v>
      </c>
      <c r="Z58" s="11"/>
      <c r="AA58" s="10"/>
    </row>
    <row r="59" spans="1:27" ht="15.75" customHeight="1" x14ac:dyDescent="0.25">
      <c r="A59" s="23" t="s">
        <v>110</v>
      </c>
      <c r="B59" s="1">
        <v>257963</v>
      </c>
      <c r="C59" s="6">
        <f t="shared" si="0"/>
        <v>2007.8066625155648</v>
      </c>
      <c r="D59" s="7">
        <v>3.092391304347826E-2</v>
      </c>
      <c r="E59" s="6">
        <f t="shared" si="1"/>
        <v>10265774.918975705</v>
      </c>
      <c r="F59" s="8">
        <v>39814</v>
      </c>
      <c r="G59" s="8">
        <f t="shared" si="2"/>
        <v>58076</v>
      </c>
      <c r="H59" s="9">
        <v>87</v>
      </c>
      <c r="I59" s="1">
        <f t="shared" si="3"/>
        <v>745.30211637903494</v>
      </c>
      <c r="J59" s="1">
        <f t="shared" si="14"/>
        <v>122847.94571919879</v>
      </c>
      <c r="K59" s="1">
        <f t="shared" si="5"/>
        <v>38496.655946158891</v>
      </c>
      <c r="L59" s="1">
        <f t="shared" si="6"/>
        <v>115489.96783847667</v>
      </c>
      <c r="M59" s="10">
        <f t="shared" si="13"/>
        <v>3.3923913043478263E-2</v>
      </c>
      <c r="N59" s="1">
        <f t="shared" si="7"/>
        <v>2820.421811038786</v>
      </c>
      <c r="O59" s="1">
        <f t="shared" si="8"/>
        <v>-942995.32813785342</v>
      </c>
      <c r="P59" s="1">
        <f t="shared" si="9"/>
        <v>513288.74594878528</v>
      </c>
      <c r="Q59" s="1">
        <f t="shared" si="10"/>
        <v>0</v>
      </c>
      <c r="R59" s="1">
        <f t="shared" si="11"/>
        <v>20</v>
      </c>
      <c r="S59" s="1">
        <f t="shared" si="12"/>
        <v>1</v>
      </c>
      <c r="Z59" s="11"/>
      <c r="AA59" s="10"/>
    </row>
    <row r="60" spans="1:27" ht="15.75" customHeight="1" x14ac:dyDescent="0.25">
      <c r="A60" s="24" t="s">
        <v>111</v>
      </c>
      <c r="B60" s="1">
        <v>274124</v>
      </c>
      <c r="C60" s="6">
        <f t="shared" si="0"/>
        <v>2133.5927770859257</v>
      </c>
      <c r="D60" s="7">
        <v>0.05</v>
      </c>
      <c r="E60" s="6">
        <f t="shared" si="1"/>
        <v>10908910.517745944</v>
      </c>
      <c r="F60" s="8">
        <v>39722</v>
      </c>
      <c r="G60" s="8">
        <f t="shared" si="2"/>
        <v>57984</v>
      </c>
      <c r="H60" s="9">
        <v>87.2</v>
      </c>
      <c r="I60" s="1">
        <f t="shared" si="3"/>
        <v>747.01545457760744</v>
      </c>
      <c r="J60" s="1">
        <f t="shared" si="14"/>
        <v>126728.9337353775</v>
      </c>
      <c r="K60" s="1">
        <f t="shared" si="5"/>
        <v>40908.414441547291</v>
      </c>
      <c r="L60" s="1">
        <f t="shared" si="6"/>
        <v>122725.24332464187</v>
      </c>
      <c r="M60" s="10">
        <f t="shared" si="13"/>
        <v>5.3000000000000005E-2</v>
      </c>
      <c r="N60" s="1">
        <f t="shared" si="7"/>
        <v>4609.1404791164023</v>
      </c>
      <c r="O60" s="1">
        <f t="shared" si="8"/>
        <v>-907356.52501685591</v>
      </c>
      <c r="P60" s="1">
        <f t="shared" si="9"/>
        <v>545445.52588729723</v>
      </c>
      <c r="Q60" s="1">
        <f t="shared" si="10"/>
        <v>0</v>
      </c>
      <c r="R60" s="1">
        <f t="shared" si="11"/>
        <v>20</v>
      </c>
      <c r="S60" s="1">
        <f t="shared" si="12"/>
        <v>1</v>
      </c>
      <c r="Z60" s="11"/>
      <c r="AA60" s="10"/>
    </row>
    <row r="61" spans="1:27" ht="15.75" customHeight="1" x14ac:dyDescent="0.25">
      <c r="A61" s="13" t="s">
        <v>112</v>
      </c>
      <c r="B61" s="1">
        <v>285568</v>
      </c>
      <c r="C61" s="6">
        <f t="shared" si="0"/>
        <v>2222.6650062266476</v>
      </c>
      <c r="D61" s="7">
        <v>0.05</v>
      </c>
      <c r="E61" s="6">
        <f t="shared" si="1"/>
        <v>11364330.590286411</v>
      </c>
      <c r="F61" s="8">
        <v>39630</v>
      </c>
      <c r="G61" s="8">
        <f t="shared" si="2"/>
        <v>57892</v>
      </c>
      <c r="H61" s="9">
        <v>87.1</v>
      </c>
      <c r="I61" s="1">
        <f t="shared" si="3"/>
        <v>746.15878547832108</v>
      </c>
      <c r="J61" s="1">
        <f t="shared" si="14"/>
        <v>129244.44502739453</v>
      </c>
      <c r="K61" s="1">
        <f t="shared" si="5"/>
        <v>42616.239713574039</v>
      </c>
      <c r="L61" s="1">
        <f t="shared" si="6"/>
        <v>127848.71914072213</v>
      </c>
      <c r="M61" s="10">
        <f t="shared" si="13"/>
        <v>5.3000000000000005E-2</v>
      </c>
      <c r="N61" s="1">
        <f t="shared" si="7"/>
        <v>4801.5607109932471</v>
      </c>
      <c r="O61" s="1">
        <f t="shared" si="8"/>
        <v>-867005.08862020948</v>
      </c>
      <c r="P61" s="1">
        <f t="shared" si="9"/>
        <v>568216.52951432054</v>
      </c>
      <c r="Q61" s="1">
        <f t="shared" si="10"/>
        <v>0</v>
      </c>
      <c r="R61" s="1">
        <f t="shared" si="11"/>
        <v>20</v>
      </c>
      <c r="S61" s="1">
        <f t="shared" si="12"/>
        <v>1</v>
      </c>
      <c r="Z61" s="11"/>
      <c r="AA61" s="10"/>
    </row>
    <row r="62" spans="1:27" ht="15.75" customHeight="1" x14ac:dyDescent="0.25">
      <c r="A62" s="15" t="s">
        <v>113</v>
      </c>
      <c r="B62" s="1">
        <v>296772</v>
      </c>
      <c r="C62" s="6">
        <f t="shared" si="0"/>
        <v>2309.8692403486898</v>
      </c>
      <c r="D62" s="7">
        <v>5.2499999999999998E-2</v>
      </c>
      <c r="E62" s="6">
        <f t="shared" si="1"/>
        <v>11810199.735056026</v>
      </c>
      <c r="F62" s="8">
        <v>39539</v>
      </c>
      <c r="G62" s="8">
        <f t="shared" si="2"/>
        <v>57801</v>
      </c>
      <c r="H62" s="9">
        <v>86.1</v>
      </c>
      <c r="I62" s="1">
        <f t="shared" si="3"/>
        <v>737.59209448545857</v>
      </c>
      <c r="J62" s="1">
        <f t="shared" si="14"/>
        <v>130955.94002200641</v>
      </c>
      <c r="K62" s="1">
        <f t="shared" si="5"/>
        <v>44288.249006460093</v>
      </c>
      <c r="L62" s="1">
        <f t="shared" si="6"/>
        <v>132864.74701938027</v>
      </c>
      <c r="M62" s="10">
        <f t="shared" si="13"/>
        <v>5.5500000000000001E-2</v>
      </c>
      <c r="N62" s="1">
        <f t="shared" si="7"/>
        <v>5222.8790193072273</v>
      </c>
      <c r="O62" s="1">
        <f t="shared" si="8"/>
        <v>-823165.25874729385</v>
      </c>
      <c r="P62" s="1">
        <f t="shared" si="9"/>
        <v>590509.98675280134</v>
      </c>
      <c r="Q62" s="1">
        <f t="shared" si="10"/>
        <v>0</v>
      </c>
      <c r="R62" s="1">
        <f t="shared" si="11"/>
        <v>20</v>
      </c>
      <c r="S62" s="1">
        <f t="shared" si="12"/>
        <v>1</v>
      </c>
      <c r="Z62" s="11"/>
      <c r="AA62" s="10"/>
    </row>
    <row r="63" spans="1:27" ht="15.75" customHeight="1" x14ac:dyDescent="0.25">
      <c r="A63" s="23" t="s">
        <v>114</v>
      </c>
      <c r="B63" s="1">
        <v>303739</v>
      </c>
      <c r="C63" s="6">
        <f t="shared" si="0"/>
        <v>2364.0955790784533</v>
      </c>
      <c r="D63" s="7">
        <v>5.5E-2</v>
      </c>
      <c r="E63" s="6">
        <f t="shared" si="1"/>
        <v>12087455.209137596</v>
      </c>
      <c r="F63" s="8">
        <v>39448</v>
      </c>
      <c r="G63" s="8">
        <f t="shared" si="2"/>
        <v>57711</v>
      </c>
      <c r="H63" s="9">
        <v>84.5</v>
      </c>
      <c r="I63" s="1">
        <f t="shared" si="3"/>
        <v>723.88538889687868</v>
      </c>
      <c r="J63" s="1">
        <f t="shared" si="14"/>
        <v>131218.54408108463</v>
      </c>
      <c r="K63" s="1">
        <f t="shared" si="5"/>
        <v>45327.957034265979</v>
      </c>
      <c r="L63" s="1">
        <f t="shared" si="6"/>
        <v>135983.87110279794</v>
      </c>
      <c r="M63" s="10">
        <f t="shared" si="13"/>
        <v>5.8000000000000003E-2</v>
      </c>
      <c r="N63" s="1">
        <f t="shared" si="7"/>
        <v>5584.3370565290143</v>
      </c>
      <c r="O63" s="1">
        <f t="shared" si="8"/>
        <v>-775421.87274221773</v>
      </c>
      <c r="P63" s="1">
        <f t="shared" si="9"/>
        <v>604372.76045687986</v>
      </c>
      <c r="Q63" s="1">
        <f t="shared" si="10"/>
        <v>0</v>
      </c>
      <c r="R63" s="1">
        <f t="shared" si="11"/>
        <v>20</v>
      </c>
      <c r="S63" s="1">
        <f t="shared" si="12"/>
        <v>1</v>
      </c>
      <c r="Z63" s="11"/>
      <c r="AA63" s="10"/>
    </row>
    <row r="64" spans="1:27" ht="15.75" customHeight="1" x14ac:dyDescent="0.25">
      <c r="A64" s="24" t="s">
        <v>115</v>
      </c>
      <c r="B64" s="1">
        <v>302486</v>
      </c>
      <c r="C64" s="6">
        <f t="shared" si="0"/>
        <v>2354.3430884184281</v>
      </c>
      <c r="D64" s="7">
        <v>5.7500000000000002E-2</v>
      </c>
      <c r="E64" s="6">
        <f t="shared" si="1"/>
        <v>12037591.407067234</v>
      </c>
      <c r="F64" s="8">
        <v>39356</v>
      </c>
      <c r="G64" s="8">
        <f t="shared" si="2"/>
        <v>57619</v>
      </c>
      <c r="H64" s="9">
        <v>84.1</v>
      </c>
      <c r="I64" s="1">
        <f t="shared" si="3"/>
        <v>720.45871249973368</v>
      </c>
      <c r="J64" s="1">
        <f t="shared" si="14"/>
        <v>130637.30064709848</v>
      </c>
      <c r="K64" s="1">
        <f t="shared" si="5"/>
        <v>45140.967776502126</v>
      </c>
      <c r="L64" s="1">
        <f t="shared" si="6"/>
        <v>135422.90332950637</v>
      </c>
      <c r="M64" s="10">
        <f t="shared" si="13"/>
        <v>6.0500000000000005E-2</v>
      </c>
      <c r="N64" s="1">
        <f t="shared" si="7"/>
        <v>5799.5107519619451</v>
      </c>
      <c r="O64" s="1">
        <f t="shared" si="8"/>
        <v>-724730.05529212486</v>
      </c>
      <c r="P64" s="1">
        <f t="shared" si="9"/>
        <v>601879.57035336166</v>
      </c>
      <c r="Q64" s="1">
        <f t="shared" si="10"/>
        <v>0</v>
      </c>
      <c r="R64" s="1">
        <f t="shared" si="11"/>
        <v>20</v>
      </c>
      <c r="S64" s="1">
        <f t="shared" si="12"/>
        <v>1</v>
      </c>
      <c r="Z64" s="11"/>
      <c r="AA64" s="10"/>
    </row>
    <row r="65" spans="1:27" ht="15.75" customHeight="1" x14ac:dyDescent="0.25">
      <c r="A65" s="13" t="s">
        <v>116</v>
      </c>
      <c r="B65" s="1">
        <v>292409</v>
      </c>
      <c r="C65" s="6">
        <f t="shared" si="0"/>
        <v>2275.9106475716039</v>
      </c>
      <c r="D65" s="7">
        <v>5.5E-2</v>
      </c>
      <c r="E65" s="6">
        <f t="shared" si="1"/>
        <v>11636571.827288281</v>
      </c>
      <c r="F65" s="8">
        <v>39264</v>
      </c>
      <c r="G65" s="8">
        <f t="shared" si="2"/>
        <v>57527</v>
      </c>
      <c r="H65" s="9">
        <v>83.3</v>
      </c>
      <c r="I65" s="1">
        <f t="shared" si="3"/>
        <v>713.60535970544368</v>
      </c>
      <c r="J65" s="1">
        <f t="shared" si="14"/>
        <v>127821.02979730576</v>
      </c>
      <c r="K65" s="1">
        <f t="shared" si="5"/>
        <v>43637.144352331052</v>
      </c>
      <c r="L65" s="1">
        <f t="shared" si="6"/>
        <v>130911.43305699316</v>
      </c>
      <c r="M65" s="10">
        <f t="shared" si="13"/>
        <v>5.8000000000000003E-2</v>
      </c>
      <c r="N65" s="1">
        <f t="shared" si="7"/>
        <v>5376.0314426616023</v>
      </c>
      <c r="O65" s="1">
        <f t="shared" si="8"/>
        <v>-674221.39738323248</v>
      </c>
      <c r="P65" s="1">
        <f t="shared" si="9"/>
        <v>581828.59136441408</v>
      </c>
      <c r="Q65" s="1">
        <f t="shared" si="10"/>
        <v>0</v>
      </c>
      <c r="R65" s="1">
        <f t="shared" si="11"/>
        <v>20</v>
      </c>
      <c r="S65" s="1">
        <f t="shared" si="12"/>
        <v>1</v>
      </c>
      <c r="Z65" s="11"/>
      <c r="AA65" s="10"/>
    </row>
    <row r="66" spans="1:27" ht="15.75" customHeight="1" x14ac:dyDescent="0.25">
      <c r="A66" s="15" t="s">
        <v>117</v>
      </c>
      <c r="B66" s="1">
        <v>280995</v>
      </c>
      <c r="C66" s="6">
        <f t="shared" si="0"/>
        <v>2187.0719178082168</v>
      </c>
      <c r="D66" s="7">
        <v>5.2499999999999998E-2</v>
      </c>
      <c r="E66" s="6">
        <f t="shared" si="1"/>
        <v>11182345.620719166</v>
      </c>
      <c r="F66" s="8">
        <v>39173</v>
      </c>
      <c r="G66" s="8">
        <f t="shared" si="2"/>
        <v>57436</v>
      </c>
      <c r="H66" s="9">
        <v>83.3</v>
      </c>
      <c r="I66" s="1">
        <f t="shared" si="3"/>
        <v>713.60535970544368</v>
      </c>
      <c r="J66" s="1">
        <f t="shared" si="14"/>
        <v>125276.66450842316</v>
      </c>
      <c r="K66" s="1">
        <f t="shared" si="5"/>
        <v>41933.796077696876</v>
      </c>
      <c r="L66" s="1">
        <f t="shared" si="6"/>
        <v>125801.38823309062</v>
      </c>
      <c r="M66" s="10">
        <f t="shared" si="13"/>
        <v>5.5500000000000001E-2</v>
      </c>
      <c r="N66" s="1">
        <f t="shared" si="7"/>
        <v>4945.2202028164193</v>
      </c>
      <c r="O66" s="1">
        <f t="shared" si="8"/>
        <v>-626393.63369448809</v>
      </c>
      <c r="P66" s="1">
        <f t="shared" si="9"/>
        <v>559117.28103595832</v>
      </c>
      <c r="Q66" s="1">
        <f t="shared" si="10"/>
        <v>0</v>
      </c>
      <c r="R66" s="1">
        <f t="shared" si="11"/>
        <v>20</v>
      </c>
      <c r="S66" s="1">
        <f t="shared" si="12"/>
        <v>1</v>
      </c>
      <c r="Z66" s="11"/>
      <c r="AA66" s="10"/>
    </row>
    <row r="67" spans="1:27" ht="15.75" customHeight="1" x14ac:dyDescent="0.25">
      <c r="A67" s="23" t="s">
        <v>118</v>
      </c>
      <c r="B67" s="1">
        <v>269327</v>
      </c>
      <c r="C67" s="6">
        <f t="shared" si="0"/>
        <v>2096.2562266500599</v>
      </c>
      <c r="D67" s="7">
        <v>0.05</v>
      </c>
      <c r="E67" s="6">
        <f t="shared" si="1"/>
        <v>10718011.34892589</v>
      </c>
      <c r="F67" s="8">
        <v>39083</v>
      </c>
      <c r="G67" s="8">
        <f t="shared" si="2"/>
        <v>57346</v>
      </c>
      <c r="H67" s="9">
        <v>82.4</v>
      </c>
      <c r="I67" s="1">
        <f t="shared" si="3"/>
        <v>705.89533781186753</v>
      </c>
      <c r="J67" s="1">
        <f t="shared" si="14"/>
        <v>121968.56413836294</v>
      </c>
      <c r="K67" s="1">
        <f t="shared" si="5"/>
        <v>40192.542558472087</v>
      </c>
      <c r="L67" s="1">
        <f t="shared" si="6"/>
        <v>120577.62767541627</v>
      </c>
      <c r="M67" s="10">
        <f t="shared" si="13"/>
        <v>5.3000000000000005E-2</v>
      </c>
      <c r="N67" s="1">
        <f t="shared" si="7"/>
        <v>4528.4833791239853</v>
      </c>
      <c r="O67" s="1">
        <f t="shared" si="8"/>
        <v>-582022.07739187253</v>
      </c>
      <c r="P67" s="1">
        <f t="shared" si="9"/>
        <v>535900.56744629459</v>
      </c>
      <c r="Q67" s="1">
        <f t="shared" si="10"/>
        <v>0</v>
      </c>
      <c r="R67" s="1">
        <f t="shared" si="11"/>
        <v>20</v>
      </c>
      <c r="S67" s="1">
        <f t="shared" si="12"/>
        <v>1</v>
      </c>
      <c r="Z67" s="11"/>
      <c r="AA67" s="10"/>
    </row>
    <row r="68" spans="1:27" ht="15.75" customHeight="1" x14ac:dyDescent="0.25">
      <c r="A68" s="24" t="s">
        <v>119</v>
      </c>
      <c r="B68" s="1">
        <v>259646</v>
      </c>
      <c r="C68" s="6">
        <f t="shared" si="0"/>
        <v>2020.9059775840578</v>
      </c>
      <c r="D68" s="7">
        <v>4.7500000000000001E-2</v>
      </c>
      <c r="E68" s="6">
        <f t="shared" si="1"/>
        <v>10332750.799968857</v>
      </c>
      <c r="F68" s="8">
        <v>38991</v>
      </c>
      <c r="G68" s="8">
        <f t="shared" si="2"/>
        <v>57254</v>
      </c>
      <c r="H68" s="9">
        <v>82.3</v>
      </c>
      <c r="I68" s="1">
        <f t="shared" si="3"/>
        <v>705.03866871258128</v>
      </c>
      <c r="J68" s="1">
        <f t="shared" si="14"/>
        <v>119664.98636423955</v>
      </c>
      <c r="K68" s="1">
        <f t="shared" si="5"/>
        <v>38747.815499883211</v>
      </c>
      <c r="L68" s="1">
        <f t="shared" si="6"/>
        <v>116243.44649964964</v>
      </c>
      <c r="M68" s="10">
        <f t="shared" si="13"/>
        <v>5.0500000000000003E-2</v>
      </c>
      <c r="N68" s="1">
        <f t="shared" si="7"/>
        <v>4162.391652377346</v>
      </c>
      <c r="O68" s="1">
        <f t="shared" si="8"/>
        <v>-540724.01640639221</v>
      </c>
      <c r="P68" s="1">
        <f t="shared" si="9"/>
        <v>516637.53999844287</v>
      </c>
      <c r="Q68" s="1">
        <f t="shared" si="10"/>
        <v>0</v>
      </c>
      <c r="R68" s="1">
        <f t="shared" si="11"/>
        <v>20</v>
      </c>
      <c r="S68" s="1">
        <f t="shared" si="12"/>
        <v>1</v>
      </c>
      <c r="Z68" s="11"/>
      <c r="AA68" s="10"/>
    </row>
    <row r="69" spans="1:27" ht="15.75" customHeight="1" x14ac:dyDescent="0.25">
      <c r="A69" s="13" t="s">
        <v>120</v>
      </c>
      <c r="B69" s="1">
        <v>252724</v>
      </c>
      <c r="C69" s="6">
        <f t="shared" si="0"/>
        <v>1967.0298879202969</v>
      </c>
      <c r="D69" s="7">
        <v>4.4999999999999998E-2</v>
      </c>
      <c r="E69" s="6">
        <f t="shared" si="1"/>
        <v>10057286.124844324</v>
      </c>
      <c r="F69" s="8">
        <v>38899</v>
      </c>
      <c r="G69" s="8">
        <f t="shared" si="2"/>
        <v>57162</v>
      </c>
      <c r="H69" s="9">
        <v>81.7</v>
      </c>
      <c r="I69" s="1">
        <f t="shared" si="3"/>
        <v>699.89865411686378</v>
      </c>
      <c r="J69" s="1">
        <f t="shared" si="14"/>
        <v>117622.26954603659</v>
      </c>
      <c r="K69" s="1">
        <f t="shared" si="5"/>
        <v>37714.822968166212</v>
      </c>
      <c r="L69" s="1">
        <f t="shared" si="6"/>
        <v>113144.46890449864</v>
      </c>
      <c r="M69" s="10">
        <f t="shared" si="13"/>
        <v>4.8000000000000001E-2</v>
      </c>
      <c r="N69" s="1">
        <f t="shared" si="7"/>
        <v>3854.1160989180444</v>
      </c>
      <c r="O69" s="1">
        <f t="shared" si="8"/>
        <v>-502262.81104349834</v>
      </c>
      <c r="P69" s="1">
        <f t="shared" si="9"/>
        <v>502864.3062422162</v>
      </c>
      <c r="Q69" s="1">
        <f t="shared" si="10"/>
        <v>0</v>
      </c>
      <c r="R69" s="1">
        <f t="shared" si="11"/>
        <v>20</v>
      </c>
      <c r="S69" s="1">
        <f t="shared" si="12"/>
        <v>1</v>
      </c>
      <c r="Z69" s="11"/>
      <c r="AA69" s="10"/>
    </row>
    <row r="70" spans="1:27" ht="15.75" customHeight="1" x14ac:dyDescent="0.25">
      <c r="A70" s="15" t="s">
        <v>121</v>
      </c>
      <c r="B70" s="1">
        <v>245755</v>
      </c>
      <c r="C70" s="6">
        <f t="shared" si="0"/>
        <v>1912.7879825653779</v>
      </c>
      <c r="D70" s="7">
        <v>4.4999999999999998E-2</v>
      </c>
      <c r="E70" s="6">
        <f t="shared" si="1"/>
        <v>9779951.0596979968</v>
      </c>
      <c r="F70" s="8">
        <v>38808</v>
      </c>
      <c r="G70" s="8">
        <f t="shared" si="2"/>
        <v>57071</v>
      </c>
      <c r="H70" s="9">
        <v>81.2</v>
      </c>
      <c r="I70" s="1">
        <f t="shared" si="3"/>
        <v>695.61530862043253</v>
      </c>
      <c r="J70" s="1">
        <f t="shared" si="14"/>
        <v>115626.83106830402</v>
      </c>
      <c r="K70" s="1">
        <f t="shared" si="5"/>
        <v>36674.81647386749</v>
      </c>
      <c r="L70" s="1">
        <f t="shared" si="6"/>
        <v>110024.44942160246</v>
      </c>
      <c r="M70" s="10">
        <f t="shared" si="13"/>
        <v>4.8000000000000001E-2</v>
      </c>
      <c r="N70" s="1">
        <f t="shared" si="7"/>
        <v>3747.8367780250551</v>
      </c>
      <c r="O70" s="1">
        <f t="shared" si="8"/>
        <v>-465572.8173439235</v>
      </c>
      <c r="P70" s="1">
        <f t="shared" si="9"/>
        <v>488997.55298489984</v>
      </c>
      <c r="Q70" s="1">
        <f t="shared" si="10"/>
        <v>0</v>
      </c>
      <c r="R70" s="1">
        <f t="shared" si="11"/>
        <v>20</v>
      </c>
      <c r="S70" s="1">
        <f t="shared" si="12"/>
        <v>1</v>
      </c>
      <c r="Z70" s="11"/>
      <c r="AA70" s="10"/>
    </row>
    <row r="71" spans="1:27" ht="15.75" customHeight="1" x14ac:dyDescent="0.25">
      <c r="A71" s="23" t="s">
        <v>122</v>
      </c>
      <c r="B71" s="1">
        <v>241897</v>
      </c>
      <c r="C71" s="6">
        <f t="shared" si="0"/>
        <v>1882.7599626400979</v>
      </c>
      <c r="D71" s="7">
        <v>4.4999999999999998E-2</v>
      </c>
      <c r="E71" s="6">
        <f t="shared" si="1"/>
        <v>9626419.8957814351</v>
      </c>
      <c r="F71" s="8">
        <v>38718</v>
      </c>
      <c r="G71" s="8">
        <f t="shared" si="2"/>
        <v>56980</v>
      </c>
      <c r="H71" s="9">
        <v>80.2</v>
      </c>
      <c r="I71" s="1">
        <f t="shared" si="3"/>
        <v>687.04861762757002</v>
      </c>
      <c r="J71" s="1">
        <f t="shared" si="14"/>
        <v>114006.92014296475</v>
      </c>
      <c r="K71" s="1">
        <f t="shared" si="5"/>
        <v>36099.074609180381</v>
      </c>
      <c r="L71" s="1">
        <f t="shared" si="6"/>
        <v>108297.22382754114</v>
      </c>
      <c r="M71" s="10">
        <f t="shared" si="13"/>
        <v>4.8000000000000001E-2</v>
      </c>
      <c r="N71" s="1">
        <f t="shared" si="7"/>
        <v>3689.001131590107</v>
      </c>
      <c r="O71" s="1">
        <f t="shared" si="8"/>
        <v>-430705.80811671866</v>
      </c>
      <c r="P71" s="1">
        <f t="shared" si="9"/>
        <v>481320.99478907179</v>
      </c>
      <c r="Q71" s="1">
        <f t="shared" si="10"/>
        <v>0</v>
      </c>
      <c r="R71" s="1">
        <f t="shared" si="11"/>
        <v>20</v>
      </c>
      <c r="S71" s="1">
        <f t="shared" si="12"/>
        <v>1</v>
      </c>
      <c r="Z71" s="11"/>
      <c r="AA71" s="10"/>
    </row>
    <row r="72" spans="1:27" ht="15.75" customHeight="1" x14ac:dyDescent="0.25">
      <c r="A72" s="24" t="s">
        <v>123</v>
      </c>
      <c r="B72" s="1">
        <v>241898</v>
      </c>
      <c r="C72" s="6">
        <f t="shared" si="0"/>
        <v>1882.7677459526758</v>
      </c>
      <c r="D72" s="7">
        <v>4.4999999999999998E-2</v>
      </c>
      <c r="E72" s="6">
        <f t="shared" si="1"/>
        <v>9626459.6913138144</v>
      </c>
      <c r="F72" s="8">
        <v>38626</v>
      </c>
      <c r="G72" s="8">
        <f t="shared" si="2"/>
        <v>56888</v>
      </c>
      <c r="H72" s="9">
        <v>80.099999999999994</v>
      </c>
      <c r="I72" s="1">
        <f t="shared" si="3"/>
        <v>686.19194852828366</v>
      </c>
      <c r="J72" s="1">
        <f t="shared" si="14"/>
        <v>113936.03452707769</v>
      </c>
      <c r="K72" s="1">
        <f t="shared" si="5"/>
        <v>36099.223842426807</v>
      </c>
      <c r="L72" s="1">
        <f t="shared" si="6"/>
        <v>108297.67152728041</v>
      </c>
      <c r="M72" s="10">
        <f t="shared" si="13"/>
        <v>4.8000000000000001E-2</v>
      </c>
      <c r="N72" s="1">
        <f t="shared" si="7"/>
        <v>3689.0163818872647</v>
      </c>
      <c r="O72" s="1">
        <f t="shared" si="8"/>
        <v>-396513.08238210459</v>
      </c>
      <c r="P72" s="1">
        <f t="shared" si="9"/>
        <v>481322.98456569074</v>
      </c>
      <c r="Q72" s="1">
        <f t="shared" si="10"/>
        <v>0</v>
      </c>
      <c r="R72" s="1">
        <f t="shared" si="11"/>
        <v>20</v>
      </c>
      <c r="S72" s="1">
        <f t="shared" si="12"/>
        <v>1</v>
      </c>
      <c r="Z72" s="11"/>
      <c r="AA72" s="10"/>
    </row>
    <row r="73" spans="1:27" ht="15.75" customHeight="1" x14ac:dyDescent="0.25">
      <c r="A73" s="13" t="s">
        <v>124</v>
      </c>
      <c r="B73" s="1">
        <v>241344</v>
      </c>
      <c r="C73" s="6">
        <f t="shared" si="0"/>
        <v>1878.4557907845563</v>
      </c>
      <c r="D73" s="7">
        <v>4.7500000000000001E-2</v>
      </c>
      <c r="E73" s="6">
        <f t="shared" si="1"/>
        <v>9604412.9663760811</v>
      </c>
      <c r="F73" s="8">
        <v>38534</v>
      </c>
      <c r="G73" s="8">
        <f t="shared" si="2"/>
        <v>56796</v>
      </c>
      <c r="H73" s="9">
        <v>79.7</v>
      </c>
      <c r="I73" s="1">
        <f t="shared" si="3"/>
        <v>682.76527213113877</v>
      </c>
      <c r="J73" s="1">
        <f t="shared" si="14"/>
        <v>113520.87171478911</v>
      </c>
      <c r="K73" s="1">
        <f t="shared" si="5"/>
        <v>36016.548623910305</v>
      </c>
      <c r="L73" s="1">
        <f t="shared" si="6"/>
        <v>108049.64587173091</v>
      </c>
      <c r="M73" s="10">
        <f t="shared" si="13"/>
        <v>5.0500000000000003E-2</v>
      </c>
      <c r="N73" s="1">
        <f t="shared" si="7"/>
        <v>3868.9918232954033</v>
      </c>
      <c r="O73" s="1">
        <f t="shared" si="8"/>
        <v>-362273.83329742466</v>
      </c>
      <c r="P73" s="1">
        <f t="shared" si="9"/>
        <v>480220.6483188041</v>
      </c>
      <c r="Q73" s="1">
        <f t="shared" si="10"/>
        <v>0</v>
      </c>
      <c r="R73" s="1">
        <f t="shared" si="11"/>
        <v>20</v>
      </c>
      <c r="S73" s="1">
        <f t="shared" si="12"/>
        <v>1</v>
      </c>
      <c r="Z73" s="11"/>
      <c r="AA73" s="10"/>
    </row>
    <row r="74" spans="1:27" ht="15.75" customHeight="1" x14ac:dyDescent="0.25">
      <c r="A74" s="15" t="s">
        <v>125</v>
      </c>
      <c r="B74" s="1">
        <v>233758</v>
      </c>
      <c r="C74" s="6">
        <f t="shared" si="0"/>
        <v>1819.4115815691141</v>
      </c>
      <c r="D74" s="7">
        <v>4.7500000000000001E-2</v>
      </c>
      <c r="E74" s="6">
        <f t="shared" si="1"/>
        <v>9302524.0577521697</v>
      </c>
      <c r="F74" s="8">
        <v>38443</v>
      </c>
      <c r="G74" s="8">
        <f t="shared" si="2"/>
        <v>56705</v>
      </c>
      <c r="H74" s="9">
        <v>79.3</v>
      </c>
      <c r="I74" s="1">
        <f t="shared" si="3"/>
        <v>679.33859573399366</v>
      </c>
      <c r="J74" s="1">
        <f t="shared" si="14"/>
        <v>111431.72185428297</v>
      </c>
      <c r="K74" s="1">
        <f t="shared" si="5"/>
        <v>34884.465216570636</v>
      </c>
      <c r="L74" s="1">
        <f t="shared" si="6"/>
        <v>104653.39564971191</v>
      </c>
      <c r="M74" s="10">
        <f t="shared" si="13"/>
        <v>5.0500000000000003E-2</v>
      </c>
      <c r="N74" s="1">
        <f t="shared" si="7"/>
        <v>3747.380463694506</v>
      </c>
      <c r="O74" s="1">
        <f t="shared" si="8"/>
        <v>-328012.75404030667</v>
      </c>
      <c r="P74" s="1">
        <f t="shared" si="9"/>
        <v>465126.2028876085</v>
      </c>
      <c r="Q74" s="1">
        <f t="shared" si="10"/>
        <v>0</v>
      </c>
      <c r="R74" s="1">
        <f t="shared" si="11"/>
        <v>20</v>
      </c>
      <c r="S74" s="1">
        <f t="shared" si="12"/>
        <v>1</v>
      </c>
      <c r="Z74" s="11"/>
      <c r="AA74" s="10"/>
    </row>
    <row r="75" spans="1:27" ht="15.75" customHeight="1" x14ac:dyDescent="0.25">
      <c r="A75" s="23" t="s">
        <v>126</v>
      </c>
      <c r="B75" s="1">
        <v>236268</v>
      </c>
      <c r="C75" s="6">
        <f t="shared" si="0"/>
        <v>1838.9476961394753</v>
      </c>
      <c r="D75" s="7">
        <v>4.7500000000000001E-2</v>
      </c>
      <c r="E75" s="6">
        <f t="shared" si="1"/>
        <v>9402410.8440224081</v>
      </c>
      <c r="F75" s="8">
        <v>38353</v>
      </c>
      <c r="G75" s="8">
        <f t="shared" si="2"/>
        <v>56615</v>
      </c>
      <c r="H75" s="9">
        <v>78.5</v>
      </c>
      <c r="I75" s="1">
        <f t="shared" si="3"/>
        <v>672.48524293970377</v>
      </c>
      <c r="J75" s="1">
        <f t="shared" si="14"/>
        <v>111455.82118915871</v>
      </c>
      <c r="K75" s="1">
        <f t="shared" si="5"/>
        <v>35259.04066508403</v>
      </c>
      <c r="L75" s="1">
        <f t="shared" si="6"/>
        <v>105777.12199525209</v>
      </c>
      <c r="M75" s="10">
        <f t="shared" si="13"/>
        <v>5.0500000000000003E-2</v>
      </c>
      <c r="N75" s="1">
        <f t="shared" si="7"/>
        <v>3787.6183377517496</v>
      </c>
      <c r="O75" s="1">
        <f t="shared" si="8"/>
        <v>-295789.97759587871</v>
      </c>
      <c r="P75" s="1">
        <f t="shared" si="9"/>
        <v>470120.54220112041</v>
      </c>
      <c r="Q75" s="1">
        <f t="shared" si="10"/>
        <v>0</v>
      </c>
      <c r="R75" s="1">
        <f t="shared" si="11"/>
        <v>20</v>
      </c>
      <c r="S75" s="1">
        <f t="shared" si="12"/>
        <v>1</v>
      </c>
      <c r="Z75" s="11"/>
      <c r="AA75" s="10"/>
    </row>
    <row r="76" spans="1:27" ht="15.75" customHeight="1" x14ac:dyDescent="0.25">
      <c r="A76" s="24" t="s">
        <v>127</v>
      </c>
      <c r="B76" s="1">
        <v>237818</v>
      </c>
      <c r="C76" s="6">
        <f t="shared" si="0"/>
        <v>1851.0118306351167</v>
      </c>
      <c r="D76" s="7">
        <v>4.7500000000000001E-2</v>
      </c>
      <c r="E76" s="6">
        <f t="shared" si="1"/>
        <v>9464093.9192092065</v>
      </c>
      <c r="F76" s="8">
        <v>38261</v>
      </c>
      <c r="G76" s="8">
        <f t="shared" si="2"/>
        <v>56523</v>
      </c>
      <c r="H76" s="9">
        <v>78.3</v>
      </c>
      <c r="I76" s="1">
        <f t="shared" si="3"/>
        <v>670.77190474113115</v>
      </c>
      <c r="J76" s="1">
        <f t="shared" si="14"/>
        <v>111677.12676289196</v>
      </c>
      <c r="K76" s="1">
        <f t="shared" si="5"/>
        <v>35490.352197034525</v>
      </c>
      <c r="L76" s="1">
        <f t="shared" si="6"/>
        <v>106471.05659110357</v>
      </c>
      <c r="M76" s="10">
        <f t="shared" si="13"/>
        <v>5.0500000000000003E-2</v>
      </c>
      <c r="N76" s="1">
        <f t="shared" si="7"/>
        <v>3812.466427309012</v>
      </c>
      <c r="O76" s="1">
        <f t="shared" si="8"/>
        <v>-262459.13937357976</v>
      </c>
      <c r="P76" s="1">
        <f t="shared" si="9"/>
        <v>473204.69596046035</v>
      </c>
      <c r="Q76" s="1">
        <f t="shared" si="10"/>
        <v>0</v>
      </c>
      <c r="R76" s="1">
        <f t="shared" si="11"/>
        <v>20</v>
      </c>
      <c r="S76" s="1">
        <f t="shared" si="12"/>
        <v>1</v>
      </c>
      <c r="Z76" s="11"/>
      <c r="AA76" s="10"/>
    </row>
    <row r="77" spans="1:27" ht="15.75" customHeight="1" x14ac:dyDescent="0.25">
      <c r="A77" s="13" t="s">
        <v>128</v>
      </c>
      <c r="B77" s="1">
        <v>233164</v>
      </c>
      <c r="C77" s="6">
        <f t="shared" si="0"/>
        <v>1814.7882938978812</v>
      </c>
      <c r="D77" s="7">
        <v>4.403846153846154E-2</v>
      </c>
      <c r="E77" s="6">
        <f t="shared" si="1"/>
        <v>9278885.5115192942</v>
      </c>
      <c r="F77" s="8">
        <v>38169</v>
      </c>
      <c r="G77" s="8">
        <f t="shared" si="2"/>
        <v>56431</v>
      </c>
      <c r="H77" s="9">
        <v>77.8</v>
      </c>
      <c r="I77" s="1">
        <f t="shared" si="3"/>
        <v>666.4885592446999</v>
      </c>
      <c r="J77" s="1">
        <f t="shared" si="14"/>
        <v>110222.90446030423</v>
      </c>
      <c r="K77" s="1">
        <f t="shared" si="5"/>
        <v>34795.820668197353</v>
      </c>
      <c r="L77" s="1">
        <f t="shared" si="6"/>
        <v>104387.46200459206</v>
      </c>
      <c r="M77" s="10">
        <f t="shared" si="13"/>
        <v>4.7038461538461543E-2</v>
      </c>
      <c r="N77" s="1">
        <f t="shared" si="7"/>
        <v>3485.977451653303</v>
      </c>
      <c r="O77" s="1">
        <f t="shared" si="8"/>
        <v>-228578.21517835598</v>
      </c>
      <c r="P77" s="1">
        <f t="shared" si="9"/>
        <v>463944.27557596471</v>
      </c>
      <c r="Q77" s="1">
        <f t="shared" si="10"/>
        <v>0</v>
      </c>
      <c r="R77" s="1">
        <f t="shared" si="11"/>
        <v>20</v>
      </c>
      <c r="S77" s="1">
        <f t="shared" si="12"/>
        <v>1</v>
      </c>
      <c r="Z77" s="11"/>
      <c r="AA77" s="10"/>
    </row>
    <row r="78" spans="1:27" ht="15.75" customHeight="1" x14ac:dyDescent="0.25">
      <c r="A78" s="15" t="s">
        <v>129</v>
      </c>
      <c r="B78" s="1">
        <v>225156</v>
      </c>
      <c r="C78" s="6">
        <f t="shared" si="0"/>
        <v>1752.4595267745935</v>
      </c>
      <c r="D78" s="7">
        <v>0.04</v>
      </c>
      <c r="E78" s="6">
        <f t="shared" si="1"/>
        <v>8960202.8882316221</v>
      </c>
      <c r="F78" s="8">
        <v>38078</v>
      </c>
      <c r="G78" s="8">
        <f t="shared" si="2"/>
        <v>56340</v>
      </c>
      <c r="H78" s="9">
        <v>77.8</v>
      </c>
      <c r="I78" s="1">
        <f t="shared" si="3"/>
        <v>666.4885592446999</v>
      </c>
      <c r="J78" s="1">
        <f t="shared" si="14"/>
        <v>108297.03384824691</v>
      </c>
      <c r="K78" s="1">
        <f t="shared" si="5"/>
        <v>33600.760830868581</v>
      </c>
      <c r="L78" s="1">
        <f t="shared" si="6"/>
        <v>100802.28249260575</v>
      </c>
      <c r="M78" s="10">
        <f t="shared" si="13"/>
        <v>4.3000000000000003E-2</v>
      </c>
      <c r="N78" s="1">
        <f t="shared" si="7"/>
        <v>3084.2437085546876</v>
      </c>
      <c r="O78" s="1">
        <f t="shared" si="8"/>
        <v>-195835.64107296168</v>
      </c>
      <c r="P78" s="1">
        <f t="shared" si="9"/>
        <v>448010.1444115811</v>
      </c>
      <c r="Q78" s="1">
        <f t="shared" si="10"/>
        <v>0</v>
      </c>
      <c r="R78" s="1">
        <f t="shared" si="11"/>
        <v>20</v>
      </c>
      <c r="S78" s="1">
        <f t="shared" si="12"/>
        <v>1</v>
      </c>
      <c r="Z78" s="11"/>
      <c r="AA78" s="10"/>
    </row>
    <row r="79" spans="1:27" ht="15.75" customHeight="1" x14ac:dyDescent="0.25">
      <c r="A79" s="23" t="s">
        <v>130</v>
      </c>
      <c r="B79" s="1">
        <v>219678</v>
      </c>
      <c r="C79" s="6">
        <f t="shared" si="0"/>
        <v>1709.8225404732236</v>
      </c>
      <c r="D79" s="7">
        <v>3.7499999999999999E-2</v>
      </c>
      <c r="E79" s="6">
        <f t="shared" si="1"/>
        <v>8742202.9618617594</v>
      </c>
      <c r="F79" s="8">
        <v>37987</v>
      </c>
      <c r="G79" s="8">
        <f t="shared" si="2"/>
        <v>56250</v>
      </c>
      <c r="H79" s="9">
        <v>77.2</v>
      </c>
      <c r="I79" s="1">
        <f t="shared" si="3"/>
        <v>661.34854464898251</v>
      </c>
      <c r="J79" s="1">
        <f t="shared" si="14"/>
        <v>106554.41530594706</v>
      </c>
      <c r="K79" s="1">
        <f t="shared" si="5"/>
        <v>32783.261106981598</v>
      </c>
      <c r="L79" s="1">
        <f t="shared" si="6"/>
        <v>98349.783320944785</v>
      </c>
      <c r="M79" s="10">
        <f t="shared" si="13"/>
        <v>4.0500000000000001E-2</v>
      </c>
      <c r="N79" s="1">
        <f t="shared" si="7"/>
        <v>2840.110015551234</v>
      </c>
      <c r="O79" s="1">
        <f t="shared" si="8"/>
        <v>-165426.43058171641</v>
      </c>
      <c r="P79" s="1">
        <f t="shared" si="9"/>
        <v>437110.14809308801</v>
      </c>
      <c r="Q79" s="1">
        <f t="shared" si="10"/>
        <v>0</v>
      </c>
      <c r="R79" s="1">
        <f t="shared" si="11"/>
        <v>20</v>
      </c>
      <c r="S79" s="1">
        <f t="shared" si="12"/>
        <v>1</v>
      </c>
      <c r="Z79" s="11"/>
      <c r="AA79" s="10"/>
    </row>
    <row r="80" spans="1:27" ht="15.75" customHeight="1" x14ac:dyDescent="0.25">
      <c r="A80" s="24" t="s">
        <v>131</v>
      </c>
      <c r="B80" s="1">
        <v>213419</v>
      </c>
      <c r="C80" s="6">
        <f t="shared" si="0"/>
        <v>1661.1067870485663</v>
      </c>
      <c r="D80" s="7">
        <v>3.5000000000000003E-2</v>
      </c>
      <c r="E80" s="6">
        <f t="shared" si="1"/>
        <v>8493122.7247042265</v>
      </c>
      <c r="F80" s="8">
        <v>37895</v>
      </c>
      <c r="G80" s="8">
        <f t="shared" si="2"/>
        <v>56158</v>
      </c>
      <c r="H80" s="9">
        <v>77.099999999999994</v>
      </c>
      <c r="I80" s="1">
        <f t="shared" si="3"/>
        <v>660.49187554969626</v>
      </c>
      <c r="J80" s="1">
        <f t="shared" si="14"/>
        <v>104947.44416119407</v>
      </c>
      <c r="K80" s="1">
        <f t="shared" si="5"/>
        <v>31849.210217640848</v>
      </c>
      <c r="L80" s="1">
        <f t="shared" si="6"/>
        <v>95547.63065292254</v>
      </c>
      <c r="M80" s="10">
        <f t="shared" si="13"/>
        <v>3.8000000000000006E-2</v>
      </c>
      <c r="N80" s="1">
        <f t="shared" si="7"/>
        <v>2596.0915067466021</v>
      </c>
      <c r="O80" s="1">
        <f t="shared" si="8"/>
        <v>-136337.01720963721</v>
      </c>
      <c r="P80" s="1">
        <f t="shared" si="9"/>
        <v>424656.13623521134</v>
      </c>
      <c r="Q80" s="1">
        <f t="shared" si="10"/>
        <v>0</v>
      </c>
      <c r="R80" s="1">
        <f t="shared" si="11"/>
        <v>20</v>
      </c>
      <c r="S80" s="1">
        <f t="shared" si="12"/>
        <v>1</v>
      </c>
      <c r="Z80" s="11"/>
      <c r="AA80" s="10"/>
    </row>
    <row r="81" spans="1:27" ht="15.75" customHeight="1" x14ac:dyDescent="0.25">
      <c r="A81" s="13" t="s">
        <v>132</v>
      </c>
      <c r="B81" s="1">
        <v>210958</v>
      </c>
      <c r="C81" s="6">
        <f t="shared" si="0"/>
        <v>1641.9520547945192</v>
      </c>
      <c r="D81" s="7">
        <v>3.7499999999999999E-2</v>
      </c>
      <c r="E81" s="6">
        <f t="shared" si="1"/>
        <v>8395185.919520542</v>
      </c>
      <c r="F81" s="8">
        <v>37803</v>
      </c>
      <c r="G81" s="8">
        <f t="shared" si="2"/>
        <v>56066</v>
      </c>
      <c r="H81" s="9">
        <v>76.8</v>
      </c>
      <c r="I81" s="1">
        <f t="shared" si="3"/>
        <v>657.92186825183751</v>
      </c>
      <c r="J81" s="1">
        <f t="shared" si="14"/>
        <v>104136.63221803874</v>
      </c>
      <c r="K81" s="1">
        <f t="shared" si="5"/>
        <v>31481.947198202033</v>
      </c>
      <c r="L81" s="1">
        <f t="shared" si="6"/>
        <v>94445.8415946061</v>
      </c>
      <c r="M81" s="10">
        <f t="shared" si="13"/>
        <v>4.0500000000000001E-2</v>
      </c>
      <c r="N81" s="1">
        <f t="shared" si="7"/>
        <v>2727.3733767635231</v>
      </c>
      <c r="O81" s="1">
        <f t="shared" si="8"/>
        <v>-109005.22526149084</v>
      </c>
      <c r="P81" s="1">
        <f t="shared" si="9"/>
        <v>419759.29597602715</v>
      </c>
      <c r="Q81" s="1">
        <f t="shared" si="10"/>
        <v>0</v>
      </c>
      <c r="R81" s="1">
        <f t="shared" si="11"/>
        <v>20</v>
      </c>
      <c r="S81" s="1">
        <f t="shared" si="12"/>
        <v>1</v>
      </c>
      <c r="Z81" s="11"/>
      <c r="AA81" s="10"/>
    </row>
    <row r="82" spans="1:27" ht="15.75" customHeight="1" x14ac:dyDescent="0.25">
      <c r="A82" s="15" t="s">
        <v>133</v>
      </c>
      <c r="B82" s="1">
        <v>211891</v>
      </c>
      <c r="C82" s="6">
        <f t="shared" si="0"/>
        <v>1649.2138854296375</v>
      </c>
      <c r="D82" s="7">
        <v>3.7499999999999999E-2</v>
      </c>
      <c r="E82" s="6">
        <f t="shared" si="1"/>
        <v>8432315.151229756</v>
      </c>
      <c r="F82" s="8">
        <v>37712</v>
      </c>
      <c r="G82" s="8">
        <f t="shared" si="2"/>
        <v>55975</v>
      </c>
      <c r="H82" s="9">
        <v>76.8</v>
      </c>
      <c r="I82" s="1">
        <f t="shared" si="3"/>
        <v>657.92186825183751</v>
      </c>
      <c r="J82" s="1">
        <f t="shared" si="14"/>
        <v>104366.40567820874</v>
      </c>
      <c r="K82" s="1">
        <f t="shared" si="5"/>
        <v>31621.181817111585</v>
      </c>
      <c r="L82" s="1">
        <f t="shared" si="6"/>
        <v>94863.54545133475</v>
      </c>
      <c r="M82" s="10">
        <f t="shared" si="13"/>
        <v>4.0500000000000001E-2</v>
      </c>
      <c r="N82" s="1">
        <f t="shared" si="7"/>
        <v>2739.4356799732636</v>
      </c>
      <c r="O82" s="1">
        <f t="shared" si="8"/>
        <v>-82248.19460860992</v>
      </c>
      <c r="P82" s="1">
        <f t="shared" si="9"/>
        <v>421615.75756148784</v>
      </c>
      <c r="Q82" s="1">
        <f t="shared" si="10"/>
        <v>0</v>
      </c>
      <c r="R82" s="1">
        <f t="shared" si="11"/>
        <v>20</v>
      </c>
      <c r="S82" s="1">
        <f t="shared" si="12"/>
        <v>1</v>
      </c>
      <c r="Z82" s="11"/>
      <c r="AA82" s="10"/>
    </row>
    <row r="83" spans="1:27" ht="15.75" customHeight="1" x14ac:dyDescent="0.25">
      <c r="A83" s="23" t="s">
        <v>134</v>
      </c>
      <c r="B83" s="1">
        <v>204939</v>
      </c>
      <c r="C83" s="6">
        <f t="shared" si="0"/>
        <v>1595.1042963885416</v>
      </c>
      <c r="D83" s="7">
        <v>4.0357142857142855E-2</v>
      </c>
      <c r="E83" s="6">
        <f t="shared" si="1"/>
        <v>8155656.6101338658</v>
      </c>
      <c r="F83" s="8">
        <v>37622</v>
      </c>
      <c r="G83" s="8">
        <f t="shared" si="2"/>
        <v>55885</v>
      </c>
      <c r="H83" s="9">
        <v>76.099999999999994</v>
      </c>
      <c r="I83" s="1">
        <f t="shared" si="3"/>
        <v>651.92518455683376</v>
      </c>
      <c r="J83" s="1">
        <f t="shared" si="14"/>
        <v>102163.71950523432</v>
      </c>
      <c r="K83" s="1">
        <f t="shared" si="5"/>
        <v>30583.712288001992</v>
      </c>
      <c r="L83" s="1">
        <f t="shared" si="6"/>
        <v>91751.136864005981</v>
      </c>
      <c r="M83" s="10">
        <f t="shared" si="13"/>
        <v>4.3357142857142858E-2</v>
      </c>
      <c r="N83" s="1">
        <f t="shared" si="7"/>
        <v>2829.9211933899701</v>
      </c>
      <c r="O83" s="1">
        <f t="shared" si="8"/>
        <v>-55222.812848110851</v>
      </c>
      <c r="P83" s="1">
        <f t="shared" si="9"/>
        <v>407782.83050669334</v>
      </c>
      <c r="Q83" s="1">
        <f t="shared" si="10"/>
        <v>0</v>
      </c>
      <c r="R83" s="1">
        <f t="shared" si="11"/>
        <v>20</v>
      </c>
      <c r="S83" s="1">
        <f t="shared" si="12"/>
        <v>1</v>
      </c>
      <c r="Z83" s="11"/>
      <c r="AA83" s="10"/>
    </row>
    <row r="84" spans="1:27" ht="15.75" customHeight="1" x14ac:dyDescent="0.25">
      <c r="A84" s="24" t="s">
        <v>135</v>
      </c>
      <c r="B84" s="1">
        <v>197470</v>
      </c>
      <c r="C84" s="6">
        <f t="shared" si="0"/>
        <v>1536.9707347447061</v>
      </c>
      <c r="D84" s="7">
        <v>4.0357142857142855E-2</v>
      </c>
      <c r="E84" s="6">
        <f t="shared" si="1"/>
        <v>7858423.7787982496</v>
      </c>
      <c r="F84" s="8">
        <v>37530</v>
      </c>
      <c r="G84" s="8">
        <f t="shared" si="2"/>
        <v>55793</v>
      </c>
      <c r="H84" s="9">
        <v>76.2</v>
      </c>
      <c r="I84" s="1">
        <f t="shared" si="3"/>
        <v>652.78185365612012</v>
      </c>
      <c r="J84" s="1">
        <f t="shared" si="14"/>
        <v>100332.10028191624</v>
      </c>
      <c r="K84" s="1">
        <f t="shared" si="5"/>
        <v>29469.089170493433</v>
      </c>
      <c r="L84" s="1">
        <f t="shared" si="6"/>
        <v>88407.267511480299</v>
      </c>
      <c r="M84" s="10">
        <f t="shared" si="13"/>
        <v>4.3357142857142858E-2</v>
      </c>
      <c r="N84" s="1">
        <f t="shared" si="7"/>
        <v>2726.7847411118305</v>
      </c>
      <c r="O84" s="1">
        <f t="shared" si="8"/>
        <v>-29878.093662507184</v>
      </c>
      <c r="P84" s="1">
        <f t="shared" si="9"/>
        <v>392921.18893991248</v>
      </c>
      <c r="Q84" s="1">
        <f t="shared" si="10"/>
        <v>0</v>
      </c>
      <c r="R84" s="1">
        <f t="shared" si="11"/>
        <v>20</v>
      </c>
      <c r="S84" s="1">
        <f t="shared" si="12"/>
        <v>1</v>
      </c>
      <c r="Z84" s="11"/>
      <c r="AA84" s="10"/>
    </row>
    <row r="85" spans="1:27" ht="15.75" customHeight="1" x14ac:dyDescent="0.25">
      <c r="A85" s="13" t="s">
        <v>136</v>
      </c>
      <c r="B85" s="1">
        <v>184117</v>
      </c>
      <c r="C85" s="6">
        <f t="shared" si="0"/>
        <v>1433.0401618929004</v>
      </c>
      <c r="D85" s="7">
        <v>4.0357142857142855E-2</v>
      </c>
      <c r="E85" s="6">
        <f t="shared" si="1"/>
        <v>7327034.0349470675</v>
      </c>
      <c r="F85" s="8">
        <v>37438</v>
      </c>
      <c r="G85" s="8">
        <f t="shared" si="2"/>
        <v>55701</v>
      </c>
      <c r="H85" s="9">
        <v>75.8</v>
      </c>
      <c r="I85" s="1">
        <f t="shared" si="3"/>
        <v>649.35517725897512</v>
      </c>
      <c r="J85" s="1">
        <f t="shared" si="14"/>
        <v>96575.246842626031</v>
      </c>
      <c r="K85" s="1">
        <f t="shared" si="5"/>
        <v>27476.377631051499</v>
      </c>
      <c r="L85" s="1">
        <f t="shared" si="6"/>
        <v>82429.132893154499</v>
      </c>
      <c r="M85" s="10">
        <f t="shared" si="13"/>
        <v>4.3357142857142858E-2</v>
      </c>
      <c r="N85" s="1">
        <f t="shared" si="7"/>
        <v>2542.3984715616898</v>
      </c>
      <c r="O85" s="1">
        <f t="shared" si="8"/>
        <v>-6686.6913342724438</v>
      </c>
      <c r="P85" s="1">
        <f t="shared" si="9"/>
        <v>366351.70174735342</v>
      </c>
      <c r="Q85" s="1">
        <f t="shared" si="10"/>
        <v>0</v>
      </c>
      <c r="R85" s="1">
        <f t="shared" si="11"/>
        <v>20</v>
      </c>
      <c r="S85" s="1">
        <f t="shared" si="12"/>
        <v>1</v>
      </c>
      <c r="Z85" s="11"/>
      <c r="AA85" s="10"/>
    </row>
    <row r="86" spans="1:27" ht="15.75" customHeight="1" x14ac:dyDescent="0.25">
      <c r="A86" s="15" t="s">
        <v>137</v>
      </c>
      <c r="B86" s="1">
        <v>171692</v>
      </c>
      <c r="C86" s="6">
        <f t="shared" si="0"/>
        <v>1336.332503113324</v>
      </c>
      <c r="D86" s="7">
        <v>4.0357142857142855E-2</v>
      </c>
      <c r="E86" s="6">
        <f t="shared" si="1"/>
        <v>6832574.5451432075</v>
      </c>
      <c r="F86" s="8">
        <v>37347</v>
      </c>
      <c r="G86" s="8">
        <f t="shared" si="2"/>
        <v>55610</v>
      </c>
      <c r="H86" s="9">
        <v>75.7</v>
      </c>
      <c r="I86" s="1">
        <f t="shared" si="3"/>
        <v>648.49850815968898</v>
      </c>
      <c r="J86" s="1">
        <f t="shared" si="14"/>
        <v>93143.425521871191</v>
      </c>
      <c r="K86" s="1">
        <f t="shared" si="5"/>
        <v>25622.154544287027</v>
      </c>
      <c r="L86" s="1">
        <f t="shared" si="6"/>
        <v>76866.46363286108</v>
      </c>
      <c r="M86" s="10">
        <f t="shared" si="13"/>
        <v>4.3357142857142858E-2</v>
      </c>
      <c r="N86" s="1">
        <f t="shared" si="7"/>
        <v>2370.8265851570995</v>
      </c>
      <c r="O86" s="1">
        <f t="shared" si="8"/>
        <v>12968.531111175136</v>
      </c>
      <c r="P86" s="1">
        <f t="shared" si="9"/>
        <v>341628.72725716041</v>
      </c>
      <c r="Q86" s="1">
        <f t="shared" si="10"/>
        <v>0</v>
      </c>
      <c r="R86" s="1">
        <f t="shared" si="11"/>
        <v>20</v>
      </c>
      <c r="S86" s="1">
        <f t="shared" si="12"/>
        <v>1</v>
      </c>
      <c r="Z86" s="11"/>
      <c r="AA86" s="10"/>
    </row>
    <row r="87" spans="1:27" ht="15.75" customHeight="1" x14ac:dyDescent="0.25">
      <c r="A87" s="23" t="s">
        <v>138</v>
      </c>
      <c r="B87" s="1">
        <v>168783</v>
      </c>
      <c r="C87" s="6">
        <f t="shared" si="0"/>
        <v>1313.6908468244076</v>
      </c>
      <c r="D87" s="7">
        <v>4.0357142857142855E-2</v>
      </c>
      <c r="E87" s="6">
        <f t="shared" si="1"/>
        <v>6716809.3414539183</v>
      </c>
      <c r="F87" s="8">
        <v>37257</v>
      </c>
      <c r="G87" s="8">
        <f t="shared" si="2"/>
        <v>55519</v>
      </c>
      <c r="H87" s="9">
        <v>75</v>
      </c>
      <c r="I87" s="1">
        <f t="shared" si="3"/>
        <v>642.50182446468523</v>
      </c>
      <c r="J87" s="1">
        <f t="shared" si="14"/>
        <v>91922.307462784025</v>
      </c>
      <c r="K87" s="1">
        <f t="shared" si="5"/>
        <v>25188.035030452189</v>
      </c>
      <c r="L87" s="1">
        <f t="shared" si="6"/>
        <v>75564.10509135657</v>
      </c>
      <c r="M87" s="10">
        <f t="shared" si="13"/>
        <v>4.3357142857142858E-2</v>
      </c>
      <c r="N87" s="1">
        <f t="shared" si="7"/>
        <v>2330.6573604045075</v>
      </c>
      <c r="O87" s="1">
        <f t="shared" si="8"/>
        <v>29291.76815481994</v>
      </c>
      <c r="P87" s="1">
        <f t="shared" si="9"/>
        <v>335840.46707269596</v>
      </c>
      <c r="Q87" s="1">
        <f t="shared" si="10"/>
        <v>0</v>
      </c>
      <c r="R87" s="1">
        <f t="shared" si="11"/>
        <v>20</v>
      </c>
      <c r="S87" s="1">
        <f t="shared" si="12"/>
        <v>1</v>
      </c>
      <c r="Z87" s="11"/>
      <c r="AA87" s="10"/>
    </row>
    <row r="88" spans="1:27" ht="15.75" customHeight="1" x14ac:dyDescent="0.25">
      <c r="A88" s="24" t="s">
        <v>139</v>
      </c>
      <c r="B88" s="1">
        <v>165414</v>
      </c>
      <c r="C88" s="6">
        <f t="shared" si="0"/>
        <v>1287.4688667496878</v>
      </c>
      <c r="D88" s="7">
        <v>4.9365079365079369E-2</v>
      </c>
      <c r="E88" s="6">
        <f t="shared" si="1"/>
        <v>6582738.1928704809</v>
      </c>
      <c r="F88" s="8">
        <v>37165</v>
      </c>
      <c r="G88" s="8">
        <f t="shared" si="2"/>
        <v>55427</v>
      </c>
      <c r="H88" s="9">
        <v>74.900000000000006</v>
      </c>
      <c r="I88" s="1">
        <f t="shared" si="3"/>
        <v>641.64515536539909</v>
      </c>
      <c r="J88" s="1">
        <f t="shared" si="14"/>
        <v>90935.556983673363</v>
      </c>
      <c r="K88" s="1">
        <f t="shared" si="5"/>
        <v>24685.268223264302</v>
      </c>
      <c r="L88" s="1">
        <f t="shared" si="6"/>
        <v>74055.804669792909</v>
      </c>
      <c r="M88" s="10">
        <f t="shared" si="13"/>
        <v>5.2365079365079371E-2</v>
      </c>
      <c r="N88" s="1">
        <f t="shared" si="7"/>
        <v>2748.3553919047117</v>
      </c>
      <c r="O88" s="1">
        <f t="shared" si="8"/>
        <v>45106.373395366893</v>
      </c>
      <c r="P88" s="1">
        <f t="shared" si="9"/>
        <v>329136.90964352409</v>
      </c>
      <c r="Q88" s="1">
        <f t="shared" si="10"/>
        <v>0</v>
      </c>
      <c r="R88" s="1">
        <f t="shared" si="11"/>
        <v>20</v>
      </c>
      <c r="S88" s="1">
        <f t="shared" si="12"/>
        <v>1</v>
      </c>
      <c r="Z88" s="11"/>
      <c r="AA88" s="10"/>
    </row>
    <row r="89" spans="1:27" ht="15.75" customHeight="1" x14ac:dyDescent="0.25">
      <c r="A89" s="13" t="s">
        <v>140</v>
      </c>
      <c r="B89" s="1">
        <v>160387</v>
      </c>
      <c r="C89" s="6">
        <f t="shared" si="0"/>
        <v>1248.3421544209207</v>
      </c>
      <c r="D89" s="7">
        <v>5.3235294117647054E-2</v>
      </c>
      <c r="E89" s="6">
        <f t="shared" si="1"/>
        <v>6382686.0516033582</v>
      </c>
      <c r="F89" s="8">
        <v>37073</v>
      </c>
      <c r="G89" s="8">
        <f t="shared" si="2"/>
        <v>55335</v>
      </c>
      <c r="H89" s="9">
        <v>74.8</v>
      </c>
      <c r="I89" s="1">
        <f t="shared" si="3"/>
        <v>640.78848626611273</v>
      </c>
      <c r="J89" s="1">
        <f t="shared" si="14"/>
        <v>89473.566174883701</v>
      </c>
      <c r="K89" s="1">
        <f t="shared" si="5"/>
        <v>23935.072693512589</v>
      </c>
      <c r="L89" s="1">
        <f t="shared" si="6"/>
        <v>71805.218080537772</v>
      </c>
      <c r="M89" s="10">
        <f t="shared" si="13"/>
        <v>5.6235294117647057E-2</v>
      </c>
      <c r="N89" s="1">
        <f t="shared" si="7"/>
        <v>2859.7170577875249</v>
      </c>
      <c r="O89" s="1">
        <f t="shared" si="8"/>
        <v>60054.066025772117</v>
      </c>
      <c r="P89" s="1">
        <f t="shared" si="9"/>
        <v>319134.30258016795</v>
      </c>
      <c r="Q89" s="1">
        <f t="shared" si="10"/>
        <v>0</v>
      </c>
      <c r="R89" s="1">
        <f t="shared" si="11"/>
        <v>20</v>
      </c>
      <c r="S89" s="1">
        <f t="shared" si="12"/>
        <v>1</v>
      </c>
      <c r="Z89" s="11"/>
      <c r="AA89" s="10"/>
    </row>
    <row r="90" spans="1:27" ht="15.75" customHeight="1" x14ac:dyDescent="0.25">
      <c r="A90" s="15" t="s">
        <v>141</v>
      </c>
      <c r="B90" s="1">
        <v>147983</v>
      </c>
      <c r="C90" s="6">
        <f t="shared" si="0"/>
        <v>1151.7979452054785</v>
      </c>
      <c r="D90" s="7">
        <v>5.7500000000000002E-2</v>
      </c>
      <c r="E90" s="6">
        <f t="shared" si="1"/>
        <v>5889062.2679794477</v>
      </c>
      <c r="F90" s="8">
        <v>36982</v>
      </c>
      <c r="G90" s="8">
        <f t="shared" si="2"/>
        <v>55244</v>
      </c>
      <c r="H90" s="9">
        <v>74.8</v>
      </c>
      <c r="I90" s="1">
        <f t="shared" si="3"/>
        <v>640.78848626611273</v>
      </c>
      <c r="J90" s="1">
        <f t="shared" si="14"/>
        <v>85874.545145492841</v>
      </c>
      <c r="K90" s="1">
        <f t="shared" si="5"/>
        <v>22083.98350492293</v>
      </c>
      <c r="L90" s="1">
        <f t="shared" si="6"/>
        <v>66251.950514768789</v>
      </c>
      <c r="M90" s="10">
        <f t="shared" si="13"/>
        <v>6.0500000000000005E-2</v>
      </c>
      <c r="N90" s="1">
        <f t="shared" si="7"/>
        <v>2837.251970694791</v>
      </c>
      <c r="O90" s="1">
        <f t="shared" si="8"/>
        <v>73701.466092635485</v>
      </c>
      <c r="P90" s="1">
        <f t="shared" si="9"/>
        <v>294453.11339897237</v>
      </c>
      <c r="Q90" s="1">
        <f t="shared" si="10"/>
        <v>0</v>
      </c>
      <c r="R90" s="1">
        <f t="shared" si="11"/>
        <v>20</v>
      </c>
      <c r="S90" s="1">
        <f t="shared" si="12"/>
        <v>1</v>
      </c>
      <c r="Z90" s="11"/>
      <c r="AA90" s="10"/>
    </row>
    <row r="91" spans="1:27" ht="15.75" customHeight="1" x14ac:dyDescent="0.25">
      <c r="A91" s="23" t="s">
        <v>142</v>
      </c>
      <c r="B91" s="1">
        <v>147704</v>
      </c>
      <c r="C91" s="6">
        <f t="shared" si="0"/>
        <v>1149.6264009962631</v>
      </c>
      <c r="D91" s="7">
        <v>5.9821428571428567E-2</v>
      </c>
      <c r="E91" s="6">
        <f t="shared" si="1"/>
        <v>5877959.3144458234</v>
      </c>
      <c r="F91" s="8">
        <v>36892</v>
      </c>
      <c r="G91" s="8">
        <f t="shared" si="2"/>
        <v>55154</v>
      </c>
      <c r="H91" s="9">
        <v>73.7</v>
      </c>
      <c r="I91" s="1">
        <f t="shared" si="3"/>
        <v>631.36512617396397</v>
      </c>
      <c r="J91" s="1">
        <f t="shared" si="14"/>
        <v>85158.60457508816</v>
      </c>
      <c r="K91" s="1">
        <f t="shared" si="5"/>
        <v>22042.347429171834</v>
      </c>
      <c r="L91" s="1">
        <f t="shared" si="6"/>
        <v>66127.042287515505</v>
      </c>
      <c r="M91" s="10">
        <f t="shared" si="13"/>
        <v>6.282142857142857E-2</v>
      </c>
      <c r="N91" s="1">
        <f t="shared" si="7"/>
        <v>2940.033711318214</v>
      </c>
      <c r="O91" s="1">
        <f t="shared" si="8"/>
        <v>84134.962262833928</v>
      </c>
      <c r="P91" s="1">
        <f t="shared" si="9"/>
        <v>293897.96572229121</v>
      </c>
      <c r="Q91" s="1">
        <f t="shared" si="10"/>
        <v>0</v>
      </c>
      <c r="R91" s="1">
        <f t="shared" si="11"/>
        <v>20</v>
      </c>
      <c r="S91" s="1">
        <f t="shared" si="12"/>
        <v>1</v>
      </c>
      <c r="Z91" s="11"/>
      <c r="AA91" s="10"/>
    </row>
    <row r="92" spans="1:27" ht="15.75" customHeight="1" x14ac:dyDescent="0.25">
      <c r="A92" s="24" t="s">
        <v>143</v>
      </c>
      <c r="B92" s="1">
        <v>144205</v>
      </c>
      <c r="C92" s="6">
        <f t="shared" si="0"/>
        <v>1122.392590286425</v>
      </c>
      <c r="D92" s="7">
        <v>5.9821428571428567E-2</v>
      </c>
      <c r="E92" s="6">
        <f t="shared" si="1"/>
        <v>5738714.7466531722</v>
      </c>
      <c r="F92" s="8">
        <v>36800</v>
      </c>
      <c r="G92" s="8">
        <f t="shared" si="2"/>
        <v>55062</v>
      </c>
      <c r="H92" s="9">
        <v>73.900000000000006</v>
      </c>
      <c r="I92" s="1">
        <f t="shared" si="3"/>
        <v>633.07846437253647</v>
      </c>
      <c r="J92" s="1">
        <f t="shared" si="14"/>
        <v>84250.480917929439</v>
      </c>
      <c r="K92" s="1">
        <f t="shared" si="5"/>
        <v>21520.180299949396</v>
      </c>
      <c r="L92" s="1">
        <f t="shared" si="6"/>
        <v>64560.540899848187</v>
      </c>
      <c r="M92" s="10">
        <f t="shared" si="13"/>
        <v>6.282142857142857E-2</v>
      </c>
      <c r="N92" s="1">
        <f t="shared" si="7"/>
        <v>2870.3864576493738</v>
      </c>
      <c r="O92" s="1">
        <f t="shared" si="8"/>
        <v>94908.91157654213</v>
      </c>
      <c r="P92" s="1">
        <f t="shared" si="9"/>
        <v>286935.73733265861</v>
      </c>
      <c r="Q92" s="1">
        <f t="shared" si="10"/>
        <v>0</v>
      </c>
      <c r="R92" s="1">
        <f t="shared" si="11"/>
        <v>20</v>
      </c>
      <c r="S92" s="1">
        <f t="shared" si="12"/>
        <v>1</v>
      </c>
      <c r="Z92" s="11"/>
      <c r="AA92" s="10"/>
    </row>
    <row r="93" spans="1:27" ht="15.75" customHeight="1" x14ac:dyDescent="0.25">
      <c r="A93" s="13" t="s">
        <v>144</v>
      </c>
      <c r="B93" s="1">
        <v>145535</v>
      </c>
      <c r="C93" s="6">
        <f t="shared" si="0"/>
        <v>1132.744396014943</v>
      </c>
      <c r="D93" s="7">
        <v>5.9821428571428567E-2</v>
      </c>
      <c r="E93" s="6">
        <f t="shared" si="1"/>
        <v>5791642.8047166821</v>
      </c>
      <c r="F93" s="8">
        <v>36708</v>
      </c>
      <c r="G93" s="8">
        <f t="shared" si="2"/>
        <v>54970</v>
      </c>
      <c r="H93" s="9">
        <v>73.5</v>
      </c>
      <c r="I93" s="1">
        <f t="shared" si="3"/>
        <v>629.65178797539136</v>
      </c>
      <c r="J93" s="1">
        <f t="shared" si="14"/>
        <v>84406.485977470948</v>
      </c>
      <c r="K93" s="1">
        <f t="shared" si="5"/>
        <v>21718.660517687556</v>
      </c>
      <c r="L93" s="1">
        <f t="shared" si="6"/>
        <v>65155.981553062673</v>
      </c>
      <c r="M93" s="10">
        <f t="shared" si="13"/>
        <v>6.282142857142857E-2</v>
      </c>
      <c r="N93" s="1">
        <f t="shared" si="7"/>
        <v>2896.8599779064634</v>
      </c>
      <c r="O93" s="1">
        <f t="shared" si="8"/>
        <v>104706.63987973618</v>
      </c>
      <c r="P93" s="1">
        <f t="shared" si="9"/>
        <v>289582.14023583411</v>
      </c>
      <c r="Q93" s="1">
        <f t="shared" si="10"/>
        <v>0</v>
      </c>
      <c r="R93" s="1">
        <f t="shared" si="11"/>
        <v>20</v>
      </c>
      <c r="S93" s="1">
        <f t="shared" si="12"/>
        <v>1</v>
      </c>
      <c r="Z93" s="11"/>
      <c r="AA93" s="10"/>
    </row>
    <row r="94" spans="1:27" ht="15.75" customHeight="1" x14ac:dyDescent="0.25">
      <c r="A94" s="15" t="s">
        <v>145</v>
      </c>
      <c r="B94" s="1">
        <v>140148</v>
      </c>
      <c r="C94" s="6">
        <f t="shared" si="0"/>
        <v>1090.8156911581561</v>
      </c>
      <c r="D94" s="7">
        <v>5.9821428571428567E-2</v>
      </c>
      <c r="E94" s="6">
        <f t="shared" si="1"/>
        <v>5577264.2717932714</v>
      </c>
      <c r="F94" s="8">
        <v>36617</v>
      </c>
      <c r="G94" s="8">
        <f t="shared" si="2"/>
        <v>54879</v>
      </c>
      <c r="H94" s="9">
        <v>73.5</v>
      </c>
      <c r="I94" s="1">
        <f t="shared" si="3"/>
        <v>629.65178797539136</v>
      </c>
      <c r="J94" s="1">
        <f t="shared" si="14"/>
        <v>82814.869605615997</v>
      </c>
      <c r="K94" s="1">
        <f t="shared" si="5"/>
        <v>20914.741019224766</v>
      </c>
      <c r="L94" s="1">
        <f t="shared" si="6"/>
        <v>62744.223057674302</v>
      </c>
      <c r="M94" s="10">
        <f t="shared" si="13"/>
        <v>6.282142857142857E-2</v>
      </c>
      <c r="N94" s="1">
        <f t="shared" si="7"/>
        <v>2789.6322684140246</v>
      </c>
      <c r="O94" s="1">
        <f t="shared" si="8"/>
        <v>114998.40554744273</v>
      </c>
      <c r="P94" s="1">
        <f t="shared" si="9"/>
        <v>278863.21358966356</v>
      </c>
      <c r="Q94" s="1">
        <f t="shared" si="10"/>
        <v>0</v>
      </c>
      <c r="R94" s="1">
        <f t="shared" si="11"/>
        <v>20</v>
      </c>
      <c r="S94" s="1">
        <f t="shared" si="12"/>
        <v>1</v>
      </c>
      <c r="Z94" s="11"/>
      <c r="AA94" s="10"/>
    </row>
    <row r="95" spans="1:27" ht="15.75" customHeight="1" x14ac:dyDescent="0.25">
      <c r="A95" s="5" t="s">
        <v>146</v>
      </c>
      <c r="B95" s="1">
        <v>130598</v>
      </c>
      <c r="C95" s="6">
        <f t="shared" si="0"/>
        <v>1016.4850560398498</v>
      </c>
      <c r="D95" s="7">
        <v>5.5E-2</v>
      </c>
      <c r="E95" s="6">
        <f t="shared" si="1"/>
        <v>5197216.9375778297</v>
      </c>
      <c r="F95" s="8">
        <v>36526</v>
      </c>
      <c r="G95" s="8">
        <f t="shared" si="2"/>
        <v>54789</v>
      </c>
      <c r="H95" s="9">
        <v>72.8</v>
      </c>
      <c r="I95" s="1">
        <f t="shared" si="3"/>
        <v>623.6551042803876</v>
      </c>
      <c r="J95" s="1">
        <f t="shared" si="14"/>
        <v>79524.90262106208</v>
      </c>
      <c r="K95" s="1">
        <f t="shared" si="5"/>
        <v>19489.56351591686</v>
      </c>
      <c r="L95" s="1">
        <f t="shared" si="6"/>
        <v>58468.690547750579</v>
      </c>
      <c r="M95" s="10">
        <f t="shared" si="13"/>
        <v>5.8000000000000003E-2</v>
      </c>
      <c r="N95" s="1">
        <f t="shared" si="7"/>
        <v>2401.0853097843087</v>
      </c>
      <c r="O95" s="1">
        <f t="shared" si="8"/>
        <v>123912.96336146662</v>
      </c>
      <c r="P95" s="1">
        <f t="shared" si="9"/>
        <v>259860.84687889149</v>
      </c>
      <c r="Q95" s="1">
        <f t="shared" si="10"/>
        <v>0</v>
      </c>
      <c r="R95" s="1">
        <f t="shared" si="11"/>
        <v>20</v>
      </c>
      <c r="S95" s="1">
        <f t="shared" si="12"/>
        <v>1</v>
      </c>
      <c r="Z95" s="11"/>
      <c r="AA95" s="10"/>
    </row>
    <row r="96" spans="1:27" ht="15.75" customHeight="1" x14ac:dyDescent="0.25">
      <c r="A96" s="13" t="s">
        <v>147</v>
      </c>
      <c r="B96" s="1">
        <v>122331</v>
      </c>
      <c r="C96" s="6">
        <f t="shared" si="0"/>
        <v>952.14041095890343</v>
      </c>
      <c r="D96" s="7">
        <v>5.2499999999999998E-2</v>
      </c>
      <c r="E96" s="6">
        <f t="shared" si="1"/>
        <v>4868227.2714041062</v>
      </c>
      <c r="F96" s="8">
        <v>36434</v>
      </c>
      <c r="G96" s="8">
        <f t="shared" si="2"/>
        <v>54697</v>
      </c>
      <c r="H96" s="9">
        <v>72.900000000000006</v>
      </c>
      <c r="I96" s="1">
        <f t="shared" si="3"/>
        <v>624.51177337967385</v>
      </c>
      <c r="J96" s="1">
        <f t="shared" si="14"/>
        <v>76976.696707867886</v>
      </c>
      <c r="K96" s="1">
        <f t="shared" si="5"/>
        <v>18255.852267765396</v>
      </c>
      <c r="L96" s="1">
        <f t="shared" si="6"/>
        <v>54767.556803296189</v>
      </c>
      <c r="M96" s="10">
        <f t="shared" si="13"/>
        <v>5.5500000000000001E-2</v>
      </c>
      <c r="N96" s="1">
        <f t="shared" si="7"/>
        <v>2152.8985662760383</v>
      </c>
      <c r="O96" s="1">
        <f t="shared" si="8"/>
        <v>130690.46720552685</v>
      </c>
      <c r="P96" s="1">
        <f t="shared" si="9"/>
        <v>243411.36357020531</v>
      </c>
      <c r="Q96" s="1">
        <f t="shared" si="10"/>
        <v>0</v>
      </c>
      <c r="R96" s="1">
        <f t="shared" si="11"/>
        <v>20</v>
      </c>
      <c r="S96" s="1">
        <f t="shared" si="12"/>
        <v>1</v>
      </c>
      <c r="Z96" s="11"/>
      <c r="AA96" s="10"/>
    </row>
    <row r="97" spans="1:27" ht="15.75" customHeight="1" x14ac:dyDescent="0.25">
      <c r="A97" s="13" t="s">
        <v>148</v>
      </c>
      <c r="B97" s="1">
        <v>116170</v>
      </c>
      <c r="C97" s="6">
        <f t="shared" si="0"/>
        <v>904.1874221668736</v>
      </c>
      <c r="D97" s="7">
        <v>5.1029411764705879E-2</v>
      </c>
      <c r="E97" s="6">
        <f t="shared" si="1"/>
        <v>4623046.9964196729</v>
      </c>
      <c r="F97" s="8">
        <v>36342</v>
      </c>
      <c r="G97" s="8">
        <f t="shared" si="2"/>
        <v>54605</v>
      </c>
      <c r="H97" s="9">
        <v>72.599999999999994</v>
      </c>
      <c r="I97" s="1">
        <f t="shared" si="3"/>
        <v>621.94176608181499</v>
      </c>
      <c r="J97" s="1">
        <f t="shared" si="14"/>
        <v>74837.592196214493</v>
      </c>
      <c r="K97" s="1">
        <f t="shared" si="5"/>
        <v>17336.42623657377</v>
      </c>
      <c r="L97" s="1">
        <f t="shared" si="6"/>
        <v>52009.278709721315</v>
      </c>
      <c r="M97" s="10">
        <f t="shared" si="13"/>
        <v>5.4029411764705881E-2</v>
      </c>
      <c r="N97" s="1">
        <f t="shared" si="7"/>
        <v>1990.8124524778434</v>
      </c>
      <c r="O97" s="1">
        <f t="shared" si="8"/>
        <v>135423.17114870891</v>
      </c>
      <c r="P97" s="1">
        <f t="shared" si="9"/>
        <v>231152.34982098365</v>
      </c>
      <c r="Q97" s="1">
        <f t="shared" si="10"/>
        <v>0</v>
      </c>
      <c r="R97" s="1">
        <f t="shared" si="11"/>
        <v>20</v>
      </c>
      <c r="S97" s="1">
        <f t="shared" si="12"/>
        <v>1</v>
      </c>
      <c r="Z97" s="11"/>
      <c r="AA97" s="10"/>
    </row>
    <row r="98" spans="1:27" ht="15.75" customHeight="1" x14ac:dyDescent="0.25">
      <c r="A98" s="15" t="s">
        <v>149</v>
      </c>
      <c r="B98" s="1">
        <v>111639</v>
      </c>
      <c r="C98" s="6">
        <f t="shared" si="0"/>
        <v>868.92123287671177</v>
      </c>
      <c r="D98" s="7">
        <v>5.6538461538461544E-2</v>
      </c>
      <c r="E98" s="6">
        <f t="shared" si="1"/>
        <v>4442733.439212326</v>
      </c>
      <c r="F98" s="8">
        <v>36251</v>
      </c>
      <c r="G98" s="8">
        <f t="shared" si="2"/>
        <v>54514</v>
      </c>
      <c r="H98" s="9">
        <v>72.7</v>
      </c>
      <c r="I98" s="1">
        <f t="shared" si="3"/>
        <v>622.79843518110124</v>
      </c>
      <c r="J98" s="1">
        <f t="shared" si="14"/>
        <v>73398.588670808778</v>
      </c>
      <c r="K98" s="1">
        <f t="shared" si="5"/>
        <v>16660.250397046224</v>
      </c>
      <c r="L98" s="1">
        <f t="shared" si="6"/>
        <v>49980.751191138668</v>
      </c>
      <c r="M98" s="10">
        <f t="shared" si="13"/>
        <v>5.9538461538461547E-2</v>
      </c>
      <c r="N98" s="1">
        <f t="shared" si="7"/>
        <v>2106.6073410851654</v>
      </c>
      <c r="O98" s="1">
        <f t="shared" si="8"/>
        <v>138788.01493089079</v>
      </c>
      <c r="P98" s="1">
        <f t="shared" si="9"/>
        <v>222136.67196061631</v>
      </c>
      <c r="Q98" s="1">
        <f t="shared" si="10"/>
        <v>0</v>
      </c>
      <c r="R98" s="1">
        <f t="shared" si="11"/>
        <v>20</v>
      </c>
      <c r="S98" s="1">
        <f t="shared" si="12"/>
        <v>1</v>
      </c>
      <c r="Z98" s="11"/>
      <c r="AA98" s="10"/>
    </row>
    <row r="99" spans="1:27" ht="15.75" customHeight="1" x14ac:dyDescent="0.25">
      <c r="A99" s="5" t="s">
        <v>150</v>
      </c>
      <c r="B99" s="1">
        <v>107464</v>
      </c>
      <c r="C99" s="6">
        <f t="shared" si="0"/>
        <v>836.42590286425855</v>
      </c>
      <c r="D99" s="7">
        <v>6.7500000000000004E-2</v>
      </c>
      <c r="E99" s="6">
        <f t="shared" si="1"/>
        <v>4276587.0915317535</v>
      </c>
      <c r="F99" s="8">
        <v>36161</v>
      </c>
      <c r="G99" s="8">
        <f t="shared" si="2"/>
        <v>54424</v>
      </c>
      <c r="H99" s="9">
        <v>72</v>
      </c>
      <c r="I99" s="1">
        <f t="shared" si="3"/>
        <v>616.80175148609749</v>
      </c>
      <c r="J99" s="1">
        <f t="shared" si="14"/>
        <v>71658.279855818226</v>
      </c>
      <c r="K99" s="1">
        <f t="shared" si="5"/>
        <v>16037.201593244075</v>
      </c>
      <c r="L99" s="1">
        <f t="shared" si="6"/>
        <v>48111.604779732224</v>
      </c>
      <c r="M99" s="10">
        <f t="shared" si="13"/>
        <v>7.0500000000000007E-2</v>
      </c>
      <c r="N99" s="1">
        <f t="shared" si="7"/>
        <v>2399.6942424075364</v>
      </c>
      <c r="O99" s="1">
        <f t="shared" si="8"/>
        <v>141059.68348600375</v>
      </c>
      <c r="P99" s="1">
        <f t="shared" si="9"/>
        <v>213829.35457658768</v>
      </c>
      <c r="Q99" s="1">
        <f t="shared" si="10"/>
        <v>0</v>
      </c>
      <c r="R99" s="1">
        <f t="shared" si="11"/>
        <v>20</v>
      </c>
      <c r="S99" s="1">
        <f t="shared" si="12"/>
        <v>1</v>
      </c>
      <c r="Z99" s="11"/>
      <c r="AA99" s="10"/>
    </row>
    <row r="100" spans="1:27" ht="15.75" customHeight="1" x14ac:dyDescent="0.25">
      <c r="A100" s="13" t="s">
        <v>151</v>
      </c>
      <c r="B100" s="1">
        <v>106290</v>
      </c>
      <c r="C100" s="6">
        <f t="shared" si="0"/>
        <v>827.28829389788245</v>
      </c>
      <c r="D100" s="7">
        <v>7.4999999999999997E-2</v>
      </c>
      <c r="E100" s="6">
        <f t="shared" si="1"/>
        <v>4229867.1365193008</v>
      </c>
      <c r="F100" s="8">
        <v>36069</v>
      </c>
      <c r="G100" s="8">
        <f t="shared" si="2"/>
        <v>54332</v>
      </c>
      <c r="H100" s="9">
        <v>71.8</v>
      </c>
      <c r="I100" s="1">
        <f t="shared" si="3"/>
        <v>615.08841328752499</v>
      </c>
      <c r="J100" s="1">
        <f t="shared" si="14"/>
        <v>71166.138648242151</v>
      </c>
      <c r="K100" s="1">
        <f t="shared" si="5"/>
        <v>15862.001761947378</v>
      </c>
      <c r="L100" s="1">
        <f t="shared" si="6"/>
        <v>47586.005285842133</v>
      </c>
      <c r="M100" s="10">
        <f t="shared" si="13"/>
        <v>7.8E-2</v>
      </c>
      <c r="N100" s="1">
        <f t="shared" si="7"/>
        <v>2625.6177895589012</v>
      </c>
      <c r="O100" s="1">
        <f t="shared" si="8"/>
        <v>142593.40635945412</v>
      </c>
      <c r="P100" s="1">
        <f t="shared" si="9"/>
        <v>211493.35682596505</v>
      </c>
      <c r="Q100" s="1">
        <f t="shared" si="10"/>
        <v>0</v>
      </c>
      <c r="R100" s="1">
        <f t="shared" si="11"/>
        <v>20</v>
      </c>
      <c r="S100" s="1">
        <f t="shared" si="12"/>
        <v>1</v>
      </c>
      <c r="Z100" s="11"/>
      <c r="AA100" s="10"/>
    </row>
    <row r="101" spans="1:27" ht="15.75" customHeight="1" x14ac:dyDescent="0.25">
      <c r="A101" s="13" t="s">
        <v>152</v>
      </c>
      <c r="B101" s="1">
        <v>103181</v>
      </c>
      <c r="C101" s="6">
        <f t="shared" si="0"/>
        <v>803.08997509339929</v>
      </c>
      <c r="D101" s="7">
        <v>7.4999999999999997E-2</v>
      </c>
      <c r="E101" s="6">
        <f t="shared" si="1"/>
        <v>4106142.8263542936</v>
      </c>
      <c r="F101" s="8">
        <v>35977</v>
      </c>
      <c r="G101" s="8">
        <f t="shared" si="2"/>
        <v>54240</v>
      </c>
      <c r="H101" s="9">
        <v>71.400000000000006</v>
      </c>
      <c r="I101" s="1">
        <f t="shared" si="3"/>
        <v>611.6617368903801</v>
      </c>
      <c r="J101" s="1">
        <f t="shared" si="14"/>
        <v>69916.94114323883</v>
      </c>
      <c r="K101" s="1">
        <f t="shared" si="5"/>
        <v>15398.035598828601</v>
      </c>
      <c r="L101" s="1">
        <f t="shared" si="6"/>
        <v>46194.106796485801</v>
      </c>
      <c r="M101" s="10">
        <f t="shared" si="13"/>
        <v>7.8E-2</v>
      </c>
      <c r="N101" s="1">
        <f t="shared" si="7"/>
        <v>2548.8180369223533</v>
      </c>
      <c r="O101" s="1">
        <f t="shared" si="8"/>
        <v>143921.42152393886</v>
      </c>
      <c r="P101" s="1">
        <f t="shared" si="9"/>
        <v>205307.1413177147</v>
      </c>
      <c r="Q101" s="1">
        <f t="shared" si="10"/>
        <v>0</v>
      </c>
      <c r="R101" s="1">
        <f t="shared" si="11"/>
        <v>20</v>
      </c>
      <c r="S101" s="1">
        <f t="shared" si="12"/>
        <v>1</v>
      </c>
      <c r="Z101" s="11"/>
      <c r="AA101" s="10"/>
    </row>
    <row r="102" spans="1:27" ht="15.75" customHeight="1" x14ac:dyDescent="0.25">
      <c r="A102" s="25" t="s">
        <v>153</v>
      </c>
      <c r="B102" s="1">
        <v>98387</v>
      </c>
      <c r="C102" s="6">
        <f t="shared" si="0"/>
        <v>765.77677459526728</v>
      </c>
      <c r="D102" s="7">
        <v>7.2499999999999995E-2</v>
      </c>
      <c r="E102" s="6">
        <f t="shared" si="1"/>
        <v>3915363.0441313796</v>
      </c>
      <c r="F102" s="8">
        <v>35886</v>
      </c>
      <c r="G102" s="8">
        <f t="shared" si="2"/>
        <v>54149</v>
      </c>
      <c r="H102" s="9">
        <v>71.400000000000006</v>
      </c>
      <c r="I102" s="1">
        <f t="shared" si="3"/>
        <v>611.6617368903801</v>
      </c>
      <c r="J102" s="1">
        <f t="shared" si="14"/>
        <v>68254.068981781224</v>
      </c>
      <c r="K102" s="1">
        <f t="shared" si="5"/>
        <v>14682.611415492674</v>
      </c>
      <c r="L102" s="1">
        <f t="shared" si="6"/>
        <v>44047.834246478022</v>
      </c>
      <c r="M102" s="10">
        <f t="shared" si="13"/>
        <v>7.5499999999999998E-2</v>
      </c>
      <c r="N102" s="1">
        <f t="shared" si="7"/>
        <v>2352.5750581556676</v>
      </c>
      <c r="O102" s="1">
        <f t="shared" si="8"/>
        <v>144669.51657731942</v>
      </c>
      <c r="P102" s="1">
        <f t="shared" si="9"/>
        <v>195768.15220656898</v>
      </c>
      <c r="Q102" s="1">
        <f t="shared" si="10"/>
        <v>0</v>
      </c>
      <c r="R102" s="1">
        <f t="shared" si="11"/>
        <v>20</v>
      </c>
      <c r="S102" s="1">
        <f t="shared" si="12"/>
        <v>1</v>
      </c>
      <c r="Z102" s="11"/>
      <c r="AA102" s="10"/>
    </row>
    <row r="103" spans="1:27" ht="15.75" customHeight="1" x14ac:dyDescent="0.25">
      <c r="A103" s="26" t="s">
        <v>154</v>
      </c>
      <c r="B103" s="1">
        <v>94055</v>
      </c>
      <c r="C103" s="6">
        <f t="shared" si="0"/>
        <v>732.05946450809427</v>
      </c>
      <c r="D103" s="7">
        <v>7.2499999999999995E-2</v>
      </c>
      <c r="E103" s="6">
        <f t="shared" si="1"/>
        <v>3742968.7978673703</v>
      </c>
      <c r="F103" s="8">
        <v>35796</v>
      </c>
      <c r="G103" s="8">
        <f t="shared" si="2"/>
        <v>54058</v>
      </c>
      <c r="H103" s="9">
        <v>70.599999999999994</v>
      </c>
      <c r="I103" s="1">
        <f t="shared" si="3"/>
        <v>604.80838409608998</v>
      </c>
      <c r="J103" s="1">
        <f t="shared" si="14"/>
        <v>66350.164215979006</v>
      </c>
      <c r="K103" s="1">
        <f t="shared" si="5"/>
        <v>14036.132992002638</v>
      </c>
      <c r="L103" s="1">
        <f t="shared" si="6"/>
        <v>42108.398976007913</v>
      </c>
      <c r="M103" s="10">
        <f t="shared" si="13"/>
        <v>7.5499999999999998E-2</v>
      </c>
      <c r="N103" s="1">
        <f t="shared" si="7"/>
        <v>2248.9906907907689</v>
      </c>
      <c r="O103" s="1">
        <f t="shared" si="8"/>
        <v>144352.20598563965</v>
      </c>
      <c r="P103" s="1">
        <f t="shared" si="9"/>
        <v>187148.43989336852</v>
      </c>
      <c r="Q103" s="1">
        <f t="shared" si="10"/>
        <v>0</v>
      </c>
      <c r="R103" s="1">
        <f t="shared" si="11"/>
        <v>20</v>
      </c>
      <c r="S103" s="1">
        <f t="shared" si="12"/>
        <v>1</v>
      </c>
      <c r="Z103" s="11"/>
      <c r="AA103" s="10"/>
    </row>
    <row r="104" spans="1:27" ht="15.75" customHeight="1" x14ac:dyDescent="0.25">
      <c r="A104" s="13" t="s">
        <v>155</v>
      </c>
      <c r="B104" s="1">
        <v>95481</v>
      </c>
      <c r="C104" s="6">
        <f t="shared" si="0"/>
        <v>743.15846824408425</v>
      </c>
      <c r="D104" s="7">
        <v>6.9411764705882353E-2</v>
      </c>
      <c r="E104" s="6">
        <f t="shared" si="1"/>
        <v>3799717.2270392259</v>
      </c>
      <c r="F104" s="8">
        <v>35704</v>
      </c>
      <c r="G104" s="8">
        <f t="shared" si="2"/>
        <v>53966</v>
      </c>
      <c r="H104" s="9">
        <v>70.599999999999994</v>
      </c>
      <c r="I104" s="1">
        <f t="shared" si="3"/>
        <v>604.80838409608998</v>
      </c>
      <c r="J104" s="1">
        <f t="shared" si="14"/>
        <v>66849.358744575089</v>
      </c>
      <c r="K104" s="1">
        <f t="shared" si="5"/>
        <v>14248.939601397096</v>
      </c>
      <c r="L104" s="1">
        <f t="shared" si="6"/>
        <v>42746.818804191287</v>
      </c>
      <c r="M104" s="10">
        <f t="shared" si="13"/>
        <v>7.2411764705882356E-2</v>
      </c>
      <c r="N104" s="1">
        <f t="shared" si="7"/>
        <v>2189.8255352554161</v>
      </c>
      <c r="O104" s="1">
        <f t="shared" si="8"/>
        <v>143332.99822126119</v>
      </c>
      <c r="P104" s="1">
        <f t="shared" si="9"/>
        <v>189985.8613519613</v>
      </c>
      <c r="Q104" s="1">
        <f t="shared" si="10"/>
        <v>0</v>
      </c>
      <c r="R104" s="1">
        <f t="shared" si="11"/>
        <v>20</v>
      </c>
      <c r="S104" s="1">
        <f t="shared" si="12"/>
        <v>1</v>
      </c>
      <c r="Z104" s="11"/>
      <c r="AA104" s="10"/>
    </row>
    <row r="105" spans="1:27" ht="15.75" customHeight="1" x14ac:dyDescent="0.25">
      <c r="A105" s="13" t="s">
        <v>156</v>
      </c>
      <c r="B105" s="1">
        <v>89369</v>
      </c>
      <c r="C105" s="6">
        <f t="shared" si="0"/>
        <v>695.58686176836818</v>
      </c>
      <c r="D105" s="7">
        <v>6.3807692307692315E-2</v>
      </c>
      <c r="E105" s="6">
        <f t="shared" si="1"/>
        <v>3556486.9331413428</v>
      </c>
      <c r="F105" s="8">
        <v>35612</v>
      </c>
      <c r="G105" s="8">
        <f t="shared" si="2"/>
        <v>53874</v>
      </c>
      <c r="H105" s="9">
        <v>70.2</v>
      </c>
      <c r="I105" s="1">
        <f t="shared" si="3"/>
        <v>601.38170769894509</v>
      </c>
      <c r="J105" s="1">
        <f t="shared" si="14"/>
        <v>64461.429846270628</v>
      </c>
      <c r="K105" s="1">
        <f t="shared" si="5"/>
        <v>13336.825999280036</v>
      </c>
      <c r="L105" s="1">
        <f t="shared" si="6"/>
        <v>40010.477997840106</v>
      </c>
      <c r="M105" s="10">
        <f t="shared" si="13"/>
        <v>6.6807692307692318E-2</v>
      </c>
      <c r="N105" s="1">
        <f t="shared" si="7"/>
        <v>1891.351130060707</v>
      </c>
      <c r="O105" s="1">
        <f t="shared" si="8"/>
        <v>142627.73384147868</v>
      </c>
      <c r="P105" s="1">
        <f t="shared" si="9"/>
        <v>177824.34665706716</v>
      </c>
      <c r="Q105" s="1">
        <f t="shared" si="10"/>
        <v>0</v>
      </c>
      <c r="R105" s="1">
        <f t="shared" si="11"/>
        <v>20</v>
      </c>
      <c r="S105" s="1">
        <f t="shared" si="12"/>
        <v>1</v>
      </c>
      <c r="Z105" s="11"/>
      <c r="AA105" s="10"/>
    </row>
    <row r="106" spans="1:27" ht="15.75" customHeight="1" x14ac:dyDescent="0.25">
      <c r="A106" s="25" t="s">
        <v>157</v>
      </c>
      <c r="B106" s="1">
        <v>85378</v>
      </c>
      <c r="C106" s="6">
        <f t="shared" si="0"/>
        <v>664.52366127023618</v>
      </c>
      <c r="D106" s="7">
        <v>5.9400000000000001E-2</v>
      </c>
      <c r="E106" s="6">
        <f t="shared" si="1"/>
        <v>3397662.9634184288</v>
      </c>
      <c r="F106" s="8">
        <v>35521</v>
      </c>
      <c r="G106" s="8">
        <f t="shared" si="2"/>
        <v>53783</v>
      </c>
      <c r="H106" s="9">
        <v>70</v>
      </c>
      <c r="I106" s="1">
        <f t="shared" si="3"/>
        <v>599.66836950037259</v>
      </c>
      <c r="J106" s="1">
        <f t="shared" si="14"/>
        <v>62901.405607330817</v>
      </c>
      <c r="K106" s="1">
        <f t="shared" si="5"/>
        <v>12741.236112819106</v>
      </c>
      <c r="L106" s="1">
        <f t="shared" si="6"/>
        <v>38223.70833845732</v>
      </c>
      <c r="M106" s="10">
        <f t="shared" si="13"/>
        <v>6.2400000000000004E-2</v>
      </c>
      <c r="N106" s="1">
        <f t="shared" si="7"/>
        <v>1688.0896493652497</v>
      </c>
      <c r="O106" s="1">
        <f t="shared" si="8"/>
        <v>140738.28243924287</v>
      </c>
      <c r="P106" s="1">
        <f t="shared" si="9"/>
        <v>169883.14817092146</v>
      </c>
      <c r="Q106" s="1">
        <f t="shared" si="10"/>
        <v>0</v>
      </c>
      <c r="R106" s="1">
        <f t="shared" si="11"/>
        <v>20</v>
      </c>
      <c r="S106" s="1">
        <f t="shared" si="12"/>
        <v>1</v>
      </c>
      <c r="Z106" s="11"/>
      <c r="AA106" s="10"/>
    </row>
    <row r="107" spans="1:27" ht="15.75" customHeight="1" x14ac:dyDescent="0.25">
      <c r="A107" s="5" t="s">
        <v>158</v>
      </c>
      <c r="B107" s="1">
        <v>80433</v>
      </c>
      <c r="C107" s="6">
        <f t="shared" si="0"/>
        <v>626.03518057285135</v>
      </c>
      <c r="D107" s="7">
        <v>5.9400000000000001E-2</v>
      </c>
      <c r="E107" s="6">
        <f t="shared" si="1"/>
        <v>3200874.055806349</v>
      </c>
      <c r="F107" s="8">
        <v>35431</v>
      </c>
      <c r="G107" s="8">
        <f t="shared" si="2"/>
        <v>53693</v>
      </c>
      <c r="H107" s="9">
        <v>69.3</v>
      </c>
      <c r="I107" s="1">
        <f t="shared" si="3"/>
        <v>593.67168580536884</v>
      </c>
      <c r="J107" s="1">
        <f t="shared" si="14"/>
        <v>60727.930182653363</v>
      </c>
      <c r="K107" s="1">
        <f t="shared" si="5"/>
        <v>12003.277709273809</v>
      </c>
      <c r="L107" s="1">
        <f t="shared" si="6"/>
        <v>36009.833127821425</v>
      </c>
      <c r="M107" s="10">
        <f t="shared" si="13"/>
        <v>6.2400000000000004E-2</v>
      </c>
      <c r="N107" s="1">
        <f t="shared" si="7"/>
        <v>1590.3173506921587</v>
      </c>
      <c r="O107" s="1">
        <f t="shared" si="8"/>
        <v>138076.07713293517</v>
      </c>
      <c r="P107" s="1">
        <f t="shared" si="9"/>
        <v>160043.70279031747</v>
      </c>
      <c r="Q107" s="1">
        <f t="shared" si="10"/>
        <v>0</v>
      </c>
      <c r="R107" s="1">
        <f t="shared" si="11"/>
        <v>20</v>
      </c>
      <c r="S107" s="1">
        <f t="shared" si="12"/>
        <v>1</v>
      </c>
      <c r="Z107" s="11"/>
      <c r="AA107" s="10"/>
    </row>
    <row r="108" spans="1:27" ht="15.75" customHeight="1" x14ac:dyDescent="0.25">
      <c r="A108" s="24" t="s">
        <v>159</v>
      </c>
      <c r="B108" s="1">
        <v>77743</v>
      </c>
      <c r="C108" s="6">
        <f t="shared" si="0"/>
        <v>605.09806973848026</v>
      </c>
      <c r="D108" s="7">
        <v>5.6900000000000006E-2</v>
      </c>
      <c r="E108" s="6">
        <f t="shared" si="1"/>
        <v>3093824.073707968</v>
      </c>
      <c r="F108" s="8">
        <v>35339</v>
      </c>
      <c r="G108" s="8">
        <f t="shared" si="2"/>
        <v>53601</v>
      </c>
      <c r="H108" s="9">
        <v>69.2</v>
      </c>
      <c r="I108" s="1">
        <f t="shared" si="3"/>
        <v>592.81501670608259</v>
      </c>
      <c r="J108" s="1">
        <f t="shared" si="14"/>
        <v>59652.799642116035</v>
      </c>
      <c r="K108" s="1">
        <f t="shared" si="5"/>
        <v>11601.840276404881</v>
      </c>
      <c r="L108" s="1">
        <f t="shared" si="6"/>
        <v>34805.520829214642</v>
      </c>
      <c r="M108" s="10">
        <f t="shared" si="13"/>
        <v>5.9900000000000009E-2</v>
      </c>
      <c r="N108" s="1">
        <f t="shared" si="7"/>
        <v>1475.8521281120209</v>
      </c>
      <c r="O108" s="1">
        <f t="shared" si="8"/>
        <v>134612.7556420319</v>
      </c>
      <c r="P108" s="1">
        <f t="shared" si="9"/>
        <v>154691.20368539842</v>
      </c>
      <c r="Q108" s="1">
        <f t="shared" si="10"/>
        <v>0</v>
      </c>
      <c r="R108" s="1">
        <f t="shared" si="11"/>
        <v>20</v>
      </c>
      <c r="S108" s="1">
        <f t="shared" si="12"/>
        <v>1</v>
      </c>
      <c r="Z108" s="11"/>
      <c r="AA108" s="10"/>
    </row>
    <row r="109" spans="1:27" ht="15.75" customHeight="1" x14ac:dyDescent="0.25">
      <c r="A109" s="24" t="s">
        <v>160</v>
      </c>
      <c r="B109" s="1">
        <v>76077</v>
      </c>
      <c r="C109" s="6">
        <f t="shared" si="0"/>
        <v>592.13107098381033</v>
      </c>
      <c r="D109" s="7">
        <v>5.6900000000000006E-2</v>
      </c>
      <c r="E109" s="6">
        <f t="shared" si="1"/>
        <v>3027524.7167652533</v>
      </c>
      <c r="F109" s="8">
        <v>35247</v>
      </c>
      <c r="G109" s="8">
        <f t="shared" si="2"/>
        <v>53509</v>
      </c>
      <c r="H109" s="9">
        <v>68.7</v>
      </c>
      <c r="I109" s="1">
        <f t="shared" si="3"/>
        <v>588.53167120965134</v>
      </c>
      <c r="J109" s="1">
        <f t="shared" si="14"/>
        <v>58795.071098669687</v>
      </c>
      <c r="K109" s="1">
        <f t="shared" si="5"/>
        <v>11353.217687869699</v>
      </c>
      <c r="L109" s="1">
        <f t="shared" si="6"/>
        <v>34059.653063609097</v>
      </c>
      <c r="M109" s="10">
        <f t="shared" si="13"/>
        <v>5.9900000000000009E-2</v>
      </c>
      <c r="N109" s="1">
        <f t="shared" si="7"/>
        <v>1444.2252337879709</v>
      </c>
      <c r="O109" s="1">
        <f t="shared" si="8"/>
        <v>130643.95670387112</v>
      </c>
      <c r="P109" s="1">
        <f t="shared" si="9"/>
        <v>151376.23583826268</v>
      </c>
      <c r="Q109" s="1">
        <f t="shared" si="10"/>
        <v>0</v>
      </c>
      <c r="R109" s="1">
        <f t="shared" si="11"/>
        <v>20</v>
      </c>
      <c r="S109" s="1">
        <f t="shared" si="12"/>
        <v>1</v>
      </c>
      <c r="Z109" s="11"/>
      <c r="AA109" s="10"/>
    </row>
    <row r="110" spans="1:27" ht="15.75" customHeight="1" x14ac:dyDescent="0.25">
      <c r="A110" s="24" t="s">
        <v>161</v>
      </c>
      <c r="B110" s="1">
        <v>70773</v>
      </c>
      <c r="C110" s="6">
        <f t="shared" si="0"/>
        <v>550.84838107098346</v>
      </c>
      <c r="D110" s="7">
        <v>6.0078571428571433E-2</v>
      </c>
      <c r="E110" s="6">
        <f t="shared" si="1"/>
        <v>2816449.2130292635</v>
      </c>
      <c r="F110" s="8">
        <v>35156</v>
      </c>
      <c r="G110" s="8">
        <f t="shared" si="2"/>
        <v>53418</v>
      </c>
      <c r="H110" s="9">
        <v>68.5</v>
      </c>
      <c r="I110" s="1">
        <f t="shared" si="3"/>
        <v>586.81833301107872</v>
      </c>
      <c r="J110" s="1">
        <f t="shared" si="14"/>
        <v>56591.85013346091</v>
      </c>
      <c r="K110" s="1">
        <f t="shared" si="5"/>
        <v>10561.684548859737</v>
      </c>
      <c r="L110" s="1">
        <f t="shared" si="6"/>
        <v>31685.053646579214</v>
      </c>
      <c r="M110" s="10">
        <f t="shared" si="13"/>
        <v>6.3078571428571428E-2</v>
      </c>
      <c r="N110" s="1">
        <f t="shared" si="7"/>
        <v>1414.4716850541479</v>
      </c>
      <c r="O110" s="1">
        <f t="shared" si="8"/>
        <v>126486.81355334492</v>
      </c>
      <c r="P110" s="1">
        <f t="shared" si="9"/>
        <v>140822.46065146319</v>
      </c>
      <c r="Q110" s="1">
        <f t="shared" si="10"/>
        <v>0</v>
      </c>
      <c r="R110" s="1">
        <f t="shared" si="11"/>
        <v>20</v>
      </c>
      <c r="S110" s="1">
        <f t="shared" si="12"/>
        <v>1</v>
      </c>
      <c r="Z110" s="11"/>
      <c r="AA110" s="10"/>
    </row>
    <row r="111" spans="1:27" ht="15.75" customHeight="1" x14ac:dyDescent="0.25">
      <c r="A111" s="23" t="s">
        <v>162</v>
      </c>
      <c r="B111" s="1">
        <v>74161</v>
      </c>
      <c r="C111" s="6">
        <f t="shared" si="0"/>
        <v>577.21824408468206</v>
      </c>
      <c r="D111" s="7">
        <v>6.3799999999999996E-2</v>
      </c>
      <c r="E111" s="6">
        <f t="shared" si="1"/>
        <v>2951276.4767278936</v>
      </c>
      <c r="F111" s="8">
        <v>35065</v>
      </c>
      <c r="G111" s="8">
        <f t="shared" si="2"/>
        <v>53328</v>
      </c>
      <c r="H111" s="9">
        <v>67.7</v>
      </c>
      <c r="I111" s="1">
        <f t="shared" si="3"/>
        <v>579.96498021678872</v>
      </c>
      <c r="J111" s="1">
        <f t="shared" si="14"/>
        <v>57566.671201842662</v>
      </c>
      <c r="K111" s="1">
        <f t="shared" si="5"/>
        <v>11067.286787729601</v>
      </c>
      <c r="L111" s="1">
        <f t="shared" si="6"/>
        <v>33201.860363188804</v>
      </c>
      <c r="M111" s="10">
        <f t="shared" si="13"/>
        <v>6.6799999999999998E-2</v>
      </c>
      <c r="N111" s="1">
        <f t="shared" si="7"/>
        <v>1569.3180700658124</v>
      </c>
      <c r="O111" s="1">
        <f t="shared" si="8"/>
        <v>121387.16461317455</v>
      </c>
      <c r="P111" s="1">
        <f t="shared" si="9"/>
        <v>147563.82383639467</v>
      </c>
      <c r="Q111" s="1">
        <f t="shared" si="10"/>
        <v>0</v>
      </c>
      <c r="R111" s="1">
        <f t="shared" si="11"/>
        <v>20</v>
      </c>
      <c r="S111" s="1">
        <f t="shared" si="12"/>
        <v>1</v>
      </c>
      <c r="Z111" s="11"/>
      <c r="AA111" s="10"/>
    </row>
    <row r="112" spans="1:27" ht="15.75" customHeight="1" x14ac:dyDescent="0.25">
      <c r="A112" s="24" t="s">
        <v>163</v>
      </c>
      <c r="B112" s="1">
        <v>73766</v>
      </c>
      <c r="C112" s="6">
        <f t="shared" si="0"/>
        <v>574.14383561643797</v>
      </c>
      <c r="D112" s="7">
        <v>6.6299999999999998E-2</v>
      </c>
      <c r="E112" s="6">
        <f t="shared" si="1"/>
        <v>2935557.2414383544</v>
      </c>
      <c r="F112" s="8">
        <v>34973</v>
      </c>
      <c r="G112" s="8">
        <f t="shared" si="2"/>
        <v>53236</v>
      </c>
      <c r="H112" s="9">
        <v>67.2</v>
      </c>
      <c r="I112" s="1">
        <f t="shared" si="3"/>
        <v>575.68163472035747</v>
      </c>
      <c r="J112" s="1">
        <f t="shared" si="14"/>
        <v>57200.722524329081</v>
      </c>
      <c r="K112" s="1">
        <f t="shared" si="5"/>
        <v>11008.339655393829</v>
      </c>
      <c r="L112" s="1">
        <f t="shared" si="6"/>
        <v>33025.018966181487</v>
      </c>
      <c r="M112" s="10">
        <f t="shared" si="13"/>
        <v>6.93E-2</v>
      </c>
      <c r="N112" s="1">
        <f t="shared" si="7"/>
        <v>1619.2301794647672</v>
      </c>
      <c r="O112" s="1">
        <f t="shared" si="8"/>
        <v>117170.68869516562</v>
      </c>
      <c r="P112" s="1">
        <f t="shared" si="9"/>
        <v>146777.86207191771</v>
      </c>
      <c r="Q112" s="1">
        <f t="shared" si="10"/>
        <v>0</v>
      </c>
      <c r="R112" s="1">
        <f t="shared" si="11"/>
        <v>20</v>
      </c>
      <c r="S112" s="1">
        <f t="shared" si="12"/>
        <v>1</v>
      </c>
      <c r="Z112" s="11"/>
      <c r="AA112" s="10"/>
    </row>
    <row r="113" spans="1:27" ht="15.75" customHeight="1" x14ac:dyDescent="0.25">
      <c r="A113" s="24" t="s">
        <v>164</v>
      </c>
      <c r="B113" s="1">
        <v>73397</v>
      </c>
      <c r="C113" s="6">
        <f t="shared" si="0"/>
        <v>571.27179327521753</v>
      </c>
      <c r="D113" s="7">
        <v>6.6299999999999998E-2</v>
      </c>
      <c r="E113" s="6">
        <f t="shared" si="1"/>
        <v>2920872.6899906583</v>
      </c>
      <c r="F113" s="8">
        <v>34881</v>
      </c>
      <c r="G113" s="8">
        <f t="shared" si="2"/>
        <v>53144</v>
      </c>
      <c r="H113" s="9">
        <v>66.900000000000006</v>
      </c>
      <c r="I113" s="1">
        <f t="shared" si="3"/>
        <v>573.11162742249871</v>
      </c>
      <c r="J113" s="1">
        <f t="shared" si="14"/>
        <v>56929.970462777252</v>
      </c>
      <c r="K113" s="1">
        <f t="shared" si="5"/>
        <v>10953.272587464968</v>
      </c>
      <c r="L113" s="1">
        <f t="shared" si="6"/>
        <v>32859.817762394901</v>
      </c>
      <c r="M113" s="10">
        <f t="shared" si="13"/>
        <v>6.93E-2</v>
      </c>
      <c r="N113" s="1">
        <f t="shared" si="7"/>
        <v>1611.1302969142357</v>
      </c>
      <c r="O113" s="1">
        <f t="shared" si="8"/>
        <v>113015.2380205332</v>
      </c>
      <c r="P113" s="1">
        <f t="shared" si="9"/>
        <v>146043.63449953293</v>
      </c>
      <c r="Q113" s="1">
        <f t="shared" si="10"/>
        <v>0</v>
      </c>
      <c r="R113" s="1">
        <f t="shared" si="11"/>
        <v>20</v>
      </c>
      <c r="S113" s="1">
        <f t="shared" si="12"/>
        <v>1</v>
      </c>
      <c r="Z113" s="11"/>
      <c r="AA113" s="10"/>
    </row>
    <row r="114" spans="1:27" ht="15.75" customHeight="1" x14ac:dyDescent="0.25">
      <c r="A114" s="24" t="s">
        <v>165</v>
      </c>
      <c r="B114" s="1">
        <v>69006</v>
      </c>
      <c r="C114" s="6">
        <f t="shared" si="0"/>
        <v>537.09526774595224</v>
      </c>
      <c r="D114" s="7">
        <v>6.6300000000000012E-2</v>
      </c>
      <c r="E114" s="6">
        <f t="shared" si="1"/>
        <v>2746130.5073163118</v>
      </c>
      <c r="F114" s="8">
        <v>34790</v>
      </c>
      <c r="G114" s="8">
        <f t="shared" si="2"/>
        <v>53053</v>
      </c>
      <c r="H114" s="9">
        <v>66.7</v>
      </c>
      <c r="I114" s="1">
        <f t="shared" si="3"/>
        <v>571.39828922392621</v>
      </c>
      <c r="J114" s="1">
        <f t="shared" si="14"/>
        <v>55094.479992516244</v>
      </c>
      <c r="K114" s="1">
        <f t="shared" si="5"/>
        <v>10297.989402436169</v>
      </c>
      <c r="L114" s="1">
        <f t="shared" si="6"/>
        <v>30893.968207308506</v>
      </c>
      <c r="M114" s="10">
        <f t="shared" si="13"/>
        <v>6.9300000000000014E-2</v>
      </c>
      <c r="N114" s="1">
        <f t="shared" si="7"/>
        <v>1514.7438896530346</v>
      </c>
      <c r="O114" s="1">
        <f t="shared" si="8"/>
        <v>108870.5749821229</v>
      </c>
      <c r="P114" s="1">
        <f t="shared" si="9"/>
        <v>137306.52536581559</v>
      </c>
      <c r="Q114" s="1">
        <f t="shared" si="10"/>
        <v>0</v>
      </c>
      <c r="R114" s="1">
        <f t="shared" si="11"/>
        <v>20</v>
      </c>
      <c r="S114" s="1">
        <f t="shared" si="12"/>
        <v>1</v>
      </c>
      <c r="Z114" s="11"/>
      <c r="AA114" s="10"/>
    </row>
    <row r="115" spans="1:27" ht="15.75" customHeight="1" x14ac:dyDescent="0.25">
      <c r="A115" s="23" t="s">
        <v>166</v>
      </c>
      <c r="B115" s="1">
        <v>70121</v>
      </c>
      <c r="C115" s="6">
        <f t="shared" si="0"/>
        <v>545.77366127023618</v>
      </c>
      <c r="D115" s="7">
        <v>6.1299999999999993E-2</v>
      </c>
      <c r="E115" s="6">
        <f t="shared" si="1"/>
        <v>2790502.5259184288</v>
      </c>
      <c r="F115" s="8">
        <v>34700</v>
      </c>
      <c r="G115" s="8">
        <f t="shared" si="2"/>
        <v>52963</v>
      </c>
      <c r="H115" s="9">
        <v>65.7</v>
      </c>
      <c r="I115" s="1">
        <f t="shared" si="3"/>
        <v>562.83159823106371</v>
      </c>
      <c r="J115" s="1">
        <f t="shared" si="14"/>
        <v>55113.229102868252</v>
      </c>
      <c r="K115" s="1">
        <f t="shared" si="5"/>
        <v>10464.384472194108</v>
      </c>
      <c r="L115" s="1">
        <f t="shared" si="6"/>
        <v>31393.153416582321</v>
      </c>
      <c r="M115" s="10">
        <f t="shared" si="13"/>
        <v>6.4299999999999996E-2</v>
      </c>
      <c r="N115" s="1">
        <f t="shared" si="7"/>
        <v>1428.4710845516238</v>
      </c>
      <c r="O115" s="1">
        <f t="shared" si="8"/>
        <v>103953.13119429584</v>
      </c>
      <c r="P115" s="1">
        <f t="shared" si="9"/>
        <v>139525.12629592145</v>
      </c>
      <c r="Q115" s="1">
        <f t="shared" si="10"/>
        <v>0</v>
      </c>
      <c r="R115" s="1">
        <f t="shared" si="11"/>
        <v>20</v>
      </c>
      <c r="S115" s="1">
        <f t="shared" si="12"/>
        <v>1</v>
      </c>
      <c r="Z115" s="11"/>
      <c r="AA115" s="10"/>
    </row>
    <row r="116" spans="1:27" ht="15.75" customHeight="1" x14ac:dyDescent="0.25">
      <c r="A116" s="24" t="s">
        <v>167</v>
      </c>
      <c r="B116" s="1">
        <v>68696</v>
      </c>
      <c r="C116" s="6">
        <f t="shared" si="0"/>
        <v>534.68244084682397</v>
      </c>
      <c r="D116" s="7">
        <v>5.6299999999999996E-2</v>
      </c>
      <c r="E116" s="6">
        <f t="shared" si="1"/>
        <v>2733793.8922789516</v>
      </c>
      <c r="F116" s="8">
        <v>34608</v>
      </c>
      <c r="G116" s="8">
        <f t="shared" si="2"/>
        <v>52871</v>
      </c>
      <c r="H116" s="9">
        <v>65.3</v>
      </c>
      <c r="I116" s="1">
        <f t="shared" si="3"/>
        <v>559.40492183391871</v>
      </c>
      <c r="J116" s="1">
        <f t="shared" si="14"/>
        <v>54382.621957912001</v>
      </c>
      <c r="K116" s="1">
        <f t="shared" si="5"/>
        <v>10251.727096046068</v>
      </c>
      <c r="L116" s="1">
        <f t="shared" si="6"/>
        <v>30755.181288138203</v>
      </c>
      <c r="M116" s="10">
        <f t="shared" si="13"/>
        <v>5.9299999999999999E-2</v>
      </c>
      <c r="N116" s="1">
        <f t="shared" si="7"/>
        <v>1291.1201486700827</v>
      </c>
      <c r="O116" s="1">
        <f t="shared" si="8"/>
        <v>99522.685694013795</v>
      </c>
      <c r="P116" s="1">
        <f t="shared" si="9"/>
        <v>136689.69461394759</v>
      </c>
      <c r="Q116" s="1">
        <f t="shared" si="10"/>
        <v>0</v>
      </c>
      <c r="R116" s="1">
        <f t="shared" si="11"/>
        <v>20</v>
      </c>
      <c r="S116" s="1">
        <f t="shared" si="12"/>
        <v>1</v>
      </c>
      <c r="Z116" s="11"/>
      <c r="AA116" s="10"/>
    </row>
    <row r="117" spans="1:27" ht="15.75" customHeight="1" x14ac:dyDescent="0.25">
      <c r="A117" s="24" t="s">
        <v>168</v>
      </c>
      <c r="B117" s="1">
        <v>69711</v>
      </c>
      <c r="C117" s="6">
        <f t="shared" si="0"/>
        <v>542.58250311332461</v>
      </c>
      <c r="D117" s="7">
        <v>5.1299999999999998E-2</v>
      </c>
      <c r="E117" s="6">
        <f t="shared" si="1"/>
        <v>2774186.3576432108</v>
      </c>
      <c r="F117" s="8">
        <v>34516</v>
      </c>
      <c r="G117" s="8">
        <f t="shared" si="2"/>
        <v>52779</v>
      </c>
      <c r="H117" s="9">
        <v>65</v>
      </c>
      <c r="I117" s="1">
        <f t="shared" si="3"/>
        <v>556.83491453606007</v>
      </c>
      <c r="J117" s="1">
        <f t="shared" si="14"/>
        <v>54654.383442455211</v>
      </c>
      <c r="K117" s="1">
        <f t="shared" si="5"/>
        <v>10403.19884116204</v>
      </c>
      <c r="L117" s="1">
        <f t="shared" si="6"/>
        <v>31209.596523486121</v>
      </c>
      <c r="M117" s="10">
        <f t="shared" si="13"/>
        <v>5.4300000000000001E-2</v>
      </c>
      <c r="N117" s="1">
        <f t="shared" si="7"/>
        <v>1200.5635468060625</v>
      </c>
      <c r="O117" s="1">
        <f t="shared" si="8"/>
        <v>94929.162709509197</v>
      </c>
      <c r="P117" s="1">
        <f t="shared" si="9"/>
        <v>138709.31788216054</v>
      </c>
      <c r="Q117" s="1">
        <f t="shared" si="10"/>
        <v>0</v>
      </c>
      <c r="R117" s="1">
        <f t="shared" si="11"/>
        <v>20</v>
      </c>
      <c r="S117" s="1">
        <f t="shared" si="12"/>
        <v>1</v>
      </c>
      <c r="Z117" s="11"/>
      <c r="AA117" s="10"/>
    </row>
    <row r="118" spans="1:27" ht="15.75" customHeight="1" x14ac:dyDescent="0.25">
      <c r="A118" s="27" t="s">
        <v>169</v>
      </c>
      <c r="B118" s="1">
        <v>69332</v>
      </c>
      <c r="C118" s="6">
        <f t="shared" si="0"/>
        <v>539.63262764632589</v>
      </c>
      <c r="D118" s="7">
        <v>5.1299999999999998E-2</v>
      </c>
      <c r="E118" s="6">
        <f t="shared" si="1"/>
        <v>2759103.8508717292</v>
      </c>
      <c r="F118" s="8">
        <v>34425</v>
      </c>
      <c r="G118" s="8">
        <f t="shared" si="2"/>
        <v>52688</v>
      </c>
      <c r="H118" s="9">
        <v>65</v>
      </c>
      <c r="I118" s="1">
        <f t="shared" si="3"/>
        <v>556.83491453606007</v>
      </c>
      <c r="J118" s="1">
        <f t="shared" si="14"/>
        <v>54505.407864219043</v>
      </c>
      <c r="K118" s="1">
        <f t="shared" si="5"/>
        <v>10346.639440768984</v>
      </c>
      <c r="L118" s="1">
        <f t="shared" si="6"/>
        <v>31039.918322306952</v>
      </c>
      <c r="M118" s="10">
        <f t="shared" si="13"/>
        <v>5.4300000000000001E-2</v>
      </c>
      <c r="N118" s="1">
        <f t="shared" si="7"/>
        <v>1194.0364049742211</v>
      </c>
      <c r="O118" s="1">
        <f t="shared" si="8"/>
        <v>90613.40999539943</v>
      </c>
      <c r="P118" s="1">
        <f t="shared" si="9"/>
        <v>137955.19254358645</v>
      </c>
      <c r="Q118" s="1">
        <f t="shared" si="10"/>
        <v>0</v>
      </c>
      <c r="R118" s="1">
        <f t="shared" si="11"/>
        <v>20</v>
      </c>
      <c r="S118" s="1">
        <f t="shared" si="12"/>
        <v>1</v>
      </c>
      <c r="Z118" s="11"/>
      <c r="AA118" s="10"/>
    </row>
    <row r="119" spans="1:27" ht="15.75" customHeight="1" x14ac:dyDescent="0.25">
      <c r="A119" s="23" t="s">
        <v>170</v>
      </c>
      <c r="B119" s="1">
        <v>67780</v>
      </c>
      <c r="C119" s="6">
        <f t="shared" si="0"/>
        <v>527.55292652552885</v>
      </c>
      <c r="D119" s="7">
        <v>5.3800000000000001E-2</v>
      </c>
      <c r="E119" s="6">
        <f t="shared" si="1"/>
        <v>2697341.1846201723</v>
      </c>
      <c r="F119" s="8">
        <v>34335</v>
      </c>
      <c r="G119" s="8">
        <f t="shared" si="2"/>
        <v>52597</v>
      </c>
      <c r="H119" s="9">
        <v>64.2</v>
      </c>
      <c r="I119" s="1">
        <f t="shared" si="3"/>
        <v>549.98156174177018</v>
      </c>
      <c r="J119" s="1">
        <f t="shared" si="14"/>
        <v>53558.528716907611</v>
      </c>
      <c r="K119" s="1">
        <f t="shared" si="5"/>
        <v>10115.029442325646</v>
      </c>
      <c r="L119" s="1">
        <f t="shared" si="6"/>
        <v>30345.088326976937</v>
      </c>
      <c r="M119" s="10">
        <f t="shared" si="13"/>
        <v>5.6800000000000003E-2</v>
      </c>
      <c r="N119" s="1">
        <f t="shared" si="7"/>
        <v>1220.5621457914385</v>
      </c>
      <c r="O119" s="1">
        <f t="shared" si="8"/>
        <v>86224.813205964005</v>
      </c>
      <c r="P119" s="1">
        <f t="shared" si="9"/>
        <v>134867.05923100861</v>
      </c>
      <c r="Q119" s="1">
        <f t="shared" si="10"/>
        <v>0</v>
      </c>
      <c r="R119" s="1">
        <f t="shared" si="11"/>
        <v>20</v>
      </c>
      <c r="S119" s="1">
        <f t="shared" si="12"/>
        <v>1</v>
      </c>
      <c r="Z119" s="11"/>
      <c r="AA119" s="10"/>
    </row>
    <row r="120" spans="1:27" ht="15.75" customHeight="1" x14ac:dyDescent="0.25">
      <c r="A120" s="24" t="s">
        <v>171</v>
      </c>
      <c r="B120" s="1">
        <v>68039</v>
      </c>
      <c r="C120" s="6">
        <f t="shared" si="0"/>
        <v>529.56880448318771</v>
      </c>
      <c r="D120" s="7">
        <v>5.8799999999999998E-2</v>
      </c>
      <c r="E120" s="6">
        <f t="shared" si="1"/>
        <v>2707648.227506225</v>
      </c>
      <c r="F120" s="8">
        <v>34243</v>
      </c>
      <c r="G120" s="8">
        <f t="shared" si="2"/>
        <v>52505</v>
      </c>
      <c r="H120" s="9">
        <v>63.9</v>
      </c>
      <c r="I120" s="1">
        <f t="shared" si="3"/>
        <v>547.41155444391131</v>
      </c>
      <c r="J120" s="1">
        <f t="shared" si="14"/>
        <v>53534.754056523459</v>
      </c>
      <c r="K120" s="1">
        <f t="shared" si="5"/>
        <v>10153.680853148344</v>
      </c>
      <c r="L120" s="1">
        <f t="shared" si="6"/>
        <v>30461.042559445032</v>
      </c>
      <c r="M120" s="10">
        <f t="shared" si="13"/>
        <v>6.1800000000000001E-2</v>
      </c>
      <c r="N120" s="1">
        <f t="shared" si="7"/>
        <v>1332.3874563362372</v>
      </c>
      <c r="O120" s="1">
        <f t="shared" si="8"/>
        <v>81756.857866950988</v>
      </c>
      <c r="P120" s="1">
        <f t="shared" si="9"/>
        <v>135382.41137531126</v>
      </c>
      <c r="Q120" s="1">
        <f t="shared" si="10"/>
        <v>0</v>
      </c>
      <c r="R120" s="1">
        <f t="shared" si="11"/>
        <v>20</v>
      </c>
      <c r="S120" s="1">
        <f t="shared" si="12"/>
        <v>1</v>
      </c>
      <c r="Z120" s="11"/>
      <c r="AA120" s="10"/>
    </row>
    <row r="121" spans="1:27" ht="15.75" customHeight="1" x14ac:dyDescent="0.25">
      <c r="A121" s="24" t="s">
        <v>172</v>
      </c>
      <c r="B121" s="1">
        <v>68536</v>
      </c>
      <c r="C121" s="6">
        <f t="shared" si="0"/>
        <v>533.43711083437074</v>
      </c>
      <c r="D121" s="7">
        <v>5.8799999999999998E-2</v>
      </c>
      <c r="E121" s="6">
        <f t="shared" si="1"/>
        <v>2727426.6070983792</v>
      </c>
      <c r="F121" s="8">
        <v>34151</v>
      </c>
      <c r="G121" s="8">
        <f t="shared" si="2"/>
        <v>52413</v>
      </c>
      <c r="H121" s="9">
        <v>63.7</v>
      </c>
      <c r="I121" s="1">
        <f t="shared" si="3"/>
        <v>545.69821624533893</v>
      </c>
      <c r="J121" s="1">
        <f t="shared" si="14"/>
        <v>53645.046822603392</v>
      </c>
      <c r="K121" s="1">
        <f t="shared" si="5"/>
        <v>10227.849776618921</v>
      </c>
      <c r="L121" s="1">
        <f t="shared" si="6"/>
        <v>30683.549329856764</v>
      </c>
      <c r="M121" s="10">
        <f t="shared" si="13"/>
        <v>6.1800000000000001E-2</v>
      </c>
      <c r="N121" s="1">
        <f t="shared" si="7"/>
        <v>1342.1200591934089</v>
      </c>
      <c r="O121" s="1">
        <f t="shared" si="8"/>
        <v>77420.310289655768</v>
      </c>
      <c r="P121" s="1">
        <f t="shared" si="9"/>
        <v>136371.33035491896</v>
      </c>
      <c r="Q121" s="1">
        <f t="shared" si="10"/>
        <v>0</v>
      </c>
      <c r="R121" s="1">
        <f t="shared" si="11"/>
        <v>20</v>
      </c>
      <c r="S121" s="1">
        <f t="shared" si="12"/>
        <v>1</v>
      </c>
      <c r="Z121" s="11"/>
      <c r="AA121" s="10"/>
    </row>
    <row r="122" spans="1:27" ht="15.75" customHeight="1" x14ac:dyDescent="0.25">
      <c r="A122" s="27" t="s">
        <v>173</v>
      </c>
      <c r="B122" s="1">
        <v>66948</v>
      </c>
      <c r="C122" s="6">
        <f t="shared" si="0"/>
        <v>521.07721046077177</v>
      </c>
      <c r="D122" s="7">
        <v>5.8799999999999998E-2</v>
      </c>
      <c r="E122" s="6">
        <f t="shared" si="1"/>
        <v>2664231.3016811935</v>
      </c>
      <c r="F122" s="8">
        <v>34060</v>
      </c>
      <c r="G122" s="8">
        <f t="shared" si="2"/>
        <v>52322</v>
      </c>
      <c r="H122" s="9">
        <v>63.5</v>
      </c>
      <c r="I122" s="1">
        <f t="shared" si="3"/>
        <v>543.98487804676643</v>
      </c>
      <c r="J122" s="1">
        <f t="shared" si="14"/>
        <v>52933.892983826714</v>
      </c>
      <c r="K122" s="1">
        <f t="shared" si="5"/>
        <v>9990.8673813044752</v>
      </c>
      <c r="L122" s="1">
        <f t="shared" si="6"/>
        <v>29972.602143913427</v>
      </c>
      <c r="M122" s="10">
        <f t="shared" si="13"/>
        <v>6.1800000000000001E-2</v>
      </c>
      <c r="N122" s="1">
        <f t="shared" si="7"/>
        <v>1311.0227285350813</v>
      </c>
      <c r="O122" s="1">
        <f t="shared" si="8"/>
        <v>73234.579184820323</v>
      </c>
      <c r="P122" s="1">
        <f t="shared" si="9"/>
        <v>133211.56508405969</v>
      </c>
      <c r="Q122" s="1">
        <f t="shared" si="10"/>
        <v>0</v>
      </c>
      <c r="R122" s="1">
        <f t="shared" si="11"/>
        <v>20</v>
      </c>
      <c r="S122" s="1">
        <f t="shared" si="12"/>
        <v>1</v>
      </c>
      <c r="Z122" s="11"/>
      <c r="AA122" s="10"/>
    </row>
    <row r="123" spans="1:27" ht="15.75" customHeight="1" x14ac:dyDescent="0.25">
      <c r="A123" s="23" t="s">
        <v>174</v>
      </c>
      <c r="B123" s="1">
        <v>66573</v>
      </c>
      <c r="C123" s="6">
        <f t="shared" si="0"/>
        <v>518.15846824408436</v>
      </c>
      <c r="D123" s="7">
        <v>7.1545098039215688E-2</v>
      </c>
      <c r="E123" s="6">
        <f t="shared" si="1"/>
        <v>2649307.9770392263</v>
      </c>
      <c r="F123" s="8">
        <v>33970</v>
      </c>
      <c r="G123" s="8">
        <f t="shared" si="2"/>
        <v>52232</v>
      </c>
      <c r="H123" s="9">
        <v>62.7</v>
      </c>
      <c r="I123" s="1">
        <f t="shared" si="3"/>
        <v>537.13152525247654</v>
      </c>
      <c r="J123" s="1">
        <f t="shared" si="14"/>
        <v>52451.546337183245</v>
      </c>
      <c r="K123" s="1">
        <f t="shared" si="5"/>
        <v>9934.9049138970986</v>
      </c>
      <c r="L123" s="1">
        <f t="shared" si="6"/>
        <v>29804.714741691296</v>
      </c>
      <c r="M123" s="10">
        <f t="shared" si="13"/>
        <v>7.454509803921569E-2</v>
      </c>
      <c r="N123" s="1">
        <f t="shared" si="7"/>
        <v>1571.7472759073814</v>
      </c>
      <c r="O123" s="1">
        <f t="shared" si="8"/>
        <v>68800.150889246375</v>
      </c>
      <c r="P123" s="1">
        <f t="shared" si="9"/>
        <v>132465.39885196133</v>
      </c>
      <c r="Q123" s="1">
        <f t="shared" si="10"/>
        <v>0</v>
      </c>
      <c r="R123" s="1">
        <f t="shared" si="11"/>
        <v>20</v>
      </c>
      <c r="S123" s="1">
        <f t="shared" si="12"/>
        <v>1</v>
      </c>
      <c r="Z123" s="11"/>
      <c r="AA123" s="10"/>
    </row>
    <row r="124" spans="1:27" ht="15.75" customHeight="1" x14ac:dyDescent="0.25">
      <c r="A124" s="24" t="s">
        <v>175</v>
      </c>
      <c r="B124" s="1">
        <v>70974</v>
      </c>
      <c r="C124" s="6">
        <f t="shared" si="0"/>
        <v>552.41282689912794</v>
      </c>
      <c r="D124" s="7">
        <v>8.8800000000000004E-2</v>
      </c>
      <c r="E124" s="6">
        <f t="shared" si="1"/>
        <v>2824448.1150373584</v>
      </c>
      <c r="F124" s="8">
        <v>33878</v>
      </c>
      <c r="G124" s="8">
        <f t="shared" si="2"/>
        <v>52140</v>
      </c>
      <c r="H124" s="9">
        <v>62.5</v>
      </c>
      <c r="I124" s="1">
        <f t="shared" si="3"/>
        <v>535.41818705390403</v>
      </c>
      <c r="J124" s="1">
        <f t="shared" si="14"/>
        <v>54040.572150998443</v>
      </c>
      <c r="K124" s="1">
        <f t="shared" si="5"/>
        <v>10591.680431390094</v>
      </c>
      <c r="L124" s="1">
        <f t="shared" si="6"/>
        <v>31775.041294170282</v>
      </c>
      <c r="M124" s="10">
        <f t="shared" si="13"/>
        <v>9.1800000000000007E-2</v>
      </c>
      <c r="N124" s="1">
        <f t="shared" si="7"/>
        <v>2063.2541839623113</v>
      </c>
      <c r="O124" s="1">
        <f t="shared" si="8"/>
        <v>64511.360511768558</v>
      </c>
      <c r="P124" s="1">
        <f t="shared" si="9"/>
        <v>141222.40575186792</v>
      </c>
      <c r="Q124" s="1">
        <f t="shared" si="10"/>
        <v>0</v>
      </c>
      <c r="R124" s="1">
        <f t="shared" si="11"/>
        <v>20</v>
      </c>
      <c r="S124" s="1">
        <f t="shared" si="12"/>
        <v>1</v>
      </c>
      <c r="Z124" s="11"/>
      <c r="AA124" s="10"/>
    </row>
    <row r="125" spans="1:27" ht="15.75" customHeight="1" x14ac:dyDescent="0.25">
      <c r="A125" s="24" t="s">
        <v>176</v>
      </c>
      <c r="B125" s="1">
        <v>73114</v>
      </c>
      <c r="C125" s="6">
        <f t="shared" si="0"/>
        <v>569.06911581569091</v>
      </c>
      <c r="D125" s="7">
        <v>9.8800000000000013E-2</v>
      </c>
      <c r="E125" s="6">
        <f t="shared" si="1"/>
        <v>2909610.5543275205</v>
      </c>
      <c r="F125" s="8">
        <v>33786</v>
      </c>
      <c r="G125" s="8">
        <f t="shared" si="2"/>
        <v>52048</v>
      </c>
      <c r="H125" s="9">
        <v>62.1</v>
      </c>
      <c r="I125" s="1">
        <f t="shared" si="3"/>
        <v>531.99151065675903</v>
      </c>
      <c r="J125" s="1">
        <f t="shared" si="14"/>
        <v>54664.516670889338</v>
      </c>
      <c r="K125" s="1">
        <f t="shared" si="5"/>
        <v>10911.039578728201</v>
      </c>
      <c r="L125" s="1">
        <f t="shared" si="6"/>
        <v>32733.118736184606</v>
      </c>
      <c r="M125" s="10">
        <f t="shared" si="13"/>
        <v>0.10180000000000002</v>
      </c>
      <c r="N125" s="1">
        <f t="shared" si="7"/>
        <v>2356.9659369228457</v>
      </c>
      <c r="O125" s="1">
        <f t="shared" si="8"/>
        <v>61160.029907789853</v>
      </c>
      <c r="P125" s="1">
        <f t="shared" si="9"/>
        <v>145480.52771637603</v>
      </c>
      <c r="Q125" s="1">
        <f t="shared" si="10"/>
        <v>0</v>
      </c>
      <c r="R125" s="1">
        <f t="shared" si="11"/>
        <v>20</v>
      </c>
      <c r="S125" s="1">
        <f t="shared" si="12"/>
        <v>1</v>
      </c>
      <c r="Z125" s="11"/>
      <c r="AA125" s="10"/>
    </row>
    <row r="126" spans="1:27" ht="15.75" customHeight="1" x14ac:dyDescent="0.25">
      <c r="A126" s="27" t="s">
        <v>177</v>
      </c>
      <c r="B126" s="1">
        <v>73029</v>
      </c>
      <c r="C126" s="6">
        <f t="shared" si="0"/>
        <v>568.4075342465751</v>
      </c>
      <c r="D126" s="7">
        <v>0.10470604026845638</v>
      </c>
      <c r="E126" s="6">
        <f t="shared" si="1"/>
        <v>2906227.9340753411</v>
      </c>
      <c r="F126" s="8">
        <v>33695</v>
      </c>
      <c r="G126" s="8">
        <f t="shared" si="2"/>
        <v>51957</v>
      </c>
      <c r="H126" s="9">
        <v>62.1</v>
      </c>
      <c r="I126" s="1">
        <f t="shared" si="3"/>
        <v>531.99151065675903</v>
      </c>
      <c r="J126" s="1">
        <f t="shared" si="14"/>
        <v>54632.722579369205</v>
      </c>
      <c r="K126" s="1">
        <f t="shared" si="5"/>
        <v>10898.354752782529</v>
      </c>
      <c r="L126" s="1">
        <f t="shared" si="6"/>
        <v>32695.064258347586</v>
      </c>
      <c r="M126" s="10">
        <f t="shared" si="13"/>
        <v>0.10770604026845639</v>
      </c>
      <c r="N126" s="1">
        <f t="shared" si="7"/>
        <v>2490.8013453849426</v>
      </c>
      <c r="O126" s="1">
        <f t="shared" si="8"/>
        <v>58361.212807896394</v>
      </c>
      <c r="P126" s="1">
        <f t="shared" si="9"/>
        <v>145311.39670376707</v>
      </c>
      <c r="Q126" s="1">
        <f t="shared" si="10"/>
        <v>0</v>
      </c>
      <c r="R126" s="1">
        <f t="shared" si="11"/>
        <v>20</v>
      </c>
      <c r="S126" s="1">
        <f t="shared" si="12"/>
        <v>1</v>
      </c>
      <c r="Z126" s="11"/>
      <c r="AA126" s="10"/>
    </row>
    <row r="127" spans="1:27" ht="15.75" customHeight="1" x14ac:dyDescent="0.25">
      <c r="A127" s="23" t="s">
        <v>178</v>
      </c>
      <c r="B127" s="1">
        <v>75322</v>
      </c>
      <c r="C127" s="6">
        <f t="shared" si="0"/>
        <v>586.25466998754644</v>
      </c>
      <c r="D127" s="7">
        <v>0.10470604026845638</v>
      </c>
      <c r="E127" s="6">
        <f t="shared" si="1"/>
        <v>2997479.0898194257</v>
      </c>
      <c r="F127" s="8">
        <v>33604</v>
      </c>
      <c r="G127" s="8">
        <f t="shared" si="2"/>
        <v>51867</v>
      </c>
      <c r="H127" s="9">
        <v>60.8</v>
      </c>
      <c r="I127" s="1">
        <f t="shared" si="3"/>
        <v>520.85481236603778</v>
      </c>
      <c r="J127" s="1">
        <f t="shared" si="14"/>
        <v>54881.364081552201</v>
      </c>
      <c r="K127" s="1">
        <f t="shared" si="5"/>
        <v>11240.546586822848</v>
      </c>
      <c r="L127" s="1">
        <f t="shared" si="6"/>
        <v>33721.639760468541</v>
      </c>
      <c r="M127" s="10">
        <f t="shared" si="13"/>
        <v>0.10770604026845639</v>
      </c>
      <c r="N127" s="1">
        <f t="shared" si="7"/>
        <v>2569.0087353939475</v>
      </c>
      <c r="O127" s="1">
        <f t="shared" si="8"/>
        <v>55545.007389653998</v>
      </c>
      <c r="P127" s="1">
        <f t="shared" si="9"/>
        <v>149873.95449097129</v>
      </c>
      <c r="Q127" s="1">
        <f t="shared" si="10"/>
        <v>0</v>
      </c>
      <c r="R127" s="1">
        <f t="shared" si="11"/>
        <v>20</v>
      </c>
      <c r="S127" s="1">
        <f t="shared" si="12"/>
        <v>1</v>
      </c>
      <c r="Z127" s="11"/>
      <c r="AA127" s="10"/>
    </row>
    <row r="128" spans="1:27" ht="15.75" customHeight="1" x14ac:dyDescent="0.25">
      <c r="A128" s="24" t="s">
        <v>179</v>
      </c>
      <c r="B128" s="1">
        <v>77767</v>
      </c>
      <c r="C128" s="6">
        <f t="shared" si="0"/>
        <v>605.28486924034837</v>
      </c>
      <c r="D128" s="7">
        <v>0.10470604026845638</v>
      </c>
      <c r="E128" s="6">
        <f t="shared" si="1"/>
        <v>3094779.1664850544</v>
      </c>
      <c r="F128" s="8">
        <v>33512</v>
      </c>
      <c r="G128" s="8">
        <f t="shared" si="2"/>
        <v>51775</v>
      </c>
      <c r="H128" s="9">
        <v>60.5</v>
      </c>
      <c r="I128" s="1">
        <f t="shared" si="3"/>
        <v>518.28480506817903</v>
      </c>
      <c r="J128" s="1">
        <f t="shared" si="14"/>
        <v>55617.782264734997</v>
      </c>
      <c r="K128" s="1">
        <f t="shared" si="5"/>
        <v>11605.421874318954</v>
      </c>
      <c r="L128" s="1">
        <f t="shared" si="6"/>
        <v>34816.26562295686</v>
      </c>
      <c r="M128" s="10">
        <f t="shared" si="13"/>
        <v>0.10770604026845639</v>
      </c>
      <c r="N128" s="1">
        <f t="shared" si="7"/>
        <v>2652.40039198881</v>
      </c>
      <c r="O128" s="1">
        <f t="shared" si="8"/>
        <v>53593.76049711361</v>
      </c>
      <c r="P128" s="1">
        <f t="shared" si="9"/>
        <v>154738.95832425272</v>
      </c>
      <c r="Q128" s="1">
        <f t="shared" si="10"/>
        <v>0</v>
      </c>
      <c r="R128" s="1">
        <f t="shared" si="11"/>
        <v>20</v>
      </c>
      <c r="S128" s="1">
        <f t="shared" si="12"/>
        <v>1</v>
      </c>
      <c r="Z128" s="11"/>
      <c r="AA128" s="10"/>
    </row>
    <row r="129" spans="1:27" ht="15.75" customHeight="1" x14ac:dyDescent="0.25">
      <c r="A129" s="24" t="s">
        <v>180</v>
      </c>
      <c r="B129" s="1">
        <v>77901</v>
      </c>
      <c r="C129" s="6">
        <f t="shared" si="0"/>
        <v>606.32783312577806</v>
      </c>
      <c r="D129" s="7">
        <v>0.1161076923076923</v>
      </c>
      <c r="E129" s="6">
        <f t="shared" si="1"/>
        <v>3100111.7678237841</v>
      </c>
      <c r="F129" s="8">
        <v>33420</v>
      </c>
      <c r="G129" s="8">
        <f t="shared" si="2"/>
        <v>51683</v>
      </c>
      <c r="H129" s="9">
        <v>59.8</v>
      </c>
      <c r="I129" s="1">
        <f t="shared" si="3"/>
        <v>512.28812137317527</v>
      </c>
      <c r="J129" s="1">
        <f t="shared" si="14"/>
        <v>55341.474632552105</v>
      </c>
      <c r="K129" s="1">
        <f t="shared" si="5"/>
        <v>11625.41912933919</v>
      </c>
      <c r="L129" s="1">
        <f t="shared" si="6"/>
        <v>34876.25738801757</v>
      </c>
      <c r="M129" s="10">
        <f t="shared" si="13"/>
        <v>0.1191076923076923</v>
      </c>
      <c r="N129" s="1">
        <f t="shared" si="7"/>
        <v>2938.2283771248658</v>
      </c>
      <c r="O129" s="1">
        <f t="shared" si="8"/>
        <v>52258.467647992722</v>
      </c>
      <c r="P129" s="1">
        <f t="shared" si="9"/>
        <v>155005.5883911892</v>
      </c>
      <c r="Q129" s="1">
        <f t="shared" si="10"/>
        <v>0</v>
      </c>
      <c r="R129" s="1">
        <f t="shared" si="11"/>
        <v>20</v>
      </c>
      <c r="S129" s="1">
        <f t="shared" si="12"/>
        <v>1</v>
      </c>
      <c r="Z129" s="11"/>
      <c r="AA129" s="10"/>
    </row>
    <row r="130" spans="1:27" ht="15.75" customHeight="1" x14ac:dyDescent="0.25">
      <c r="A130" s="27" t="s">
        <v>181</v>
      </c>
      <c r="B130" s="1">
        <v>77146</v>
      </c>
      <c r="C130" s="6">
        <f t="shared" si="0"/>
        <v>600.45143212951405</v>
      </c>
      <c r="D130" s="7">
        <v>0.12819655172413794</v>
      </c>
      <c r="E130" s="6">
        <f t="shared" si="1"/>
        <v>3070066.1408779561</v>
      </c>
      <c r="F130" s="8">
        <v>33329</v>
      </c>
      <c r="G130" s="8">
        <f t="shared" si="2"/>
        <v>51592</v>
      </c>
      <c r="H130" s="9">
        <v>59.1</v>
      </c>
      <c r="I130" s="1">
        <f t="shared" si="3"/>
        <v>506.29143767817163</v>
      </c>
      <c r="J130" s="1">
        <f t="shared" si="14"/>
        <v>54749.334032564067</v>
      </c>
      <c r="K130" s="1">
        <f t="shared" si="5"/>
        <v>11512.748028292335</v>
      </c>
      <c r="L130" s="1">
        <f t="shared" si="6"/>
        <v>34538.244084877006</v>
      </c>
      <c r="M130" s="10">
        <f t="shared" si="13"/>
        <v>0.13119655172413794</v>
      </c>
      <c r="N130" s="1">
        <f t="shared" si="7"/>
        <v>3205.0755580667301</v>
      </c>
      <c r="O130" s="1">
        <f t="shared" si="8"/>
        <v>51162.766524851424</v>
      </c>
      <c r="P130" s="1">
        <f t="shared" si="9"/>
        <v>153503.3070438978</v>
      </c>
      <c r="Q130" s="1">
        <f t="shared" si="10"/>
        <v>0</v>
      </c>
      <c r="R130" s="1">
        <f t="shared" si="11"/>
        <v>20</v>
      </c>
      <c r="S130" s="1">
        <f t="shared" si="12"/>
        <v>1</v>
      </c>
      <c r="Z130" s="11"/>
      <c r="AA130" s="10"/>
    </row>
    <row r="131" spans="1:27" ht="15.75" customHeight="1" x14ac:dyDescent="0.25">
      <c r="A131" s="23" t="s">
        <v>182</v>
      </c>
      <c r="B131" s="1">
        <v>77884</v>
      </c>
      <c r="C131" s="6">
        <f t="shared" si="0"/>
        <v>606.19551681195492</v>
      </c>
      <c r="D131" s="7">
        <v>0.13880000000000001</v>
      </c>
      <c r="E131" s="6">
        <f t="shared" si="1"/>
        <v>3099435.2437733491</v>
      </c>
      <c r="F131" s="8">
        <v>33239</v>
      </c>
      <c r="G131" s="8">
        <f t="shared" si="2"/>
        <v>51502</v>
      </c>
      <c r="H131" s="9">
        <v>57.2</v>
      </c>
      <c r="I131" s="1">
        <f t="shared" si="3"/>
        <v>490.01472479173293</v>
      </c>
      <c r="J131" s="1">
        <f t="shared" si="14"/>
        <v>54107.052136612721</v>
      </c>
      <c r="K131" s="1">
        <f t="shared" si="5"/>
        <v>11622.88216415006</v>
      </c>
      <c r="L131" s="1">
        <f t="shared" si="6"/>
        <v>34868.646492450178</v>
      </c>
      <c r="M131" s="10">
        <f t="shared" si="13"/>
        <v>0.14180000000000001</v>
      </c>
      <c r="N131" s="1">
        <f t="shared" si="7"/>
        <v>3497.2514237624468</v>
      </c>
      <c r="O131" s="1">
        <f t="shared" si="8"/>
        <v>50113.943488561781</v>
      </c>
      <c r="P131" s="1">
        <f t="shared" si="9"/>
        <v>154971.76218866746</v>
      </c>
      <c r="Q131" s="1">
        <f t="shared" si="10"/>
        <v>0</v>
      </c>
      <c r="R131" s="1">
        <f t="shared" si="11"/>
        <v>20</v>
      </c>
      <c r="S131" s="1">
        <f t="shared" si="12"/>
        <v>1</v>
      </c>
      <c r="Z131" s="11"/>
      <c r="AA131" s="10"/>
    </row>
    <row r="132" spans="1:27" ht="15.75" customHeight="1" x14ac:dyDescent="0.25">
      <c r="A132" s="24" t="s">
        <v>183</v>
      </c>
      <c r="B132" s="1">
        <v>82483</v>
      </c>
      <c r="C132" s="6">
        <f t="shared" si="0"/>
        <v>641.99097135740953</v>
      </c>
      <c r="D132" s="7">
        <v>0.14880000000000002</v>
      </c>
      <c r="E132" s="6">
        <f t="shared" si="1"/>
        <v>3282454.8971824404</v>
      </c>
      <c r="F132" s="8">
        <v>33147</v>
      </c>
      <c r="G132" s="8">
        <f t="shared" si="2"/>
        <v>51410</v>
      </c>
      <c r="H132" s="9">
        <v>56.8</v>
      </c>
      <c r="I132" s="1">
        <f t="shared" si="3"/>
        <v>486.58804839458787</v>
      </c>
      <c r="J132" s="1">
        <f t="shared" si="14"/>
        <v>55457.858334282617</v>
      </c>
      <c r="K132" s="1">
        <f t="shared" si="5"/>
        <v>12309.20586443415</v>
      </c>
      <c r="L132" s="1">
        <f t="shared" si="6"/>
        <v>36927.61759330245</v>
      </c>
      <c r="M132" s="10">
        <f t="shared" si="13"/>
        <v>0.15180000000000002</v>
      </c>
      <c r="N132" s="1">
        <f t="shared" si="7"/>
        <v>3964.9578859933958</v>
      </c>
      <c r="O132" s="1">
        <f t="shared" si="8"/>
        <v>49813.006092213691</v>
      </c>
      <c r="P132" s="1">
        <f t="shared" si="9"/>
        <v>164122.74485912203</v>
      </c>
      <c r="Q132" s="1">
        <f t="shared" si="10"/>
        <v>0</v>
      </c>
      <c r="R132" s="1">
        <f t="shared" si="11"/>
        <v>20</v>
      </c>
      <c r="S132" s="1">
        <f t="shared" si="12"/>
        <v>1</v>
      </c>
      <c r="Z132" s="11"/>
      <c r="AA132" s="10"/>
    </row>
    <row r="133" spans="1:27" ht="15.75" customHeight="1" x14ac:dyDescent="0.25">
      <c r="A133" s="24" t="s">
        <v>184</v>
      </c>
      <c r="B133" s="1">
        <v>86993</v>
      </c>
      <c r="C133" s="6">
        <f t="shared" si="0"/>
        <v>677.09371108343692</v>
      </c>
      <c r="D133" s="7">
        <v>0.14880000000000002</v>
      </c>
      <c r="E133" s="6">
        <f t="shared" si="1"/>
        <v>3461932.7482098369</v>
      </c>
      <c r="F133" s="8">
        <v>33055</v>
      </c>
      <c r="G133" s="8">
        <f t="shared" si="2"/>
        <v>51318</v>
      </c>
      <c r="H133" s="9">
        <v>55.7</v>
      </c>
      <c r="I133" s="1">
        <f t="shared" si="3"/>
        <v>477.16468830243923</v>
      </c>
      <c r="J133" s="1">
        <f t="shared" si="14"/>
        <v>56362.321364742675</v>
      </c>
      <c r="K133" s="1">
        <f t="shared" si="5"/>
        <v>12982.247805786888</v>
      </c>
      <c r="L133" s="1">
        <f t="shared" si="6"/>
        <v>38946.743417360667</v>
      </c>
      <c r="M133" s="10">
        <f t="shared" si="13"/>
        <v>0.15180000000000002</v>
      </c>
      <c r="N133" s="1">
        <f t="shared" si="7"/>
        <v>4181.753590148558</v>
      </c>
      <c r="O133" s="1">
        <f t="shared" si="8"/>
        <v>50693.015768232435</v>
      </c>
      <c r="P133" s="1">
        <f t="shared" si="9"/>
        <v>173096.63741049185</v>
      </c>
      <c r="Q133" s="1">
        <f t="shared" si="10"/>
        <v>0</v>
      </c>
      <c r="R133" s="1">
        <f t="shared" si="11"/>
        <v>20</v>
      </c>
      <c r="S133" s="1">
        <f t="shared" si="12"/>
        <v>1</v>
      </c>
      <c r="Z133" s="11"/>
      <c r="AA133" s="10"/>
    </row>
    <row r="134" spans="1:27" ht="15.75" customHeight="1" x14ac:dyDescent="0.25">
      <c r="A134" s="27" t="s">
        <v>185</v>
      </c>
      <c r="B134" s="1">
        <v>91089</v>
      </c>
      <c r="C134" s="6">
        <f t="shared" si="0"/>
        <v>708.97415940224141</v>
      </c>
      <c r="D134" s="7">
        <v>0.14880000000000002</v>
      </c>
      <c r="E134" s="6">
        <f t="shared" si="1"/>
        <v>3624935.2488325024</v>
      </c>
      <c r="F134" s="8">
        <v>32964</v>
      </c>
      <c r="G134" s="8">
        <f t="shared" si="2"/>
        <v>51227</v>
      </c>
      <c r="H134" s="9">
        <v>54.9</v>
      </c>
      <c r="I134" s="1">
        <f t="shared" si="3"/>
        <v>470.31133550814923</v>
      </c>
      <c r="J134" s="1">
        <f t="shared" si="14"/>
        <v>57232.108081139799</v>
      </c>
      <c r="K134" s="1">
        <f t="shared" si="5"/>
        <v>13593.507183121883</v>
      </c>
      <c r="L134" s="1">
        <f t="shared" si="6"/>
        <v>40780.521549365651</v>
      </c>
      <c r="M134" s="10">
        <f t="shared" si="13"/>
        <v>0.15180000000000002</v>
      </c>
      <c r="N134" s="1">
        <f t="shared" si="7"/>
        <v>4378.6483139222928</v>
      </c>
      <c r="O134" s="1">
        <f t="shared" si="8"/>
        <v>53004.250298510364</v>
      </c>
      <c r="P134" s="1">
        <f t="shared" si="9"/>
        <v>181246.76244162512</v>
      </c>
      <c r="Q134" s="1">
        <f t="shared" si="10"/>
        <v>0</v>
      </c>
      <c r="R134" s="1">
        <f t="shared" si="11"/>
        <v>20</v>
      </c>
      <c r="S134" s="1">
        <f t="shared" si="12"/>
        <v>1</v>
      </c>
      <c r="Z134" s="11"/>
      <c r="AA134" s="10"/>
    </row>
    <row r="135" spans="1:27" ht="15.75" customHeight="1" x14ac:dyDescent="0.25">
      <c r="A135" s="23" t="s">
        <v>186</v>
      </c>
      <c r="B135" s="1">
        <v>93541</v>
      </c>
      <c r="C135" s="6">
        <f t="shared" si="0"/>
        <v>728.05884184308832</v>
      </c>
      <c r="D135" s="7">
        <v>0.14880000000000002</v>
      </c>
      <c r="E135" s="6">
        <f t="shared" si="1"/>
        <v>3722513.8942247815</v>
      </c>
      <c r="F135" s="8">
        <v>32874</v>
      </c>
      <c r="G135" s="8">
        <f t="shared" si="2"/>
        <v>51136</v>
      </c>
      <c r="H135" s="9">
        <v>52.8</v>
      </c>
      <c r="I135" s="1">
        <f t="shared" si="3"/>
        <v>452.32128442313808</v>
      </c>
      <c r="J135" s="1">
        <f t="shared" si="14"/>
        <v>56846.69818705268</v>
      </c>
      <c r="K135" s="1">
        <f t="shared" si="5"/>
        <v>13959.42710334293</v>
      </c>
      <c r="L135" s="1">
        <f t="shared" si="6"/>
        <v>41878.281310028789</v>
      </c>
      <c r="M135" s="10">
        <f t="shared" si="13"/>
        <v>0.15180000000000002</v>
      </c>
      <c r="N135" s="1">
        <f t="shared" si="7"/>
        <v>4496.5159561813743</v>
      </c>
      <c r="O135" s="1">
        <f t="shared" si="8"/>
        <v>56583.901595135147</v>
      </c>
      <c r="P135" s="1">
        <f t="shared" si="9"/>
        <v>186125.69471123908</v>
      </c>
      <c r="Q135" s="1">
        <f t="shared" si="10"/>
        <v>0</v>
      </c>
      <c r="R135" s="1">
        <f t="shared" si="11"/>
        <v>20</v>
      </c>
      <c r="S135" s="1">
        <f t="shared" si="12"/>
        <v>1</v>
      </c>
      <c r="Z135" s="11"/>
      <c r="AA135" s="10"/>
    </row>
    <row r="136" spans="1:27" ht="15.75" customHeight="1" x14ac:dyDescent="0.25">
      <c r="A136" s="24" t="s">
        <v>187</v>
      </c>
      <c r="B136" s="1">
        <v>96065</v>
      </c>
      <c r="C136" s="6">
        <f t="shared" si="0"/>
        <v>747.70392278953921</v>
      </c>
      <c r="D136" s="7">
        <v>0.13774444444444445</v>
      </c>
      <c r="E136" s="6">
        <f t="shared" si="1"/>
        <v>3822957.8179483186</v>
      </c>
      <c r="F136" s="8">
        <v>32782</v>
      </c>
      <c r="G136" s="8">
        <f t="shared" si="2"/>
        <v>51044</v>
      </c>
      <c r="H136" s="9">
        <v>52.1</v>
      </c>
      <c r="I136" s="1">
        <f t="shared" si="3"/>
        <v>446.32460072813444</v>
      </c>
      <c r="J136" s="1">
        <f t="shared" si="14"/>
        <v>57213.95964274781</v>
      </c>
      <c r="K136" s="1">
        <f t="shared" si="5"/>
        <v>14336.091817306195</v>
      </c>
      <c r="L136" s="1">
        <f t="shared" si="6"/>
        <v>43008.275451918584</v>
      </c>
      <c r="M136" s="10">
        <f t="shared" si="13"/>
        <v>0.14074444444444445</v>
      </c>
      <c r="N136" s="1">
        <f t="shared" si="7"/>
        <v>4281.5283916723911</v>
      </c>
      <c r="O136" s="1">
        <f t="shared" si="8"/>
        <v>61511.829083579694</v>
      </c>
      <c r="P136" s="1">
        <f t="shared" si="9"/>
        <v>191147.89089741593</v>
      </c>
      <c r="Q136" s="1">
        <f t="shared" si="10"/>
        <v>0</v>
      </c>
      <c r="R136" s="1">
        <f t="shared" si="11"/>
        <v>20</v>
      </c>
      <c r="S136" s="1">
        <f t="shared" si="12"/>
        <v>1</v>
      </c>
      <c r="Z136" s="11"/>
      <c r="AA136" s="10"/>
    </row>
    <row r="137" spans="1:27" ht="15.75" customHeight="1" x14ac:dyDescent="0.25">
      <c r="A137" s="24" t="s">
        <v>188</v>
      </c>
      <c r="B137" s="1">
        <v>97667</v>
      </c>
      <c r="C137" s="6">
        <f t="shared" si="0"/>
        <v>760.17278953922789</v>
      </c>
      <c r="D137" s="7">
        <v>0.13750000000000001</v>
      </c>
      <c r="E137" s="6">
        <f t="shared" si="1"/>
        <v>3886710.2608188046</v>
      </c>
      <c r="F137" s="8">
        <v>32690</v>
      </c>
      <c r="G137" s="8">
        <f t="shared" si="2"/>
        <v>50952</v>
      </c>
      <c r="H137" s="9">
        <v>51.2</v>
      </c>
      <c r="I137" s="1">
        <f t="shared" si="3"/>
        <v>438.61457883455824</v>
      </c>
      <c r="J137" s="1">
        <f t="shared" si="14"/>
        <v>57180.353302266223</v>
      </c>
      <c r="K137" s="1">
        <f t="shared" si="5"/>
        <v>14575.163478070515</v>
      </c>
      <c r="L137" s="1">
        <f t="shared" si="6"/>
        <v>43725.490434211548</v>
      </c>
      <c r="M137" s="10">
        <f t="shared" si="13"/>
        <v>0.14050000000000001</v>
      </c>
      <c r="N137" s="1">
        <f t="shared" si="7"/>
        <v>4345.36791180005</v>
      </c>
      <c r="O137" s="1">
        <f t="shared" si="8"/>
        <v>67331.030767712204</v>
      </c>
      <c r="P137" s="1">
        <f t="shared" si="9"/>
        <v>194335.51304094025</v>
      </c>
      <c r="Q137" s="1">
        <f t="shared" si="10"/>
        <v>0</v>
      </c>
      <c r="R137" s="1">
        <f t="shared" si="11"/>
        <v>20</v>
      </c>
      <c r="S137" s="1">
        <f t="shared" si="12"/>
        <v>1</v>
      </c>
      <c r="Z137" s="11"/>
      <c r="AA137" s="10"/>
    </row>
    <row r="138" spans="1:27" ht="15.75" customHeight="1" x14ac:dyDescent="0.25">
      <c r="A138" s="27" t="s">
        <v>189</v>
      </c>
      <c r="B138" s="1">
        <v>95792</v>
      </c>
      <c r="C138" s="6">
        <f t="shared" si="0"/>
        <v>745.57907845579086</v>
      </c>
      <c r="D138" s="7">
        <v>0.1288</v>
      </c>
      <c r="E138" s="6">
        <f t="shared" si="1"/>
        <v>3812093.6376089668</v>
      </c>
      <c r="F138" s="8">
        <v>32599</v>
      </c>
      <c r="G138" s="8">
        <f t="shared" si="2"/>
        <v>50861</v>
      </c>
      <c r="H138" s="9">
        <v>50.8</v>
      </c>
      <c r="I138" s="1">
        <f t="shared" si="3"/>
        <v>435.18790243741319</v>
      </c>
      <c r="J138" s="1">
        <f t="shared" si="14"/>
        <v>56406.243177219716</v>
      </c>
      <c r="K138" s="1">
        <f t="shared" si="5"/>
        <v>14295.351141033623</v>
      </c>
      <c r="L138" s="1">
        <f t="shared" si="6"/>
        <v>42886.053423100871</v>
      </c>
      <c r="M138" s="10">
        <f t="shared" si="13"/>
        <v>0.1318</v>
      </c>
      <c r="N138" s="1">
        <f t="shared" si="7"/>
        <v>3998.0395313027175</v>
      </c>
      <c r="O138" s="1">
        <f t="shared" si="8"/>
        <v>73889.291555450705</v>
      </c>
      <c r="P138" s="1">
        <f t="shared" si="9"/>
        <v>190604.68188044836</v>
      </c>
      <c r="Q138" s="1">
        <f t="shared" si="10"/>
        <v>0</v>
      </c>
      <c r="R138" s="1">
        <f t="shared" si="11"/>
        <v>20</v>
      </c>
      <c r="S138" s="1">
        <f t="shared" si="12"/>
        <v>1</v>
      </c>
      <c r="Z138" s="11"/>
      <c r="AA138" s="10"/>
    </row>
    <row r="139" spans="1:27" ht="15.75" customHeight="1" x14ac:dyDescent="0.25">
      <c r="A139" s="23" t="s">
        <v>190</v>
      </c>
      <c r="B139" s="1">
        <v>94565</v>
      </c>
      <c r="C139" s="6">
        <f t="shared" si="0"/>
        <v>736.02895392278958</v>
      </c>
      <c r="D139" s="7">
        <v>0.1288</v>
      </c>
      <c r="E139" s="6">
        <f t="shared" si="1"/>
        <v>3763264.5193804484</v>
      </c>
      <c r="F139" s="8">
        <v>32509</v>
      </c>
      <c r="G139" s="8">
        <f t="shared" si="2"/>
        <v>50771</v>
      </c>
      <c r="H139" s="9">
        <v>49.8</v>
      </c>
      <c r="I139" s="1">
        <f t="shared" si="3"/>
        <v>426.62121144455074</v>
      </c>
      <c r="J139" s="1">
        <f t="shared" si="14"/>
        <v>55489.132022685786</v>
      </c>
      <c r="K139" s="1">
        <f t="shared" si="5"/>
        <v>14112.241947676681</v>
      </c>
      <c r="L139" s="1">
        <f t="shared" si="6"/>
        <v>42336.725843030043</v>
      </c>
      <c r="M139" s="10">
        <f t="shared" si="13"/>
        <v>0.1318</v>
      </c>
      <c r="N139" s="1">
        <f t="shared" si="7"/>
        <v>3946.8286315938853</v>
      </c>
      <c r="O139" s="1">
        <f t="shared" si="8"/>
        <v>80111.286913358752</v>
      </c>
      <c r="P139" s="1">
        <f t="shared" si="9"/>
        <v>188163.22596902243</v>
      </c>
      <c r="Q139" s="1">
        <f t="shared" si="10"/>
        <v>0</v>
      </c>
      <c r="R139" s="1">
        <f t="shared" si="11"/>
        <v>20</v>
      </c>
      <c r="S139" s="1">
        <f t="shared" si="12"/>
        <v>1</v>
      </c>
      <c r="Z139" s="11"/>
      <c r="AA139" s="10"/>
    </row>
    <row r="140" spans="1:27" ht="15.75" customHeight="1" x14ac:dyDescent="0.25">
      <c r="A140" s="24" t="s">
        <v>191</v>
      </c>
      <c r="B140" s="1">
        <v>93681</v>
      </c>
      <c r="C140" s="6">
        <f t="shared" si="0"/>
        <v>729.14850560398509</v>
      </c>
      <c r="D140" s="7">
        <v>0.11369361702127659</v>
      </c>
      <c r="E140" s="6">
        <f t="shared" si="1"/>
        <v>3728085.2687577833</v>
      </c>
      <c r="F140" s="8">
        <v>32417</v>
      </c>
      <c r="G140" s="8">
        <f t="shared" si="2"/>
        <v>50679</v>
      </c>
      <c r="H140" s="9">
        <v>49.2</v>
      </c>
      <c r="I140" s="1">
        <f t="shared" si="3"/>
        <v>421.48119684883329</v>
      </c>
      <c r="J140" s="1">
        <f t="shared" si="14"/>
        <v>54895.399836097946</v>
      </c>
      <c r="K140" s="1">
        <f t="shared" si="5"/>
        <v>13980.319757841688</v>
      </c>
      <c r="L140" s="1">
        <f t="shared" si="6"/>
        <v>41940.959273525063</v>
      </c>
      <c r="M140" s="10">
        <f t="shared" si="13"/>
        <v>0.11669361702127659</v>
      </c>
      <c r="N140" s="1">
        <f t="shared" si="7"/>
        <v>3461.7957415218198</v>
      </c>
      <c r="O140" s="1">
        <f t="shared" si="8"/>
        <v>86380.076941643027</v>
      </c>
      <c r="P140" s="1">
        <f t="shared" si="9"/>
        <v>186404.26343788917</v>
      </c>
      <c r="Q140" s="1">
        <f t="shared" si="10"/>
        <v>0</v>
      </c>
      <c r="R140" s="1">
        <f t="shared" si="11"/>
        <v>20</v>
      </c>
      <c r="S140" s="1">
        <f t="shared" si="12"/>
        <v>1</v>
      </c>
      <c r="Z140" s="11"/>
      <c r="AA140" s="10"/>
    </row>
    <row r="141" spans="1:27" ht="15.75" customHeight="1" x14ac:dyDescent="0.25">
      <c r="A141" s="24" t="s">
        <v>192</v>
      </c>
      <c r="B141" s="1">
        <v>87750</v>
      </c>
      <c r="C141" s="6">
        <f t="shared" si="0"/>
        <v>682.98567870485681</v>
      </c>
      <c r="D141" s="7">
        <v>8.0077777777777789E-2</v>
      </c>
      <c r="E141" s="6">
        <f t="shared" si="1"/>
        <v>3492057.9662204236</v>
      </c>
      <c r="F141" s="8">
        <v>32325</v>
      </c>
      <c r="G141" s="8">
        <f t="shared" si="2"/>
        <v>50587</v>
      </c>
      <c r="H141" s="9">
        <v>48.5</v>
      </c>
      <c r="I141" s="1">
        <f t="shared" si="3"/>
        <v>415.48451315382954</v>
      </c>
      <c r="J141" s="1">
        <f t="shared" si="14"/>
        <v>52732.757388872458</v>
      </c>
      <c r="K141" s="1">
        <f t="shared" si="5"/>
        <v>13095.217373326588</v>
      </c>
      <c r="L141" s="1">
        <f t="shared" si="6"/>
        <v>39285.652119979764</v>
      </c>
      <c r="M141" s="10">
        <f t="shared" si="13"/>
        <v>8.3077777777777792E-2</v>
      </c>
      <c r="N141" s="1">
        <f t="shared" si="7"/>
        <v>2308.6475145272148</v>
      </c>
      <c r="O141" s="1">
        <f t="shared" si="8"/>
        <v>92639.026321704427</v>
      </c>
      <c r="P141" s="1">
        <f t="shared" si="9"/>
        <v>174602.89831102118</v>
      </c>
      <c r="Q141" s="1">
        <f t="shared" si="10"/>
        <v>0</v>
      </c>
      <c r="R141" s="1">
        <f t="shared" si="11"/>
        <v>20</v>
      </c>
      <c r="S141" s="1">
        <f t="shared" si="12"/>
        <v>1</v>
      </c>
      <c r="Z141" s="11"/>
      <c r="AA141" s="10"/>
    </row>
    <row r="142" spans="1:27" ht="15.75" customHeight="1" x14ac:dyDescent="0.25">
      <c r="A142" s="24" t="s">
        <v>193</v>
      </c>
      <c r="B142" s="1">
        <v>82886</v>
      </c>
      <c r="C142" s="6">
        <f t="shared" si="0"/>
        <v>645.12764632627648</v>
      </c>
      <c r="D142" s="7">
        <v>8.7158208955223901E-2</v>
      </c>
      <c r="E142" s="6">
        <f t="shared" si="1"/>
        <v>3298492.4967310089</v>
      </c>
      <c r="F142" s="8">
        <v>32234</v>
      </c>
      <c r="G142" s="8">
        <f t="shared" si="2"/>
        <v>50496</v>
      </c>
      <c r="H142" s="9">
        <v>48</v>
      </c>
      <c r="I142" s="1">
        <f t="shared" si="3"/>
        <v>411.20116765739834</v>
      </c>
      <c r="J142" s="1">
        <f t="shared" si="14"/>
        <v>50971.693605051805</v>
      </c>
      <c r="K142" s="1">
        <f t="shared" si="5"/>
        <v>12369.346862741282</v>
      </c>
      <c r="L142" s="1">
        <f t="shared" si="6"/>
        <v>37108.040588223848</v>
      </c>
      <c r="M142" s="10">
        <f t="shared" si="13"/>
        <v>9.0158208955223904E-2</v>
      </c>
      <c r="N142" s="1">
        <f t="shared" si="7"/>
        <v>2366.4590985509767</v>
      </c>
      <c r="O142" s="1">
        <f t="shared" si="8"/>
        <v>97648.386138917092</v>
      </c>
      <c r="P142" s="1">
        <f t="shared" si="9"/>
        <v>164924.62483655044</v>
      </c>
      <c r="Q142" s="1">
        <f t="shared" si="10"/>
        <v>0</v>
      </c>
      <c r="R142" s="1">
        <f t="shared" si="11"/>
        <v>20</v>
      </c>
      <c r="S142" s="1">
        <f t="shared" si="12"/>
        <v>1</v>
      </c>
      <c r="Z142" s="11"/>
      <c r="AA142" s="10"/>
    </row>
    <row r="143" spans="1:27" ht="15.75" customHeight="1" x14ac:dyDescent="0.25">
      <c r="A143" s="23" t="s">
        <v>194</v>
      </c>
      <c r="B143" s="1">
        <v>81452</v>
      </c>
      <c r="C143" s="6">
        <f t="shared" si="0"/>
        <v>633.96637608966375</v>
      </c>
      <c r="D143" s="7">
        <v>8.6423762376237626E-2</v>
      </c>
      <c r="E143" s="6">
        <f t="shared" si="1"/>
        <v>3241425.7033001245</v>
      </c>
      <c r="F143" s="8">
        <v>32143</v>
      </c>
      <c r="G143" s="8">
        <f t="shared" si="2"/>
        <v>50406</v>
      </c>
      <c r="H143" s="9">
        <v>47</v>
      </c>
      <c r="I143" s="1">
        <f t="shared" si="3"/>
        <v>402.6344766645359</v>
      </c>
      <c r="J143" s="1">
        <f t="shared" si="14"/>
        <v>49999.64901286221</v>
      </c>
      <c r="K143" s="1">
        <f t="shared" si="5"/>
        <v>12155.346387375466</v>
      </c>
      <c r="L143" s="1">
        <f t="shared" si="6"/>
        <v>36466.039162126399</v>
      </c>
      <c r="M143" s="10">
        <f t="shared" si="13"/>
        <v>8.9423762376237628E-2</v>
      </c>
      <c r="N143" s="1">
        <f t="shared" si="7"/>
        <v>2306.5780090365756</v>
      </c>
      <c r="O143" s="1">
        <f t="shared" si="8"/>
        <v>101624.82588385727</v>
      </c>
      <c r="P143" s="1">
        <f t="shared" si="9"/>
        <v>162071.28516500624</v>
      </c>
      <c r="Q143" s="1">
        <f t="shared" si="10"/>
        <v>0</v>
      </c>
      <c r="R143" s="1">
        <f t="shared" si="11"/>
        <v>20</v>
      </c>
      <c r="S143" s="1">
        <f t="shared" si="12"/>
        <v>1</v>
      </c>
      <c r="Z143" s="11"/>
      <c r="AA143" s="10"/>
    </row>
    <row r="144" spans="1:27" ht="15.75" customHeight="1" x14ac:dyDescent="0.25">
      <c r="A144" s="24" t="s">
        <v>195</v>
      </c>
      <c r="B144" s="1">
        <v>82330</v>
      </c>
      <c r="C144" s="6">
        <f t="shared" si="0"/>
        <v>640.80012453300128</v>
      </c>
      <c r="D144" s="7">
        <v>9.8800000000000013E-2</v>
      </c>
      <c r="E144" s="6">
        <f t="shared" si="1"/>
        <v>3276366.1807285184</v>
      </c>
      <c r="F144" s="8">
        <v>32051</v>
      </c>
      <c r="G144" s="8">
        <f t="shared" si="2"/>
        <v>50314</v>
      </c>
      <c r="H144" s="9">
        <v>46.854598257502403</v>
      </c>
      <c r="I144" s="1">
        <f t="shared" si="3"/>
        <v>401.38886486673522</v>
      </c>
      <c r="J144" s="1">
        <f t="shared" si="14"/>
        <v>50189.393651198283</v>
      </c>
      <c r="K144" s="1">
        <f t="shared" si="5"/>
        <v>12286.373177731943</v>
      </c>
      <c r="L144" s="1">
        <f t="shared" si="6"/>
        <v>36859.11953319583</v>
      </c>
      <c r="M144" s="10">
        <f t="shared" si="13"/>
        <v>0.10180000000000002</v>
      </c>
      <c r="N144" s="1">
        <f t="shared" si="7"/>
        <v>2654.0608582057866</v>
      </c>
      <c r="O144" s="1">
        <f t="shared" si="8"/>
        <v>105591.09318762324</v>
      </c>
      <c r="P144" s="1">
        <f t="shared" si="9"/>
        <v>163818.30903642593</v>
      </c>
      <c r="Q144" s="1">
        <f t="shared" si="10"/>
        <v>0</v>
      </c>
      <c r="R144" s="1">
        <f t="shared" si="11"/>
        <v>20</v>
      </c>
      <c r="S144" s="1">
        <f t="shared" si="12"/>
        <v>1</v>
      </c>
      <c r="Z144" s="11"/>
      <c r="AA144" s="10"/>
    </row>
    <row r="145" spans="1:27" ht="15.75" customHeight="1" x14ac:dyDescent="0.25">
      <c r="A145" s="24" t="s">
        <v>196</v>
      </c>
      <c r="B145" s="1">
        <v>78015</v>
      </c>
      <c r="C145" s="6">
        <f t="shared" si="0"/>
        <v>607.2151307596514</v>
      </c>
      <c r="D145" s="7">
        <v>8.929999999999999E-2</v>
      </c>
      <c r="E145" s="6">
        <f t="shared" si="1"/>
        <v>3104648.4585149442</v>
      </c>
      <c r="F145" s="8">
        <v>31959</v>
      </c>
      <c r="G145" s="8">
        <f t="shared" si="2"/>
        <v>50222</v>
      </c>
      <c r="H145" s="9">
        <v>46.355179090028997</v>
      </c>
      <c r="I145" s="1">
        <f t="shared" si="3"/>
        <v>397.11049518307794</v>
      </c>
      <c r="J145" s="1">
        <f t="shared" si="14"/>
        <v>48584.087287111892</v>
      </c>
      <c r="K145" s="1">
        <f t="shared" si="5"/>
        <v>11642.431719431041</v>
      </c>
      <c r="L145" s="1">
        <f t="shared" si="6"/>
        <v>34927.29515829312</v>
      </c>
      <c r="M145" s="10">
        <f t="shared" si="13"/>
        <v>9.2299999999999993E-2</v>
      </c>
      <c r="N145" s="1">
        <f t="shared" si="7"/>
        <v>2280.2901367536406</v>
      </c>
      <c r="O145" s="1">
        <f t="shared" si="8"/>
        <v>109827.10684754018</v>
      </c>
      <c r="P145" s="1">
        <f t="shared" si="9"/>
        <v>155232.4229257472</v>
      </c>
      <c r="Q145" s="1">
        <f t="shared" si="10"/>
        <v>0</v>
      </c>
      <c r="R145" s="1">
        <f t="shared" si="11"/>
        <v>20</v>
      </c>
      <c r="S145" s="1">
        <f t="shared" si="12"/>
        <v>1</v>
      </c>
      <c r="Z145" s="11"/>
      <c r="AA145" s="10"/>
    </row>
    <row r="146" spans="1:27" ht="15.75" customHeight="1" x14ac:dyDescent="0.25">
      <c r="A146" s="24" t="s">
        <v>197</v>
      </c>
      <c r="B146" s="1">
        <v>72618</v>
      </c>
      <c r="C146" s="6">
        <f t="shared" si="0"/>
        <v>565.20859277708598</v>
      </c>
      <c r="D146" s="7">
        <v>9.9700000000000011E-2</v>
      </c>
      <c r="E146" s="6">
        <f t="shared" si="1"/>
        <v>2889871.9702677466</v>
      </c>
      <c r="F146" s="8">
        <v>31868</v>
      </c>
      <c r="G146" s="8">
        <f t="shared" si="2"/>
        <v>50131</v>
      </c>
      <c r="H146" s="9">
        <v>46.249241690867997</v>
      </c>
      <c r="I146" s="1">
        <f t="shared" si="3"/>
        <v>396.20296221987815</v>
      </c>
      <c r="J146" s="1">
        <f t="shared" si="14"/>
        <v>46791.707706719702</v>
      </c>
      <c r="K146" s="1">
        <f t="shared" si="5"/>
        <v>10837.01988850405</v>
      </c>
      <c r="L146" s="1">
        <f t="shared" si="6"/>
        <v>32511.059665512148</v>
      </c>
      <c r="M146" s="10">
        <f t="shared" si="13"/>
        <v>0.10270000000000001</v>
      </c>
      <c r="N146" s="1">
        <f t="shared" si="7"/>
        <v>2361.6712887700546</v>
      </c>
      <c r="O146" s="1">
        <f t="shared" si="8"/>
        <v>113174.74526921057</v>
      </c>
      <c r="P146" s="1">
        <f t="shared" si="9"/>
        <v>144493.59851338735</v>
      </c>
      <c r="Q146" s="1">
        <f t="shared" si="10"/>
        <v>0</v>
      </c>
      <c r="R146" s="1">
        <f t="shared" si="11"/>
        <v>20</v>
      </c>
      <c r="S146" s="1">
        <f t="shared" si="12"/>
        <v>1</v>
      </c>
      <c r="Z146" s="11"/>
      <c r="AA146" s="10"/>
    </row>
    <row r="147" spans="1:27" ht="15.75" customHeight="1" x14ac:dyDescent="0.25">
      <c r="A147" s="23" t="s">
        <v>198</v>
      </c>
      <c r="B147" s="1">
        <v>68073</v>
      </c>
      <c r="C147" s="6">
        <f t="shared" si="0"/>
        <v>529.83343711083444</v>
      </c>
      <c r="D147" s="7">
        <v>0.10880000000000001</v>
      </c>
      <c r="E147" s="6">
        <f t="shared" si="1"/>
        <v>2709001.2756070988</v>
      </c>
      <c r="F147" s="8">
        <v>31778</v>
      </c>
      <c r="G147" s="8">
        <f t="shared" si="2"/>
        <v>50041</v>
      </c>
      <c r="H147" s="9">
        <v>45.553081639238499</v>
      </c>
      <c r="I147" s="1">
        <f t="shared" si="3"/>
        <v>390.23917417599307</v>
      </c>
      <c r="J147" s="1">
        <f t="shared" si="14"/>
        <v>44947.749834614275</v>
      </c>
      <c r="K147" s="1">
        <f t="shared" si="5"/>
        <v>10158.754783526621</v>
      </c>
      <c r="L147" s="1">
        <f t="shared" si="6"/>
        <v>30476.264350579862</v>
      </c>
      <c r="M147" s="10">
        <f t="shared" si="13"/>
        <v>0.11180000000000001</v>
      </c>
      <c r="N147" s="1">
        <f t="shared" si="7"/>
        <v>2410.0156963589652</v>
      </c>
      <c r="O147" s="1">
        <f t="shared" si="8"/>
        <v>115271.19492535491</v>
      </c>
      <c r="P147" s="1">
        <f t="shared" si="9"/>
        <v>135450.06378035495</v>
      </c>
      <c r="Q147" s="1">
        <f t="shared" si="10"/>
        <v>0</v>
      </c>
      <c r="R147" s="1">
        <f t="shared" si="11"/>
        <v>20</v>
      </c>
      <c r="S147" s="1">
        <f t="shared" si="12"/>
        <v>1</v>
      </c>
      <c r="Z147" s="11"/>
      <c r="AA147" s="10"/>
    </row>
    <row r="148" spans="1:27" ht="15.75" customHeight="1" x14ac:dyDescent="0.25">
      <c r="A148" s="24" t="s">
        <v>199</v>
      </c>
      <c r="B148" s="1">
        <v>63798</v>
      </c>
      <c r="C148" s="6">
        <f t="shared" si="0"/>
        <v>496.55977584059787</v>
      </c>
      <c r="D148" s="7">
        <v>0.10011016042780749</v>
      </c>
      <c r="E148" s="6">
        <f t="shared" si="1"/>
        <v>2538875.3746886682</v>
      </c>
      <c r="F148" s="8">
        <v>31686</v>
      </c>
      <c r="G148" s="8">
        <f t="shared" si="2"/>
        <v>49949</v>
      </c>
      <c r="H148" s="9">
        <v>45.008260729267498</v>
      </c>
      <c r="I148" s="1">
        <f t="shared" si="3"/>
        <v>385.57186179382137</v>
      </c>
      <c r="J148" s="1">
        <f t="shared" si="14"/>
        <v>43237.422684332909</v>
      </c>
      <c r="K148" s="1">
        <f t="shared" si="5"/>
        <v>9520.7826550825048</v>
      </c>
      <c r="L148" s="1">
        <f t="shared" si="6"/>
        <v>28562.347965247514</v>
      </c>
      <c r="M148" s="10">
        <f t="shared" si="13"/>
        <v>0.10311016042780749</v>
      </c>
      <c r="N148" s="1">
        <f t="shared" si="7"/>
        <v>2083.1144867135481</v>
      </c>
      <c r="O148" s="1">
        <f t="shared" si="8"/>
        <v>116531.4218834355</v>
      </c>
      <c r="P148" s="1">
        <f t="shared" si="9"/>
        <v>126943.76873443341</v>
      </c>
      <c r="Q148" s="1">
        <f t="shared" si="10"/>
        <v>0</v>
      </c>
      <c r="R148" s="1">
        <f t="shared" si="11"/>
        <v>20</v>
      </c>
      <c r="S148" s="1">
        <f t="shared" si="12"/>
        <v>1</v>
      </c>
      <c r="Z148" s="11"/>
      <c r="AA148" s="10"/>
    </row>
    <row r="149" spans="1:27" ht="15.75" customHeight="1" x14ac:dyDescent="0.25">
      <c r="A149" s="24" t="s">
        <v>200</v>
      </c>
      <c r="B149" s="1">
        <v>59386</v>
      </c>
      <c r="C149" s="6">
        <f t="shared" si="0"/>
        <v>462.21980074719812</v>
      </c>
      <c r="D149" s="7">
        <v>0.10011016042780749</v>
      </c>
      <c r="E149" s="6">
        <f t="shared" si="1"/>
        <v>2363297.4858343718</v>
      </c>
      <c r="F149" s="8">
        <v>31594</v>
      </c>
      <c r="G149" s="8">
        <f t="shared" si="2"/>
        <v>49857</v>
      </c>
      <c r="H149" s="9">
        <v>44.433171990964802</v>
      </c>
      <c r="I149" s="1">
        <f t="shared" si="3"/>
        <v>380.64525427930704</v>
      </c>
      <c r="J149" s="1">
        <f t="shared" si="14"/>
        <v>41430.307577033484</v>
      </c>
      <c r="K149" s="1">
        <f t="shared" si="5"/>
        <v>8862.3655718788941</v>
      </c>
      <c r="L149" s="1">
        <f t="shared" si="6"/>
        <v>26587.096715636682</v>
      </c>
      <c r="M149" s="10">
        <f t="shared" si="13"/>
        <v>0.10311016042780749</v>
      </c>
      <c r="N149" s="1">
        <f t="shared" si="7"/>
        <v>1939.0550943285175</v>
      </c>
      <c r="O149" s="1">
        <f t="shared" si="8"/>
        <v>116989.44510386662</v>
      </c>
      <c r="P149" s="1">
        <f t="shared" si="9"/>
        <v>118164.87429171859</v>
      </c>
      <c r="Q149" s="1">
        <f t="shared" si="10"/>
        <v>0</v>
      </c>
      <c r="R149" s="1">
        <f t="shared" si="11"/>
        <v>20</v>
      </c>
      <c r="S149" s="1">
        <f t="shared" si="12"/>
        <v>1</v>
      </c>
      <c r="Z149" s="11"/>
      <c r="AA149" s="10"/>
    </row>
    <row r="150" spans="1:27" ht="15.75" customHeight="1" x14ac:dyDescent="0.25">
      <c r="A150" s="24" t="s">
        <v>201</v>
      </c>
      <c r="B150" s="1">
        <v>56657</v>
      </c>
      <c r="C150" s="6">
        <f t="shared" si="0"/>
        <v>440.9791407222915</v>
      </c>
      <c r="D150" s="7">
        <v>0.12112558139534885</v>
      </c>
      <c r="E150" s="6">
        <f t="shared" si="1"/>
        <v>2254695.477973226</v>
      </c>
      <c r="F150" s="8">
        <v>31503</v>
      </c>
      <c r="G150" s="8">
        <f t="shared" si="2"/>
        <v>49766</v>
      </c>
      <c r="H150" s="9">
        <v>44.387770248467199</v>
      </c>
      <c r="I150" s="1">
        <f t="shared" si="3"/>
        <v>380.25631158079256</v>
      </c>
      <c r="J150" s="1">
        <f t="shared" si="14"/>
        <v>40435.791631879518</v>
      </c>
      <c r="K150" s="1">
        <f t="shared" si="5"/>
        <v>8455.1080423995973</v>
      </c>
      <c r="L150" s="1">
        <f t="shared" si="6"/>
        <v>25365.32412719879</v>
      </c>
      <c r="M150" s="10">
        <f t="shared" si="13"/>
        <v>0.12412558139534885</v>
      </c>
      <c r="N150" s="1">
        <f t="shared" si="7"/>
        <v>2226.9856584972299</v>
      </c>
      <c r="O150" s="1">
        <f t="shared" si="8"/>
        <v>116646.84189443153</v>
      </c>
      <c r="P150" s="1">
        <f t="shared" si="9"/>
        <v>112734.77389866131</v>
      </c>
      <c r="Q150" s="1">
        <f t="shared" si="10"/>
        <v>1</v>
      </c>
      <c r="R150" s="1">
        <f t="shared" si="11"/>
        <v>20</v>
      </c>
      <c r="S150" s="1">
        <f t="shared" si="12"/>
        <v>1</v>
      </c>
      <c r="Z150" s="11"/>
      <c r="AA150" s="10"/>
    </row>
    <row r="151" spans="1:27" ht="15.75" customHeight="1" x14ac:dyDescent="0.25">
      <c r="A151" s="23" t="s">
        <v>202</v>
      </c>
      <c r="B151" s="1">
        <v>54428</v>
      </c>
      <c r="C151" s="6">
        <f t="shared" si="0"/>
        <v>423.63013698630147</v>
      </c>
      <c r="D151" s="7">
        <v>0.11419893617021276</v>
      </c>
      <c r="E151" s="6">
        <f t="shared" si="1"/>
        <v>2165991.2363013704</v>
      </c>
      <c r="F151" s="8">
        <v>31413</v>
      </c>
      <c r="G151" s="8">
        <f t="shared" si="2"/>
        <v>49675</v>
      </c>
      <c r="H151" s="9">
        <v>43.812681510164602</v>
      </c>
      <c r="I151" s="1">
        <f t="shared" si="3"/>
        <v>375.32970406627908</v>
      </c>
      <c r="J151" s="1">
        <f t="shared" si="14"/>
        <v>39371.208613826697</v>
      </c>
      <c r="K151" s="1">
        <f t="shared" si="5"/>
        <v>8122.467136130138</v>
      </c>
      <c r="L151" s="1">
        <f t="shared" si="6"/>
        <v>24367.401408390415</v>
      </c>
      <c r="M151" s="10">
        <f t="shared" si="13"/>
        <v>0.11719893617021276</v>
      </c>
      <c r="N151" s="1">
        <f t="shared" si="7"/>
        <v>2019.9882305487477</v>
      </c>
      <c r="O151" s="1">
        <f t="shared" si="8"/>
        <v>115728.90146090864</v>
      </c>
      <c r="P151" s="1">
        <f t="shared" si="9"/>
        <v>108299.56181506853</v>
      </c>
      <c r="Q151" s="1">
        <f t="shared" si="10"/>
        <v>1</v>
      </c>
      <c r="R151" s="1">
        <f t="shared" si="11"/>
        <v>19</v>
      </c>
      <c r="S151" s="1">
        <f t="shared" si="12"/>
        <v>1</v>
      </c>
      <c r="Z151" s="11"/>
      <c r="AA151" s="10"/>
    </row>
    <row r="152" spans="1:27" ht="15.75" customHeight="1" x14ac:dyDescent="0.25">
      <c r="A152" s="24" t="s">
        <v>203</v>
      </c>
      <c r="B152" s="1">
        <v>52301</v>
      </c>
      <c r="C152" s="6">
        <f t="shared" si="0"/>
        <v>407.07503113325038</v>
      </c>
      <c r="D152" s="7">
        <v>0.11419893617021276</v>
      </c>
      <c r="E152" s="6">
        <f t="shared" si="1"/>
        <v>2081346.1389321298</v>
      </c>
      <c r="F152" s="8">
        <v>31321</v>
      </c>
      <c r="G152" s="8">
        <f t="shared" si="2"/>
        <v>49583</v>
      </c>
      <c r="H152" s="9">
        <v>43.510003226847402</v>
      </c>
      <c r="I152" s="1">
        <f t="shared" si="3"/>
        <v>372.73675274285057</v>
      </c>
      <c r="J152" s="1">
        <f t="shared" si="14"/>
        <v>38455.488069416584</v>
      </c>
      <c r="K152" s="1">
        <f t="shared" si="5"/>
        <v>7805.0480209954867</v>
      </c>
      <c r="L152" s="1">
        <f t="shared" si="6"/>
        <v>23415.144062986459</v>
      </c>
      <c r="M152" s="10">
        <f t="shared" si="13"/>
        <v>0.11719893617021276</v>
      </c>
      <c r="N152" s="1">
        <f t="shared" si="7"/>
        <v>1941.048806605608</v>
      </c>
      <c r="O152" s="1">
        <f t="shared" si="8"/>
        <v>114505.01727031171</v>
      </c>
      <c r="P152" s="1">
        <f t="shared" si="9"/>
        <v>104067.30694660649</v>
      </c>
      <c r="Q152" s="1">
        <f t="shared" si="10"/>
        <v>1</v>
      </c>
      <c r="R152" s="1">
        <f t="shared" si="11"/>
        <v>18</v>
      </c>
      <c r="S152" s="1">
        <f t="shared" si="12"/>
        <v>1</v>
      </c>
      <c r="Z152" s="11"/>
      <c r="AA152" s="10"/>
    </row>
    <row r="153" spans="1:27" ht="15.75" customHeight="1" x14ac:dyDescent="0.25">
      <c r="A153" s="24" t="s">
        <v>204</v>
      </c>
      <c r="B153" s="1">
        <v>50565</v>
      </c>
      <c r="C153" s="6">
        <f t="shared" si="0"/>
        <v>393.56320049813212</v>
      </c>
      <c r="D153" s="7">
        <v>0.12379999999999999</v>
      </c>
      <c r="E153" s="6">
        <f t="shared" si="1"/>
        <v>2012261.0947229147</v>
      </c>
      <c r="F153" s="8">
        <v>31229</v>
      </c>
      <c r="G153" s="8">
        <f t="shared" si="2"/>
        <v>49491</v>
      </c>
      <c r="H153" s="9">
        <v>43.298128428525303</v>
      </c>
      <c r="I153" s="1">
        <f t="shared" si="3"/>
        <v>370.92168681645012</v>
      </c>
      <c r="J153" s="1">
        <f t="shared" si="14"/>
        <v>37715.779022351271</v>
      </c>
      <c r="K153" s="1">
        <f t="shared" si="5"/>
        <v>7545.9791052109294</v>
      </c>
      <c r="L153" s="1">
        <f t="shared" si="6"/>
        <v>22637.937315632789</v>
      </c>
      <c r="M153" s="10">
        <f t="shared" si="13"/>
        <v>0.1268</v>
      </c>
      <c r="N153" s="1">
        <f t="shared" si="7"/>
        <v>2030.353984205055</v>
      </c>
      <c r="O153" s="1">
        <f t="shared" si="8"/>
        <v>112924.0940881774</v>
      </c>
      <c r="P153" s="1">
        <f t="shared" si="9"/>
        <v>100613.05473614574</v>
      </c>
      <c r="Q153" s="1">
        <f t="shared" si="10"/>
        <v>1</v>
      </c>
      <c r="R153" s="1">
        <f t="shared" si="11"/>
        <v>17</v>
      </c>
      <c r="S153" s="1">
        <f t="shared" si="12"/>
        <v>1</v>
      </c>
      <c r="Z153" s="11"/>
      <c r="AA153" s="10"/>
    </row>
    <row r="154" spans="1:27" ht="15.75" customHeight="1" x14ac:dyDescent="0.25">
      <c r="A154" s="24" t="s">
        <v>205</v>
      </c>
      <c r="B154" s="1">
        <v>48635</v>
      </c>
      <c r="C154" s="6">
        <f t="shared" si="0"/>
        <v>378.54140722291419</v>
      </c>
      <c r="D154" s="7">
        <v>0.13311578947368422</v>
      </c>
      <c r="E154" s="6">
        <f t="shared" si="1"/>
        <v>1935455.7172322548</v>
      </c>
      <c r="F154" s="8">
        <v>31138</v>
      </c>
      <c r="G154" s="8">
        <f t="shared" si="2"/>
        <v>49400</v>
      </c>
      <c r="H154" s="9">
        <v>43.192191029364302</v>
      </c>
      <c r="I154" s="1">
        <f t="shared" si="3"/>
        <v>370.01415385325026</v>
      </c>
      <c r="J154" s="1">
        <f t="shared" si="14"/>
        <v>36937.577157319538</v>
      </c>
      <c r="K154" s="1">
        <f t="shared" si="5"/>
        <v>7257.9589396209558</v>
      </c>
      <c r="L154" s="1">
        <f t="shared" si="6"/>
        <v>21773.876818862867</v>
      </c>
      <c r="M154" s="10">
        <f t="shared" si="13"/>
        <v>0.13611578947368422</v>
      </c>
      <c r="N154" s="1">
        <f t="shared" si="7"/>
        <v>2096.3308587469824</v>
      </c>
      <c r="O154" s="1">
        <f t="shared" si="8"/>
        <v>111046.77503928186</v>
      </c>
      <c r="P154" s="1">
        <f t="shared" si="9"/>
        <v>96772.785861612749</v>
      </c>
      <c r="Q154" s="1">
        <f t="shared" si="10"/>
        <v>1</v>
      </c>
      <c r="R154" s="1">
        <f t="shared" si="11"/>
        <v>16</v>
      </c>
      <c r="S154" s="1">
        <f t="shared" si="12"/>
        <v>1</v>
      </c>
      <c r="Z154" s="11"/>
      <c r="AA154" s="10"/>
    </row>
    <row r="155" spans="1:27" ht="15.75" customHeight="1" x14ac:dyDescent="0.25">
      <c r="A155" s="23" t="s">
        <v>206</v>
      </c>
      <c r="B155" s="1">
        <v>46131</v>
      </c>
      <c r="C155" s="6">
        <f t="shared" si="0"/>
        <v>359.05199252802009</v>
      </c>
      <c r="D155" s="7">
        <v>9.6142857142857141E-2</v>
      </c>
      <c r="E155" s="6">
        <f t="shared" si="1"/>
        <v>1835807.7041562898</v>
      </c>
      <c r="F155" s="8">
        <v>31048</v>
      </c>
      <c r="G155" s="8">
        <f t="shared" si="2"/>
        <v>49310</v>
      </c>
      <c r="H155" s="9">
        <v>41.754469183607597</v>
      </c>
      <c r="I155" s="1">
        <f t="shared" si="3"/>
        <v>357.69763506696466</v>
      </c>
      <c r="J155" s="1">
        <f t="shared" si="14"/>
        <v>35368.744036701042</v>
      </c>
      <c r="K155" s="1">
        <f t="shared" si="5"/>
        <v>6884.2788905860871</v>
      </c>
      <c r="L155" s="1">
        <f t="shared" si="6"/>
        <v>20652.836671758261</v>
      </c>
      <c r="M155" s="10">
        <f t="shared" si="13"/>
        <v>9.9142857142857144E-2</v>
      </c>
      <c r="N155" s="1">
        <f t="shared" si="7"/>
        <v>1448.3056832373375</v>
      </c>
      <c r="O155" s="1">
        <f t="shared" si="8"/>
        <v>108811.22670588702</v>
      </c>
      <c r="P155" s="1">
        <f t="shared" si="9"/>
        <v>91790.385207814499</v>
      </c>
      <c r="Q155" s="1">
        <f t="shared" si="10"/>
        <v>1</v>
      </c>
      <c r="R155" s="1">
        <f t="shared" si="11"/>
        <v>15</v>
      </c>
      <c r="S155" s="1">
        <f t="shared" si="12"/>
        <v>1</v>
      </c>
      <c r="Z155" s="11"/>
      <c r="AA155" s="10"/>
    </row>
    <row r="156" spans="1:27" ht="15.75" customHeight="1" x14ac:dyDescent="0.25">
      <c r="A156" s="28" t="s">
        <v>207</v>
      </c>
      <c r="B156" s="1">
        <v>44173</v>
      </c>
      <c r="C156" s="6">
        <f t="shared" si="0"/>
        <v>343.8122665006228</v>
      </c>
      <c r="D156" s="7">
        <v>0.10862704918032787</v>
      </c>
      <c r="E156" s="6">
        <f t="shared" si="1"/>
        <v>1757888.0517590293</v>
      </c>
      <c r="F156" s="8">
        <v>30956</v>
      </c>
      <c r="G156" s="8">
        <f t="shared" si="2"/>
        <v>49218</v>
      </c>
      <c r="H156" s="9">
        <v>41.2376026909647</v>
      </c>
      <c r="I156" s="1">
        <f t="shared" si="3"/>
        <v>353.26979953992833</v>
      </c>
      <c r="J156" s="1">
        <f t="shared" si="14"/>
        <v>34391.014659429944</v>
      </c>
      <c r="K156" s="1">
        <f t="shared" si="5"/>
        <v>6592.0801940963602</v>
      </c>
      <c r="L156" s="1">
        <f t="shared" si="6"/>
        <v>19776.24058228908</v>
      </c>
      <c r="M156" s="10">
        <f t="shared" si="13"/>
        <v>0.11162704918032787</v>
      </c>
      <c r="N156" s="1">
        <f t="shared" si="7"/>
        <v>1561.4552186595056</v>
      </c>
      <c r="O156" s="1">
        <f t="shared" si="8"/>
        <v>106474.3797537896</v>
      </c>
      <c r="P156" s="1">
        <f t="shared" si="9"/>
        <v>87894.402587951467</v>
      </c>
      <c r="Q156" s="1">
        <f t="shared" si="10"/>
        <v>1</v>
      </c>
      <c r="R156" s="1">
        <f t="shared" si="11"/>
        <v>14</v>
      </c>
      <c r="S156" s="1">
        <f t="shared" si="12"/>
        <v>1</v>
      </c>
      <c r="Z156" s="11"/>
      <c r="AA156" s="10"/>
    </row>
    <row r="157" spans="1:27" ht="15.75" customHeight="1" x14ac:dyDescent="0.25">
      <c r="A157" s="28" t="s">
        <v>208</v>
      </c>
      <c r="B157" s="1">
        <v>43253</v>
      </c>
      <c r="C157" s="6">
        <f t="shared" si="0"/>
        <v>336.65161892901631</v>
      </c>
      <c r="D157" s="7">
        <v>9.0378947368421059E-2</v>
      </c>
      <c r="E157" s="6">
        <f t="shared" si="1"/>
        <v>1721276.1619707355</v>
      </c>
      <c r="F157" s="8">
        <v>30864</v>
      </c>
      <c r="G157" s="8">
        <f t="shared" si="2"/>
        <v>49126</v>
      </c>
      <c r="H157" s="9">
        <v>40.7312432904803</v>
      </c>
      <c r="I157" s="1">
        <f t="shared" si="3"/>
        <v>348.93197502464739</v>
      </c>
      <c r="J157" s="1">
        <f t="shared" si="14"/>
        <v>33821.09670107405</v>
      </c>
      <c r="K157" s="1">
        <f t="shared" si="5"/>
        <v>6454.7856073902585</v>
      </c>
      <c r="L157" s="1">
        <f t="shared" si="6"/>
        <v>19364.356822170776</v>
      </c>
      <c r="M157" s="10">
        <f t="shared" si="13"/>
        <v>9.3378947368421061E-2</v>
      </c>
      <c r="N157" s="1">
        <f t="shared" si="7"/>
        <v>1279.0118448386606</v>
      </c>
      <c r="O157" s="1">
        <f t="shared" si="8"/>
        <v>103896.46080744921</v>
      </c>
      <c r="P157" s="1">
        <f t="shared" si="9"/>
        <v>86063.808098536785</v>
      </c>
      <c r="Q157" s="1">
        <f t="shared" si="10"/>
        <v>1</v>
      </c>
      <c r="R157" s="1">
        <f t="shared" si="11"/>
        <v>13</v>
      </c>
      <c r="S157" s="1">
        <f t="shared" si="12"/>
        <v>1</v>
      </c>
      <c r="Z157" s="11"/>
      <c r="AA157" s="10"/>
    </row>
    <row r="158" spans="1:27" ht="15.75" customHeight="1" x14ac:dyDescent="0.25">
      <c r="A158" s="28" t="s">
        <v>209</v>
      </c>
      <c r="B158" s="1">
        <v>41237</v>
      </c>
      <c r="C158" s="6">
        <f t="shared" si="0"/>
        <v>320.96046077210474</v>
      </c>
      <c r="D158" s="7">
        <v>8.5873437500000011E-2</v>
      </c>
      <c r="E158" s="6">
        <f t="shared" si="1"/>
        <v>1641048.3686955175</v>
      </c>
      <c r="F158" s="8">
        <v>30773</v>
      </c>
      <c r="G158" s="8">
        <f t="shared" si="2"/>
        <v>49035</v>
      </c>
      <c r="H158" s="9">
        <v>40.378326132566897</v>
      </c>
      <c r="I158" s="1">
        <f t="shared" si="3"/>
        <v>345.90864278672404</v>
      </c>
      <c r="J158" s="1">
        <f t="shared" si="14"/>
        <v>32873.862701480874</v>
      </c>
      <c r="K158" s="1">
        <f t="shared" si="5"/>
        <v>6153.9313826081898</v>
      </c>
      <c r="L158" s="1">
        <f t="shared" si="6"/>
        <v>18461.79414782457</v>
      </c>
      <c r="M158" s="10">
        <f t="shared" si="13"/>
        <v>8.8873437500000013E-2</v>
      </c>
      <c r="N158" s="1">
        <f t="shared" si="7"/>
        <v>1160.5750584801178</v>
      </c>
      <c r="O158" s="1">
        <f t="shared" si="8"/>
        <v>101277.10477392185</v>
      </c>
      <c r="P158" s="1">
        <f t="shared" si="9"/>
        <v>82052.418434775886</v>
      </c>
      <c r="Q158" s="1">
        <f t="shared" si="10"/>
        <v>1</v>
      </c>
      <c r="R158" s="1">
        <f t="shared" si="11"/>
        <v>12</v>
      </c>
      <c r="S158" s="1">
        <f t="shared" si="12"/>
        <v>1</v>
      </c>
      <c r="Z158" s="11"/>
      <c r="AA158" s="10"/>
    </row>
    <row r="159" spans="1:27" ht="15.75" customHeight="1" x14ac:dyDescent="0.25">
      <c r="A159" s="28" t="s">
        <v>210</v>
      </c>
      <c r="B159" s="1">
        <v>38889</v>
      </c>
      <c r="C159" s="6">
        <f t="shared" si="0"/>
        <v>302.68524283935255</v>
      </c>
      <c r="D159" s="7">
        <v>9.06E-2</v>
      </c>
      <c r="E159" s="6">
        <f t="shared" si="1"/>
        <v>1547608.4586706108</v>
      </c>
      <c r="F159" s="8">
        <v>30682</v>
      </c>
      <c r="G159" s="8">
        <f t="shared" si="2"/>
        <v>48945</v>
      </c>
      <c r="H159" s="9">
        <v>39.576590415133303</v>
      </c>
      <c r="I159" s="1">
        <f t="shared" si="3"/>
        <v>339.04042063752951</v>
      </c>
      <c r="J159" s="1">
        <f t="shared" si="14"/>
        <v>31599.839380848302</v>
      </c>
      <c r="K159" s="1">
        <f t="shared" si="5"/>
        <v>5803.5317200147902</v>
      </c>
      <c r="L159" s="1">
        <f t="shared" si="6"/>
        <v>17410.59516004437</v>
      </c>
      <c r="M159" s="10">
        <f t="shared" si="13"/>
        <v>9.3600000000000003E-2</v>
      </c>
      <c r="N159" s="1">
        <f t="shared" si="7"/>
        <v>1152.6880845085536</v>
      </c>
      <c r="O159" s="1">
        <f t="shared" si="8"/>
        <v>98370.88816578385</v>
      </c>
      <c r="P159" s="1">
        <f t="shared" si="9"/>
        <v>77380.422933530543</v>
      </c>
      <c r="Q159" s="1">
        <f t="shared" si="10"/>
        <v>1</v>
      </c>
      <c r="R159" s="1">
        <f t="shared" si="11"/>
        <v>11</v>
      </c>
      <c r="S159" s="1">
        <f t="shared" si="12"/>
        <v>1</v>
      </c>
      <c r="Z159" s="11"/>
      <c r="AA159" s="10"/>
    </row>
    <row r="160" spans="1:27" ht="15.75" customHeight="1" x14ac:dyDescent="0.25">
      <c r="A160" s="28" t="s">
        <v>211</v>
      </c>
      <c r="B160" s="1">
        <v>38133</v>
      </c>
      <c r="C160" s="6">
        <f t="shared" si="0"/>
        <v>296.80105853051072</v>
      </c>
      <c r="D160" s="7">
        <v>9.5578181818181826E-2</v>
      </c>
      <c r="E160" s="6">
        <f t="shared" si="1"/>
        <v>1517523.0361924041</v>
      </c>
      <c r="F160" s="8">
        <v>30590</v>
      </c>
      <c r="G160" s="8">
        <f t="shared" si="2"/>
        <v>48853</v>
      </c>
      <c r="H160" s="9">
        <v>39.334918883083901</v>
      </c>
      <c r="I160" s="1">
        <f t="shared" si="3"/>
        <v>336.97009530069062</v>
      </c>
      <c r="J160" s="1">
        <f t="shared" si="14"/>
        <v>31194.786126719635</v>
      </c>
      <c r="K160" s="1">
        <f t="shared" si="5"/>
        <v>5690.7113857215154</v>
      </c>
      <c r="L160" s="1">
        <f t="shared" si="6"/>
        <v>17072.134157164546</v>
      </c>
      <c r="M160" s="10">
        <f t="shared" si="13"/>
        <v>9.8578181818181829E-2</v>
      </c>
      <c r="N160" s="1">
        <f t="shared" si="7"/>
        <v>1190.3863975470138</v>
      </c>
      <c r="O160" s="1">
        <f t="shared" si="8"/>
        <v>95241.58772827682</v>
      </c>
      <c r="P160" s="1">
        <f t="shared" si="9"/>
        <v>75876.151809620205</v>
      </c>
      <c r="Q160" s="1">
        <f t="shared" si="10"/>
        <v>1</v>
      </c>
      <c r="R160" s="1">
        <f t="shared" si="11"/>
        <v>10</v>
      </c>
      <c r="S160" s="1">
        <f t="shared" si="12"/>
        <v>1</v>
      </c>
      <c r="Z160" s="11"/>
      <c r="AA160" s="10"/>
    </row>
    <row r="161" spans="1:27" ht="15.75" customHeight="1" x14ac:dyDescent="0.25">
      <c r="A161" s="28" t="s">
        <v>212</v>
      </c>
      <c r="B161" s="1">
        <v>36410</v>
      </c>
      <c r="C161" s="6">
        <f t="shared" si="0"/>
        <v>283.39041095890423</v>
      </c>
      <c r="D161" s="7">
        <v>9.8227118644067787E-2</v>
      </c>
      <c r="E161" s="6">
        <f t="shared" si="1"/>
        <v>1448955.3339041101</v>
      </c>
      <c r="F161" s="8">
        <v>30498</v>
      </c>
      <c r="G161" s="8">
        <f t="shared" si="2"/>
        <v>48761</v>
      </c>
      <c r="H161" s="9">
        <v>38.8976084917565</v>
      </c>
      <c r="I161" s="1">
        <f t="shared" si="3"/>
        <v>333.22379231022103</v>
      </c>
      <c r="J161" s="1">
        <f t="shared" si="14"/>
        <v>30307.315674304245</v>
      </c>
      <c r="K161" s="1">
        <f t="shared" si="5"/>
        <v>5433.5825021404125</v>
      </c>
      <c r="L161" s="1">
        <f t="shared" si="6"/>
        <v>16300.747506421238</v>
      </c>
      <c r="M161" s="10">
        <f t="shared" si="13"/>
        <v>0.10122711864406779</v>
      </c>
      <c r="N161" s="1">
        <f t="shared" si="7"/>
        <v>1167.1393696758466</v>
      </c>
      <c r="O161" s="1">
        <f t="shared" si="8"/>
        <v>92037.110903073597</v>
      </c>
      <c r="P161" s="1">
        <f t="shared" si="9"/>
        <v>72447.766695205515</v>
      </c>
      <c r="Q161" s="1">
        <f t="shared" si="10"/>
        <v>1</v>
      </c>
      <c r="R161" s="1">
        <f t="shared" si="11"/>
        <v>9</v>
      </c>
      <c r="S161" s="1">
        <f t="shared" si="12"/>
        <v>1</v>
      </c>
      <c r="Z161" s="11"/>
      <c r="AA161" s="10"/>
    </row>
    <row r="162" spans="1:27" ht="15.75" customHeight="1" x14ac:dyDescent="0.25">
      <c r="A162" s="28" t="s">
        <v>213</v>
      </c>
      <c r="B162" s="1">
        <v>34426</v>
      </c>
      <c r="C162" s="6">
        <f t="shared" si="0"/>
        <v>267.94831880448328</v>
      </c>
      <c r="D162" s="7">
        <v>0.1085978021978022</v>
      </c>
      <c r="E162" s="6">
        <f t="shared" si="1"/>
        <v>1370000.9976650069</v>
      </c>
      <c r="F162" s="8">
        <v>30407</v>
      </c>
      <c r="G162" s="8">
        <f t="shared" si="2"/>
        <v>48670</v>
      </c>
      <c r="H162" s="9">
        <v>38.402757259464899</v>
      </c>
      <c r="I162" s="1">
        <f t="shared" si="3"/>
        <v>328.98455471574164</v>
      </c>
      <c r="J162" s="1">
        <f t="shared" si="14"/>
        <v>29275.123334581021</v>
      </c>
      <c r="K162" s="1">
        <f t="shared" si="5"/>
        <v>5137.5037412437759</v>
      </c>
      <c r="L162" s="1">
        <f t="shared" si="6"/>
        <v>15412.511223731328</v>
      </c>
      <c r="M162" s="10">
        <f t="shared" si="13"/>
        <v>0.1115978021978022</v>
      </c>
      <c r="N162" s="1">
        <f t="shared" si="7"/>
        <v>1216.5932505377752</v>
      </c>
      <c r="O162" s="1">
        <f t="shared" si="8"/>
        <v>88638.103221197074</v>
      </c>
      <c r="P162" s="1">
        <f t="shared" si="9"/>
        <v>68500.049883250351</v>
      </c>
      <c r="Q162" s="1">
        <f t="shared" si="10"/>
        <v>1</v>
      </c>
      <c r="R162" s="1">
        <f t="shared" si="11"/>
        <v>8</v>
      </c>
      <c r="S162" s="1">
        <f t="shared" si="12"/>
        <v>1</v>
      </c>
      <c r="Z162" s="11"/>
      <c r="AA162" s="10"/>
    </row>
    <row r="163" spans="1:27" ht="15.75" customHeight="1" x14ac:dyDescent="0.25">
      <c r="A163" s="28" t="s">
        <v>214</v>
      </c>
      <c r="B163" s="1">
        <v>33325</v>
      </c>
      <c r="C163" s="6">
        <f t="shared" si="0"/>
        <v>259.378891656289</v>
      </c>
      <c r="D163" s="7">
        <v>9.6858695652173921E-2</v>
      </c>
      <c r="E163" s="6">
        <f t="shared" si="1"/>
        <v>1326186.1165161896</v>
      </c>
      <c r="F163" s="8">
        <v>30317</v>
      </c>
      <c r="G163" s="8">
        <f t="shared" si="2"/>
        <v>48580</v>
      </c>
      <c r="H163" s="9">
        <v>37.635546046609797</v>
      </c>
      <c r="I163" s="1">
        <f t="shared" si="3"/>
        <v>322.41209332895278</v>
      </c>
      <c r="J163" s="1">
        <f t="shared" si="14"/>
        <v>28513.477852449319</v>
      </c>
      <c r="K163" s="1">
        <f t="shared" si="5"/>
        <v>4973.1979369357114</v>
      </c>
      <c r="L163" s="1">
        <f t="shared" si="6"/>
        <v>14919.593810807133</v>
      </c>
      <c r="M163" s="10">
        <f t="shared" si="13"/>
        <v>9.9858695652173923E-2</v>
      </c>
      <c r="N163" s="1">
        <f t="shared" si="7"/>
        <v>1053.8084980882791</v>
      </c>
      <c r="O163" s="1">
        <f t="shared" si="8"/>
        <v>85021.784277450744</v>
      </c>
      <c r="P163" s="1">
        <f t="shared" si="9"/>
        <v>66309.305825809482</v>
      </c>
      <c r="Q163" s="1">
        <f t="shared" si="10"/>
        <v>1</v>
      </c>
      <c r="R163" s="1">
        <f t="shared" si="11"/>
        <v>7</v>
      </c>
      <c r="S163" s="1">
        <f t="shared" si="12"/>
        <v>1</v>
      </c>
      <c r="Z163" s="11"/>
      <c r="AA163" s="10"/>
    </row>
    <row r="164" spans="1:27" ht="15.75" customHeight="1" x14ac:dyDescent="0.25">
      <c r="A164" s="28" t="s">
        <v>215</v>
      </c>
      <c r="B164" s="1">
        <v>32448</v>
      </c>
      <c r="C164" s="6">
        <f t="shared" si="0"/>
        <v>252.5529265255293</v>
      </c>
      <c r="D164" s="7">
        <v>0.11114736842105262</v>
      </c>
      <c r="E164" s="6">
        <f t="shared" si="1"/>
        <v>1291285.4346201746</v>
      </c>
      <c r="F164" s="8">
        <v>30225</v>
      </c>
      <c r="G164" s="8">
        <f t="shared" si="2"/>
        <v>48488</v>
      </c>
      <c r="H164" s="9">
        <v>37.443743243396</v>
      </c>
      <c r="I164" s="1">
        <f t="shared" si="3"/>
        <v>320.76897798225536</v>
      </c>
      <c r="J164" s="1">
        <f t="shared" si="14"/>
        <v>28062.3712229423</v>
      </c>
      <c r="K164" s="1">
        <f t="shared" si="5"/>
        <v>4842.3203798256545</v>
      </c>
      <c r="L164" s="1">
        <f t="shared" si="6"/>
        <v>14526.961139476964</v>
      </c>
      <c r="M164" s="10">
        <f t="shared" si="13"/>
        <v>0.11414736842105262</v>
      </c>
      <c r="N164" s="1">
        <f t="shared" si="7"/>
        <v>1172.8887414168705</v>
      </c>
      <c r="O164" s="1">
        <f t="shared" si="8"/>
        <v>81407.617484165821</v>
      </c>
      <c r="P164" s="1">
        <f t="shared" si="9"/>
        <v>64564.271731008732</v>
      </c>
      <c r="Q164" s="1">
        <f t="shared" si="10"/>
        <v>1</v>
      </c>
      <c r="R164" s="1">
        <f t="shared" si="11"/>
        <v>6</v>
      </c>
      <c r="S164" s="1">
        <f t="shared" si="12"/>
        <v>1</v>
      </c>
      <c r="Z164" s="11"/>
      <c r="AA164" s="10"/>
    </row>
    <row r="165" spans="1:27" ht="15.75" customHeight="1" x14ac:dyDescent="0.25">
      <c r="A165" s="28" t="s">
        <v>216</v>
      </c>
      <c r="B165" s="1">
        <v>32051</v>
      </c>
      <c r="C165" s="6">
        <f t="shared" si="0"/>
        <v>249.46295143212956</v>
      </c>
      <c r="D165" s="7">
        <v>0.12943928571428573</v>
      </c>
      <c r="E165" s="6">
        <f t="shared" si="1"/>
        <v>1275486.6082658782</v>
      </c>
      <c r="F165" s="8">
        <v>30133</v>
      </c>
      <c r="G165" s="8">
        <f t="shared" si="2"/>
        <v>48396</v>
      </c>
      <c r="H165" s="9">
        <v>37.1713832628324</v>
      </c>
      <c r="I165" s="1">
        <f t="shared" si="3"/>
        <v>318.43575418994499</v>
      </c>
      <c r="J165" s="1">
        <f t="shared" si="14"/>
        <v>27788.46517931376</v>
      </c>
      <c r="K165" s="1">
        <f t="shared" si="5"/>
        <v>4783.0747809970426</v>
      </c>
      <c r="L165" s="1">
        <f t="shared" si="6"/>
        <v>14349.224342991129</v>
      </c>
      <c r="M165" s="10">
        <f t="shared" si="13"/>
        <v>0.13243928571428573</v>
      </c>
      <c r="N165" s="1">
        <f t="shared" si="7"/>
        <v>1344.1905598207197</v>
      </c>
      <c r="O165" s="1">
        <f t="shared" si="8"/>
        <v>77694.037328730294</v>
      </c>
      <c r="P165" s="1">
        <f t="shared" si="9"/>
        <v>63774.330413293908</v>
      </c>
      <c r="Q165" s="1">
        <f t="shared" si="10"/>
        <v>1</v>
      </c>
      <c r="R165" s="1">
        <f t="shared" si="11"/>
        <v>5</v>
      </c>
      <c r="S165" s="1">
        <f t="shared" si="12"/>
        <v>1</v>
      </c>
      <c r="Z165" s="11"/>
      <c r="AA165" s="10"/>
    </row>
    <row r="166" spans="1:27" ht="15.75" customHeight="1" x14ac:dyDescent="0.25">
      <c r="A166" s="28" t="s">
        <v>217</v>
      </c>
      <c r="B166" s="1">
        <v>31404</v>
      </c>
      <c r="C166" s="6">
        <f t="shared" si="0"/>
        <v>244.42714819427152</v>
      </c>
      <c r="D166" s="7">
        <v>0.13589090909090912</v>
      </c>
      <c r="E166" s="6">
        <f t="shared" si="1"/>
        <v>1249738.8988169366</v>
      </c>
      <c r="F166" s="8">
        <v>30042</v>
      </c>
      <c r="G166" s="8">
        <f t="shared" si="2"/>
        <v>48305</v>
      </c>
      <c r="H166" s="9">
        <v>37.002596796004198</v>
      </c>
      <c r="I166" s="1">
        <f t="shared" si="3"/>
        <v>316.98981268485079</v>
      </c>
      <c r="J166" s="1">
        <f t="shared" si="14"/>
        <v>27443.175863962693</v>
      </c>
      <c r="K166" s="1">
        <f t="shared" si="5"/>
        <v>4686.5208705635123</v>
      </c>
      <c r="L166" s="1">
        <f t="shared" si="6"/>
        <v>14059.562611690537</v>
      </c>
      <c r="M166" s="10">
        <f t="shared" si="13"/>
        <v>0.13889090909090912</v>
      </c>
      <c r="N166" s="1">
        <f t="shared" si="7"/>
        <v>1381.2146505494302</v>
      </c>
      <c r="O166" s="1">
        <f t="shared" si="8"/>
        <v>73980.759305167478</v>
      </c>
      <c r="P166" s="1">
        <f t="shared" si="9"/>
        <v>62486.944940846835</v>
      </c>
      <c r="Q166" s="1">
        <f t="shared" si="10"/>
        <v>1</v>
      </c>
      <c r="R166" s="1">
        <f t="shared" si="11"/>
        <v>4</v>
      </c>
      <c r="S166" s="1">
        <f t="shared" si="12"/>
        <v>1</v>
      </c>
      <c r="Z166" s="11"/>
      <c r="AA166" s="10"/>
    </row>
    <row r="167" spans="1:27" ht="15.75" customHeight="1" x14ac:dyDescent="0.25">
      <c r="A167" s="28" t="s">
        <v>218</v>
      </c>
      <c r="B167" s="1">
        <v>30559</v>
      </c>
      <c r="C167" s="6">
        <f t="shared" si="0"/>
        <v>237.85024906600253</v>
      </c>
      <c r="D167" s="7">
        <v>0.14628265306122451</v>
      </c>
      <c r="E167" s="6">
        <f t="shared" si="1"/>
        <v>1216111.6739570363</v>
      </c>
      <c r="F167" s="8">
        <v>29952</v>
      </c>
      <c r="G167" s="8">
        <f t="shared" si="2"/>
        <v>48214</v>
      </c>
      <c r="H167" s="9">
        <v>35.855616032785797</v>
      </c>
      <c r="I167" s="1">
        <f t="shared" si="3"/>
        <v>307.16398291160118</v>
      </c>
      <c r="J167" s="1">
        <f t="shared" si="14"/>
        <v>26648.513179428192</v>
      </c>
      <c r="K167" s="1">
        <f t="shared" si="5"/>
        <v>4560.4187773388867</v>
      </c>
      <c r="L167" s="1">
        <f t="shared" si="6"/>
        <v>13681.256332016659</v>
      </c>
      <c r="M167" s="10">
        <f t="shared" si="13"/>
        <v>0.14928265306122451</v>
      </c>
      <c r="N167" s="1">
        <f t="shared" si="7"/>
        <v>1444.6107586334449</v>
      </c>
      <c r="O167" s="1">
        <f t="shared" si="8"/>
        <v>70202.257605282255</v>
      </c>
      <c r="P167" s="1">
        <f t="shared" si="9"/>
        <v>60805.58369785182</v>
      </c>
      <c r="Q167" s="1">
        <f t="shared" si="10"/>
        <v>1</v>
      </c>
      <c r="R167" s="1">
        <f t="shared" si="11"/>
        <v>3</v>
      </c>
      <c r="S167" s="1">
        <f t="shared" si="12"/>
        <v>1</v>
      </c>
      <c r="Z167" s="11"/>
      <c r="AA167" s="10"/>
    </row>
    <row r="168" spans="1:27" ht="15.75" customHeight="1" x14ac:dyDescent="0.25">
      <c r="A168" s="28" t="s">
        <v>219</v>
      </c>
      <c r="B168" s="1">
        <v>31456</v>
      </c>
      <c r="C168" s="6">
        <f t="shared" si="0"/>
        <v>244.83188044831886</v>
      </c>
      <c r="D168" s="7">
        <v>0.13426875000000002</v>
      </c>
      <c r="E168" s="6">
        <f t="shared" si="1"/>
        <v>1251808.266500623</v>
      </c>
      <c r="F168" s="8">
        <v>29860</v>
      </c>
      <c r="G168" s="8">
        <f t="shared" si="2"/>
        <v>48122</v>
      </c>
      <c r="H168" s="9">
        <v>35.268699454951602</v>
      </c>
      <c r="I168" s="1">
        <f t="shared" si="3"/>
        <v>302.13604995070727</v>
      </c>
      <c r="J168" s="1">
        <f t="shared" si="14"/>
        <v>26807.680223160642</v>
      </c>
      <c r="K168" s="1">
        <f t="shared" si="5"/>
        <v>4694.2809993773362</v>
      </c>
      <c r="L168" s="1">
        <f t="shared" si="6"/>
        <v>14082.842998132008</v>
      </c>
      <c r="M168" s="10">
        <f t="shared" si="13"/>
        <v>0.13726875000000002</v>
      </c>
      <c r="N168" s="1">
        <f t="shared" si="7"/>
        <v>1367.3433083275829</v>
      </c>
      <c r="O168" s="1">
        <f t="shared" si="8"/>
        <v>66561.980370670586</v>
      </c>
      <c r="P168" s="1">
        <f t="shared" si="9"/>
        <v>62590.41332503115</v>
      </c>
      <c r="Q168" s="1">
        <f t="shared" si="10"/>
        <v>1</v>
      </c>
      <c r="R168" s="1">
        <f t="shared" si="11"/>
        <v>2</v>
      </c>
      <c r="S168" s="1">
        <f t="shared" si="12"/>
        <v>1</v>
      </c>
      <c r="Z168" s="11"/>
      <c r="AA168" s="10"/>
    </row>
    <row r="169" spans="1:27" ht="15.75" customHeight="1" x14ac:dyDescent="0.25">
      <c r="A169" s="28" t="s">
        <v>220</v>
      </c>
      <c r="B169" s="1">
        <v>31143</v>
      </c>
      <c r="C169" s="6">
        <f t="shared" si="0"/>
        <v>242.39570361145707</v>
      </c>
      <c r="D169" s="7">
        <v>0.12</v>
      </c>
      <c r="E169" s="6">
        <f t="shared" si="1"/>
        <v>1239352.2648661272</v>
      </c>
      <c r="F169" s="8">
        <v>29768</v>
      </c>
      <c r="G169" s="8">
        <f t="shared" si="2"/>
        <v>48030</v>
      </c>
      <c r="H169" s="9">
        <v>34.424767120810898</v>
      </c>
      <c r="I169" s="1">
        <f t="shared" si="3"/>
        <v>294.90634242523873</v>
      </c>
      <c r="J169" s="1">
        <f t="shared" si="14"/>
        <v>26352.238711858437</v>
      </c>
      <c r="K169" s="1">
        <f t="shared" si="5"/>
        <v>4647.5709932479767</v>
      </c>
      <c r="L169" s="1">
        <f t="shared" si="6"/>
        <v>13942.71297974393</v>
      </c>
      <c r="M169" s="10">
        <f t="shared" si="13"/>
        <v>0.123</v>
      </c>
      <c r="N169" s="1">
        <f t="shared" si="7"/>
        <v>1213.0204832942002</v>
      </c>
      <c r="O169" s="1">
        <f t="shared" si="8"/>
        <v>63219.831223748173</v>
      </c>
      <c r="P169" s="1">
        <f t="shared" si="9"/>
        <v>61967.613243306361</v>
      </c>
      <c r="Q169" s="1">
        <f t="shared" si="10"/>
        <v>1</v>
      </c>
      <c r="R169" s="1">
        <f t="shared" si="11"/>
        <v>1</v>
      </c>
      <c r="S169" s="1">
        <f t="shared" si="12"/>
        <v>1</v>
      </c>
      <c r="Z169" s="11"/>
      <c r="AA169" s="10"/>
    </row>
    <row r="170" spans="1:27" ht="15.75" customHeight="1" x14ac:dyDescent="0.25">
      <c r="A170" s="28" t="s">
        <v>221</v>
      </c>
      <c r="B170" s="1">
        <v>30778</v>
      </c>
      <c r="C170" s="6">
        <f t="shared" si="0"/>
        <v>239.55479452054797</v>
      </c>
      <c r="D170" s="7">
        <v>0.12</v>
      </c>
      <c r="E170" s="6">
        <f t="shared" si="1"/>
        <v>1224826.8955479453</v>
      </c>
      <c r="F170" s="8">
        <v>29677</v>
      </c>
      <c r="G170" s="8">
        <f t="shared" si="2"/>
        <v>47939</v>
      </c>
      <c r="H170" s="9">
        <v>33.837850542976703</v>
      </c>
      <c r="I170" s="1">
        <f t="shared" si="3"/>
        <v>289.87840946434483</v>
      </c>
      <c r="J170" s="1">
        <f t="shared" si="14"/>
        <v>25972.98005741835</v>
      </c>
      <c r="K170" s="1">
        <f t="shared" si="5"/>
        <v>4593.1008583047942</v>
      </c>
      <c r="L170" s="1">
        <f t="shared" si="6"/>
        <v>13779.302574914384</v>
      </c>
      <c r="M170" s="10">
        <f t="shared" si="13"/>
        <v>0.123</v>
      </c>
      <c r="N170" s="1">
        <f t="shared" si="7"/>
        <v>1198.8037258719098</v>
      </c>
      <c r="O170" s="1">
        <f t="shared" si="8"/>
        <v>60033.589040784122</v>
      </c>
      <c r="P170" s="1">
        <f t="shared" si="9"/>
        <v>61241.344777397266</v>
      </c>
      <c r="Q170" s="1">
        <f t="shared" si="10"/>
        <v>0</v>
      </c>
      <c r="R170" s="1">
        <f t="shared" si="11"/>
        <v>0</v>
      </c>
      <c r="S170" s="1">
        <f t="shared" si="12"/>
        <v>0</v>
      </c>
      <c r="Z170" s="11"/>
      <c r="AA170" s="10"/>
    </row>
    <row r="171" spans="1:27" ht="15.75" customHeight="1" x14ac:dyDescent="0.25">
      <c r="A171" s="28" t="s">
        <v>222</v>
      </c>
      <c r="B171" s="1">
        <v>30538</v>
      </c>
      <c r="C171" s="6">
        <f t="shared" si="0"/>
        <v>237.68679950186802</v>
      </c>
      <c r="D171" s="7">
        <v>0.14000000000000001</v>
      </c>
      <c r="E171" s="6">
        <f t="shared" si="1"/>
        <v>1215275.967777086</v>
      </c>
      <c r="F171" s="8">
        <v>29587</v>
      </c>
      <c r="G171" s="8">
        <f t="shared" si="2"/>
        <v>47849</v>
      </c>
      <c r="H171" s="9">
        <v>32.265067556623599</v>
      </c>
      <c r="I171" s="1">
        <f t="shared" si="3"/>
        <v>276.40486362142639</v>
      </c>
      <c r="J171" s="1">
        <f t="shared" si="14"/>
        <v>25258.115391073246</v>
      </c>
      <c r="K171" s="1">
        <f t="shared" si="5"/>
        <v>4557.2848791640727</v>
      </c>
      <c r="L171" s="1">
        <f t="shared" si="6"/>
        <v>13671.854637492217</v>
      </c>
      <c r="M171" s="10">
        <f t="shared" si="13"/>
        <v>0.14300000000000002</v>
      </c>
      <c r="N171" s="1">
        <f t="shared" si="7"/>
        <v>1382.8625058526218</v>
      </c>
      <c r="O171" s="1">
        <f t="shared" si="8"/>
        <v>56930.454578376579</v>
      </c>
      <c r="P171" s="1">
        <f t="shared" si="9"/>
        <v>60763.798388854302</v>
      </c>
      <c r="Q171" s="1">
        <f t="shared" si="10"/>
        <v>0</v>
      </c>
      <c r="R171" s="1">
        <f t="shared" si="11"/>
        <v>0</v>
      </c>
      <c r="S171" s="1">
        <f t="shared" si="12"/>
        <v>0</v>
      </c>
      <c r="Z171" s="11"/>
      <c r="AA171" s="10"/>
    </row>
    <row r="172" spans="1:27" ht="15.75" customHeight="1" x14ac:dyDescent="0.25">
      <c r="A172" s="28" t="s">
        <v>223</v>
      </c>
      <c r="B172" s="1">
        <v>30632</v>
      </c>
      <c r="C172" s="6">
        <f t="shared" si="0"/>
        <v>238.41843088418435</v>
      </c>
      <c r="D172" s="7">
        <v>0.16</v>
      </c>
      <c r="E172" s="6">
        <f t="shared" si="1"/>
        <v>1219016.7478206726</v>
      </c>
      <c r="F172" s="8">
        <v>29495</v>
      </c>
      <c r="G172" s="8">
        <f t="shared" si="2"/>
        <v>47757</v>
      </c>
      <c r="H172" s="9">
        <v>31.517036624089901</v>
      </c>
      <c r="I172" s="1">
        <f t="shared" si="3"/>
        <v>269.99671376930741</v>
      </c>
      <c r="J172" s="1">
        <f t="shared" si="14"/>
        <v>24999.798833746609</v>
      </c>
      <c r="K172" s="1">
        <f t="shared" si="5"/>
        <v>4571.3128043275219</v>
      </c>
      <c r="L172" s="1">
        <f t="shared" si="6"/>
        <v>13713.938412982567</v>
      </c>
      <c r="M172" s="10">
        <f t="shared" si="13"/>
        <v>0.16300000000000001</v>
      </c>
      <c r="N172" s="1">
        <f t="shared" si="7"/>
        <v>1581.1217417843297</v>
      </c>
      <c r="O172" s="1">
        <f t="shared" si="8"/>
        <v>54184.534211671184</v>
      </c>
      <c r="P172" s="1">
        <f t="shared" si="9"/>
        <v>60950.83739103363</v>
      </c>
      <c r="Q172" s="1">
        <f t="shared" si="10"/>
        <v>0</v>
      </c>
      <c r="R172" s="1">
        <f t="shared" si="11"/>
        <v>0</v>
      </c>
      <c r="S172" s="1">
        <f t="shared" si="12"/>
        <v>0</v>
      </c>
      <c r="Z172" s="11"/>
      <c r="AA172" s="10"/>
    </row>
    <row r="173" spans="1:27" ht="15.75" customHeight="1" x14ac:dyDescent="0.25">
      <c r="A173" s="28" t="s">
        <v>224</v>
      </c>
      <c r="B173" s="1">
        <v>30695</v>
      </c>
      <c r="C173" s="6">
        <f t="shared" si="0"/>
        <v>238.90877957658782</v>
      </c>
      <c r="D173" s="7">
        <v>0.17</v>
      </c>
      <c r="E173" s="6">
        <f t="shared" si="1"/>
        <v>1221523.866360523</v>
      </c>
      <c r="F173" s="8">
        <v>29403</v>
      </c>
      <c r="G173" s="8">
        <f t="shared" si="2"/>
        <v>47665</v>
      </c>
      <c r="H173" s="9">
        <v>30.9416282144485</v>
      </c>
      <c r="I173" s="1">
        <f t="shared" si="3"/>
        <v>265.06736772921511</v>
      </c>
      <c r="J173" s="1">
        <f t="shared" si="14"/>
        <v>24794.695541603152</v>
      </c>
      <c r="K173" s="1">
        <f t="shared" si="5"/>
        <v>4580.7144988519613</v>
      </c>
      <c r="L173" s="1">
        <f t="shared" si="6"/>
        <v>13742.143496555884</v>
      </c>
      <c r="M173" s="10">
        <f t="shared" si="13"/>
        <v>0.17300000000000001</v>
      </c>
      <c r="N173" s="1">
        <f t="shared" si="7"/>
        <v>1681.5744195516402</v>
      </c>
      <c r="O173" s="1">
        <f t="shared" si="8"/>
        <v>51648.603382718458</v>
      </c>
      <c r="P173" s="1">
        <f t="shared" si="9"/>
        <v>61076.193318026155</v>
      </c>
      <c r="Q173" s="1">
        <f t="shared" si="10"/>
        <v>0</v>
      </c>
      <c r="R173" s="1">
        <f t="shared" si="11"/>
        <v>0</v>
      </c>
      <c r="S173" s="1">
        <f t="shared" si="12"/>
        <v>0</v>
      </c>
      <c r="Z173" s="11"/>
      <c r="AA173" s="10"/>
    </row>
    <row r="174" spans="1:27" ht="15.75" customHeight="1" x14ac:dyDescent="0.25">
      <c r="A174" s="28" t="s">
        <v>225</v>
      </c>
      <c r="B174" s="1">
        <v>30047</v>
      </c>
      <c r="C174" s="6">
        <f t="shared" si="0"/>
        <v>233.86519302615196</v>
      </c>
      <c r="D174" s="7">
        <v>0.17</v>
      </c>
      <c r="E174" s="6">
        <f t="shared" si="1"/>
        <v>1195736.3613792032</v>
      </c>
      <c r="F174" s="8">
        <v>29312</v>
      </c>
      <c r="G174" s="8">
        <f t="shared" si="2"/>
        <v>47574</v>
      </c>
      <c r="H174" s="9">
        <v>30.293334739585902</v>
      </c>
      <c r="I174" s="1">
        <f t="shared" si="3"/>
        <v>259.51363785737817</v>
      </c>
      <c r="J174" s="1">
        <f t="shared" si="14"/>
        <v>24273.224813814402</v>
      </c>
      <c r="K174" s="1">
        <f t="shared" si="5"/>
        <v>4484.0113551720115</v>
      </c>
      <c r="L174" s="1">
        <f t="shared" si="6"/>
        <v>13452.034065516034</v>
      </c>
      <c r="M174" s="10">
        <f t="shared" si="13"/>
        <v>0.17300000000000001</v>
      </c>
      <c r="N174" s="1">
        <f t="shared" si="7"/>
        <v>1646.0748194907358</v>
      </c>
      <c r="O174" s="1">
        <f t="shared" si="8"/>
        <v>49274.194777232289</v>
      </c>
      <c r="P174" s="1">
        <f t="shared" si="9"/>
        <v>59786.818068960158</v>
      </c>
      <c r="Q174" s="1">
        <f t="shared" si="10"/>
        <v>0</v>
      </c>
      <c r="R174" s="1">
        <f t="shared" si="11"/>
        <v>0</v>
      </c>
      <c r="S174" s="1">
        <f t="shared" si="12"/>
        <v>0</v>
      </c>
      <c r="Z174" s="11"/>
      <c r="AA174" s="10"/>
    </row>
    <row r="175" spans="1:27" ht="15.75" customHeight="1" x14ac:dyDescent="0.25">
      <c r="A175" s="28" t="s">
        <v>226</v>
      </c>
      <c r="B175" s="1">
        <v>29661</v>
      </c>
      <c r="C175" s="6">
        <f t="shared" si="0"/>
        <v>230.86083437110835</v>
      </c>
      <c r="D175" s="7">
        <v>0.17</v>
      </c>
      <c r="E175" s="6">
        <f t="shared" si="1"/>
        <v>1180375.2858810711</v>
      </c>
      <c r="F175" s="8">
        <v>29221</v>
      </c>
      <c r="G175" s="8">
        <f t="shared" si="2"/>
        <v>47484</v>
      </c>
      <c r="H175" s="9">
        <v>28.6284864076902</v>
      </c>
      <c r="I175" s="1">
        <f t="shared" si="3"/>
        <v>245.25139664804516</v>
      </c>
      <c r="J175" s="1">
        <f t="shared" si="14"/>
        <v>23439.173703379423</v>
      </c>
      <c r="K175" s="1">
        <f t="shared" si="5"/>
        <v>4426.4073220540167</v>
      </c>
      <c r="L175" s="1">
        <f t="shared" si="6"/>
        <v>13279.221966162049</v>
      </c>
      <c r="M175" s="10">
        <f t="shared" si="13"/>
        <v>0.17300000000000001</v>
      </c>
      <c r="N175" s="1">
        <f t="shared" si="7"/>
        <v>1624.9284527877894</v>
      </c>
      <c r="O175" s="1">
        <f t="shared" si="8"/>
        <v>46948.632713768966</v>
      </c>
      <c r="P175" s="1">
        <f t="shared" si="9"/>
        <v>59018.764294053559</v>
      </c>
      <c r="Q175" s="1">
        <f t="shared" si="10"/>
        <v>0</v>
      </c>
      <c r="R175" s="1">
        <f t="shared" si="11"/>
        <v>0</v>
      </c>
      <c r="S175" s="1">
        <f t="shared" si="12"/>
        <v>0</v>
      </c>
      <c r="Z175" s="11"/>
      <c r="AA175" s="10"/>
    </row>
    <row r="176" spans="1:27" ht="15.75" customHeight="1" x14ac:dyDescent="0.25">
      <c r="A176" s="28" t="s">
        <v>227</v>
      </c>
      <c r="B176" s="1">
        <v>27553</v>
      </c>
      <c r="C176" s="6">
        <f t="shared" si="0"/>
        <v>214.45361145703612</v>
      </c>
      <c r="D176" s="7">
        <v>0.13383928571428572</v>
      </c>
      <c r="E176" s="6">
        <f t="shared" si="1"/>
        <v>1096486.3036270237</v>
      </c>
      <c r="F176" s="8">
        <v>29129</v>
      </c>
      <c r="G176" s="8">
        <f t="shared" si="2"/>
        <v>47392</v>
      </c>
      <c r="H176" s="9">
        <v>27.339571570093501</v>
      </c>
      <c r="I176" s="1">
        <f t="shared" si="3"/>
        <v>234.20966151823873</v>
      </c>
      <c r="J176" s="1">
        <f t="shared" si="14"/>
        <v>22074.404271729403</v>
      </c>
      <c r="K176" s="1">
        <f t="shared" si="5"/>
        <v>4111.8236386013386</v>
      </c>
      <c r="L176" s="1">
        <f t="shared" si="6"/>
        <v>12335.470915804017</v>
      </c>
      <c r="M176" s="10">
        <f t="shared" si="13"/>
        <v>0.13683928571428572</v>
      </c>
      <c r="N176" s="1">
        <f t="shared" si="7"/>
        <v>1193.9388593274834</v>
      </c>
      <c r="O176" s="1">
        <f t="shared" si="8"/>
        <v>44992.391772734387</v>
      </c>
      <c r="P176" s="1">
        <f t="shared" si="9"/>
        <v>54824.315181351187</v>
      </c>
      <c r="Q176" s="1">
        <f t="shared" si="10"/>
        <v>0</v>
      </c>
      <c r="R176" s="1">
        <f t="shared" si="11"/>
        <v>0</v>
      </c>
      <c r="S176" s="1">
        <f t="shared" si="12"/>
        <v>0</v>
      </c>
      <c r="Z176" s="11"/>
      <c r="AA176" s="10"/>
    </row>
    <row r="177" spans="1:27" ht="15.75" customHeight="1" x14ac:dyDescent="0.25">
      <c r="A177" s="28" t="s">
        <v>228</v>
      </c>
      <c r="B177" s="1">
        <v>25914</v>
      </c>
      <c r="C177" s="6">
        <f t="shared" si="0"/>
        <v>201.69676214196761</v>
      </c>
      <c r="D177" s="7">
        <v>0.13383928571428572</v>
      </c>
      <c r="E177" s="6">
        <f t="shared" si="1"/>
        <v>1031261.4260585305</v>
      </c>
      <c r="F177" s="8">
        <v>29037</v>
      </c>
      <c r="G177" s="8">
        <f t="shared" si="2"/>
        <v>47300</v>
      </c>
      <c r="H177" s="9">
        <v>26.591540637559799</v>
      </c>
      <c r="I177" s="1">
        <f t="shared" si="3"/>
        <v>227.80151166611975</v>
      </c>
      <c r="J177" s="1">
        <f t="shared" si="14"/>
        <v>21109.912679192916</v>
      </c>
      <c r="K177" s="1">
        <f t="shared" si="5"/>
        <v>3867.2303477194891</v>
      </c>
      <c r="L177" s="1">
        <f t="shared" si="6"/>
        <v>11601.691043158467</v>
      </c>
      <c r="M177" s="10">
        <f t="shared" si="13"/>
        <v>0.13683928571428572</v>
      </c>
      <c r="N177" s="1">
        <f t="shared" si="7"/>
        <v>1122.9169818390885</v>
      </c>
      <c r="O177" s="1">
        <f t="shared" si="8"/>
        <v>42979.499911914289</v>
      </c>
      <c r="P177" s="1">
        <f t="shared" si="9"/>
        <v>51563.071302926524</v>
      </c>
      <c r="Q177" s="1">
        <f t="shared" si="10"/>
        <v>0</v>
      </c>
      <c r="R177" s="1">
        <f t="shared" si="11"/>
        <v>0</v>
      </c>
      <c r="S177" s="1">
        <f t="shared" si="12"/>
        <v>0</v>
      </c>
      <c r="Z177" s="11"/>
      <c r="AA177" s="10"/>
    </row>
    <row r="178" spans="1:27" ht="15.75" customHeight="1" x14ac:dyDescent="0.25">
      <c r="A178" s="28" t="s">
        <v>229</v>
      </c>
      <c r="B178" s="1">
        <v>23493</v>
      </c>
      <c r="C178" s="6">
        <f t="shared" si="0"/>
        <v>182.85336239103361</v>
      </c>
      <c r="D178" s="7">
        <v>0.13375000000000001</v>
      </c>
      <c r="E178" s="6">
        <f t="shared" si="1"/>
        <v>934916.4421699876</v>
      </c>
      <c r="F178" s="8">
        <v>28946</v>
      </c>
      <c r="G178" s="8">
        <f t="shared" si="2"/>
        <v>47209</v>
      </c>
      <c r="H178" s="9">
        <v>24.9228562495998</v>
      </c>
      <c r="I178" s="1">
        <f t="shared" si="3"/>
        <v>213.50640814985263</v>
      </c>
      <c r="J178" s="1">
        <f t="shared" si="14"/>
        <v>19456.087355683521</v>
      </c>
      <c r="K178" s="1">
        <f t="shared" si="5"/>
        <v>3505.9366581374529</v>
      </c>
      <c r="L178" s="1">
        <f t="shared" si="6"/>
        <v>10517.809974412359</v>
      </c>
      <c r="M178" s="10">
        <f t="shared" si="13"/>
        <v>0.13675000000000001</v>
      </c>
      <c r="N178" s="1">
        <f t="shared" si="7"/>
        <v>1017.3448967329118</v>
      </c>
      <c r="O178" s="1">
        <f t="shared" si="8"/>
        <v>40859.74771359736</v>
      </c>
      <c r="P178" s="1">
        <f t="shared" si="9"/>
        <v>46745.822108499386</v>
      </c>
      <c r="Q178" s="1">
        <f t="shared" si="10"/>
        <v>0</v>
      </c>
      <c r="R178" s="1">
        <f t="shared" si="11"/>
        <v>0</v>
      </c>
      <c r="S178" s="1">
        <f t="shared" si="12"/>
        <v>0</v>
      </c>
      <c r="Z178" s="11"/>
      <c r="AA178" s="10"/>
    </row>
    <row r="179" spans="1:27" ht="15.75" customHeight="1" x14ac:dyDescent="0.25">
      <c r="A179" s="28" t="s">
        <v>230</v>
      </c>
      <c r="B179" s="1">
        <v>21729</v>
      </c>
      <c r="C179" s="6">
        <f t="shared" si="0"/>
        <v>169.12359900373596</v>
      </c>
      <c r="D179" s="7">
        <v>0.125</v>
      </c>
      <c r="E179" s="6">
        <f t="shared" si="1"/>
        <v>864717.12305417168</v>
      </c>
      <c r="F179" s="8">
        <v>28856</v>
      </c>
      <c r="G179" s="8">
        <f t="shared" si="2"/>
        <v>47119</v>
      </c>
      <c r="H179" s="9">
        <v>24.040563354816399</v>
      </c>
      <c r="I179" s="1">
        <f t="shared" si="3"/>
        <v>205.9480775550451</v>
      </c>
      <c r="J179" s="1">
        <f t="shared" si="14"/>
        <v>18373.155159933423</v>
      </c>
      <c r="K179" s="1">
        <f t="shared" si="5"/>
        <v>3242.6892114531438</v>
      </c>
      <c r="L179" s="1">
        <f t="shared" si="6"/>
        <v>9728.0676343594314</v>
      </c>
      <c r="M179" s="10">
        <f t="shared" si="13"/>
        <v>0.128</v>
      </c>
      <c r="N179" s="1">
        <f t="shared" si="7"/>
        <v>880.7490585091424</v>
      </c>
      <c r="O179" s="1">
        <f t="shared" si="8"/>
        <v>38731.100906815431</v>
      </c>
      <c r="P179" s="1">
        <f t="shared" si="9"/>
        <v>43235.856152708584</v>
      </c>
      <c r="Q179" s="1">
        <f t="shared" si="10"/>
        <v>0</v>
      </c>
      <c r="R179" s="1">
        <f t="shared" si="11"/>
        <v>0</v>
      </c>
      <c r="S179" s="1">
        <f t="shared" si="12"/>
        <v>0</v>
      </c>
      <c r="Z179" s="11"/>
      <c r="AA179" s="10"/>
    </row>
    <row r="180" spans="1:27" ht="15.75" customHeight="1" x14ac:dyDescent="0.25">
      <c r="A180" s="28" t="s">
        <v>231</v>
      </c>
      <c r="B180" s="1">
        <v>20581</v>
      </c>
      <c r="C180" s="6">
        <f t="shared" si="0"/>
        <v>160.18835616438352</v>
      </c>
      <c r="D180" s="7">
        <v>9.5367298578199047E-2</v>
      </c>
      <c r="E180" s="6">
        <f t="shared" si="1"/>
        <v>819031.85188356147</v>
      </c>
      <c r="F180" s="8">
        <v>28764</v>
      </c>
      <c r="G180" s="8">
        <f t="shared" si="2"/>
        <v>47027</v>
      </c>
      <c r="H180" s="9">
        <v>23.3155487586682</v>
      </c>
      <c r="I180" s="1">
        <f t="shared" si="3"/>
        <v>199.73710154452849</v>
      </c>
      <c r="J180" s="1">
        <f t="shared" si="14"/>
        <v>17608.291833902884</v>
      </c>
      <c r="K180" s="1">
        <f t="shared" si="5"/>
        <v>3071.3694445633555</v>
      </c>
      <c r="L180" s="1">
        <f t="shared" si="6"/>
        <v>9214.1083336900665</v>
      </c>
      <c r="M180" s="10">
        <f t="shared" si="13"/>
        <v>9.836729857819905E-2</v>
      </c>
      <c r="N180" s="1">
        <f t="shared" si="7"/>
        <v>641.096625178968</v>
      </c>
      <c r="O180" s="1">
        <f t="shared" si="8"/>
        <v>36516.617687218139</v>
      </c>
      <c r="P180" s="1">
        <f t="shared" si="9"/>
        <v>40951.592594178073</v>
      </c>
      <c r="Q180" s="1">
        <f t="shared" si="10"/>
        <v>0</v>
      </c>
      <c r="R180" s="1">
        <f t="shared" si="11"/>
        <v>0</v>
      </c>
      <c r="S180" s="1">
        <f t="shared" si="12"/>
        <v>0</v>
      </c>
      <c r="Z180" s="11"/>
      <c r="AA180" s="10"/>
    </row>
    <row r="181" spans="1:27" ht="15.75" customHeight="1" x14ac:dyDescent="0.25">
      <c r="A181" s="28" t="s">
        <v>232</v>
      </c>
      <c r="B181" s="1">
        <v>18410</v>
      </c>
      <c r="C181" s="6">
        <f t="shared" si="0"/>
        <v>143.29078455790781</v>
      </c>
      <c r="D181" s="7">
        <v>9.5367298578199047E-2</v>
      </c>
      <c r="E181" s="6">
        <f t="shared" si="1"/>
        <v>732635.75108966371</v>
      </c>
      <c r="F181" s="8">
        <v>28672</v>
      </c>
      <c r="G181" s="8">
        <f t="shared" si="2"/>
        <v>46935</v>
      </c>
      <c r="H181" s="9">
        <v>22.928107096176401</v>
      </c>
      <c r="I181" s="1">
        <f t="shared" si="3"/>
        <v>196.41800854420032</v>
      </c>
      <c r="J181" s="1">
        <f t="shared" si="14"/>
        <v>16496.25340871753</v>
      </c>
      <c r="K181" s="1">
        <f t="shared" si="5"/>
        <v>2747.384066586239</v>
      </c>
      <c r="L181" s="1">
        <f t="shared" si="6"/>
        <v>8242.152199758717</v>
      </c>
      <c r="M181" s="10">
        <f t="shared" si="13"/>
        <v>9.836729857819905E-2</v>
      </c>
      <c r="N181" s="1">
        <f t="shared" si="7"/>
        <v>573.47013602569359</v>
      </c>
      <c r="O181" s="1">
        <f t="shared" si="8"/>
        <v>34285.33632887133</v>
      </c>
      <c r="P181" s="1">
        <f t="shared" si="9"/>
        <v>36631.787554483184</v>
      </c>
      <c r="Q181" s="1">
        <f t="shared" si="10"/>
        <v>0</v>
      </c>
      <c r="R181" s="1">
        <f t="shared" si="11"/>
        <v>0</v>
      </c>
      <c r="S181" s="1">
        <f t="shared" si="12"/>
        <v>0</v>
      </c>
      <c r="Z181" s="11"/>
      <c r="AA181" s="10"/>
    </row>
    <row r="182" spans="1:27" ht="15.75" customHeight="1" x14ac:dyDescent="0.25">
      <c r="A182" s="28" t="s">
        <v>233</v>
      </c>
      <c r="B182" s="1">
        <v>17315</v>
      </c>
      <c r="C182" s="6">
        <f t="shared" si="0"/>
        <v>134.76805728518053</v>
      </c>
      <c r="D182" s="7">
        <v>6.5000000000000002E-2</v>
      </c>
      <c r="E182" s="6">
        <f t="shared" si="1"/>
        <v>689059.64313511807</v>
      </c>
      <c r="F182" s="8">
        <v>28581</v>
      </c>
      <c r="G182" s="8">
        <f t="shared" si="2"/>
        <v>46844</v>
      </c>
      <c r="H182" s="9">
        <v>22.536829377620201</v>
      </c>
      <c r="I182" s="1">
        <f t="shared" si="3"/>
        <v>193.06605323693717</v>
      </c>
      <c r="J182" s="1">
        <f t="shared" si="14"/>
        <v>15857.195220584696</v>
      </c>
      <c r="K182" s="1">
        <f t="shared" si="5"/>
        <v>2583.9736617566928</v>
      </c>
      <c r="L182" s="1">
        <f t="shared" si="6"/>
        <v>7751.9209852700778</v>
      </c>
      <c r="M182" s="10">
        <f t="shared" si="13"/>
        <v>6.8000000000000005E-2</v>
      </c>
      <c r="N182" s="1">
        <f t="shared" si="7"/>
        <v>372.96645341595394</v>
      </c>
      <c r="O182" s="1">
        <f t="shared" si="8"/>
        <v>31804.923812963651</v>
      </c>
      <c r="P182" s="1">
        <f t="shared" si="9"/>
        <v>34452.982156755905</v>
      </c>
      <c r="Q182" s="1">
        <f t="shared" si="10"/>
        <v>0</v>
      </c>
      <c r="R182" s="1">
        <f t="shared" si="11"/>
        <v>0</v>
      </c>
      <c r="S182" s="1">
        <f t="shared" si="12"/>
        <v>0</v>
      </c>
      <c r="Z182" s="11"/>
      <c r="AA182" s="10"/>
    </row>
    <row r="183" spans="1:27" ht="15.75" customHeight="1" x14ac:dyDescent="0.25">
      <c r="A183" s="28" t="s">
        <v>234</v>
      </c>
      <c r="B183" s="1">
        <v>16281</v>
      </c>
      <c r="C183" s="6">
        <f t="shared" si="0"/>
        <v>126.7201120797011</v>
      </c>
      <c r="D183" s="7">
        <v>5.9615384615384619E-2</v>
      </c>
      <c r="E183" s="6">
        <f t="shared" si="1"/>
        <v>647911.06265566614</v>
      </c>
      <c r="F183" s="8">
        <v>28491</v>
      </c>
      <c r="G183" s="8">
        <f t="shared" si="2"/>
        <v>46753</v>
      </c>
      <c r="H183" s="9">
        <v>21.938404631593201</v>
      </c>
      <c r="I183" s="1">
        <f t="shared" si="3"/>
        <v>187.93953335524165</v>
      </c>
      <c r="J183" s="1">
        <f t="shared" si="14"/>
        <v>15168.636879515476</v>
      </c>
      <c r="K183" s="1">
        <f t="shared" si="5"/>
        <v>2429.6664849587482</v>
      </c>
      <c r="L183" s="1">
        <f t="shared" si="6"/>
        <v>7288.9994548762443</v>
      </c>
      <c r="M183" s="10">
        <f t="shared" si="13"/>
        <v>6.2615384615384614E-2</v>
      </c>
      <c r="N183" s="1">
        <f t="shared" si="7"/>
        <v>323.0133725026281</v>
      </c>
      <c r="O183" s="1">
        <f t="shared" si="8"/>
        <v>29249.667904853675</v>
      </c>
      <c r="P183" s="1">
        <f t="shared" si="9"/>
        <v>32395.553132783309</v>
      </c>
      <c r="Q183" s="1">
        <f t="shared" si="10"/>
        <v>0</v>
      </c>
      <c r="R183" s="1">
        <f t="shared" si="11"/>
        <v>0</v>
      </c>
      <c r="S183" s="1">
        <f t="shared" si="12"/>
        <v>0</v>
      </c>
      <c r="Z183" s="11"/>
      <c r="AA183" s="10"/>
    </row>
    <row r="184" spans="1:27" ht="15.75" customHeight="1" x14ac:dyDescent="0.25">
      <c r="A184" s="28" t="s">
        <v>235</v>
      </c>
      <c r="B184" s="1">
        <v>15906</v>
      </c>
      <c r="C184" s="6">
        <f t="shared" si="0"/>
        <v>123.80136986301368</v>
      </c>
      <c r="D184" s="7">
        <v>6.6666666666666666E-2</v>
      </c>
      <c r="E184" s="6">
        <f t="shared" si="1"/>
        <v>632987.73801369849</v>
      </c>
      <c r="F184" s="8">
        <v>28399</v>
      </c>
      <c r="G184" s="8">
        <f t="shared" si="2"/>
        <v>46661</v>
      </c>
      <c r="H184" s="9">
        <v>21.570143249422799</v>
      </c>
      <c r="I184" s="1">
        <f t="shared" si="3"/>
        <v>184.78475188958339</v>
      </c>
      <c r="J184" s="1">
        <f t="shared" si="14"/>
        <v>14866.484895112626</v>
      </c>
      <c r="K184" s="1">
        <f t="shared" si="5"/>
        <v>2373.7040175513694</v>
      </c>
      <c r="L184" s="1">
        <f t="shared" si="6"/>
        <v>7121.1120526541081</v>
      </c>
      <c r="M184" s="10">
        <f t="shared" si="13"/>
        <v>6.9666666666666668E-2</v>
      </c>
      <c r="N184" s="1">
        <f t="shared" si="7"/>
        <v>350.99442186751884</v>
      </c>
      <c r="O184" s="1">
        <f t="shared" si="8"/>
        <v>26679.05338804486</v>
      </c>
      <c r="P184" s="1">
        <f t="shared" si="9"/>
        <v>31649.386900684927</v>
      </c>
      <c r="Q184" s="1">
        <f t="shared" si="10"/>
        <v>0</v>
      </c>
      <c r="R184" s="1">
        <f t="shared" si="11"/>
        <v>0</v>
      </c>
      <c r="S184" s="1">
        <f t="shared" si="12"/>
        <v>0</v>
      </c>
      <c r="Z184" s="11"/>
      <c r="AA184" s="10"/>
    </row>
    <row r="185" spans="1:27" ht="15.75" customHeight="1" x14ac:dyDescent="0.25">
      <c r="A185" s="28" t="s">
        <v>236</v>
      </c>
      <c r="B185" s="1">
        <v>15728</v>
      </c>
      <c r="C185" s="6">
        <f t="shared" si="0"/>
        <v>122.41594022415939</v>
      </c>
      <c r="D185" s="7">
        <v>8.1970338983050853E-2</v>
      </c>
      <c r="E185" s="6">
        <f t="shared" si="1"/>
        <v>625904.13325031125</v>
      </c>
      <c r="F185" s="8">
        <v>28307</v>
      </c>
      <c r="G185" s="8">
        <f t="shared" si="2"/>
        <v>46569</v>
      </c>
      <c r="H185" s="9">
        <v>21.259422708216398</v>
      </c>
      <c r="I185" s="1">
        <f t="shared" si="3"/>
        <v>182.12290502793317</v>
      </c>
      <c r="J185" s="1">
        <f t="shared" si="14"/>
        <v>14676.185707938246</v>
      </c>
      <c r="K185" s="1">
        <f t="shared" si="5"/>
        <v>2347.1404996886672</v>
      </c>
      <c r="L185" s="1">
        <f t="shared" si="6"/>
        <v>7041.4214990660012</v>
      </c>
      <c r="M185" s="10">
        <f t="shared" si="13"/>
        <v>8.4970338983050855E-2</v>
      </c>
      <c r="N185" s="1">
        <f t="shared" si="7"/>
        <v>423.21579663263424</v>
      </c>
      <c r="O185" s="1">
        <f t="shared" si="8"/>
        <v>24136.95025887576</v>
      </c>
      <c r="P185" s="1">
        <f t="shared" si="9"/>
        <v>31295.206662515564</v>
      </c>
      <c r="Q185" s="1">
        <f t="shared" si="10"/>
        <v>0</v>
      </c>
      <c r="R185" s="1">
        <f t="shared" si="11"/>
        <v>0</v>
      </c>
      <c r="S185" s="1">
        <f t="shared" si="12"/>
        <v>0</v>
      </c>
      <c r="Z185" s="11"/>
      <c r="AA185" s="10"/>
    </row>
    <row r="186" spans="1:27" ht="15.75" customHeight="1" x14ac:dyDescent="0.25">
      <c r="A186" s="28" t="s">
        <v>237</v>
      </c>
      <c r="B186" s="1">
        <v>15593</v>
      </c>
      <c r="C186" s="6">
        <f t="shared" si="0"/>
        <v>121.36519302615191</v>
      </c>
      <c r="D186" s="7">
        <v>0.11798913043478261</v>
      </c>
      <c r="E186" s="6">
        <f t="shared" si="1"/>
        <v>620531.73637920292</v>
      </c>
      <c r="F186" s="8">
        <v>28216</v>
      </c>
      <c r="G186" s="8">
        <f t="shared" si="2"/>
        <v>46478</v>
      </c>
      <c r="H186" s="9">
        <v>20.929521886688701</v>
      </c>
      <c r="I186" s="1">
        <f t="shared" si="3"/>
        <v>179.2967466316139</v>
      </c>
      <c r="J186" s="1">
        <f t="shared" si="14"/>
        <v>14499.149681185698</v>
      </c>
      <c r="K186" s="1">
        <f t="shared" si="5"/>
        <v>2326.9940114220108</v>
      </c>
      <c r="L186" s="1">
        <f t="shared" si="6"/>
        <v>6980.9820342660323</v>
      </c>
      <c r="M186" s="10">
        <f t="shared" si="13"/>
        <v>0.12098913043478261</v>
      </c>
      <c r="N186" s="1">
        <f t="shared" si="7"/>
        <v>597.41850507012259</v>
      </c>
      <c r="O186" s="1">
        <f t="shared" si="8"/>
        <v>21638.8510477819</v>
      </c>
      <c r="P186" s="1">
        <f t="shared" si="9"/>
        <v>31026.586818960146</v>
      </c>
      <c r="Q186" s="1">
        <f t="shared" si="10"/>
        <v>0</v>
      </c>
      <c r="R186" s="1">
        <f t="shared" si="11"/>
        <v>0</v>
      </c>
      <c r="S186" s="1">
        <f t="shared" si="12"/>
        <v>0</v>
      </c>
      <c r="Z186" s="11"/>
      <c r="AA186" s="10"/>
    </row>
    <row r="187" spans="1:27" ht="15.75" customHeight="1" x14ac:dyDescent="0.25">
      <c r="A187" s="28" t="s">
        <v>238</v>
      </c>
      <c r="B187" s="1">
        <v>15196</v>
      </c>
      <c r="C187" s="6">
        <f t="shared" si="0"/>
        <v>118.27521793275217</v>
      </c>
      <c r="D187" s="7">
        <v>0.14784210526315789</v>
      </c>
      <c r="E187" s="6">
        <f t="shared" si="1"/>
        <v>604732.91002490651</v>
      </c>
      <c r="F187" s="8">
        <v>28126</v>
      </c>
      <c r="G187" s="8">
        <f t="shared" si="2"/>
        <v>46388</v>
      </c>
      <c r="H187" s="9">
        <v>20.035720823712399</v>
      </c>
      <c r="I187" s="1">
        <f t="shared" si="3"/>
        <v>171.63982911600391</v>
      </c>
      <c r="J187" s="1">
        <f t="shared" si="14"/>
        <v>14003.863330388562</v>
      </c>
      <c r="K187" s="1">
        <f t="shared" si="5"/>
        <v>2267.7484125933993</v>
      </c>
      <c r="L187" s="1">
        <f t="shared" si="6"/>
        <v>6803.2452377801983</v>
      </c>
      <c r="M187" s="10">
        <f t="shared" si="13"/>
        <v>0.15084210526315789</v>
      </c>
      <c r="N187" s="1">
        <f t="shared" si="7"/>
        <v>725.86228218751251</v>
      </c>
      <c r="O187" s="1">
        <f t="shared" si="8"/>
        <v>19195.385789277228</v>
      </c>
      <c r="P187" s="1">
        <f t="shared" si="9"/>
        <v>30236.645501245326</v>
      </c>
      <c r="Q187" s="1">
        <f t="shared" si="10"/>
        <v>0</v>
      </c>
      <c r="R187" s="1">
        <f t="shared" si="11"/>
        <v>0</v>
      </c>
      <c r="S187" s="1">
        <f t="shared" si="12"/>
        <v>0</v>
      </c>
      <c r="Z187" s="11"/>
      <c r="AA187" s="10"/>
    </row>
    <row r="188" spans="1:27" ht="15.75" customHeight="1" x14ac:dyDescent="0.25">
      <c r="A188" s="28" t="s">
        <v>239</v>
      </c>
      <c r="B188" s="1">
        <v>15008</v>
      </c>
      <c r="C188" s="6">
        <f t="shared" si="0"/>
        <v>116.81195516811954</v>
      </c>
      <c r="D188" s="7">
        <v>0.13</v>
      </c>
      <c r="E188" s="6">
        <f t="shared" si="1"/>
        <v>597251.34993773338</v>
      </c>
      <c r="F188" s="8">
        <v>28034</v>
      </c>
      <c r="G188" s="8">
        <f t="shared" si="2"/>
        <v>46296</v>
      </c>
      <c r="H188" s="9">
        <v>19.0767068076435</v>
      </c>
      <c r="I188" s="1">
        <f t="shared" si="3"/>
        <v>163.42425238251761</v>
      </c>
      <c r="J188" s="1">
        <f t="shared" si="14"/>
        <v>13577.541307307421</v>
      </c>
      <c r="K188" s="1">
        <f t="shared" si="5"/>
        <v>2239.6925622664999</v>
      </c>
      <c r="L188" s="1">
        <f t="shared" si="6"/>
        <v>6719.0776867995</v>
      </c>
      <c r="M188" s="10">
        <f t="shared" si="13"/>
        <v>0.13300000000000001</v>
      </c>
      <c r="N188" s="1">
        <f t="shared" si="7"/>
        <v>632.08703772995045</v>
      </c>
      <c r="O188" s="1">
        <f t="shared" si="8"/>
        <v>16896.119862304862</v>
      </c>
      <c r="P188" s="1">
        <f t="shared" si="9"/>
        <v>29862.56749688667</v>
      </c>
      <c r="Q188" s="1">
        <f t="shared" si="10"/>
        <v>0</v>
      </c>
      <c r="R188" s="1">
        <f t="shared" si="11"/>
        <v>0</v>
      </c>
      <c r="S188" s="1">
        <f t="shared" si="12"/>
        <v>0</v>
      </c>
      <c r="Z188" s="11"/>
      <c r="AA188" s="10"/>
    </row>
    <row r="189" spans="1:27" ht="15.75" customHeight="1" x14ac:dyDescent="0.25">
      <c r="A189" s="28" t="s">
        <v>240</v>
      </c>
      <c r="B189" s="1">
        <v>14862</v>
      </c>
      <c r="C189" s="6">
        <f t="shared" si="0"/>
        <v>115.6755915317559</v>
      </c>
      <c r="D189" s="7">
        <v>0.113</v>
      </c>
      <c r="E189" s="6">
        <f t="shared" si="1"/>
        <v>591441.20221046067</v>
      </c>
      <c r="F189" s="8">
        <v>27942</v>
      </c>
      <c r="G189" s="8">
        <f t="shared" si="2"/>
        <v>46204</v>
      </c>
      <c r="H189" s="9">
        <v>18.236610529567098</v>
      </c>
      <c r="I189" s="1">
        <f t="shared" si="3"/>
        <v>156.22740716398323</v>
      </c>
      <c r="J189" s="1">
        <f t="shared" si="14"/>
        <v>13208.430515767815</v>
      </c>
      <c r="K189" s="1">
        <f t="shared" si="5"/>
        <v>2217.9045082892276</v>
      </c>
      <c r="L189" s="1">
        <f t="shared" si="6"/>
        <v>6653.7135248676823</v>
      </c>
      <c r="M189" s="10">
        <f t="shared" si="13"/>
        <v>0.11600000000000001</v>
      </c>
      <c r="N189" s="1">
        <f t="shared" si="7"/>
        <v>545.93143930509302</v>
      </c>
      <c r="O189" s="1">
        <f t="shared" si="8"/>
        <v>14789.795699354538</v>
      </c>
      <c r="P189" s="1">
        <f t="shared" si="9"/>
        <v>29572.060110523034</v>
      </c>
      <c r="Q189" s="1">
        <f t="shared" si="10"/>
        <v>0</v>
      </c>
      <c r="R189" s="1">
        <f t="shared" si="11"/>
        <v>0</v>
      </c>
      <c r="S189" s="1">
        <f t="shared" si="12"/>
        <v>0</v>
      </c>
      <c r="Z189" s="11"/>
      <c r="AA189" s="10"/>
    </row>
    <row r="190" spans="1:27" ht="15.75" customHeight="1" x14ac:dyDescent="0.25">
      <c r="A190" s="28" t="s">
        <v>241</v>
      </c>
      <c r="B190" s="1">
        <v>14685</v>
      </c>
      <c r="C190" s="6">
        <f t="shared" si="0"/>
        <v>114.29794520547944</v>
      </c>
      <c r="D190" s="7">
        <v>9.6250000000000002E-2</v>
      </c>
      <c r="E190" s="6">
        <f t="shared" si="1"/>
        <v>584397.39297945192</v>
      </c>
      <c r="F190" s="8">
        <v>27851</v>
      </c>
      <c r="G190" s="8">
        <f t="shared" si="2"/>
        <v>46113</v>
      </c>
      <c r="H190" s="9">
        <v>17.826152530689601</v>
      </c>
      <c r="I190" s="1">
        <f t="shared" si="3"/>
        <v>152.71114032205102</v>
      </c>
      <c r="J190" s="1">
        <f t="shared" si="14"/>
        <v>12980.756335627701</v>
      </c>
      <c r="K190" s="1">
        <f t="shared" si="5"/>
        <v>2191.4902236729445</v>
      </c>
      <c r="L190" s="1">
        <f t="shared" si="6"/>
        <v>6574.4706710188339</v>
      </c>
      <c r="M190" s="10">
        <f t="shared" si="13"/>
        <v>9.9250000000000005E-2</v>
      </c>
      <c r="N190" s="1">
        <f t="shared" si="7"/>
        <v>461.54107505191445</v>
      </c>
      <c r="O190" s="1">
        <f t="shared" si="8"/>
        <v>12858.02938897314</v>
      </c>
      <c r="P190" s="1">
        <f t="shared" si="9"/>
        <v>29219.869648972599</v>
      </c>
      <c r="Q190" s="1">
        <f t="shared" si="10"/>
        <v>0</v>
      </c>
      <c r="R190" s="1">
        <f t="shared" si="11"/>
        <v>0</v>
      </c>
      <c r="S190" s="1">
        <f t="shared" si="12"/>
        <v>0</v>
      </c>
      <c r="Z190" s="11"/>
      <c r="AA190" s="10"/>
    </row>
    <row r="191" spans="1:27" ht="15.75" customHeight="1" x14ac:dyDescent="0.25">
      <c r="A191" s="28" t="s">
        <v>242</v>
      </c>
      <c r="B191" s="1">
        <v>14351</v>
      </c>
      <c r="C191" s="6">
        <f t="shared" si="0"/>
        <v>111.69831880448318</v>
      </c>
      <c r="D191" s="7">
        <v>0.11749999999999999</v>
      </c>
      <c r="E191" s="6">
        <f t="shared" si="1"/>
        <v>571105.6851650062</v>
      </c>
      <c r="F191" s="8">
        <v>27760</v>
      </c>
      <c r="G191" s="8">
        <f t="shared" si="2"/>
        <v>46023</v>
      </c>
      <c r="H191" s="9">
        <v>17.1970393361484</v>
      </c>
      <c r="I191" s="1">
        <f t="shared" si="3"/>
        <v>147.32172198488399</v>
      </c>
      <c r="J191" s="1">
        <f t="shared" si="14"/>
        <v>12603.555335432062</v>
      </c>
      <c r="K191" s="1">
        <f t="shared" si="5"/>
        <v>2141.6463193687732</v>
      </c>
      <c r="L191" s="1">
        <f t="shared" si="6"/>
        <v>6424.9389581063197</v>
      </c>
      <c r="M191" s="10">
        <f t="shared" si="13"/>
        <v>0.1205</v>
      </c>
      <c r="N191" s="1">
        <f t="shared" si="7"/>
        <v>547.61062309791851</v>
      </c>
      <c r="O191" s="1">
        <f t="shared" si="8"/>
        <v>10995.008441833968</v>
      </c>
      <c r="P191" s="1">
        <f t="shared" si="9"/>
        <v>28555.284258250311</v>
      </c>
      <c r="Q191" s="1">
        <f t="shared" si="10"/>
        <v>0</v>
      </c>
      <c r="R191" s="1">
        <f t="shared" si="11"/>
        <v>0</v>
      </c>
      <c r="S191" s="1">
        <f t="shared" si="12"/>
        <v>0</v>
      </c>
      <c r="Z191" s="11"/>
      <c r="AA191" s="10"/>
    </row>
    <row r="192" spans="1:27" ht="15.75" customHeight="1" x14ac:dyDescent="0.25">
      <c r="A192" s="28" t="s">
        <v>243</v>
      </c>
      <c r="B192" s="1">
        <v>14027</v>
      </c>
      <c r="C192" s="6">
        <f t="shared" si="0"/>
        <v>109.17652552926525</v>
      </c>
      <c r="D192" s="7">
        <v>0.11</v>
      </c>
      <c r="E192" s="6">
        <f t="shared" si="1"/>
        <v>558211.93267434614</v>
      </c>
      <c r="F192" s="8">
        <v>27668</v>
      </c>
      <c r="G192" s="8">
        <f t="shared" si="2"/>
        <v>45931</v>
      </c>
      <c r="H192" s="9">
        <v>16.598614590121301</v>
      </c>
      <c r="I192" s="1">
        <f t="shared" si="3"/>
        <v>142.19520210318763</v>
      </c>
      <c r="J192" s="1">
        <f t="shared" si="14"/>
        <v>12241.506638713219</v>
      </c>
      <c r="K192" s="1">
        <f t="shared" si="5"/>
        <v>2093.2947475287979</v>
      </c>
      <c r="L192" s="1">
        <f t="shared" si="6"/>
        <v>6279.8842425863941</v>
      </c>
      <c r="M192" s="10">
        <f t="shared" si="13"/>
        <v>0.113</v>
      </c>
      <c r="N192" s="1">
        <f t="shared" si="7"/>
        <v>501.93364807536489</v>
      </c>
      <c r="O192" s="1">
        <f t="shared" si="8"/>
        <v>9227.6364319094482</v>
      </c>
      <c r="P192" s="1">
        <f t="shared" si="9"/>
        <v>27910.596633717309</v>
      </c>
      <c r="Q192" s="1">
        <f t="shared" si="10"/>
        <v>0</v>
      </c>
      <c r="R192" s="1">
        <f t="shared" si="11"/>
        <v>0</v>
      </c>
      <c r="S192" s="1">
        <f t="shared" si="12"/>
        <v>0</v>
      </c>
      <c r="Z192" s="11"/>
      <c r="AA192" s="10"/>
    </row>
    <row r="193" spans="1:27" ht="15.75" customHeight="1" x14ac:dyDescent="0.25">
      <c r="A193" s="28" t="s">
        <v>244</v>
      </c>
      <c r="B193" s="1">
        <v>13818</v>
      </c>
      <c r="C193" s="6">
        <f t="shared" si="0"/>
        <v>107.54981320049812</v>
      </c>
      <c r="D193" s="7">
        <v>9.964285714285713E-2</v>
      </c>
      <c r="E193" s="6">
        <f t="shared" si="1"/>
        <v>549894.66640722286</v>
      </c>
      <c r="F193" s="8">
        <v>27576</v>
      </c>
      <c r="G193" s="8">
        <f t="shared" si="2"/>
        <v>45839</v>
      </c>
      <c r="H193" s="9">
        <v>16.046222516865601</v>
      </c>
      <c r="I193" s="1">
        <f t="shared" si="3"/>
        <v>137.4630299046994</v>
      </c>
      <c r="J193" s="1">
        <f t="shared" si="14"/>
        <v>11945.554027728809</v>
      </c>
      <c r="K193" s="1">
        <f t="shared" si="5"/>
        <v>2062.1049990270858</v>
      </c>
      <c r="L193" s="1">
        <f t="shared" si="6"/>
        <v>6186.3149970812574</v>
      </c>
      <c r="M193" s="10">
        <f t="shared" si="13"/>
        <v>0.10264285714285713</v>
      </c>
      <c r="N193" s="1">
        <f t="shared" si="7"/>
        <v>449.13681937463468</v>
      </c>
      <c r="O193" s="1">
        <f t="shared" si="8"/>
        <v>7550.5413593322492</v>
      </c>
      <c r="P193" s="1">
        <f t="shared" si="9"/>
        <v>27494.733320361145</v>
      </c>
      <c r="Q193" s="1">
        <f t="shared" si="10"/>
        <v>0</v>
      </c>
      <c r="R193" s="1">
        <f t="shared" si="11"/>
        <v>0</v>
      </c>
      <c r="S193" s="1">
        <f t="shared" si="12"/>
        <v>0</v>
      </c>
      <c r="Z193" s="11"/>
      <c r="AA193" s="10"/>
    </row>
    <row r="194" spans="1:27" ht="15.75" customHeight="1" x14ac:dyDescent="0.25">
      <c r="A194" s="28" t="s">
        <v>245</v>
      </c>
      <c r="B194" s="1">
        <v>13443</v>
      </c>
      <c r="C194" s="6">
        <f t="shared" si="0"/>
        <v>104.6310709838107</v>
      </c>
      <c r="D194" s="7">
        <v>0.10461538461538461</v>
      </c>
      <c r="E194" s="6">
        <f t="shared" si="1"/>
        <v>534971.3417652552</v>
      </c>
      <c r="F194" s="8">
        <v>27485</v>
      </c>
      <c r="G194" s="8">
        <f t="shared" si="2"/>
        <v>45748</v>
      </c>
      <c r="H194" s="9">
        <v>15.3710766495531</v>
      </c>
      <c r="I194" s="1">
        <f t="shared" si="3"/>
        <v>131.67926388432508</v>
      </c>
      <c r="J194" s="1">
        <f t="shared" si="14"/>
        <v>11531.466594993301</v>
      </c>
      <c r="K194" s="1">
        <f t="shared" si="5"/>
        <v>2006.1425316197071</v>
      </c>
      <c r="L194" s="1">
        <f t="shared" si="6"/>
        <v>6018.4275948591212</v>
      </c>
      <c r="M194" s="10">
        <f t="shared" si="13"/>
        <v>0.10761538461538461</v>
      </c>
      <c r="N194" s="1">
        <f t="shared" si="7"/>
        <v>458.11472671735078</v>
      </c>
      <c r="O194" s="1">
        <f t="shared" si="8"/>
        <v>5972.24623838978</v>
      </c>
      <c r="P194" s="1">
        <f t="shared" si="9"/>
        <v>26748.56708826276</v>
      </c>
      <c r="Q194" s="1">
        <f t="shared" si="10"/>
        <v>0</v>
      </c>
      <c r="R194" s="1">
        <f t="shared" si="11"/>
        <v>0</v>
      </c>
      <c r="S194" s="1">
        <f t="shared" si="12"/>
        <v>0</v>
      </c>
      <c r="Z194" s="11"/>
      <c r="AA194" s="10"/>
    </row>
    <row r="195" spans="1:27" ht="15.75" customHeight="1" x14ac:dyDescent="0.25">
      <c r="A195" s="28" t="s">
        <v>246</v>
      </c>
      <c r="B195" s="1">
        <v>13223</v>
      </c>
      <c r="C195" s="6">
        <f t="shared" si="0"/>
        <v>102.91874221668742</v>
      </c>
      <c r="D195" s="11"/>
      <c r="E195" s="6">
        <f t="shared" si="1"/>
        <v>526216.32464196766</v>
      </c>
      <c r="F195" s="8">
        <v>27395</v>
      </c>
      <c r="G195" s="8">
        <f t="shared" si="2"/>
        <v>45658</v>
      </c>
      <c r="H195" s="9">
        <v>14.043801251313701</v>
      </c>
      <c r="I195" s="1">
        <f t="shared" si="3"/>
        <v>120.3089056851797</v>
      </c>
      <c r="J195" s="1">
        <f t="shared" si="14"/>
        <v>10924.359653245445</v>
      </c>
      <c r="K195" s="1">
        <f t="shared" si="5"/>
        <v>1973.3112174073785</v>
      </c>
      <c r="L195" s="1">
        <f t="shared" si="6"/>
        <v>5919.9336522221356</v>
      </c>
      <c r="M195" s="10">
        <f t="shared" si="13"/>
        <v>3.0000000000000001E-3</v>
      </c>
      <c r="N195" s="1">
        <f t="shared" si="7"/>
        <v>41.568253792210534</v>
      </c>
      <c r="O195" s="1">
        <f t="shared" si="8"/>
        <v>4495.2205465032557</v>
      </c>
      <c r="P195" s="1">
        <f t="shared" si="9"/>
        <v>26310.816232098383</v>
      </c>
      <c r="Q195" s="1">
        <f t="shared" si="10"/>
        <v>0</v>
      </c>
      <c r="R195" s="1">
        <f t="shared" si="11"/>
        <v>0</v>
      </c>
      <c r="S195" s="1">
        <f t="shared" si="12"/>
        <v>0</v>
      </c>
      <c r="Z195" s="11"/>
    </row>
    <row r="196" spans="1:27" ht="15.75" customHeight="1" x14ac:dyDescent="0.25">
      <c r="A196" s="28" t="s">
        <v>247</v>
      </c>
      <c r="B196" s="1">
        <v>13276</v>
      </c>
      <c r="C196" s="6">
        <f t="shared" si="0"/>
        <v>103.33125778331257</v>
      </c>
      <c r="D196" s="11"/>
      <c r="E196" s="6">
        <f t="shared" si="1"/>
        <v>528325.48785803234</v>
      </c>
      <c r="F196" s="8">
        <v>27303</v>
      </c>
      <c r="G196" s="8">
        <f t="shared" si="2"/>
        <v>45566</v>
      </c>
      <c r="H196" s="9">
        <v>13.2459015899443</v>
      </c>
      <c r="I196" s="1">
        <f t="shared" si="3"/>
        <v>113.47354584291843</v>
      </c>
      <c r="J196" s="1">
        <f t="shared" si="14"/>
        <v>10625.541231790477</v>
      </c>
      <c r="K196" s="1">
        <f t="shared" si="5"/>
        <v>1981.2205794676211</v>
      </c>
      <c r="L196" s="1">
        <f t="shared" si="6"/>
        <v>5943.6617384028632</v>
      </c>
      <c r="M196" s="10">
        <f t="shared" si="13"/>
        <v>3.0000000000000001E-3</v>
      </c>
      <c r="N196" s="1">
        <f t="shared" si="7"/>
        <v>41.734866319699549</v>
      </c>
      <c r="O196" s="1">
        <f t="shared" si="8"/>
        <v>3314.3204241158519</v>
      </c>
      <c r="P196" s="1">
        <f t="shared" si="9"/>
        <v>26416.274392901618</v>
      </c>
      <c r="Q196" s="1">
        <f t="shared" si="10"/>
        <v>0</v>
      </c>
      <c r="R196" s="1">
        <f t="shared" si="11"/>
        <v>0</v>
      </c>
      <c r="S196" s="1">
        <f t="shared" si="12"/>
        <v>0</v>
      </c>
      <c r="Z196" s="11"/>
    </row>
    <row r="197" spans="1:27" ht="15.75" customHeight="1" x14ac:dyDescent="0.25">
      <c r="A197" s="28" t="s">
        <v>248</v>
      </c>
      <c r="B197" s="1">
        <v>13255</v>
      </c>
      <c r="C197" s="6">
        <f t="shared" si="0"/>
        <v>103.16780821917808</v>
      </c>
      <c r="D197" s="11"/>
      <c r="E197" s="6">
        <f t="shared" si="1"/>
        <v>527489.78167808219</v>
      </c>
      <c r="F197" s="8">
        <v>27211</v>
      </c>
      <c r="G197" s="8">
        <f t="shared" si="2"/>
        <v>45474</v>
      </c>
      <c r="H197" s="9">
        <v>12.678165292431499</v>
      </c>
      <c r="I197" s="1">
        <f t="shared" si="3"/>
        <v>108.60992441669444</v>
      </c>
      <c r="J197" s="1">
        <f t="shared" si="14"/>
        <v>10384.795993550022</v>
      </c>
      <c r="K197" s="1">
        <f t="shared" si="5"/>
        <v>1978.0866812928082</v>
      </c>
      <c r="L197" s="1">
        <f t="shared" si="6"/>
        <v>5934.2600438784248</v>
      </c>
      <c r="M197" s="10">
        <f t="shared" si="13"/>
        <v>3.0000000000000001E-3</v>
      </c>
      <c r="N197" s="1">
        <f t="shared" si="7"/>
        <v>41.668850035222775</v>
      </c>
      <c r="O197" s="1">
        <f t="shared" si="8"/>
        <v>2351.3803618549045</v>
      </c>
      <c r="P197" s="1">
        <f t="shared" si="9"/>
        <v>26374.489083904111</v>
      </c>
      <c r="Q197" s="1">
        <f t="shared" si="10"/>
        <v>0</v>
      </c>
      <c r="R197" s="1">
        <f t="shared" si="11"/>
        <v>0</v>
      </c>
      <c r="S197" s="1">
        <f t="shared" si="12"/>
        <v>0</v>
      </c>
      <c r="Z197" s="11"/>
    </row>
    <row r="198" spans="1:27" ht="15.75" customHeight="1" x14ac:dyDescent="0.25">
      <c r="A198" s="28" t="s">
        <v>249</v>
      </c>
      <c r="B198" s="1">
        <v>12973</v>
      </c>
      <c r="C198" s="6">
        <f t="shared" si="0"/>
        <v>100.97291407222914</v>
      </c>
      <c r="D198" s="11"/>
      <c r="E198" s="6">
        <f t="shared" si="1"/>
        <v>516267.44154732255</v>
      </c>
      <c r="F198" s="8">
        <v>27120</v>
      </c>
      <c r="G198" s="8">
        <f t="shared" si="2"/>
        <v>45383</v>
      </c>
      <c r="H198" s="9">
        <v>12.367444751225101</v>
      </c>
      <c r="I198" s="1">
        <f t="shared" si="3"/>
        <v>105.94807755504422</v>
      </c>
      <c r="J198" s="1">
        <f>J199*(0.1*I198/I199+0.9*C198/C199)</f>
        <v>10147.043042051066</v>
      </c>
      <c r="K198" s="1">
        <f t="shared" si="5"/>
        <v>1936.0029058024595</v>
      </c>
      <c r="L198" s="1">
        <f t="shared" si="6"/>
        <v>5808.0087174073788</v>
      </c>
      <c r="M198" s="10">
        <f t="shared" si="13"/>
        <v>3.0000000000000001E-3</v>
      </c>
      <c r="N198" s="1">
        <f t="shared" si="7"/>
        <v>40.78234564367748</v>
      </c>
      <c r="O198" s="1">
        <f t="shared" si="8"/>
        <v>1535.5230099258151</v>
      </c>
      <c r="P198" s="1">
        <f t="shared" si="9"/>
        <v>25813.37207736613</v>
      </c>
      <c r="Q198" s="1">
        <f t="shared" si="10"/>
        <v>0</v>
      </c>
      <c r="R198" s="1">
        <f t="shared" si="11"/>
        <v>0</v>
      </c>
      <c r="S198" s="1">
        <f t="shared" si="12"/>
        <v>0</v>
      </c>
      <c r="Z198" s="11"/>
    </row>
    <row r="199" spans="1:27" ht="15.75" customHeight="1" x14ac:dyDescent="0.25">
      <c r="A199" s="28" t="s">
        <v>250</v>
      </c>
      <c r="B199" s="1">
        <v>12848</v>
      </c>
      <c r="C199" s="6">
        <v>100</v>
      </c>
      <c r="D199" s="11"/>
      <c r="E199" s="6">
        <f>B2</f>
        <v>511293</v>
      </c>
      <c r="F199" s="8">
        <v>27030</v>
      </c>
      <c r="G199" s="29">
        <f t="shared" si="2"/>
        <v>45292</v>
      </c>
      <c r="H199" s="9">
        <v>11.673118603591201</v>
      </c>
      <c r="I199" s="1">
        <v>100</v>
      </c>
      <c r="J199" s="17">
        <v>10000</v>
      </c>
      <c r="K199" s="1">
        <f t="shared" si="5"/>
        <v>1917.3487499999999</v>
      </c>
      <c r="L199" s="1">
        <f t="shared" si="6"/>
        <v>5752.0462499999994</v>
      </c>
      <c r="M199" s="10">
        <f t="shared" si="13"/>
        <v>3.0000000000000001E-3</v>
      </c>
      <c r="N199" s="1">
        <f t="shared" si="7"/>
        <v>40.389391569410947</v>
      </c>
      <c r="O199" s="1">
        <f t="shared" si="8"/>
        <v>747.95375000000058</v>
      </c>
      <c r="P199" s="1">
        <f t="shared" si="9"/>
        <v>25564.65</v>
      </c>
      <c r="Q199" s="1">
        <f t="shared" si="10"/>
        <v>0</v>
      </c>
      <c r="R199" s="1">
        <f t="shared" si="11"/>
        <v>0</v>
      </c>
      <c r="S199" s="1">
        <f t="shared" si="12"/>
        <v>0</v>
      </c>
      <c r="Z199" s="11"/>
    </row>
    <row r="200" spans="1:27" ht="15.75" customHeight="1" x14ac:dyDescent="0.25">
      <c r="A200" s="30"/>
      <c r="D200" s="11"/>
      <c r="Z200" s="11"/>
    </row>
    <row r="201" spans="1:27" ht="15.75" customHeight="1" x14ac:dyDescent="0.25">
      <c r="A201" s="30"/>
      <c r="D201" s="11"/>
      <c r="Z201" s="11"/>
    </row>
    <row r="202" spans="1:27" ht="15.75" customHeight="1" x14ac:dyDescent="0.25">
      <c r="D202" s="11"/>
      <c r="Z202" s="11"/>
    </row>
    <row r="203" spans="1:27" ht="15.75" customHeight="1" x14ac:dyDescent="0.25">
      <c r="D203" s="11"/>
      <c r="Z203" s="11"/>
    </row>
    <row r="204" spans="1:27" ht="15.75" customHeight="1" x14ac:dyDescent="0.25">
      <c r="D204" s="11"/>
      <c r="Z204" s="11"/>
    </row>
    <row r="205" spans="1:27" ht="15.75" customHeight="1" x14ac:dyDescent="0.25">
      <c r="D205" s="11"/>
      <c r="Z205" s="11"/>
    </row>
    <row r="206" spans="1:27" ht="15.75" customHeight="1" x14ac:dyDescent="0.25">
      <c r="D206" s="11"/>
      <c r="Z206" s="11"/>
    </row>
    <row r="207" spans="1:27" ht="15.75" customHeight="1" x14ac:dyDescent="0.25">
      <c r="D207" s="11"/>
      <c r="Z207" s="11"/>
    </row>
    <row r="208" spans="1:27" ht="15.75" customHeight="1" x14ac:dyDescent="0.25">
      <c r="D208" s="11"/>
      <c r="Z208" s="11"/>
    </row>
    <row r="209" spans="4:26" ht="15.75" customHeight="1" x14ac:dyDescent="0.25">
      <c r="D209" s="11"/>
      <c r="Z209" s="11"/>
    </row>
    <row r="210" spans="4:26" ht="15.75" customHeight="1" x14ac:dyDescent="0.25">
      <c r="D210" s="11"/>
      <c r="Z210" s="11"/>
    </row>
    <row r="211" spans="4:26" ht="15.75" customHeight="1" x14ac:dyDescent="0.25">
      <c r="D211" s="11"/>
      <c r="Z211" s="11"/>
    </row>
    <row r="212" spans="4:26" ht="15.75" customHeight="1" x14ac:dyDescent="0.25">
      <c r="D212" s="11"/>
      <c r="Z212" s="11"/>
    </row>
    <row r="213" spans="4:26" ht="15.75" customHeight="1" x14ac:dyDescent="0.25">
      <c r="D213" s="11"/>
      <c r="Z213" s="11"/>
    </row>
    <row r="214" spans="4:26" ht="15.75" customHeight="1" x14ac:dyDescent="0.25">
      <c r="D214" s="11"/>
      <c r="Z214" s="11"/>
    </row>
    <row r="215" spans="4:26" ht="15.75" customHeight="1" x14ac:dyDescent="0.25">
      <c r="D215" s="11"/>
      <c r="Z215" s="11"/>
    </row>
    <row r="216" spans="4:26" ht="15.75" customHeight="1" x14ac:dyDescent="0.25">
      <c r="D216" s="11"/>
      <c r="Z216" s="11"/>
    </row>
    <row r="217" spans="4:26" ht="15.75" customHeight="1" x14ac:dyDescent="0.25">
      <c r="D217" s="11"/>
      <c r="Z217" s="11"/>
    </row>
    <row r="218" spans="4:26" ht="15.75" customHeight="1" x14ac:dyDescent="0.25">
      <c r="D218" s="11"/>
      <c r="Z218" s="11"/>
    </row>
    <row r="219" spans="4:26" ht="15.75" customHeight="1" x14ac:dyDescent="0.25">
      <c r="D219" s="11"/>
      <c r="Z219" s="11"/>
    </row>
    <row r="220" spans="4:26" ht="15.75" customHeight="1" x14ac:dyDescent="0.25">
      <c r="D220" s="11"/>
      <c r="Z220" s="11"/>
    </row>
    <row r="221" spans="4:26" ht="15.75" customHeight="1" x14ac:dyDescent="0.25">
      <c r="D221" s="11"/>
      <c r="Z221" s="11"/>
    </row>
    <row r="222" spans="4:26" ht="15.75" customHeight="1" x14ac:dyDescent="0.25">
      <c r="D222" s="11"/>
      <c r="Z222" s="11"/>
    </row>
    <row r="223" spans="4:26" ht="15.75" customHeight="1" x14ac:dyDescent="0.25">
      <c r="D223" s="11"/>
      <c r="Z223" s="11"/>
    </row>
    <row r="224" spans="4:26" ht="15.75" customHeight="1" x14ac:dyDescent="0.25">
      <c r="D224" s="11"/>
      <c r="Z224" s="11"/>
    </row>
    <row r="225" spans="4:26" ht="15.75" customHeight="1" x14ac:dyDescent="0.25">
      <c r="D225" s="11"/>
      <c r="Z225" s="11"/>
    </row>
    <row r="226" spans="4:26" ht="15.75" customHeight="1" x14ac:dyDescent="0.25">
      <c r="D226" s="11"/>
      <c r="Z226" s="11"/>
    </row>
    <row r="227" spans="4:26" ht="15.75" customHeight="1" x14ac:dyDescent="0.25">
      <c r="D227" s="11"/>
      <c r="Z227" s="11"/>
    </row>
    <row r="228" spans="4:26" ht="15.75" customHeight="1" x14ac:dyDescent="0.25">
      <c r="D228" s="11"/>
      <c r="Z228" s="11"/>
    </row>
    <row r="229" spans="4:26" ht="15.75" customHeight="1" x14ac:dyDescent="0.25">
      <c r="D229" s="11"/>
      <c r="Z229" s="11"/>
    </row>
    <row r="230" spans="4:26" ht="15.75" customHeight="1" x14ac:dyDescent="0.25">
      <c r="D230" s="11"/>
      <c r="Z230" s="11"/>
    </row>
    <row r="231" spans="4:26" ht="15.75" customHeight="1" x14ac:dyDescent="0.25">
      <c r="D231" s="11"/>
      <c r="Z231" s="11"/>
    </row>
    <row r="232" spans="4:26" ht="15.75" customHeight="1" x14ac:dyDescent="0.25">
      <c r="D232" s="11"/>
      <c r="Z232" s="11"/>
    </row>
    <row r="233" spans="4:26" ht="15.75" customHeight="1" x14ac:dyDescent="0.25">
      <c r="D233" s="11"/>
      <c r="Z233" s="11"/>
    </row>
    <row r="234" spans="4:26" ht="15.75" customHeight="1" x14ac:dyDescent="0.25">
      <c r="D234" s="11"/>
      <c r="Z234" s="11"/>
    </row>
    <row r="235" spans="4:26" ht="15.75" customHeight="1" x14ac:dyDescent="0.25">
      <c r="D235" s="11"/>
      <c r="Z235" s="11"/>
    </row>
    <row r="236" spans="4:26" ht="15.75" customHeight="1" x14ac:dyDescent="0.25">
      <c r="D236" s="11"/>
      <c r="Z236" s="11"/>
    </row>
    <row r="237" spans="4:26" ht="15.75" customHeight="1" x14ac:dyDescent="0.25">
      <c r="D237" s="11"/>
      <c r="Z237" s="11"/>
    </row>
    <row r="238" spans="4:26" ht="15.75" customHeight="1" x14ac:dyDescent="0.25">
      <c r="D238" s="11"/>
      <c r="Z238" s="11"/>
    </row>
    <row r="239" spans="4:26" ht="15.75" customHeight="1" x14ac:dyDescent="0.25">
      <c r="D239" s="11"/>
      <c r="Z239" s="11"/>
    </row>
    <row r="240" spans="4:26" ht="15.75" customHeight="1" x14ac:dyDescent="0.25">
      <c r="D240" s="11"/>
      <c r="Z240" s="11"/>
    </row>
    <row r="241" spans="4:26" ht="15.75" customHeight="1" x14ac:dyDescent="0.25">
      <c r="D241" s="11"/>
      <c r="Z241" s="11"/>
    </row>
    <row r="242" spans="4:26" ht="15.75" customHeight="1" x14ac:dyDescent="0.25">
      <c r="D242" s="11"/>
      <c r="Z242" s="11"/>
    </row>
    <row r="243" spans="4:26" ht="15.75" customHeight="1" x14ac:dyDescent="0.25">
      <c r="D243" s="11"/>
      <c r="Z243" s="11"/>
    </row>
    <row r="244" spans="4:26" ht="15.75" customHeight="1" x14ac:dyDescent="0.25">
      <c r="D244" s="11"/>
      <c r="Z244" s="11"/>
    </row>
    <row r="245" spans="4:26" ht="15.75" customHeight="1" x14ac:dyDescent="0.25">
      <c r="D245" s="11"/>
      <c r="Z245" s="11"/>
    </row>
    <row r="246" spans="4:26" ht="15.75" customHeight="1" x14ac:dyDescent="0.25">
      <c r="D246" s="11"/>
      <c r="Z246" s="11"/>
    </row>
    <row r="247" spans="4:26" ht="15.75" customHeight="1" x14ac:dyDescent="0.25">
      <c r="D247" s="11"/>
      <c r="Z247" s="11"/>
    </row>
    <row r="248" spans="4:26" ht="15.75" customHeight="1" x14ac:dyDescent="0.25">
      <c r="D248" s="11"/>
      <c r="Z248" s="11"/>
    </row>
    <row r="249" spans="4:26" ht="15.75" customHeight="1" x14ac:dyDescent="0.25">
      <c r="D249" s="11"/>
      <c r="Z249" s="11"/>
    </row>
    <row r="250" spans="4:26" ht="15.75" customHeight="1" x14ac:dyDescent="0.25">
      <c r="D250" s="11"/>
      <c r="Z250" s="11"/>
    </row>
    <row r="251" spans="4:26" ht="15.75" customHeight="1" x14ac:dyDescent="0.25">
      <c r="D251" s="11"/>
      <c r="Z251" s="11"/>
    </row>
    <row r="252" spans="4:26" ht="15.75" customHeight="1" x14ac:dyDescent="0.25">
      <c r="D252" s="11"/>
      <c r="Z252" s="11"/>
    </row>
    <row r="253" spans="4:26" ht="15.75" customHeight="1" x14ac:dyDescent="0.25">
      <c r="D253" s="11"/>
      <c r="Z253" s="11"/>
    </row>
    <row r="254" spans="4:26" ht="15.75" customHeight="1" x14ac:dyDescent="0.25">
      <c r="D254" s="11"/>
      <c r="Z254" s="11"/>
    </row>
    <row r="255" spans="4:26" ht="15.75" customHeight="1" x14ac:dyDescent="0.25">
      <c r="D255" s="11"/>
      <c r="Z255" s="11"/>
    </row>
    <row r="256" spans="4:26" ht="15.75" customHeight="1" x14ac:dyDescent="0.25">
      <c r="D256" s="11"/>
      <c r="Z256" s="11"/>
    </row>
    <row r="257" spans="4:26" ht="15.75" customHeight="1" x14ac:dyDescent="0.25">
      <c r="D257" s="11"/>
      <c r="Z257" s="11"/>
    </row>
    <row r="258" spans="4:26" ht="15.75" customHeight="1" x14ac:dyDescent="0.25">
      <c r="D258" s="11"/>
      <c r="Z258" s="11"/>
    </row>
    <row r="259" spans="4:26" ht="15.75" customHeight="1" x14ac:dyDescent="0.25">
      <c r="D259" s="11"/>
      <c r="Z259" s="11"/>
    </row>
    <row r="260" spans="4:26" ht="15.75" customHeight="1" x14ac:dyDescent="0.25">
      <c r="D260" s="11"/>
      <c r="Z260" s="11"/>
    </row>
    <row r="261" spans="4:26" ht="15.75" customHeight="1" x14ac:dyDescent="0.25">
      <c r="D261" s="11"/>
      <c r="Z261" s="11"/>
    </row>
    <row r="262" spans="4:26" ht="15.75" customHeight="1" x14ac:dyDescent="0.25">
      <c r="D262" s="11"/>
      <c r="Z262" s="11"/>
    </row>
    <row r="263" spans="4:26" ht="15.75" customHeight="1" x14ac:dyDescent="0.25">
      <c r="D263" s="11"/>
      <c r="Z263" s="11"/>
    </row>
    <row r="264" spans="4:26" ht="15.75" customHeight="1" x14ac:dyDescent="0.25">
      <c r="D264" s="11"/>
      <c r="Z264" s="11"/>
    </row>
    <row r="265" spans="4:26" ht="15.75" customHeight="1" x14ac:dyDescent="0.25">
      <c r="D265" s="11"/>
      <c r="Z265" s="11"/>
    </row>
    <row r="266" spans="4:26" ht="15.75" customHeight="1" x14ac:dyDescent="0.25">
      <c r="D266" s="11"/>
      <c r="Z266" s="11"/>
    </row>
    <row r="267" spans="4:26" ht="15.75" customHeight="1" x14ac:dyDescent="0.25">
      <c r="D267" s="11"/>
      <c r="Z267" s="11"/>
    </row>
    <row r="268" spans="4:26" ht="15.75" customHeight="1" x14ac:dyDescent="0.25">
      <c r="D268" s="11"/>
      <c r="Z268" s="11"/>
    </row>
    <row r="269" spans="4:26" ht="15.75" customHeight="1" x14ac:dyDescent="0.25">
      <c r="D269" s="11"/>
      <c r="Z269" s="11"/>
    </row>
    <row r="270" spans="4:26" ht="15.75" customHeight="1" x14ac:dyDescent="0.25">
      <c r="D270" s="11"/>
      <c r="Z270" s="11"/>
    </row>
    <row r="271" spans="4:26" ht="15.75" customHeight="1" x14ac:dyDescent="0.25">
      <c r="D271" s="11"/>
      <c r="Z271" s="11"/>
    </row>
    <row r="272" spans="4:26" ht="15.75" customHeight="1" x14ac:dyDescent="0.25">
      <c r="D272" s="11"/>
      <c r="Z272" s="11"/>
    </row>
    <row r="273" spans="4:26" ht="15.75" customHeight="1" x14ac:dyDescent="0.25">
      <c r="D273" s="11"/>
      <c r="Z273" s="11"/>
    </row>
    <row r="274" spans="4:26" ht="15.75" customHeight="1" x14ac:dyDescent="0.25">
      <c r="D274" s="11"/>
      <c r="Z274" s="11"/>
    </row>
    <row r="275" spans="4:26" ht="15.75" customHeight="1" x14ac:dyDescent="0.25">
      <c r="D275" s="11"/>
      <c r="Z275" s="11"/>
    </row>
    <row r="276" spans="4:26" ht="15.75" customHeight="1" x14ac:dyDescent="0.25">
      <c r="D276" s="11"/>
      <c r="Z276" s="11"/>
    </row>
    <row r="277" spans="4:26" ht="15.75" customHeight="1" x14ac:dyDescent="0.25">
      <c r="D277" s="11"/>
      <c r="Z277" s="11"/>
    </row>
    <row r="278" spans="4:26" ht="15.75" customHeight="1" x14ac:dyDescent="0.25">
      <c r="D278" s="11"/>
      <c r="Z278" s="11"/>
    </row>
    <row r="279" spans="4:26" ht="15.75" customHeight="1" x14ac:dyDescent="0.25">
      <c r="D279" s="11"/>
      <c r="Z279" s="11"/>
    </row>
    <row r="280" spans="4:26" ht="15.75" customHeight="1" x14ac:dyDescent="0.25">
      <c r="D280" s="11"/>
      <c r="Z280" s="11"/>
    </row>
    <row r="281" spans="4:26" ht="15.75" customHeight="1" x14ac:dyDescent="0.25">
      <c r="D281" s="11"/>
      <c r="Z281" s="11"/>
    </row>
    <row r="282" spans="4:26" ht="15.75" customHeight="1" x14ac:dyDescent="0.25">
      <c r="D282" s="11"/>
      <c r="Z282" s="11"/>
    </row>
    <row r="283" spans="4:26" ht="15.75" customHeight="1" x14ac:dyDescent="0.25">
      <c r="D283" s="11"/>
      <c r="Z283" s="11"/>
    </row>
    <row r="284" spans="4:26" ht="15.75" customHeight="1" x14ac:dyDescent="0.25">
      <c r="D284" s="11"/>
      <c r="Z284" s="11"/>
    </row>
    <row r="285" spans="4:26" ht="15.75" customHeight="1" x14ac:dyDescent="0.25">
      <c r="D285" s="11"/>
      <c r="Z285" s="11"/>
    </row>
    <row r="286" spans="4:26" ht="15.75" customHeight="1" x14ac:dyDescent="0.25">
      <c r="D286" s="11"/>
      <c r="Z286" s="11"/>
    </row>
    <row r="287" spans="4:26" ht="15.75" customHeight="1" x14ac:dyDescent="0.25">
      <c r="D287" s="11"/>
      <c r="Z287" s="11"/>
    </row>
    <row r="288" spans="4:26" ht="15.75" customHeight="1" x14ac:dyDescent="0.25">
      <c r="D288" s="11"/>
      <c r="Z288" s="11"/>
    </row>
    <row r="289" spans="4:26" ht="15.75" customHeight="1" x14ac:dyDescent="0.25">
      <c r="D289" s="11"/>
      <c r="Z289" s="11"/>
    </row>
    <row r="290" spans="4:26" ht="15.75" customHeight="1" x14ac:dyDescent="0.25">
      <c r="D290" s="11"/>
      <c r="Z290" s="11"/>
    </row>
    <row r="291" spans="4:26" ht="15.75" customHeight="1" x14ac:dyDescent="0.25">
      <c r="D291" s="11"/>
      <c r="Z291" s="11"/>
    </row>
    <row r="292" spans="4:26" ht="15.75" customHeight="1" x14ac:dyDescent="0.25">
      <c r="D292" s="11"/>
      <c r="Z292" s="11"/>
    </row>
    <row r="293" spans="4:26" ht="15.75" customHeight="1" x14ac:dyDescent="0.25">
      <c r="D293" s="11"/>
      <c r="Z293" s="11"/>
    </row>
    <row r="294" spans="4:26" ht="15.75" customHeight="1" x14ac:dyDescent="0.25">
      <c r="D294" s="11"/>
      <c r="Z294" s="11"/>
    </row>
    <row r="295" spans="4:26" ht="15.75" customHeight="1" x14ac:dyDescent="0.25">
      <c r="D295" s="11"/>
      <c r="Z295" s="11"/>
    </row>
    <row r="296" spans="4:26" ht="15.75" customHeight="1" x14ac:dyDescent="0.25">
      <c r="D296" s="11"/>
      <c r="Z296" s="11"/>
    </row>
    <row r="297" spans="4:26" ht="15.75" customHeight="1" x14ac:dyDescent="0.25">
      <c r="D297" s="11"/>
      <c r="Z297" s="11"/>
    </row>
    <row r="298" spans="4:26" ht="15.75" customHeight="1" x14ac:dyDescent="0.25">
      <c r="D298" s="11"/>
      <c r="Z298" s="11"/>
    </row>
    <row r="299" spans="4:26" ht="15.75" customHeight="1" x14ac:dyDescent="0.25">
      <c r="D299" s="11"/>
      <c r="Z299" s="11"/>
    </row>
    <row r="300" spans="4:26" ht="15.75" customHeight="1" x14ac:dyDescent="0.25">
      <c r="D300" s="11"/>
      <c r="Z300" s="11"/>
    </row>
    <row r="301" spans="4:26" ht="15.75" customHeight="1" x14ac:dyDescent="0.25">
      <c r="D301" s="11"/>
      <c r="Z301" s="11"/>
    </row>
    <row r="302" spans="4:26" ht="15.75" customHeight="1" x14ac:dyDescent="0.25">
      <c r="D302" s="11"/>
      <c r="Z302" s="11"/>
    </row>
    <row r="303" spans="4:26" ht="15.75" customHeight="1" x14ac:dyDescent="0.25">
      <c r="D303" s="11"/>
      <c r="Z303" s="11"/>
    </row>
    <row r="304" spans="4:26" ht="15.75" customHeight="1" x14ac:dyDescent="0.25">
      <c r="D304" s="11"/>
      <c r="Z304" s="11"/>
    </row>
    <row r="305" spans="4:26" ht="15.75" customHeight="1" x14ac:dyDescent="0.25">
      <c r="D305" s="11"/>
      <c r="Z305" s="11"/>
    </row>
    <row r="306" spans="4:26" ht="15.75" customHeight="1" x14ac:dyDescent="0.25">
      <c r="D306" s="11"/>
      <c r="Z306" s="11"/>
    </row>
    <row r="307" spans="4:26" ht="15.75" customHeight="1" x14ac:dyDescent="0.25">
      <c r="D307" s="11"/>
      <c r="Z307" s="11"/>
    </row>
    <row r="308" spans="4:26" ht="15.75" customHeight="1" x14ac:dyDescent="0.25">
      <c r="D308" s="11"/>
      <c r="Z308" s="11"/>
    </row>
    <row r="309" spans="4:26" ht="15.75" customHeight="1" x14ac:dyDescent="0.25">
      <c r="D309" s="11"/>
      <c r="Z309" s="11"/>
    </row>
    <row r="310" spans="4:26" ht="15.75" customHeight="1" x14ac:dyDescent="0.25">
      <c r="D310" s="11"/>
      <c r="Z310" s="11"/>
    </row>
    <row r="311" spans="4:26" ht="15.75" customHeight="1" x14ac:dyDescent="0.25">
      <c r="D311" s="11"/>
      <c r="Z311" s="11"/>
    </row>
    <row r="312" spans="4:26" ht="15.75" customHeight="1" x14ac:dyDescent="0.25">
      <c r="D312" s="11"/>
      <c r="Z312" s="11"/>
    </row>
    <row r="313" spans="4:26" ht="15.75" customHeight="1" x14ac:dyDescent="0.25">
      <c r="D313" s="11"/>
      <c r="Z313" s="11"/>
    </row>
    <row r="314" spans="4:26" ht="15.75" customHeight="1" x14ac:dyDescent="0.25">
      <c r="D314" s="11"/>
      <c r="Z314" s="11"/>
    </row>
    <row r="315" spans="4:26" ht="15.75" customHeight="1" x14ac:dyDescent="0.25">
      <c r="D315" s="11"/>
      <c r="Z315" s="11"/>
    </row>
    <row r="316" spans="4:26" ht="15.75" customHeight="1" x14ac:dyDescent="0.25">
      <c r="D316" s="11"/>
      <c r="Z316" s="11"/>
    </row>
    <row r="317" spans="4:26" ht="15.75" customHeight="1" x14ac:dyDescent="0.25">
      <c r="D317" s="11"/>
      <c r="Z317" s="11"/>
    </row>
    <row r="318" spans="4:26" ht="15.75" customHeight="1" x14ac:dyDescent="0.25">
      <c r="D318" s="11"/>
      <c r="Z318" s="11"/>
    </row>
    <row r="319" spans="4:26" ht="15.75" customHeight="1" x14ac:dyDescent="0.25">
      <c r="D319" s="11"/>
      <c r="Z319" s="11"/>
    </row>
    <row r="320" spans="4:26" ht="15.75" customHeight="1" x14ac:dyDescent="0.25">
      <c r="D320" s="11"/>
      <c r="Z320" s="11"/>
    </row>
    <row r="321" spans="4:26" ht="15.75" customHeight="1" x14ac:dyDescent="0.25">
      <c r="D321" s="11"/>
      <c r="Z321" s="11"/>
    </row>
    <row r="322" spans="4:26" ht="15.75" customHeight="1" x14ac:dyDescent="0.25">
      <c r="D322" s="11"/>
      <c r="Z322" s="11"/>
    </row>
    <row r="323" spans="4:26" ht="15.75" customHeight="1" x14ac:dyDescent="0.25">
      <c r="D323" s="11"/>
      <c r="Z323" s="11"/>
    </row>
    <row r="324" spans="4:26" ht="15.75" customHeight="1" x14ac:dyDescent="0.25">
      <c r="D324" s="11"/>
      <c r="Z324" s="11"/>
    </row>
    <row r="325" spans="4:26" ht="15.75" customHeight="1" x14ac:dyDescent="0.25">
      <c r="D325" s="11"/>
      <c r="Z325" s="11"/>
    </row>
    <row r="326" spans="4:26" ht="15.75" customHeight="1" x14ac:dyDescent="0.25">
      <c r="D326" s="11"/>
      <c r="Z326" s="11"/>
    </row>
    <row r="327" spans="4:26" ht="15.75" customHeight="1" x14ac:dyDescent="0.25">
      <c r="D327" s="11"/>
      <c r="Z327" s="11"/>
    </row>
    <row r="328" spans="4:26" ht="15.75" customHeight="1" x14ac:dyDescent="0.25">
      <c r="D328" s="11"/>
      <c r="Z328" s="11"/>
    </row>
    <row r="329" spans="4:26" ht="15.75" customHeight="1" x14ac:dyDescent="0.25">
      <c r="D329" s="11"/>
      <c r="Z329" s="11"/>
    </row>
    <row r="330" spans="4:26" ht="15.75" customHeight="1" x14ac:dyDescent="0.25">
      <c r="D330" s="11"/>
      <c r="Z330" s="11"/>
    </row>
    <row r="331" spans="4:26" ht="15.75" customHeight="1" x14ac:dyDescent="0.25">
      <c r="D331" s="11"/>
      <c r="Z331" s="11"/>
    </row>
    <row r="332" spans="4:26" ht="15.75" customHeight="1" x14ac:dyDescent="0.25">
      <c r="D332" s="11"/>
      <c r="Z332" s="11"/>
    </row>
    <row r="333" spans="4:26" ht="15.75" customHeight="1" x14ac:dyDescent="0.25">
      <c r="D333" s="11"/>
      <c r="Z333" s="11"/>
    </row>
    <row r="334" spans="4:26" ht="15.75" customHeight="1" x14ac:dyDescent="0.25">
      <c r="D334" s="11"/>
      <c r="Z334" s="11"/>
    </row>
    <row r="335" spans="4:26" ht="15.75" customHeight="1" x14ac:dyDescent="0.25">
      <c r="D335" s="11"/>
      <c r="Z335" s="11"/>
    </row>
    <row r="336" spans="4:26" ht="15.75" customHeight="1" x14ac:dyDescent="0.25">
      <c r="D336" s="11"/>
      <c r="Z336" s="11"/>
    </row>
    <row r="337" spans="4:26" ht="15.75" customHeight="1" x14ac:dyDescent="0.25">
      <c r="D337" s="11"/>
      <c r="Z337" s="11"/>
    </row>
    <row r="338" spans="4:26" ht="15.75" customHeight="1" x14ac:dyDescent="0.25">
      <c r="D338" s="11"/>
      <c r="Z338" s="11"/>
    </row>
    <row r="339" spans="4:26" ht="15.75" customHeight="1" x14ac:dyDescent="0.25">
      <c r="D339" s="11"/>
      <c r="Z339" s="11"/>
    </row>
    <row r="340" spans="4:26" ht="15.75" customHeight="1" x14ac:dyDescent="0.25">
      <c r="D340" s="11"/>
      <c r="Z340" s="11"/>
    </row>
    <row r="341" spans="4:26" ht="15.75" customHeight="1" x14ac:dyDescent="0.25">
      <c r="D341" s="11"/>
      <c r="Z341" s="11"/>
    </row>
    <row r="342" spans="4:26" ht="15.75" customHeight="1" x14ac:dyDescent="0.25">
      <c r="D342" s="11"/>
      <c r="Z342" s="11"/>
    </row>
    <row r="343" spans="4:26" ht="15.75" customHeight="1" x14ac:dyDescent="0.25">
      <c r="D343" s="11"/>
      <c r="Z343" s="11"/>
    </row>
    <row r="344" spans="4:26" ht="15.75" customHeight="1" x14ac:dyDescent="0.25">
      <c r="D344" s="11"/>
      <c r="Z344" s="11"/>
    </row>
    <row r="345" spans="4:26" ht="15.75" customHeight="1" x14ac:dyDescent="0.25">
      <c r="D345" s="11"/>
      <c r="Z345" s="11"/>
    </row>
    <row r="346" spans="4:26" ht="15.75" customHeight="1" x14ac:dyDescent="0.25">
      <c r="D346" s="11"/>
      <c r="Z346" s="11"/>
    </row>
    <row r="347" spans="4:26" ht="15.75" customHeight="1" x14ac:dyDescent="0.25">
      <c r="D347" s="11"/>
      <c r="Z347" s="11"/>
    </row>
    <row r="348" spans="4:26" ht="15.75" customHeight="1" x14ac:dyDescent="0.25">
      <c r="D348" s="11"/>
      <c r="Z348" s="11"/>
    </row>
    <row r="349" spans="4:26" ht="15.75" customHeight="1" x14ac:dyDescent="0.25">
      <c r="D349" s="11"/>
      <c r="Z349" s="11"/>
    </row>
    <row r="350" spans="4:26" ht="15.75" customHeight="1" x14ac:dyDescent="0.25">
      <c r="D350" s="11"/>
      <c r="Z350" s="11"/>
    </row>
    <row r="351" spans="4:26" ht="15.75" customHeight="1" x14ac:dyDescent="0.25">
      <c r="D351" s="11"/>
      <c r="Z351" s="11"/>
    </row>
    <row r="352" spans="4:26" ht="15.75" customHeight="1" x14ac:dyDescent="0.25">
      <c r="D352" s="11"/>
      <c r="Z352" s="11"/>
    </row>
    <row r="353" spans="4:26" ht="15.75" customHeight="1" x14ac:dyDescent="0.25">
      <c r="D353" s="11"/>
      <c r="Z353" s="11"/>
    </row>
    <row r="354" spans="4:26" ht="15.75" customHeight="1" x14ac:dyDescent="0.25">
      <c r="D354" s="11"/>
      <c r="Z354" s="11"/>
    </row>
    <row r="355" spans="4:26" ht="15.75" customHeight="1" x14ac:dyDescent="0.25">
      <c r="D355" s="11"/>
      <c r="Z355" s="11"/>
    </row>
    <row r="356" spans="4:26" ht="15.75" customHeight="1" x14ac:dyDescent="0.25">
      <c r="D356" s="11"/>
      <c r="Z356" s="11"/>
    </row>
    <row r="357" spans="4:26" ht="15.75" customHeight="1" x14ac:dyDescent="0.25">
      <c r="D357" s="11"/>
      <c r="Z357" s="11"/>
    </row>
    <row r="358" spans="4:26" ht="15.75" customHeight="1" x14ac:dyDescent="0.25">
      <c r="D358" s="11"/>
      <c r="Z358" s="11"/>
    </row>
    <row r="359" spans="4:26" ht="15.75" customHeight="1" x14ac:dyDescent="0.25">
      <c r="D359" s="11"/>
      <c r="Z359" s="11"/>
    </row>
    <row r="360" spans="4:26" ht="15.75" customHeight="1" x14ac:dyDescent="0.25">
      <c r="D360" s="11"/>
      <c r="Z360" s="11"/>
    </row>
    <row r="361" spans="4:26" ht="15.75" customHeight="1" x14ac:dyDescent="0.25">
      <c r="D361" s="11"/>
      <c r="Z361" s="11"/>
    </row>
    <row r="362" spans="4:26" ht="15.75" customHeight="1" x14ac:dyDescent="0.25">
      <c r="D362" s="11"/>
      <c r="Z362" s="11"/>
    </row>
    <row r="363" spans="4:26" ht="15.75" customHeight="1" x14ac:dyDescent="0.25">
      <c r="D363" s="11"/>
      <c r="Z363" s="11"/>
    </row>
    <row r="364" spans="4:26" ht="15.75" customHeight="1" x14ac:dyDescent="0.25">
      <c r="D364" s="11"/>
      <c r="Z364" s="11"/>
    </row>
    <row r="365" spans="4:26" ht="15.75" customHeight="1" x14ac:dyDescent="0.25">
      <c r="D365" s="11"/>
      <c r="Z365" s="11"/>
    </row>
    <row r="366" spans="4:26" ht="15.75" customHeight="1" x14ac:dyDescent="0.25">
      <c r="D366" s="11"/>
      <c r="Z366" s="11"/>
    </row>
    <row r="367" spans="4:26" ht="15.75" customHeight="1" x14ac:dyDescent="0.25">
      <c r="D367" s="11"/>
      <c r="Z367" s="11"/>
    </row>
    <row r="368" spans="4:26" ht="15.75" customHeight="1" x14ac:dyDescent="0.25">
      <c r="D368" s="11"/>
      <c r="Z368" s="11"/>
    </row>
    <row r="369" spans="4:26" ht="15.75" customHeight="1" x14ac:dyDescent="0.25">
      <c r="D369" s="11"/>
      <c r="Z369" s="11"/>
    </row>
    <row r="370" spans="4:26" ht="15.75" customHeight="1" x14ac:dyDescent="0.25">
      <c r="D370" s="11"/>
      <c r="Z370" s="11"/>
    </row>
    <row r="371" spans="4:26" ht="15.75" customHeight="1" x14ac:dyDescent="0.25">
      <c r="D371" s="11"/>
      <c r="Z371" s="11"/>
    </row>
    <row r="372" spans="4:26" ht="15.75" customHeight="1" x14ac:dyDescent="0.25">
      <c r="D372" s="11"/>
      <c r="Z372" s="11"/>
    </row>
    <row r="373" spans="4:26" ht="15.75" customHeight="1" x14ac:dyDescent="0.25">
      <c r="D373" s="11"/>
      <c r="Z373" s="11"/>
    </row>
    <row r="374" spans="4:26" ht="15.75" customHeight="1" x14ac:dyDescent="0.25">
      <c r="D374" s="11"/>
      <c r="Z374" s="11"/>
    </row>
    <row r="375" spans="4:26" ht="15.75" customHeight="1" x14ac:dyDescent="0.25">
      <c r="D375" s="11"/>
      <c r="Z375" s="11"/>
    </row>
    <row r="376" spans="4:26" ht="15.75" customHeight="1" x14ac:dyDescent="0.25">
      <c r="D376" s="11"/>
      <c r="Z376" s="11"/>
    </row>
    <row r="377" spans="4:26" ht="15.75" customHeight="1" x14ac:dyDescent="0.25">
      <c r="D377" s="11"/>
      <c r="Z377" s="11"/>
    </row>
    <row r="378" spans="4:26" ht="15.75" customHeight="1" x14ac:dyDescent="0.25">
      <c r="D378" s="11"/>
      <c r="Z378" s="11"/>
    </row>
    <row r="379" spans="4:26" ht="15.75" customHeight="1" x14ac:dyDescent="0.25">
      <c r="D379" s="11"/>
      <c r="Z379" s="11"/>
    </row>
    <row r="380" spans="4:26" ht="15.75" customHeight="1" x14ac:dyDescent="0.25">
      <c r="D380" s="11"/>
      <c r="Z380" s="11"/>
    </row>
    <row r="381" spans="4:26" ht="15.75" customHeight="1" x14ac:dyDescent="0.25">
      <c r="D381" s="11"/>
      <c r="Z381" s="11"/>
    </row>
    <row r="382" spans="4:26" ht="15.75" customHeight="1" x14ac:dyDescent="0.25">
      <c r="D382" s="11"/>
      <c r="Z382" s="11"/>
    </row>
    <row r="383" spans="4:26" ht="15.75" customHeight="1" x14ac:dyDescent="0.25">
      <c r="D383" s="11"/>
      <c r="Z383" s="11"/>
    </row>
    <row r="384" spans="4:26" ht="15.75" customHeight="1" x14ac:dyDescent="0.25">
      <c r="D384" s="11"/>
      <c r="Z384" s="11"/>
    </row>
    <row r="385" spans="4:26" ht="15.75" customHeight="1" x14ac:dyDescent="0.25">
      <c r="D385" s="11"/>
      <c r="Z385" s="11"/>
    </row>
    <row r="386" spans="4:26" ht="15.75" customHeight="1" x14ac:dyDescent="0.25">
      <c r="D386" s="11"/>
      <c r="Z386" s="11"/>
    </row>
    <row r="387" spans="4:26" ht="15.75" customHeight="1" x14ac:dyDescent="0.25">
      <c r="D387" s="11"/>
      <c r="Z387" s="11"/>
    </row>
    <row r="388" spans="4:26" ht="15.75" customHeight="1" x14ac:dyDescent="0.25">
      <c r="D388" s="11"/>
      <c r="Z388" s="11"/>
    </row>
    <row r="389" spans="4:26" ht="15.75" customHeight="1" x14ac:dyDescent="0.25">
      <c r="D389" s="11"/>
      <c r="Z389" s="11"/>
    </row>
    <row r="390" spans="4:26" ht="15.75" customHeight="1" x14ac:dyDescent="0.25">
      <c r="D390" s="11"/>
      <c r="Z390" s="11"/>
    </row>
    <row r="391" spans="4:26" ht="15.75" customHeight="1" x14ac:dyDescent="0.25">
      <c r="D391" s="11"/>
      <c r="Z391" s="11"/>
    </row>
    <row r="392" spans="4:26" ht="15.75" customHeight="1" x14ac:dyDescent="0.25">
      <c r="D392" s="11"/>
      <c r="Z392" s="11"/>
    </row>
    <row r="393" spans="4:26" ht="15.75" customHeight="1" x14ac:dyDescent="0.25">
      <c r="D393" s="11"/>
      <c r="Z393" s="11"/>
    </row>
    <row r="394" spans="4:26" ht="15.75" customHeight="1" x14ac:dyDescent="0.25">
      <c r="D394" s="11"/>
      <c r="Z394" s="11"/>
    </row>
    <row r="395" spans="4:26" ht="15.75" customHeight="1" x14ac:dyDescent="0.25">
      <c r="D395" s="11"/>
      <c r="Z395" s="11"/>
    </row>
    <row r="396" spans="4:26" ht="15.75" customHeight="1" x14ac:dyDescent="0.25">
      <c r="D396" s="11"/>
      <c r="Z396" s="11"/>
    </row>
    <row r="397" spans="4:26" ht="15.75" customHeight="1" x14ac:dyDescent="0.25">
      <c r="D397" s="11"/>
      <c r="Z397" s="11"/>
    </row>
    <row r="398" spans="4:26" ht="15.75" customHeight="1" x14ac:dyDescent="0.25">
      <c r="D398" s="11"/>
      <c r="Z398" s="11"/>
    </row>
    <row r="399" spans="4:26" ht="15.75" customHeight="1" x14ac:dyDescent="0.25">
      <c r="D399" s="11"/>
      <c r="Z399" s="11"/>
    </row>
    <row r="400" spans="4:26" ht="15.75" customHeight="1" x14ac:dyDescent="0.25">
      <c r="D400" s="11"/>
      <c r="Z400" s="11"/>
    </row>
    <row r="401" spans="4:26" ht="15.75" customHeight="1" x14ac:dyDescent="0.25">
      <c r="D401" s="11"/>
      <c r="Z401" s="11"/>
    </row>
    <row r="402" spans="4:26" ht="15.75" customHeight="1" x14ac:dyDescent="0.25">
      <c r="D402" s="11"/>
      <c r="Z402" s="11"/>
    </row>
    <row r="403" spans="4:26" ht="15.75" customHeight="1" x14ac:dyDescent="0.25">
      <c r="D403" s="11"/>
      <c r="Z403" s="11"/>
    </row>
    <row r="404" spans="4:26" ht="15.75" customHeight="1" x14ac:dyDescent="0.25">
      <c r="D404" s="11"/>
      <c r="Z404" s="11"/>
    </row>
    <row r="405" spans="4:26" ht="15.75" customHeight="1" x14ac:dyDescent="0.25">
      <c r="D405" s="11"/>
      <c r="Z405" s="11"/>
    </row>
    <row r="406" spans="4:26" ht="15.75" customHeight="1" x14ac:dyDescent="0.25">
      <c r="D406" s="11"/>
      <c r="Z406" s="11"/>
    </row>
    <row r="407" spans="4:26" ht="15.75" customHeight="1" x14ac:dyDescent="0.25">
      <c r="D407" s="11"/>
      <c r="Z407" s="11"/>
    </row>
    <row r="408" spans="4:26" ht="15.75" customHeight="1" x14ac:dyDescent="0.25">
      <c r="D408" s="11"/>
      <c r="Z408" s="11"/>
    </row>
    <row r="409" spans="4:26" ht="15.75" customHeight="1" x14ac:dyDescent="0.25">
      <c r="D409" s="11"/>
      <c r="Z409" s="11"/>
    </row>
    <row r="410" spans="4:26" ht="15.75" customHeight="1" x14ac:dyDescent="0.25">
      <c r="D410" s="11"/>
      <c r="Z410" s="11"/>
    </row>
    <row r="411" spans="4:26" ht="15.75" customHeight="1" x14ac:dyDescent="0.25">
      <c r="D411" s="11"/>
      <c r="Z411" s="11"/>
    </row>
    <row r="412" spans="4:26" ht="15.75" customHeight="1" x14ac:dyDescent="0.25">
      <c r="D412" s="11"/>
      <c r="Z412" s="11"/>
    </row>
    <row r="413" spans="4:26" ht="15.75" customHeight="1" x14ac:dyDescent="0.25">
      <c r="D413" s="11"/>
      <c r="Z413" s="11"/>
    </row>
    <row r="414" spans="4:26" ht="15.75" customHeight="1" x14ac:dyDescent="0.25">
      <c r="D414" s="11"/>
      <c r="Z414" s="11"/>
    </row>
    <row r="415" spans="4:26" ht="15.75" customHeight="1" x14ac:dyDescent="0.25">
      <c r="D415" s="11"/>
      <c r="Z415" s="11"/>
    </row>
    <row r="416" spans="4:26" ht="15.75" customHeight="1" x14ac:dyDescent="0.25">
      <c r="D416" s="11"/>
      <c r="Z416" s="11"/>
    </row>
    <row r="417" spans="4:26" ht="15.75" customHeight="1" x14ac:dyDescent="0.25">
      <c r="D417" s="11"/>
      <c r="Z417" s="11"/>
    </row>
    <row r="418" spans="4:26" ht="15.75" customHeight="1" x14ac:dyDescent="0.25">
      <c r="D418" s="11"/>
      <c r="Z418" s="11"/>
    </row>
    <row r="419" spans="4:26" ht="15.75" customHeight="1" x14ac:dyDescent="0.25">
      <c r="D419" s="11"/>
      <c r="Z419" s="11"/>
    </row>
    <row r="420" spans="4:26" ht="15.75" customHeight="1" x14ac:dyDescent="0.25">
      <c r="D420" s="11"/>
      <c r="Z420" s="11"/>
    </row>
    <row r="421" spans="4:26" ht="15.75" customHeight="1" x14ac:dyDescent="0.25">
      <c r="D421" s="11"/>
      <c r="Z421" s="11"/>
    </row>
    <row r="422" spans="4:26" ht="15.75" customHeight="1" x14ac:dyDescent="0.25">
      <c r="D422" s="11"/>
      <c r="Z422" s="11"/>
    </row>
    <row r="423" spans="4:26" ht="15.75" customHeight="1" x14ac:dyDescent="0.25">
      <c r="D423" s="11"/>
      <c r="Z423" s="11"/>
    </row>
    <row r="424" spans="4:26" ht="15.75" customHeight="1" x14ac:dyDescent="0.25">
      <c r="D424" s="11"/>
      <c r="Z424" s="11"/>
    </row>
    <row r="425" spans="4:26" ht="15.75" customHeight="1" x14ac:dyDescent="0.25">
      <c r="D425" s="11"/>
      <c r="Z425" s="11"/>
    </row>
    <row r="426" spans="4:26" ht="15.75" customHeight="1" x14ac:dyDescent="0.25">
      <c r="D426" s="11"/>
      <c r="Z426" s="11"/>
    </row>
    <row r="427" spans="4:26" ht="15.75" customHeight="1" x14ac:dyDescent="0.25">
      <c r="D427" s="11"/>
      <c r="Z427" s="11"/>
    </row>
    <row r="428" spans="4:26" ht="15.75" customHeight="1" x14ac:dyDescent="0.25">
      <c r="D428" s="11"/>
      <c r="Z428" s="11"/>
    </row>
    <row r="429" spans="4:26" ht="15.75" customHeight="1" x14ac:dyDescent="0.25">
      <c r="D429" s="11"/>
      <c r="Z429" s="11"/>
    </row>
    <row r="430" spans="4:26" ht="15.75" customHeight="1" x14ac:dyDescent="0.25">
      <c r="D430" s="11"/>
      <c r="Z430" s="11"/>
    </row>
    <row r="431" spans="4:26" ht="15.75" customHeight="1" x14ac:dyDescent="0.25">
      <c r="D431" s="11"/>
      <c r="Z431" s="11"/>
    </row>
    <row r="432" spans="4:26" ht="15.75" customHeight="1" x14ac:dyDescent="0.25">
      <c r="D432" s="11"/>
      <c r="Z432" s="11"/>
    </row>
    <row r="433" spans="4:26" ht="15.75" customHeight="1" x14ac:dyDescent="0.25">
      <c r="D433" s="11"/>
      <c r="Z433" s="11"/>
    </row>
    <row r="434" spans="4:26" ht="15.75" customHeight="1" x14ac:dyDescent="0.25">
      <c r="D434" s="11"/>
      <c r="Z434" s="11"/>
    </row>
    <row r="435" spans="4:26" ht="15.75" customHeight="1" x14ac:dyDescent="0.25">
      <c r="D435" s="11"/>
      <c r="Z435" s="11"/>
    </row>
    <row r="436" spans="4:26" ht="15.75" customHeight="1" x14ac:dyDescent="0.25">
      <c r="D436" s="11"/>
      <c r="Z436" s="11"/>
    </row>
    <row r="437" spans="4:26" ht="15.75" customHeight="1" x14ac:dyDescent="0.25">
      <c r="D437" s="11"/>
      <c r="Z437" s="11"/>
    </row>
    <row r="438" spans="4:26" ht="15.75" customHeight="1" x14ac:dyDescent="0.25">
      <c r="D438" s="11"/>
      <c r="Z438" s="11"/>
    </row>
    <row r="439" spans="4:26" ht="15.75" customHeight="1" x14ac:dyDescent="0.25">
      <c r="D439" s="11"/>
      <c r="Z439" s="11"/>
    </row>
    <row r="440" spans="4:26" ht="15.75" customHeight="1" x14ac:dyDescent="0.25">
      <c r="D440" s="11"/>
      <c r="Z440" s="11"/>
    </row>
    <row r="441" spans="4:26" ht="15.75" customHeight="1" x14ac:dyDescent="0.25">
      <c r="D441" s="11"/>
      <c r="Z441" s="11"/>
    </row>
    <row r="442" spans="4:26" ht="15.75" customHeight="1" x14ac:dyDescent="0.25">
      <c r="D442" s="11"/>
      <c r="Z442" s="11"/>
    </row>
    <row r="443" spans="4:26" ht="15.75" customHeight="1" x14ac:dyDescent="0.25">
      <c r="D443" s="11"/>
      <c r="Z443" s="11"/>
    </row>
    <row r="444" spans="4:26" ht="15.75" customHeight="1" x14ac:dyDescent="0.25">
      <c r="D444" s="11"/>
      <c r="Z444" s="11"/>
    </row>
    <row r="445" spans="4:26" ht="15.75" customHeight="1" x14ac:dyDescent="0.25">
      <c r="D445" s="11"/>
      <c r="Z445" s="11"/>
    </row>
    <row r="446" spans="4:26" ht="15.75" customHeight="1" x14ac:dyDescent="0.25">
      <c r="D446" s="11"/>
      <c r="Z446" s="11"/>
    </row>
    <row r="447" spans="4:26" ht="15.75" customHeight="1" x14ac:dyDescent="0.25">
      <c r="D447" s="11"/>
      <c r="Z447" s="11"/>
    </row>
    <row r="448" spans="4:26" ht="15.75" customHeight="1" x14ac:dyDescent="0.25">
      <c r="D448" s="11"/>
      <c r="Z448" s="11"/>
    </row>
    <row r="449" spans="4:26" ht="15.75" customHeight="1" x14ac:dyDescent="0.25">
      <c r="D449" s="11"/>
      <c r="Z449" s="11"/>
    </row>
    <row r="450" spans="4:26" ht="15.75" customHeight="1" x14ac:dyDescent="0.25">
      <c r="D450" s="11"/>
      <c r="Z450" s="11"/>
    </row>
    <row r="451" spans="4:26" ht="15.75" customHeight="1" x14ac:dyDescent="0.25">
      <c r="D451" s="11"/>
      <c r="Z451" s="11"/>
    </row>
    <row r="452" spans="4:26" ht="15.75" customHeight="1" x14ac:dyDescent="0.25">
      <c r="D452" s="11"/>
      <c r="Z452" s="11"/>
    </row>
    <row r="453" spans="4:26" ht="15.75" customHeight="1" x14ac:dyDescent="0.25">
      <c r="D453" s="11"/>
      <c r="Z453" s="11"/>
    </row>
    <row r="454" spans="4:26" ht="15.75" customHeight="1" x14ac:dyDescent="0.25">
      <c r="D454" s="11"/>
      <c r="Z454" s="11"/>
    </row>
    <row r="455" spans="4:26" ht="15.75" customHeight="1" x14ac:dyDescent="0.25">
      <c r="D455" s="11"/>
      <c r="Z455" s="11"/>
    </row>
    <row r="456" spans="4:26" ht="15.75" customHeight="1" x14ac:dyDescent="0.25">
      <c r="D456" s="11"/>
      <c r="Z456" s="11"/>
    </row>
    <row r="457" spans="4:26" ht="15.75" customHeight="1" x14ac:dyDescent="0.25">
      <c r="D457" s="11"/>
      <c r="Z457" s="11"/>
    </row>
    <row r="458" spans="4:26" ht="15.75" customHeight="1" x14ac:dyDescent="0.25">
      <c r="D458" s="11"/>
      <c r="Z458" s="11"/>
    </row>
    <row r="459" spans="4:26" ht="15.75" customHeight="1" x14ac:dyDescent="0.25">
      <c r="D459" s="11"/>
      <c r="Z459" s="11"/>
    </row>
    <row r="460" spans="4:26" ht="15.75" customHeight="1" x14ac:dyDescent="0.25">
      <c r="D460" s="11"/>
      <c r="Z460" s="11"/>
    </row>
    <row r="461" spans="4:26" ht="15.75" customHeight="1" x14ac:dyDescent="0.25">
      <c r="D461" s="11"/>
      <c r="Z461" s="11"/>
    </row>
    <row r="462" spans="4:26" ht="15.75" customHeight="1" x14ac:dyDescent="0.25">
      <c r="D462" s="11"/>
      <c r="Z462" s="11"/>
    </row>
    <row r="463" spans="4:26" ht="15.75" customHeight="1" x14ac:dyDescent="0.25">
      <c r="D463" s="11"/>
      <c r="Z463" s="11"/>
    </row>
    <row r="464" spans="4:26" ht="15.75" customHeight="1" x14ac:dyDescent="0.25">
      <c r="D464" s="11"/>
      <c r="Z464" s="11"/>
    </row>
    <row r="465" spans="4:26" ht="15.75" customHeight="1" x14ac:dyDescent="0.25">
      <c r="D465" s="11"/>
      <c r="Z465" s="11"/>
    </row>
    <row r="466" spans="4:26" ht="15.75" customHeight="1" x14ac:dyDescent="0.25">
      <c r="D466" s="11"/>
      <c r="Z466" s="11"/>
    </row>
    <row r="467" spans="4:26" ht="15.75" customHeight="1" x14ac:dyDescent="0.25">
      <c r="D467" s="11"/>
      <c r="Z467" s="11"/>
    </row>
    <row r="468" spans="4:26" ht="15.75" customHeight="1" x14ac:dyDescent="0.25">
      <c r="D468" s="11"/>
      <c r="Z468" s="11"/>
    </row>
    <row r="469" spans="4:26" ht="15.75" customHeight="1" x14ac:dyDescent="0.25">
      <c r="D469" s="11"/>
      <c r="Z469" s="11"/>
    </row>
    <row r="470" spans="4:26" ht="15.75" customHeight="1" x14ac:dyDescent="0.25">
      <c r="D470" s="11"/>
      <c r="Z470" s="11"/>
    </row>
    <row r="471" spans="4:26" ht="15.75" customHeight="1" x14ac:dyDescent="0.25">
      <c r="D471" s="11"/>
      <c r="Z471" s="11"/>
    </row>
    <row r="472" spans="4:26" ht="15.75" customHeight="1" x14ac:dyDescent="0.25">
      <c r="D472" s="11"/>
      <c r="Z472" s="11"/>
    </row>
    <row r="473" spans="4:26" ht="15.75" customHeight="1" x14ac:dyDescent="0.25">
      <c r="D473" s="11"/>
      <c r="Z473" s="11"/>
    </row>
    <row r="474" spans="4:26" ht="15.75" customHeight="1" x14ac:dyDescent="0.25">
      <c r="D474" s="11"/>
      <c r="Z474" s="11"/>
    </row>
    <row r="475" spans="4:26" ht="15.75" customHeight="1" x14ac:dyDescent="0.25">
      <c r="D475" s="11"/>
      <c r="Z475" s="11"/>
    </row>
    <row r="476" spans="4:26" ht="15.75" customHeight="1" x14ac:dyDescent="0.25">
      <c r="D476" s="11"/>
      <c r="Z476" s="11"/>
    </row>
    <row r="477" spans="4:26" ht="15.75" customHeight="1" x14ac:dyDescent="0.25">
      <c r="D477" s="11"/>
      <c r="Z477" s="11"/>
    </row>
    <row r="478" spans="4:26" ht="15.75" customHeight="1" x14ac:dyDescent="0.25">
      <c r="D478" s="11"/>
      <c r="Z478" s="11"/>
    </row>
    <row r="479" spans="4:26" ht="15.75" customHeight="1" x14ac:dyDescent="0.25">
      <c r="D479" s="11"/>
      <c r="Z479" s="11"/>
    </row>
    <row r="480" spans="4:26" ht="15.75" customHeight="1" x14ac:dyDescent="0.25">
      <c r="D480" s="11"/>
      <c r="Z480" s="11"/>
    </row>
    <row r="481" spans="4:26" ht="15.75" customHeight="1" x14ac:dyDescent="0.25">
      <c r="D481" s="11"/>
      <c r="Z481" s="11"/>
    </row>
    <row r="482" spans="4:26" ht="15.75" customHeight="1" x14ac:dyDescent="0.25">
      <c r="D482" s="11"/>
      <c r="Z482" s="11"/>
    </row>
    <row r="483" spans="4:26" ht="15.75" customHeight="1" x14ac:dyDescent="0.25">
      <c r="D483" s="11"/>
      <c r="Z483" s="11"/>
    </row>
    <row r="484" spans="4:26" ht="15.75" customHeight="1" x14ac:dyDescent="0.25">
      <c r="D484" s="11"/>
      <c r="Z484" s="11"/>
    </row>
    <row r="485" spans="4:26" ht="15.75" customHeight="1" x14ac:dyDescent="0.25">
      <c r="D485" s="11"/>
      <c r="Z485" s="11"/>
    </row>
    <row r="486" spans="4:26" ht="15.75" customHeight="1" x14ac:dyDescent="0.25">
      <c r="D486" s="11"/>
      <c r="Z486" s="11"/>
    </row>
    <row r="487" spans="4:26" ht="15.75" customHeight="1" x14ac:dyDescent="0.25">
      <c r="D487" s="11"/>
      <c r="Z487" s="11"/>
    </row>
    <row r="488" spans="4:26" ht="15.75" customHeight="1" x14ac:dyDescent="0.25">
      <c r="D488" s="11"/>
      <c r="Z488" s="11"/>
    </row>
    <row r="489" spans="4:26" ht="15.75" customHeight="1" x14ac:dyDescent="0.25">
      <c r="D489" s="11"/>
      <c r="Z489" s="11"/>
    </row>
    <row r="490" spans="4:26" ht="15.75" customHeight="1" x14ac:dyDescent="0.25">
      <c r="D490" s="11"/>
      <c r="Z490" s="11"/>
    </row>
    <row r="491" spans="4:26" ht="15.75" customHeight="1" x14ac:dyDescent="0.25">
      <c r="D491" s="11"/>
      <c r="Z491" s="11"/>
    </row>
    <row r="492" spans="4:26" ht="15.75" customHeight="1" x14ac:dyDescent="0.25">
      <c r="D492" s="11"/>
      <c r="Z492" s="11"/>
    </row>
    <row r="493" spans="4:26" ht="15.75" customHeight="1" x14ac:dyDescent="0.25">
      <c r="D493" s="11"/>
      <c r="Z493" s="11"/>
    </row>
    <row r="494" spans="4:26" ht="15.75" customHeight="1" x14ac:dyDescent="0.25">
      <c r="D494" s="11"/>
      <c r="Z494" s="11"/>
    </row>
    <row r="495" spans="4:26" ht="15.75" customHeight="1" x14ac:dyDescent="0.25">
      <c r="D495" s="11"/>
      <c r="Z495" s="11"/>
    </row>
    <row r="496" spans="4:26" ht="15.75" customHeight="1" x14ac:dyDescent="0.25">
      <c r="D496" s="11"/>
      <c r="Z496" s="11"/>
    </row>
    <row r="497" spans="4:26" ht="15.75" customHeight="1" x14ac:dyDescent="0.25">
      <c r="D497" s="11"/>
      <c r="Z497" s="11"/>
    </row>
    <row r="498" spans="4:26" ht="15.75" customHeight="1" x14ac:dyDescent="0.25">
      <c r="D498" s="11"/>
      <c r="Z498" s="11"/>
    </row>
    <row r="499" spans="4:26" ht="15.75" customHeight="1" x14ac:dyDescent="0.25">
      <c r="D499" s="11"/>
      <c r="Z499" s="11"/>
    </row>
    <row r="500" spans="4:26" ht="15.75" customHeight="1" x14ac:dyDescent="0.25">
      <c r="D500" s="11"/>
      <c r="Z500" s="11"/>
    </row>
    <row r="501" spans="4:26" ht="15.75" customHeight="1" x14ac:dyDescent="0.25">
      <c r="D501" s="11"/>
      <c r="Z501" s="11"/>
    </row>
    <row r="502" spans="4:26" ht="15.75" customHeight="1" x14ac:dyDescent="0.25">
      <c r="D502" s="11"/>
      <c r="Z502" s="11"/>
    </row>
    <row r="503" spans="4:26" ht="15.75" customHeight="1" x14ac:dyDescent="0.25">
      <c r="D503" s="11"/>
      <c r="Z503" s="11"/>
    </row>
    <row r="504" spans="4:26" ht="15.75" customHeight="1" x14ac:dyDescent="0.25">
      <c r="D504" s="11"/>
      <c r="Z504" s="11"/>
    </row>
    <row r="505" spans="4:26" ht="15.75" customHeight="1" x14ac:dyDescent="0.25">
      <c r="D505" s="11"/>
      <c r="Z505" s="11"/>
    </row>
    <row r="506" spans="4:26" ht="15.75" customHeight="1" x14ac:dyDescent="0.25">
      <c r="D506" s="11"/>
      <c r="Z506" s="11"/>
    </row>
    <row r="507" spans="4:26" ht="15.75" customHeight="1" x14ac:dyDescent="0.25">
      <c r="D507" s="11"/>
      <c r="Z507" s="11"/>
    </row>
    <row r="508" spans="4:26" ht="15.75" customHeight="1" x14ac:dyDescent="0.25">
      <c r="D508" s="11"/>
      <c r="Z508" s="11"/>
    </row>
    <row r="509" spans="4:26" ht="15.75" customHeight="1" x14ac:dyDescent="0.25">
      <c r="D509" s="11"/>
      <c r="Z509" s="11"/>
    </row>
    <row r="510" spans="4:26" ht="15.75" customHeight="1" x14ac:dyDescent="0.25">
      <c r="D510" s="11"/>
      <c r="Z510" s="11"/>
    </row>
    <row r="511" spans="4:26" ht="15.75" customHeight="1" x14ac:dyDescent="0.25">
      <c r="D511" s="11"/>
      <c r="Z511" s="11"/>
    </row>
    <row r="512" spans="4:26" ht="15.75" customHeight="1" x14ac:dyDescent="0.25">
      <c r="D512" s="11"/>
      <c r="Z512" s="11"/>
    </row>
    <row r="513" spans="4:26" ht="15.75" customHeight="1" x14ac:dyDescent="0.25">
      <c r="D513" s="11"/>
      <c r="Z513" s="11"/>
    </row>
    <row r="514" spans="4:26" ht="15.75" customHeight="1" x14ac:dyDescent="0.25">
      <c r="D514" s="11"/>
      <c r="Z514" s="11"/>
    </row>
    <row r="515" spans="4:26" ht="15.75" customHeight="1" x14ac:dyDescent="0.25">
      <c r="D515" s="11"/>
      <c r="Z515" s="11"/>
    </row>
    <row r="516" spans="4:26" ht="15.75" customHeight="1" x14ac:dyDescent="0.25">
      <c r="D516" s="11"/>
      <c r="Z516" s="11"/>
    </row>
    <row r="517" spans="4:26" ht="15.75" customHeight="1" x14ac:dyDescent="0.25">
      <c r="D517" s="11"/>
      <c r="Z517" s="11"/>
    </row>
    <row r="518" spans="4:26" ht="15.75" customHeight="1" x14ac:dyDescent="0.25">
      <c r="D518" s="11"/>
      <c r="Z518" s="11"/>
    </row>
    <row r="519" spans="4:26" ht="15.75" customHeight="1" x14ac:dyDescent="0.25">
      <c r="D519" s="11"/>
      <c r="Z519" s="11"/>
    </row>
    <row r="520" spans="4:26" ht="15.75" customHeight="1" x14ac:dyDescent="0.25">
      <c r="D520" s="11"/>
      <c r="Z520" s="11"/>
    </row>
    <row r="521" spans="4:26" ht="15.75" customHeight="1" x14ac:dyDescent="0.25">
      <c r="D521" s="11"/>
      <c r="Z521" s="11"/>
    </row>
    <row r="522" spans="4:26" ht="15.75" customHeight="1" x14ac:dyDescent="0.25">
      <c r="D522" s="11"/>
      <c r="Z522" s="11"/>
    </row>
    <row r="523" spans="4:26" ht="15.75" customHeight="1" x14ac:dyDescent="0.25">
      <c r="D523" s="11"/>
      <c r="Z523" s="11"/>
    </row>
    <row r="524" spans="4:26" ht="15.75" customHeight="1" x14ac:dyDescent="0.25">
      <c r="D524" s="11"/>
      <c r="Z524" s="11"/>
    </row>
    <row r="525" spans="4:26" ht="15.75" customHeight="1" x14ac:dyDescent="0.25">
      <c r="D525" s="11"/>
      <c r="Z525" s="11"/>
    </row>
    <row r="526" spans="4:26" ht="15.75" customHeight="1" x14ac:dyDescent="0.25">
      <c r="D526" s="11"/>
      <c r="Z526" s="11"/>
    </row>
    <row r="527" spans="4:26" ht="15.75" customHeight="1" x14ac:dyDescent="0.25">
      <c r="D527" s="11"/>
      <c r="Z527" s="11"/>
    </row>
    <row r="528" spans="4:26" ht="15.75" customHeight="1" x14ac:dyDescent="0.25">
      <c r="D528" s="11"/>
      <c r="Z528" s="11"/>
    </row>
    <row r="529" spans="4:26" ht="15.75" customHeight="1" x14ac:dyDescent="0.25">
      <c r="D529" s="11"/>
      <c r="Z529" s="11"/>
    </row>
    <row r="530" spans="4:26" ht="15.75" customHeight="1" x14ac:dyDescent="0.25">
      <c r="D530" s="11"/>
      <c r="Z530" s="11"/>
    </row>
    <row r="531" spans="4:26" ht="15.75" customHeight="1" x14ac:dyDescent="0.25">
      <c r="D531" s="11"/>
      <c r="Z531" s="11"/>
    </row>
    <row r="532" spans="4:26" ht="15.75" customHeight="1" x14ac:dyDescent="0.25">
      <c r="D532" s="11"/>
      <c r="Z532" s="11"/>
    </row>
    <row r="533" spans="4:26" ht="15.75" customHeight="1" x14ac:dyDescent="0.25">
      <c r="D533" s="11"/>
      <c r="Z533" s="11"/>
    </row>
    <row r="534" spans="4:26" ht="15.75" customHeight="1" x14ac:dyDescent="0.25">
      <c r="D534" s="11"/>
      <c r="Z534" s="11"/>
    </row>
    <row r="535" spans="4:26" ht="15.75" customHeight="1" x14ac:dyDescent="0.25">
      <c r="D535" s="11"/>
      <c r="Z535" s="11"/>
    </row>
    <row r="536" spans="4:26" ht="15.75" customHeight="1" x14ac:dyDescent="0.25">
      <c r="D536" s="11"/>
      <c r="Z536" s="11"/>
    </row>
    <row r="537" spans="4:26" ht="15.75" customHeight="1" x14ac:dyDescent="0.25">
      <c r="D537" s="11"/>
      <c r="Z537" s="11"/>
    </row>
    <row r="538" spans="4:26" ht="15.75" customHeight="1" x14ac:dyDescent="0.25">
      <c r="D538" s="11"/>
      <c r="Z538" s="11"/>
    </row>
    <row r="539" spans="4:26" ht="15.75" customHeight="1" x14ac:dyDescent="0.25">
      <c r="D539" s="11"/>
      <c r="Z539" s="11"/>
    </row>
    <row r="540" spans="4:26" ht="15.75" customHeight="1" x14ac:dyDescent="0.25">
      <c r="D540" s="11"/>
      <c r="Z540" s="11"/>
    </row>
    <row r="541" spans="4:26" ht="15.75" customHeight="1" x14ac:dyDescent="0.25">
      <c r="D541" s="11"/>
      <c r="Z541" s="11"/>
    </row>
    <row r="542" spans="4:26" ht="15.75" customHeight="1" x14ac:dyDescent="0.25">
      <c r="D542" s="11"/>
      <c r="Z542" s="11"/>
    </row>
    <row r="543" spans="4:26" ht="15.75" customHeight="1" x14ac:dyDescent="0.25">
      <c r="D543" s="11"/>
      <c r="Z543" s="11"/>
    </row>
    <row r="544" spans="4:26" ht="15.75" customHeight="1" x14ac:dyDescent="0.25">
      <c r="D544" s="11"/>
      <c r="Z544" s="11"/>
    </row>
    <row r="545" spans="4:26" ht="15.75" customHeight="1" x14ac:dyDescent="0.25">
      <c r="D545" s="11"/>
      <c r="Z545" s="11"/>
    </row>
    <row r="546" spans="4:26" ht="15.75" customHeight="1" x14ac:dyDescent="0.25">
      <c r="D546" s="11"/>
      <c r="Z546" s="11"/>
    </row>
    <row r="547" spans="4:26" ht="15.75" customHeight="1" x14ac:dyDescent="0.25">
      <c r="D547" s="11"/>
      <c r="Z547" s="11"/>
    </row>
    <row r="548" spans="4:26" ht="15.75" customHeight="1" x14ac:dyDescent="0.25">
      <c r="D548" s="11"/>
      <c r="Z548" s="11"/>
    </row>
    <row r="549" spans="4:26" ht="15.75" customHeight="1" x14ac:dyDescent="0.25">
      <c r="D549" s="11"/>
      <c r="Z549" s="11"/>
    </row>
    <row r="550" spans="4:26" ht="15.75" customHeight="1" x14ac:dyDescent="0.25">
      <c r="D550" s="11"/>
      <c r="Z550" s="11"/>
    </row>
    <row r="551" spans="4:26" ht="15.75" customHeight="1" x14ac:dyDescent="0.25">
      <c r="D551" s="11"/>
      <c r="Z551" s="11"/>
    </row>
    <row r="552" spans="4:26" ht="15.75" customHeight="1" x14ac:dyDescent="0.25">
      <c r="D552" s="11"/>
      <c r="Z552" s="11"/>
    </row>
    <row r="553" spans="4:26" ht="15.75" customHeight="1" x14ac:dyDescent="0.25">
      <c r="D553" s="11"/>
      <c r="Z553" s="11"/>
    </row>
    <row r="554" spans="4:26" ht="15.75" customHeight="1" x14ac:dyDescent="0.25">
      <c r="D554" s="11"/>
      <c r="Z554" s="11"/>
    </row>
    <row r="555" spans="4:26" ht="15.75" customHeight="1" x14ac:dyDescent="0.25">
      <c r="D555" s="11"/>
      <c r="Z555" s="11"/>
    </row>
    <row r="556" spans="4:26" ht="15.75" customHeight="1" x14ac:dyDescent="0.25">
      <c r="D556" s="11"/>
      <c r="Z556" s="11"/>
    </row>
    <row r="557" spans="4:26" ht="15.75" customHeight="1" x14ac:dyDescent="0.25">
      <c r="D557" s="11"/>
      <c r="Z557" s="11"/>
    </row>
    <row r="558" spans="4:26" ht="15.75" customHeight="1" x14ac:dyDescent="0.25">
      <c r="D558" s="11"/>
      <c r="Z558" s="11"/>
    </row>
    <row r="559" spans="4:26" ht="15.75" customHeight="1" x14ac:dyDescent="0.25">
      <c r="D559" s="11"/>
      <c r="Z559" s="11"/>
    </row>
    <row r="560" spans="4:26" ht="15.75" customHeight="1" x14ac:dyDescent="0.25">
      <c r="D560" s="11"/>
      <c r="Z560" s="11"/>
    </row>
    <row r="561" spans="4:26" ht="15.75" customHeight="1" x14ac:dyDescent="0.25">
      <c r="D561" s="11"/>
      <c r="Z561" s="11"/>
    </row>
    <row r="562" spans="4:26" ht="15.75" customHeight="1" x14ac:dyDescent="0.25">
      <c r="D562" s="11"/>
      <c r="Z562" s="11"/>
    </row>
    <row r="563" spans="4:26" ht="15.75" customHeight="1" x14ac:dyDescent="0.25">
      <c r="D563" s="11"/>
      <c r="Z563" s="11"/>
    </row>
    <row r="564" spans="4:26" ht="15.75" customHeight="1" x14ac:dyDescent="0.25">
      <c r="D564" s="11"/>
      <c r="Z564" s="11"/>
    </row>
    <row r="565" spans="4:26" ht="15.75" customHeight="1" x14ac:dyDescent="0.25">
      <c r="D565" s="11"/>
      <c r="Z565" s="11"/>
    </row>
    <row r="566" spans="4:26" ht="15.75" customHeight="1" x14ac:dyDescent="0.25">
      <c r="D566" s="11"/>
      <c r="Z566" s="11"/>
    </row>
    <row r="567" spans="4:26" ht="15.75" customHeight="1" x14ac:dyDescent="0.25">
      <c r="D567" s="11"/>
      <c r="Z567" s="11"/>
    </row>
    <row r="568" spans="4:26" ht="15.75" customHeight="1" x14ac:dyDescent="0.25">
      <c r="D568" s="11"/>
      <c r="Z568" s="11"/>
    </row>
    <row r="569" spans="4:26" ht="15.75" customHeight="1" x14ac:dyDescent="0.25">
      <c r="D569" s="11"/>
      <c r="Z569" s="11"/>
    </row>
    <row r="570" spans="4:26" ht="15.75" customHeight="1" x14ac:dyDescent="0.25">
      <c r="D570" s="11"/>
      <c r="Z570" s="11"/>
    </row>
    <row r="571" spans="4:26" ht="15.75" customHeight="1" x14ac:dyDescent="0.25">
      <c r="D571" s="11"/>
      <c r="Z571" s="11"/>
    </row>
    <row r="572" spans="4:26" ht="15.75" customHeight="1" x14ac:dyDescent="0.25">
      <c r="D572" s="11"/>
      <c r="Z572" s="11"/>
    </row>
    <row r="573" spans="4:26" ht="15.75" customHeight="1" x14ac:dyDescent="0.25">
      <c r="D573" s="11"/>
      <c r="Z573" s="11"/>
    </row>
    <row r="574" spans="4:26" ht="15.75" customHeight="1" x14ac:dyDescent="0.25">
      <c r="D574" s="11"/>
      <c r="Z574" s="11"/>
    </row>
    <row r="575" spans="4:26" ht="15.75" customHeight="1" x14ac:dyDescent="0.25">
      <c r="D575" s="11"/>
      <c r="Z575" s="11"/>
    </row>
    <row r="576" spans="4:26" ht="15.75" customHeight="1" x14ac:dyDescent="0.25">
      <c r="D576" s="11"/>
      <c r="Z576" s="11"/>
    </row>
    <row r="577" spans="4:26" ht="15.75" customHeight="1" x14ac:dyDescent="0.25">
      <c r="D577" s="11"/>
      <c r="Z577" s="11"/>
    </row>
    <row r="578" spans="4:26" ht="15.75" customHeight="1" x14ac:dyDescent="0.25">
      <c r="D578" s="11"/>
      <c r="Z578" s="11"/>
    </row>
    <row r="579" spans="4:26" ht="15.75" customHeight="1" x14ac:dyDescent="0.25">
      <c r="D579" s="11"/>
      <c r="Z579" s="11"/>
    </row>
    <row r="580" spans="4:26" ht="15.75" customHeight="1" x14ac:dyDescent="0.25">
      <c r="D580" s="11"/>
      <c r="Z580" s="11"/>
    </row>
    <row r="581" spans="4:26" ht="15.75" customHeight="1" x14ac:dyDescent="0.25">
      <c r="D581" s="11"/>
      <c r="Z581" s="11"/>
    </row>
    <row r="582" spans="4:26" ht="15.75" customHeight="1" x14ac:dyDescent="0.25">
      <c r="D582" s="11"/>
      <c r="Z582" s="11"/>
    </row>
    <row r="583" spans="4:26" ht="15.75" customHeight="1" x14ac:dyDescent="0.25">
      <c r="D583" s="11"/>
      <c r="Z583" s="11"/>
    </row>
    <row r="584" spans="4:26" ht="15.75" customHeight="1" x14ac:dyDescent="0.25">
      <c r="D584" s="11"/>
      <c r="Z584" s="11"/>
    </row>
    <row r="585" spans="4:26" ht="15.75" customHeight="1" x14ac:dyDescent="0.25">
      <c r="D585" s="11"/>
      <c r="Z585" s="11"/>
    </row>
    <row r="586" spans="4:26" ht="15.75" customHeight="1" x14ac:dyDescent="0.25">
      <c r="D586" s="11"/>
      <c r="Z586" s="11"/>
    </row>
    <row r="587" spans="4:26" ht="15.75" customHeight="1" x14ac:dyDescent="0.25">
      <c r="D587" s="11"/>
      <c r="Z587" s="11"/>
    </row>
    <row r="588" spans="4:26" ht="15.75" customHeight="1" x14ac:dyDescent="0.25">
      <c r="D588" s="11"/>
      <c r="Z588" s="11"/>
    </row>
    <row r="589" spans="4:26" ht="15.75" customHeight="1" x14ac:dyDescent="0.25">
      <c r="D589" s="11"/>
      <c r="Z589" s="11"/>
    </row>
    <row r="590" spans="4:26" ht="15.75" customHeight="1" x14ac:dyDescent="0.25">
      <c r="D590" s="11"/>
      <c r="Z590" s="11"/>
    </row>
    <row r="591" spans="4:26" ht="15.75" customHeight="1" x14ac:dyDescent="0.25">
      <c r="D591" s="11"/>
      <c r="Z591" s="11"/>
    </row>
    <row r="592" spans="4:26" ht="15.75" customHeight="1" x14ac:dyDescent="0.25">
      <c r="D592" s="11"/>
      <c r="Z592" s="11"/>
    </row>
    <row r="593" spans="4:26" ht="15.75" customHeight="1" x14ac:dyDescent="0.25">
      <c r="D593" s="11"/>
      <c r="Z593" s="11"/>
    </row>
    <row r="594" spans="4:26" ht="15.75" customHeight="1" x14ac:dyDescent="0.25">
      <c r="D594" s="11"/>
      <c r="Z594" s="11"/>
    </row>
    <row r="595" spans="4:26" ht="15.75" customHeight="1" x14ac:dyDescent="0.25">
      <c r="D595" s="11"/>
      <c r="Z595" s="11"/>
    </row>
    <row r="596" spans="4:26" ht="15.75" customHeight="1" x14ac:dyDescent="0.25">
      <c r="D596" s="11"/>
      <c r="Z596" s="11"/>
    </row>
    <row r="597" spans="4:26" ht="15.75" customHeight="1" x14ac:dyDescent="0.25">
      <c r="D597" s="11"/>
      <c r="Z597" s="11"/>
    </row>
    <row r="598" spans="4:26" ht="15.75" customHeight="1" x14ac:dyDescent="0.25">
      <c r="D598" s="11"/>
      <c r="Z598" s="11"/>
    </row>
    <row r="599" spans="4:26" ht="15.75" customHeight="1" x14ac:dyDescent="0.25">
      <c r="D599" s="11"/>
      <c r="Z599" s="11"/>
    </row>
    <row r="600" spans="4:26" ht="15.75" customHeight="1" x14ac:dyDescent="0.25">
      <c r="D600" s="11"/>
      <c r="Z600" s="11"/>
    </row>
    <row r="601" spans="4:26" ht="15.75" customHeight="1" x14ac:dyDescent="0.25">
      <c r="D601" s="11"/>
      <c r="Z601" s="11"/>
    </row>
    <row r="602" spans="4:26" ht="15.75" customHeight="1" x14ac:dyDescent="0.25">
      <c r="D602" s="11"/>
      <c r="Z602" s="11"/>
    </row>
    <row r="603" spans="4:26" ht="15.75" customHeight="1" x14ac:dyDescent="0.25">
      <c r="D603" s="11"/>
      <c r="Z603" s="11"/>
    </row>
    <row r="604" spans="4:26" ht="15.75" customHeight="1" x14ac:dyDescent="0.25">
      <c r="D604" s="11"/>
      <c r="Z604" s="11"/>
    </row>
    <row r="605" spans="4:26" ht="15.75" customHeight="1" x14ac:dyDescent="0.25">
      <c r="D605" s="11"/>
      <c r="Z605" s="11"/>
    </row>
    <row r="606" spans="4:26" ht="15.75" customHeight="1" x14ac:dyDescent="0.25">
      <c r="D606" s="11"/>
      <c r="Z606" s="11"/>
    </row>
    <row r="607" spans="4:26" ht="15.75" customHeight="1" x14ac:dyDescent="0.25">
      <c r="D607" s="11"/>
      <c r="Z607" s="11"/>
    </row>
    <row r="608" spans="4:26" ht="15.75" customHeight="1" x14ac:dyDescent="0.25">
      <c r="D608" s="11"/>
      <c r="Z608" s="11"/>
    </row>
    <row r="609" spans="4:26" ht="15.75" customHeight="1" x14ac:dyDescent="0.25">
      <c r="D609" s="11"/>
      <c r="Z609" s="11"/>
    </row>
    <row r="610" spans="4:26" ht="15.75" customHeight="1" x14ac:dyDescent="0.25">
      <c r="D610" s="11"/>
      <c r="Z610" s="11"/>
    </row>
    <row r="611" spans="4:26" ht="15.75" customHeight="1" x14ac:dyDescent="0.25">
      <c r="D611" s="11"/>
      <c r="Z611" s="11"/>
    </row>
    <row r="612" spans="4:26" ht="15.75" customHeight="1" x14ac:dyDescent="0.25">
      <c r="D612" s="11"/>
      <c r="Z612" s="11"/>
    </row>
    <row r="613" spans="4:26" ht="15.75" customHeight="1" x14ac:dyDescent="0.25">
      <c r="D613" s="11"/>
      <c r="Z613" s="11"/>
    </row>
    <row r="614" spans="4:26" ht="15.75" customHeight="1" x14ac:dyDescent="0.25">
      <c r="D614" s="11"/>
      <c r="Z614" s="11"/>
    </row>
    <row r="615" spans="4:26" ht="15.75" customHeight="1" x14ac:dyDescent="0.25">
      <c r="D615" s="11"/>
      <c r="Z615" s="11"/>
    </row>
    <row r="616" spans="4:26" ht="15.75" customHeight="1" x14ac:dyDescent="0.25">
      <c r="D616" s="11"/>
      <c r="Z616" s="11"/>
    </row>
    <row r="617" spans="4:26" ht="15.75" customHeight="1" x14ac:dyDescent="0.25">
      <c r="D617" s="11"/>
      <c r="Z617" s="11"/>
    </row>
    <row r="618" spans="4:26" ht="15.75" customHeight="1" x14ac:dyDescent="0.25">
      <c r="D618" s="11"/>
      <c r="Z618" s="11"/>
    </row>
    <row r="619" spans="4:26" ht="15.75" customHeight="1" x14ac:dyDescent="0.25">
      <c r="D619" s="11"/>
      <c r="Z619" s="11"/>
    </row>
    <row r="620" spans="4:26" ht="15.75" customHeight="1" x14ac:dyDescent="0.25">
      <c r="D620" s="11"/>
      <c r="Z620" s="11"/>
    </row>
    <row r="621" spans="4:26" ht="15.75" customHeight="1" x14ac:dyDescent="0.25">
      <c r="D621" s="11"/>
      <c r="Z621" s="11"/>
    </row>
    <row r="622" spans="4:26" ht="15.75" customHeight="1" x14ac:dyDescent="0.25">
      <c r="D622" s="11"/>
      <c r="Z622" s="11"/>
    </row>
    <row r="623" spans="4:26" ht="15.75" customHeight="1" x14ac:dyDescent="0.25">
      <c r="D623" s="11"/>
      <c r="Z623" s="11"/>
    </row>
    <row r="624" spans="4:26" ht="15.75" customHeight="1" x14ac:dyDescent="0.25">
      <c r="D624" s="11"/>
      <c r="Z624" s="11"/>
    </row>
    <row r="625" spans="4:26" ht="15.75" customHeight="1" x14ac:dyDescent="0.25">
      <c r="D625" s="11"/>
      <c r="Z625" s="11"/>
    </row>
    <row r="626" spans="4:26" ht="15.75" customHeight="1" x14ac:dyDescent="0.25">
      <c r="D626" s="11"/>
      <c r="Z626" s="11"/>
    </row>
    <row r="627" spans="4:26" ht="15.75" customHeight="1" x14ac:dyDescent="0.25">
      <c r="D627" s="11"/>
      <c r="Z627" s="11"/>
    </row>
    <row r="628" spans="4:26" ht="15.75" customHeight="1" x14ac:dyDescent="0.25">
      <c r="D628" s="11"/>
      <c r="Z628" s="11"/>
    </row>
    <row r="629" spans="4:26" ht="15.75" customHeight="1" x14ac:dyDescent="0.25">
      <c r="D629" s="11"/>
      <c r="Z629" s="11"/>
    </row>
    <row r="630" spans="4:26" ht="15.75" customHeight="1" x14ac:dyDescent="0.25">
      <c r="D630" s="11"/>
      <c r="Z630" s="11"/>
    </row>
    <row r="631" spans="4:26" ht="15.75" customHeight="1" x14ac:dyDescent="0.25">
      <c r="D631" s="11"/>
      <c r="Z631" s="11"/>
    </row>
    <row r="632" spans="4:26" ht="15.75" customHeight="1" x14ac:dyDescent="0.25">
      <c r="D632" s="11"/>
      <c r="Z632" s="11"/>
    </row>
    <row r="633" spans="4:26" ht="15.75" customHeight="1" x14ac:dyDescent="0.25">
      <c r="D633" s="11"/>
      <c r="Z633" s="11"/>
    </row>
    <row r="634" spans="4:26" ht="15.75" customHeight="1" x14ac:dyDescent="0.25">
      <c r="D634" s="11"/>
      <c r="Z634" s="11"/>
    </row>
    <row r="635" spans="4:26" ht="15.75" customHeight="1" x14ac:dyDescent="0.25">
      <c r="D635" s="11"/>
      <c r="Z635" s="11"/>
    </row>
    <row r="636" spans="4:26" ht="15.75" customHeight="1" x14ac:dyDescent="0.25">
      <c r="D636" s="11"/>
      <c r="Z636" s="11"/>
    </row>
    <row r="637" spans="4:26" ht="15.75" customHeight="1" x14ac:dyDescent="0.25">
      <c r="D637" s="11"/>
      <c r="Z637" s="11"/>
    </row>
    <row r="638" spans="4:26" ht="15.75" customHeight="1" x14ac:dyDescent="0.25">
      <c r="D638" s="11"/>
      <c r="Z638" s="11"/>
    </row>
    <row r="639" spans="4:26" ht="15.75" customHeight="1" x14ac:dyDescent="0.25">
      <c r="D639" s="11"/>
      <c r="Z639" s="11"/>
    </row>
    <row r="640" spans="4:26" ht="15.75" customHeight="1" x14ac:dyDescent="0.25">
      <c r="D640" s="11"/>
      <c r="Z640" s="11"/>
    </row>
    <row r="641" spans="4:26" ht="15.75" customHeight="1" x14ac:dyDescent="0.25">
      <c r="D641" s="11"/>
      <c r="Z641" s="11"/>
    </row>
    <row r="642" spans="4:26" ht="15.75" customHeight="1" x14ac:dyDescent="0.25">
      <c r="D642" s="11"/>
      <c r="Z642" s="11"/>
    </row>
    <row r="643" spans="4:26" ht="15.75" customHeight="1" x14ac:dyDescent="0.25">
      <c r="D643" s="11"/>
      <c r="Z643" s="11"/>
    </row>
    <row r="644" spans="4:26" ht="15.75" customHeight="1" x14ac:dyDescent="0.25">
      <c r="D644" s="11"/>
      <c r="Z644" s="11"/>
    </row>
    <row r="645" spans="4:26" ht="15.75" customHeight="1" x14ac:dyDescent="0.25">
      <c r="D645" s="11"/>
      <c r="Z645" s="11"/>
    </row>
    <row r="646" spans="4:26" ht="15.75" customHeight="1" x14ac:dyDescent="0.25">
      <c r="D646" s="11"/>
      <c r="Z646" s="11"/>
    </row>
    <row r="647" spans="4:26" ht="15.75" customHeight="1" x14ac:dyDescent="0.25">
      <c r="D647" s="11"/>
      <c r="Z647" s="11"/>
    </row>
    <row r="648" spans="4:26" ht="15.75" customHeight="1" x14ac:dyDescent="0.25">
      <c r="D648" s="11"/>
      <c r="Z648" s="11"/>
    </row>
    <row r="649" spans="4:26" ht="15.75" customHeight="1" x14ac:dyDescent="0.25">
      <c r="D649" s="11"/>
      <c r="Z649" s="11"/>
    </row>
    <row r="650" spans="4:26" ht="15.75" customHeight="1" x14ac:dyDescent="0.25">
      <c r="D650" s="11"/>
      <c r="Z650" s="11"/>
    </row>
    <row r="651" spans="4:26" ht="15.75" customHeight="1" x14ac:dyDescent="0.25">
      <c r="D651" s="11"/>
      <c r="Z651" s="11"/>
    </row>
    <row r="652" spans="4:26" ht="15.75" customHeight="1" x14ac:dyDescent="0.25">
      <c r="D652" s="11"/>
      <c r="Z652" s="11"/>
    </row>
    <row r="653" spans="4:26" ht="15.75" customHeight="1" x14ac:dyDescent="0.25">
      <c r="D653" s="11"/>
      <c r="Z653" s="11"/>
    </row>
    <row r="654" spans="4:26" ht="15.75" customHeight="1" x14ac:dyDescent="0.25">
      <c r="D654" s="11"/>
      <c r="Z654" s="11"/>
    </row>
    <row r="655" spans="4:26" ht="15.75" customHeight="1" x14ac:dyDescent="0.25">
      <c r="D655" s="11"/>
      <c r="Z655" s="11"/>
    </row>
    <row r="656" spans="4:26" ht="15.75" customHeight="1" x14ac:dyDescent="0.25">
      <c r="D656" s="11"/>
      <c r="Z656" s="11"/>
    </row>
    <row r="657" spans="4:26" ht="15.75" customHeight="1" x14ac:dyDescent="0.25">
      <c r="D657" s="11"/>
      <c r="Z657" s="11"/>
    </row>
    <row r="658" spans="4:26" ht="15.75" customHeight="1" x14ac:dyDescent="0.25">
      <c r="D658" s="11"/>
      <c r="Z658" s="11"/>
    </row>
    <row r="659" spans="4:26" ht="15.75" customHeight="1" x14ac:dyDescent="0.25">
      <c r="D659" s="11"/>
      <c r="Z659" s="11"/>
    </row>
    <row r="660" spans="4:26" ht="15.75" customHeight="1" x14ac:dyDescent="0.25">
      <c r="D660" s="11"/>
      <c r="Z660" s="11"/>
    </row>
    <row r="661" spans="4:26" ht="15.75" customHeight="1" x14ac:dyDescent="0.25">
      <c r="D661" s="11"/>
      <c r="Z661" s="11"/>
    </row>
    <row r="662" spans="4:26" ht="15.75" customHeight="1" x14ac:dyDescent="0.25">
      <c r="D662" s="11"/>
      <c r="Z662" s="11"/>
    </row>
    <row r="663" spans="4:26" ht="15.75" customHeight="1" x14ac:dyDescent="0.25">
      <c r="D663" s="11"/>
      <c r="Z663" s="11"/>
    </row>
    <row r="664" spans="4:26" ht="15.75" customHeight="1" x14ac:dyDescent="0.25">
      <c r="D664" s="11"/>
      <c r="Z664" s="11"/>
    </row>
    <row r="665" spans="4:26" ht="15.75" customHeight="1" x14ac:dyDescent="0.25">
      <c r="D665" s="11"/>
      <c r="Z665" s="11"/>
    </row>
    <row r="666" spans="4:26" ht="15.75" customHeight="1" x14ac:dyDescent="0.25">
      <c r="D666" s="11"/>
      <c r="Z666" s="11"/>
    </row>
    <row r="667" spans="4:26" ht="15.75" customHeight="1" x14ac:dyDescent="0.25">
      <c r="D667" s="11"/>
      <c r="Z667" s="11"/>
    </row>
    <row r="668" spans="4:26" ht="15.75" customHeight="1" x14ac:dyDescent="0.25">
      <c r="D668" s="11"/>
      <c r="Z668" s="11"/>
    </row>
    <row r="669" spans="4:26" ht="15.75" customHeight="1" x14ac:dyDescent="0.25">
      <c r="D669" s="11"/>
      <c r="Z669" s="11"/>
    </row>
    <row r="670" spans="4:26" ht="15.75" customHeight="1" x14ac:dyDescent="0.25">
      <c r="D670" s="11"/>
      <c r="Z670" s="11"/>
    </row>
    <row r="671" spans="4:26" ht="15.75" customHeight="1" x14ac:dyDescent="0.25">
      <c r="D671" s="11"/>
      <c r="Z671" s="11"/>
    </row>
    <row r="672" spans="4:26" ht="15.75" customHeight="1" x14ac:dyDescent="0.25">
      <c r="D672" s="11"/>
      <c r="Z672" s="11"/>
    </row>
    <row r="673" spans="4:26" ht="15.75" customHeight="1" x14ac:dyDescent="0.25">
      <c r="D673" s="11"/>
      <c r="Z673" s="11"/>
    </row>
    <row r="674" spans="4:26" ht="15.75" customHeight="1" x14ac:dyDescent="0.25">
      <c r="D674" s="11"/>
      <c r="Z674" s="11"/>
    </row>
    <row r="675" spans="4:26" ht="15.75" customHeight="1" x14ac:dyDescent="0.25">
      <c r="D675" s="11"/>
      <c r="Z675" s="11"/>
    </row>
    <row r="676" spans="4:26" ht="15.75" customHeight="1" x14ac:dyDescent="0.25">
      <c r="D676" s="11"/>
      <c r="Z676" s="11"/>
    </row>
    <row r="677" spans="4:26" ht="15.75" customHeight="1" x14ac:dyDescent="0.25">
      <c r="D677" s="11"/>
      <c r="Z677" s="11"/>
    </row>
    <row r="678" spans="4:26" ht="15.75" customHeight="1" x14ac:dyDescent="0.25">
      <c r="D678" s="11"/>
      <c r="Z678" s="11"/>
    </row>
    <row r="679" spans="4:26" ht="15.75" customHeight="1" x14ac:dyDescent="0.25">
      <c r="D679" s="11"/>
      <c r="Z679" s="11"/>
    </row>
    <row r="680" spans="4:26" ht="15.75" customHeight="1" x14ac:dyDescent="0.25">
      <c r="D680" s="11"/>
      <c r="Z680" s="11"/>
    </row>
    <row r="681" spans="4:26" ht="15.75" customHeight="1" x14ac:dyDescent="0.25">
      <c r="D681" s="11"/>
      <c r="Z681" s="11"/>
    </row>
    <row r="682" spans="4:26" ht="15.75" customHeight="1" x14ac:dyDescent="0.25">
      <c r="D682" s="11"/>
      <c r="Z682" s="11"/>
    </row>
    <row r="683" spans="4:26" ht="15.75" customHeight="1" x14ac:dyDescent="0.25">
      <c r="D683" s="11"/>
      <c r="Z683" s="11"/>
    </row>
    <row r="684" spans="4:26" ht="15.75" customHeight="1" x14ac:dyDescent="0.25">
      <c r="D684" s="11"/>
      <c r="Z684" s="11"/>
    </row>
    <row r="685" spans="4:26" ht="15.75" customHeight="1" x14ac:dyDescent="0.25">
      <c r="D685" s="11"/>
      <c r="Z685" s="11"/>
    </row>
    <row r="686" spans="4:26" ht="15.75" customHeight="1" x14ac:dyDescent="0.25">
      <c r="D686" s="11"/>
      <c r="Z686" s="11"/>
    </row>
    <row r="687" spans="4:26" ht="15.75" customHeight="1" x14ac:dyDescent="0.25">
      <c r="D687" s="11"/>
      <c r="Z687" s="11"/>
    </row>
    <row r="688" spans="4:26" ht="15.75" customHeight="1" x14ac:dyDescent="0.25">
      <c r="D688" s="11"/>
      <c r="Z688" s="11"/>
    </row>
    <row r="689" spans="4:26" ht="15.75" customHeight="1" x14ac:dyDescent="0.25">
      <c r="D689" s="11"/>
      <c r="Z689" s="11"/>
    </row>
    <row r="690" spans="4:26" ht="15.75" customHeight="1" x14ac:dyDescent="0.25">
      <c r="D690" s="11"/>
      <c r="Z690" s="11"/>
    </row>
    <row r="691" spans="4:26" ht="15.75" customHeight="1" x14ac:dyDescent="0.25">
      <c r="D691" s="11"/>
      <c r="Z691" s="11"/>
    </row>
    <row r="692" spans="4:26" ht="15.75" customHeight="1" x14ac:dyDescent="0.25">
      <c r="D692" s="11"/>
      <c r="Z692" s="11"/>
    </row>
    <row r="693" spans="4:26" ht="15.75" customHeight="1" x14ac:dyDescent="0.25">
      <c r="D693" s="11"/>
      <c r="Z693" s="11"/>
    </row>
    <row r="694" spans="4:26" ht="15.75" customHeight="1" x14ac:dyDescent="0.25">
      <c r="D694" s="11"/>
      <c r="Z694" s="11"/>
    </row>
    <row r="695" spans="4:26" ht="15.75" customHeight="1" x14ac:dyDescent="0.25">
      <c r="D695" s="11"/>
      <c r="Z695" s="11"/>
    </row>
    <row r="696" spans="4:26" ht="15.75" customHeight="1" x14ac:dyDescent="0.25">
      <c r="D696" s="11"/>
      <c r="Z696" s="11"/>
    </row>
    <row r="697" spans="4:26" ht="15.75" customHeight="1" x14ac:dyDescent="0.25">
      <c r="D697" s="11"/>
      <c r="Z697" s="11"/>
    </row>
    <row r="698" spans="4:26" ht="15.75" customHeight="1" x14ac:dyDescent="0.25">
      <c r="D698" s="11"/>
      <c r="Z698" s="11"/>
    </row>
    <row r="699" spans="4:26" ht="15.75" customHeight="1" x14ac:dyDescent="0.25">
      <c r="D699" s="11"/>
      <c r="Z699" s="11"/>
    </row>
    <row r="700" spans="4:26" ht="15.75" customHeight="1" x14ac:dyDescent="0.25">
      <c r="D700" s="11"/>
      <c r="Z700" s="11"/>
    </row>
    <row r="701" spans="4:26" ht="15.75" customHeight="1" x14ac:dyDescent="0.25">
      <c r="D701" s="11"/>
      <c r="Z701" s="11"/>
    </row>
    <row r="702" spans="4:26" ht="15.75" customHeight="1" x14ac:dyDescent="0.25">
      <c r="D702" s="11"/>
      <c r="Z702" s="11"/>
    </row>
    <row r="703" spans="4:26" ht="15.75" customHeight="1" x14ac:dyDescent="0.25">
      <c r="D703" s="11"/>
      <c r="Z703" s="11"/>
    </row>
    <row r="704" spans="4:26" ht="15.75" customHeight="1" x14ac:dyDescent="0.25">
      <c r="D704" s="11"/>
      <c r="Z704" s="11"/>
    </row>
    <row r="705" spans="4:26" ht="15.75" customHeight="1" x14ac:dyDescent="0.25">
      <c r="D705" s="11"/>
      <c r="Z705" s="11"/>
    </row>
    <row r="706" spans="4:26" ht="15.75" customHeight="1" x14ac:dyDescent="0.25">
      <c r="D706" s="11"/>
      <c r="Z706" s="11"/>
    </row>
    <row r="707" spans="4:26" ht="15.75" customHeight="1" x14ac:dyDescent="0.25">
      <c r="D707" s="11"/>
      <c r="Z707" s="11"/>
    </row>
    <row r="708" spans="4:26" ht="15.75" customHeight="1" x14ac:dyDescent="0.25">
      <c r="D708" s="11"/>
      <c r="Z708" s="11"/>
    </row>
    <row r="709" spans="4:26" ht="15.75" customHeight="1" x14ac:dyDescent="0.25">
      <c r="D709" s="11"/>
      <c r="Z709" s="11"/>
    </row>
    <row r="710" spans="4:26" ht="15.75" customHeight="1" x14ac:dyDescent="0.25">
      <c r="D710" s="11"/>
      <c r="Z710" s="11"/>
    </row>
    <row r="711" spans="4:26" ht="15.75" customHeight="1" x14ac:dyDescent="0.25">
      <c r="D711" s="11"/>
      <c r="Z711" s="11"/>
    </row>
    <row r="712" spans="4:26" ht="15.75" customHeight="1" x14ac:dyDescent="0.25">
      <c r="D712" s="11"/>
      <c r="Z712" s="11"/>
    </row>
    <row r="713" spans="4:26" ht="15.75" customHeight="1" x14ac:dyDescent="0.25">
      <c r="D713" s="11"/>
      <c r="Z713" s="11"/>
    </row>
    <row r="714" spans="4:26" ht="15.75" customHeight="1" x14ac:dyDescent="0.25">
      <c r="D714" s="11"/>
      <c r="Z714" s="11"/>
    </row>
    <row r="715" spans="4:26" ht="15.75" customHeight="1" x14ac:dyDescent="0.25">
      <c r="D715" s="11"/>
      <c r="Z715" s="11"/>
    </row>
    <row r="716" spans="4:26" ht="15.75" customHeight="1" x14ac:dyDescent="0.25">
      <c r="D716" s="11"/>
      <c r="Z716" s="11"/>
    </row>
    <row r="717" spans="4:26" ht="15.75" customHeight="1" x14ac:dyDescent="0.25">
      <c r="D717" s="11"/>
      <c r="Z717" s="11"/>
    </row>
    <row r="718" spans="4:26" ht="15.75" customHeight="1" x14ac:dyDescent="0.25">
      <c r="D718" s="11"/>
      <c r="Z718" s="11"/>
    </row>
    <row r="719" spans="4:26" ht="15.75" customHeight="1" x14ac:dyDescent="0.25">
      <c r="D719" s="11"/>
      <c r="Z719" s="11"/>
    </row>
    <row r="720" spans="4:26" ht="15.75" customHeight="1" x14ac:dyDescent="0.25">
      <c r="D720" s="11"/>
      <c r="Z720" s="11"/>
    </row>
    <row r="721" spans="4:26" ht="15.75" customHeight="1" x14ac:dyDescent="0.25">
      <c r="D721" s="11"/>
      <c r="Z721" s="11"/>
    </row>
    <row r="722" spans="4:26" ht="15.75" customHeight="1" x14ac:dyDescent="0.25">
      <c r="D722" s="11"/>
      <c r="Z722" s="11"/>
    </row>
    <row r="723" spans="4:26" ht="15.75" customHeight="1" x14ac:dyDescent="0.25">
      <c r="D723" s="11"/>
      <c r="Z723" s="11"/>
    </row>
    <row r="724" spans="4:26" ht="15.75" customHeight="1" x14ac:dyDescent="0.25">
      <c r="D724" s="11"/>
      <c r="Z724" s="11"/>
    </row>
    <row r="725" spans="4:26" ht="15.75" customHeight="1" x14ac:dyDescent="0.25">
      <c r="D725" s="11"/>
      <c r="Z725" s="11"/>
    </row>
    <row r="726" spans="4:26" ht="15.75" customHeight="1" x14ac:dyDescent="0.25">
      <c r="D726" s="11"/>
      <c r="Z726" s="11"/>
    </row>
    <row r="727" spans="4:26" ht="15.75" customHeight="1" x14ac:dyDescent="0.25">
      <c r="D727" s="11"/>
      <c r="Z727" s="11"/>
    </row>
    <row r="728" spans="4:26" ht="15.75" customHeight="1" x14ac:dyDescent="0.25">
      <c r="D728" s="11"/>
      <c r="Z728" s="11"/>
    </row>
    <row r="729" spans="4:26" ht="15.75" customHeight="1" x14ac:dyDescent="0.25">
      <c r="D729" s="11"/>
      <c r="Z729" s="11"/>
    </row>
    <row r="730" spans="4:26" ht="15.75" customHeight="1" x14ac:dyDescent="0.25">
      <c r="D730" s="11"/>
      <c r="Z730" s="11"/>
    </row>
    <row r="731" spans="4:26" ht="15.75" customHeight="1" x14ac:dyDescent="0.25">
      <c r="D731" s="11"/>
      <c r="Z731" s="11"/>
    </row>
    <row r="732" spans="4:26" ht="15.75" customHeight="1" x14ac:dyDescent="0.25">
      <c r="D732" s="11"/>
      <c r="Z732" s="11"/>
    </row>
    <row r="733" spans="4:26" ht="15.75" customHeight="1" x14ac:dyDescent="0.25">
      <c r="D733" s="11"/>
      <c r="Z733" s="11"/>
    </row>
    <row r="734" spans="4:26" ht="15.75" customHeight="1" x14ac:dyDescent="0.25">
      <c r="D734" s="11"/>
      <c r="Z734" s="11"/>
    </row>
    <row r="735" spans="4:26" ht="15.75" customHeight="1" x14ac:dyDescent="0.25">
      <c r="D735" s="11"/>
      <c r="Z735" s="11"/>
    </row>
    <row r="736" spans="4:26" ht="15.75" customHeight="1" x14ac:dyDescent="0.25">
      <c r="D736" s="11"/>
      <c r="Z736" s="11"/>
    </row>
    <row r="737" spans="4:26" ht="15.75" customHeight="1" x14ac:dyDescent="0.25">
      <c r="D737" s="11"/>
      <c r="Z737" s="11"/>
    </row>
    <row r="738" spans="4:26" ht="15.75" customHeight="1" x14ac:dyDescent="0.25">
      <c r="D738" s="11"/>
      <c r="Z738" s="11"/>
    </row>
    <row r="739" spans="4:26" ht="15.75" customHeight="1" x14ac:dyDescent="0.25">
      <c r="D739" s="11"/>
      <c r="Z739" s="11"/>
    </row>
    <row r="740" spans="4:26" ht="15.75" customHeight="1" x14ac:dyDescent="0.25">
      <c r="D740" s="11"/>
      <c r="Z740" s="11"/>
    </row>
    <row r="741" spans="4:26" ht="15.75" customHeight="1" x14ac:dyDescent="0.25">
      <c r="D741" s="11"/>
      <c r="Z741" s="11"/>
    </row>
    <row r="742" spans="4:26" ht="15.75" customHeight="1" x14ac:dyDescent="0.25">
      <c r="D742" s="11"/>
      <c r="Z742" s="11"/>
    </row>
    <row r="743" spans="4:26" ht="15.75" customHeight="1" x14ac:dyDescent="0.25">
      <c r="D743" s="11"/>
      <c r="Z743" s="11"/>
    </row>
    <row r="744" spans="4:26" ht="15.75" customHeight="1" x14ac:dyDescent="0.25">
      <c r="D744" s="11"/>
      <c r="Z744" s="11"/>
    </row>
    <row r="745" spans="4:26" ht="15.75" customHeight="1" x14ac:dyDescent="0.25">
      <c r="D745" s="11"/>
      <c r="Z745" s="11"/>
    </row>
    <row r="746" spans="4:26" ht="15.75" customHeight="1" x14ac:dyDescent="0.25">
      <c r="D746" s="11"/>
      <c r="Z746" s="11"/>
    </row>
    <row r="747" spans="4:26" ht="15.75" customHeight="1" x14ac:dyDescent="0.25">
      <c r="D747" s="11"/>
      <c r="Z747" s="11"/>
    </row>
    <row r="748" spans="4:26" ht="15.75" customHeight="1" x14ac:dyDescent="0.25">
      <c r="D748" s="11"/>
      <c r="Z748" s="11"/>
    </row>
    <row r="749" spans="4:26" ht="15.75" customHeight="1" x14ac:dyDescent="0.25">
      <c r="D749" s="11"/>
      <c r="Z749" s="11"/>
    </row>
    <row r="750" spans="4:26" ht="15.75" customHeight="1" x14ac:dyDescent="0.25">
      <c r="D750" s="11"/>
      <c r="Z750" s="11"/>
    </row>
    <row r="751" spans="4:26" ht="15.75" customHeight="1" x14ac:dyDescent="0.25">
      <c r="D751" s="11"/>
      <c r="Z751" s="11"/>
    </row>
    <row r="752" spans="4:26" ht="15.75" customHeight="1" x14ac:dyDescent="0.25">
      <c r="D752" s="11"/>
      <c r="Z752" s="11"/>
    </row>
    <row r="753" spans="4:26" ht="15.75" customHeight="1" x14ac:dyDescent="0.25">
      <c r="D753" s="11"/>
      <c r="Z753" s="11"/>
    </row>
    <row r="754" spans="4:26" ht="15.75" customHeight="1" x14ac:dyDescent="0.25">
      <c r="D754" s="11"/>
      <c r="Z754" s="11"/>
    </row>
    <row r="755" spans="4:26" ht="15.75" customHeight="1" x14ac:dyDescent="0.25">
      <c r="D755" s="11"/>
      <c r="Z755" s="11"/>
    </row>
    <row r="756" spans="4:26" ht="15.75" customHeight="1" x14ac:dyDescent="0.25">
      <c r="D756" s="11"/>
      <c r="Z756" s="11"/>
    </row>
    <row r="757" spans="4:26" ht="15.75" customHeight="1" x14ac:dyDescent="0.25">
      <c r="D757" s="11"/>
      <c r="Z757" s="11"/>
    </row>
    <row r="758" spans="4:26" ht="15.75" customHeight="1" x14ac:dyDescent="0.25">
      <c r="D758" s="11"/>
      <c r="Z758" s="11"/>
    </row>
    <row r="759" spans="4:26" ht="15.75" customHeight="1" x14ac:dyDescent="0.25">
      <c r="D759" s="11"/>
      <c r="Z759" s="11"/>
    </row>
    <row r="760" spans="4:26" ht="15.75" customHeight="1" x14ac:dyDescent="0.25">
      <c r="D760" s="11"/>
      <c r="Z760" s="11"/>
    </row>
    <row r="761" spans="4:26" ht="15.75" customHeight="1" x14ac:dyDescent="0.25">
      <c r="D761" s="11"/>
      <c r="Z761" s="11"/>
    </row>
    <row r="762" spans="4:26" ht="15.75" customHeight="1" x14ac:dyDescent="0.25">
      <c r="D762" s="11"/>
      <c r="Z762" s="11"/>
    </row>
    <row r="763" spans="4:26" ht="15.75" customHeight="1" x14ac:dyDescent="0.25">
      <c r="D763" s="11"/>
      <c r="Z763" s="11"/>
    </row>
    <row r="764" spans="4:26" ht="15.75" customHeight="1" x14ac:dyDescent="0.25">
      <c r="D764" s="11"/>
      <c r="Z764" s="11"/>
    </row>
    <row r="765" spans="4:26" ht="15.75" customHeight="1" x14ac:dyDescent="0.25">
      <c r="D765" s="11"/>
      <c r="Z765" s="11"/>
    </row>
    <row r="766" spans="4:26" ht="15.75" customHeight="1" x14ac:dyDescent="0.25">
      <c r="D766" s="11"/>
      <c r="Z766" s="11"/>
    </row>
    <row r="767" spans="4:26" ht="15.75" customHeight="1" x14ac:dyDescent="0.25">
      <c r="D767" s="11"/>
      <c r="Z767" s="11"/>
    </row>
    <row r="768" spans="4:26" ht="15.75" customHeight="1" x14ac:dyDescent="0.25">
      <c r="D768" s="11"/>
      <c r="Z768" s="11"/>
    </row>
    <row r="769" spans="4:26" ht="15.75" customHeight="1" x14ac:dyDescent="0.25">
      <c r="D769" s="11"/>
      <c r="Z769" s="11"/>
    </row>
    <row r="770" spans="4:26" ht="15.75" customHeight="1" x14ac:dyDescent="0.25">
      <c r="D770" s="11"/>
      <c r="Z770" s="11"/>
    </row>
    <row r="771" spans="4:26" ht="15.75" customHeight="1" x14ac:dyDescent="0.25">
      <c r="D771" s="11"/>
      <c r="Z771" s="11"/>
    </row>
    <row r="772" spans="4:26" ht="15.75" customHeight="1" x14ac:dyDescent="0.25">
      <c r="D772" s="11"/>
      <c r="Z772" s="11"/>
    </row>
    <row r="773" spans="4:26" ht="15.75" customHeight="1" x14ac:dyDescent="0.25">
      <c r="D773" s="11"/>
      <c r="Z773" s="11"/>
    </row>
    <row r="774" spans="4:26" ht="15.75" customHeight="1" x14ac:dyDescent="0.25">
      <c r="D774" s="11"/>
      <c r="Z774" s="11"/>
    </row>
    <row r="775" spans="4:26" ht="15.75" customHeight="1" x14ac:dyDescent="0.25">
      <c r="D775" s="11"/>
      <c r="Z775" s="11"/>
    </row>
    <row r="776" spans="4:26" ht="15.75" customHeight="1" x14ac:dyDescent="0.25">
      <c r="D776" s="11"/>
      <c r="Z776" s="11"/>
    </row>
    <row r="777" spans="4:26" ht="15.75" customHeight="1" x14ac:dyDescent="0.25">
      <c r="D777" s="11"/>
      <c r="Z777" s="11"/>
    </row>
    <row r="778" spans="4:26" ht="15.75" customHeight="1" x14ac:dyDescent="0.25">
      <c r="D778" s="11"/>
      <c r="Z778" s="11"/>
    </row>
    <row r="779" spans="4:26" ht="15.75" customHeight="1" x14ac:dyDescent="0.25">
      <c r="D779" s="11"/>
      <c r="Z779" s="11"/>
    </row>
    <row r="780" spans="4:26" ht="15.75" customHeight="1" x14ac:dyDescent="0.25">
      <c r="D780" s="11"/>
      <c r="Z780" s="11"/>
    </row>
    <row r="781" spans="4:26" ht="15.75" customHeight="1" x14ac:dyDescent="0.25">
      <c r="D781" s="11"/>
      <c r="Z781" s="11"/>
    </row>
    <row r="782" spans="4:26" ht="15.75" customHeight="1" x14ac:dyDescent="0.25">
      <c r="D782" s="11"/>
      <c r="Z782" s="11"/>
    </row>
    <row r="783" spans="4:26" ht="15.75" customHeight="1" x14ac:dyDescent="0.25">
      <c r="D783" s="11"/>
      <c r="Z783" s="11"/>
    </row>
    <row r="784" spans="4:26" ht="15.75" customHeight="1" x14ac:dyDescent="0.25">
      <c r="D784" s="11"/>
      <c r="Z784" s="11"/>
    </row>
    <row r="785" spans="4:26" ht="15.75" customHeight="1" x14ac:dyDescent="0.25">
      <c r="D785" s="11"/>
      <c r="Z785" s="11"/>
    </row>
    <row r="786" spans="4:26" ht="15.75" customHeight="1" x14ac:dyDescent="0.25">
      <c r="D786" s="11"/>
      <c r="Z786" s="11"/>
    </row>
    <row r="787" spans="4:26" ht="15.75" customHeight="1" x14ac:dyDescent="0.25">
      <c r="D787" s="11"/>
      <c r="Z787" s="11"/>
    </row>
    <row r="788" spans="4:26" ht="15.75" customHeight="1" x14ac:dyDescent="0.25">
      <c r="D788" s="11"/>
      <c r="Z788" s="11"/>
    </row>
    <row r="789" spans="4:26" ht="15.75" customHeight="1" x14ac:dyDescent="0.25">
      <c r="D789" s="11"/>
      <c r="Z789" s="11"/>
    </row>
    <row r="790" spans="4:26" ht="15.75" customHeight="1" x14ac:dyDescent="0.25">
      <c r="D790" s="11"/>
      <c r="Z790" s="11"/>
    </row>
    <row r="791" spans="4:26" ht="15.75" customHeight="1" x14ac:dyDescent="0.25">
      <c r="D791" s="11"/>
      <c r="Z791" s="11"/>
    </row>
    <row r="792" spans="4:26" ht="15.75" customHeight="1" x14ac:dyDescent="0.25">
      <c r="D792" s="11"/>
      <c r="Z792" s="11"/>
    </row>
    <row r="793" spans="4:26" ht="15.75" customHeight="1" x14ac:dyDescent="0.25">
      <c r="D793" s="11"/>
      <c r="Z793" s="11"/>
    </row>
    <row r="794" spans="4:26" ht="15.75" customHeight="1" x14ac:dyDescent="0.25">
      <c r="D794" s="11"/>
      <c r="Z794" s="11"/>
    </row>
    <row r="795" spans="4:26" ht="15.75" customHeight="1" x14ac:dyDescent="0.25">
      <c r="D795" s="11"/>
      <c r="Z795" s="11"/>
    </row>
    <row r="796" spans="4:26" ht="15.75" customHeight="1" x14ac:dyDescent="0.25">
      <c r="D796" s="11"/>
      <c r="Z796" s="11"/>
    </row>
    <row r="797" spans="4:26" ht="15.75" customHeight="1" x14ac:dyDescent="0.25">
      <c r="D797" s="11"/>
      <c r="Z797" s="11"/>
    </row>
    <row r="798" spans="4:26" ht="15.75" customHeight="1" x14ac:dyDescent="0.25">
      <c r="D798" s="11"/>
      <c r="Z798" s="11"/>
    </row>
    <row r="799" spans="4:26" ht="15.75" customHeight="1" x14ac:dyDescent="0.25">
      <c r="D799" s="11"/>
      <c r="Z799" s="11"/>
    </row>
    <row r="800" spans="4:26" ht="15.75" customHeight="1" x14ac:dyDescent="0.25">
      <c r="D800" s="11"/>
      <c r="Z800" s="11"/>
    </row>
    <row r="801" spans="4:26" ht="15.75" customHeight="1" x14ac:dyDescent="0.25">
      <c r="D801" s="11"/>
      <c r="Z801" s="11"/>
    </row>
    <row r="802" spans="4:26" ht="15.75" customHeight="1" x14ac:dyDescent="0.25">
      <c r="D802" s="11"/>
      <c r="Z802" s="11"/>
    </row>
    <row r="803" spans="4:26" ht="15.75" customHeight="1" x14ac:dyDescent="0.25">
      <c r="D803" s="11"/>
      <c r="Z803" s="11"/>
    </row>
    <row r="804" spans="4:26" ht="15.75" customHeight="1" x14ac:dyDescent="0.25">
      <c r="D804" s="11"/>
      <c r="Z804" s="11"/>
    </row>
    <row r="805" spans="4:26" ht="15.75" customHeight="1" x14ac:dyDescent="0.25">
      <c r="D805" s="11"/>
      <c r="Z805" s="11"/>
    </row>
    <row r="806" spans="4:26" ht="15.75" customHeight="1" x14ac:dyDescent="0.25">
      <c r="D806" s="11"/>
      <c r="Z806" s="11"/>
    </row>
    <row r="807" spans="4:26" ht="15.75" customHeight="1" x14ac:dyDescent="0.25">
      <c r="D807" s="11"/>
      <c r="Z807" s="11"/>
    </row>
    <row r="808" spans="4:26" ht="15.75" customHeight="1" x14ac:dyDescent="0.25">
      <c r="D808" s="11"/>
      <c r="Z808" s="11"/>
    </row>
    <row r="809" spans="4:26" ht="15.75" customHeight="1" x14ac:dyDescent="0.25">
      <c r="D809" s="11"/>
      <c r="Z809" s="11"/>
    </row>
    <row r="810" spans="4:26" ht="15.75" customHeight="1" x14ac:dyDescent="0.25">
      <c r="D810" s="11"/>
      <c r="Z810" s="11"/>
    </row>
    <row r="811" spans="4:26" ht="15.75" customHeight="1" x14ac:dyDescent="0.25">
      <c r="D811" s="11"/>
      <c r="Z811" s="11"/>
    </row>
    <row r="812" spans="4:26" ht="15.75" customHeight="1" x14ac:dyDescent="0.25">
      <c r="D812" s="11"/>
      <c r="Z812" s="11"/>
    </row>
    <row r="813" spans="4:26" ht="15.75" customHeight="1" x14ac:dyDescent="0.25">
      <c r="D813" s="11"/>
      <c r="Z813" s="11"/>
    </row>
    <row r="814" spans="4:26" ht="15.75" customHeight="1" x14ac:dyDescent="0.25">
      <c r="D814" s="11"/>
      <c r="Z814" s="11"/>
    </row>
    <row r="815" spans="4:26" ht="15.75" customHeight="1" x14ac:dyDescent="0.25">
      <c r="D815" s="11"/>
      <c r="Z815" s="11"/>
    </row>
    <row r="816" spans="4:26" ht="15.75" customHeight="1" x14ac:dyDescent="0.25">
      <c r="D816" s="11"/>
      <c r="Z816" s="11"/>
    </row>
    <row r="817" spans="4:26" ht="15.75" customHeight="1" x14ac:dyDescent="0.25">
      <c r="D817" s="11"/>
      <c r="Z817" s="11"/>
    </row>
    <row r="818" spans="4:26" ht="15.75" customHeight="1" x14ac:dyDescent="0.25">
      <c r="D818" s="11"/>
      <c r="Z818" s="11"/>
    </row>
    <row r="819" spans="4:26" ht="15.75" customHeight="1" x14ac:dyDescent="0.25">
      <c r="D819" s="11"/>
      <c r="Z819" s="11"/>
    </row>
    <row r="820" spans="4:26" ht="15.75" customHeight="1" x14ac:dyDescent="0.25">
      <c r="D820" s="11"/>
      <c r="Z820" s="11"/>
    </row>
    <row r="821" spans="4:26" ht="15.75" customHeight="1" x14ac:dyDescent="0.25">
      <c r="D821" s="11"/>
      <c r="Z821" s="11"/>
    </row>
    <row r="822" spans="4:26" ht="15.75" customHeight="1" x14ac:dyDescent="0.25">
      <c r="D822" s="11"/>
      <c r="Z822" s="11"/>
    </row>
    <row r="823" spans="4:26" ht="15.75" customHeight="1" x14ac:dyDescent="0.25">
      <c r="D823" s="11"/>
      <c r="Z823" s="11"/>
    </row>
    <row r="824" spans="4:26" ht="15.75" customHeight="1" x14ac:dyDescent="0.25">
      <c r="D824" s="11"/>
      <c r="Z824" s="11"/>
    </row>
    <row r="825" spans="4:26" ht="15.75" customHeight="1" x14ac:dyDescent="0.25">
      <c r="D825" s="11"/>
      <c r="Z825" s="11"/>
    </row>
    <row r="826" spans="4:26" ht="15.75" customHeight="1" x14ac:dyDescent="0.25">
      <c r="D826" s="11"/>
      <c r="Z826" s="11"/>
    </row>
    <row r="827" spans="4:26" ht="15.75" customHeight="1" x14ac:dyDescent="0.25">
      <c r="D827" s="11"/>
      <c r="Z827" s="11"/>
    </row>
    <row r="828" spans="4:26" ht="15.75" customHeight="1" x14ac:dyDescent="0.25">
      <c r="D828" s="11"/>
      <c r="Z828" s="11"/>
    </row>
    <row r="829" spans="4:26" ht="15.75" customHeight="1" x14ac:dyDescent="0.25">
      <c r="D829" s="11"/>
      <c r="Z829" s="11"/>
    </row>
    <row r="830" spans="4:26" ht="15.75" customHeight="1" x14ac:dyDescent="0.25">
      <c r="D830" s="11"/>
      <c r="Z830" s="11"/>
    </row>
    <row r="831" spans="4:26" ht="15.75" customHeight="1" x14ac:dyDescent="0.25">
      <c r="D831" s="11"/>
      <c r="Z831" s="11"/>
    </row>
    <row r="832" spans="4:26" ht="15.75" customHeight="1" x14ac:dyDescent="0.25">
      <c r="D832" s="11"/>
      <c r="Z832" s="11"/>
    </row>
    <row r="833" spans="4:26" ht="15.75" customHeight="1" x14ac:dyDescent="0.25">
      <c r="D833" s="11"/>
      <c r="Z833" s="11"/>
    </row>
    <row r="834" spans="4:26" ht="15.75" customHeight="1" x14ac:dyDescent="0.25">
      <c r="D834" s="11"/>
      <c r="Z834" s="11"/>
    </row>
    <row r="835" spans="4:26" ht="15.75" customHeight="1" x14ac:dyDescent="0.25">
      <c r="D835" s="11"/>
      <c r="Z835" s="11"/>
    </row>
    <row r="836" spans="4:26" ht="15.75" customHeight="1" x14ac:dyDescent="0.25">
      <c r="D836" s="11"/>
      <c r="Z836" s="11"/>
    </row>
    <row r="837" spans="4:26" ht="15.75" customHeight="1" x14ac:dyDescent="0.25">
      <c r="D837" s="11"/>
      <c r="Z837" s="11"/>
    </row>
    <row r="838" spans="4:26" ht="15.75" customHeight="1" x14ac:dyDescent="0.25">
      <c r="D838" s="11"/>
      <c r="Z838" s="11"/>
    </row>
    <row r="839" spans="4:26" ht="15.75" customHeight="1" x14ac:dyDescent="0.25">
      <c r="D839" s="11"/>
      <c r="Z839" s="11"/>
    </row>
    <row r="840" spans="4:26" ht="15.75" customHeight="1" x14ac:dyDescent="0.25">
      <c r="D840" s="11"/>
      <c r="Z840" s="11"/>
    </row>
    <row r="841" spans="4:26" ht="15.75" customHeight="1" x14ac:dyDescent="0.25">
      <c r="D841" s="11"/>
      <c r="Z841" s="11"/>
    </row>
    <row r="842" spans="4:26" ht="15.75" customHeight="1" x14ac:dyDescent="0.25">
      <c r="D842" s="11"/>
      <c r="Z842" s="11"/>
    </row>
    <row r="843" spans="4:26" ht="15.75" customHeight="1" x14ac:dyDescent="0.25">
      <c r="D843" s="11"/>
      <c r="Z843" s="11"/>
    </row>
    <row r="844" spans="4:26" ht="15.75" customHeight="1" x14ac:dyDescent="0.25">
      <c r="D844" s="11"/>
      <c r="Z844" s="11"/>
    </row>
    <row r="845" spans="4:26" ht="15.75" customHeight="1" x14ac:dyDescent="0.25">
      <c r="D845" s="11"/>
      <c r="Z845" s="11"/>
    </row>
    <row r="846" spans="4:26" ht="15.75" customHeight="1" x14ac:dyDescent="0.25">
      <c r="D846" s="11"/>
      <c r="Z846" s="11"/>
    </row>
    <row r="847" spans="4:26" ht="15.75" customHeight="1" x14ac:dyDescent="0.25">
      <c r="D847" s="11"/>
      <c r="Z847" s="11"/>
    </row>
    <row r="848" spans="4:26" ht="15.75" customHeight="1" x14ac:dyDescent="0.25">
      <c r="D848" s="11"/>
      <c r="Z848" s="11"/>
    </row>
    <row r="849" spans="4:26" ht="15.75" customHeight="1" x14ac:dyDescent="0.25">
      <c r="D849" s="11"/>
      <c r="Z849" s="11"/>
    </row>
    <row r="850" spans="4:26" ht="15.75" customHeight="1" x14ac:dyDescent="0.25">
      <c r="D850" s="11"/>
      <c r="Z850" s="11"/>
    </row>
    <row r="851" spans="4:26" ht="15.75" customHeight="1" x14ac:dyDescent="0.25">
      <c r="D851" s="11"/>
      <c r="Z851" s="11"/>
    </row>
    <row r="852" spans="4:26" ht="15.75" customHeight="1" x14ac:dyDescent="0.25">
      <c r="D852" s="11"/>
      <c r="Z852" s="11"/>
    </row>
    <row r="853" spans="4:26" ht="15.75" customHeight="1" x14ac:dyDescent="0.25">
      <c r="D853" s="11"/>
      <c r="Z853" s="11"/>
    </row>
    <row r="854" spans="4:26" ht="15.75" customHeight="1" x14ac:dyDescent="0.25">
      <c r="D854" s="11"/>
      <c r="Z854" s="11"/>
    </row>
    <row r="855" spans="4:26" ht="15.75" customHeight="1" x14ac:dyDescent="0.25">
      <c r="D855" s="11"/>
      <c r="Z855" s="11"/>
    </row>
    <row r="856" spans="4:26" ht="15.75" customHeight="1" x14ac:dyDescent="0.25">
      <c r="D856" s="11"/>
      <c r="Z856" s="11"/>
    </row>
    <row r="857" spans="4:26" ht="15.75" customHeight="1" x14ac:dyDescent="0.25">
      <c r="D857" s="11"/>
      <c r="Z857" s="11"/>
    </row>
    <row r="858" spans="4:26" ht="15.75" customHeight="1" x14ac:dyDescent="0.25">
      <c r="D858" s="11"/>
      <c r="Z858" s="11"/>
    </row>
    <row r="859" spans="4:26" ht="15.75" customHeight="1" x14ac:dyDescent="0.25">
      <c r="D859" s="11"/>
      <c r="Z859" s="11"/>
    </row>
    <row r="860" spans="4:26" ht="15.75" customHeight="1" x14ac:dyDescent="0.25">
      <c r="D860" s="11"/>
      <c r="Z860" s="11"/>
    </row>
    <row r="861" spans="4:26" ht="15.75" customHeight="1" x14ac:dyDescent="0.25">
      <c r="D861" s="11"/>
      <c r="Z861" s="11"/>
    </row>
    <row r="862" spans="4:26" ht="15.75" customHeight="1" x14ac:dyDescent="0.25">
      <c r="D862" s="11"/>
      <c r="Z862" s="11"/>
    </row>
    <row r="863" spans="4:26" ht="15.75" customHeight="1" x14ac:dyDescent="0.25">
      <c r="D863" s="11"/>
      <c r="Z863" s="11"/>
    </row>
    <row r="864" spans="4:26" ht="15.75" customHeight="1" x14ac:dyDescent="0.25">
      <c r="D864" s="11"/>
      <c r="Z864" s="11"/>
    </row>
    <row r="865" spans="4:26" ht="15.75" customHeight="1" x14ac:dyDescent="0.25">
      <c r="D865" s="11"/>
      <c r="Z865" s="11"/>
    </row>
    <row r="866" spans="4:26" ht="15.75" customHeight="1" x14ac:dyDescent="0.25">
      <c r="D866" s="11"/>
      <c r="Z866" s="11"/>
    </row>
    <row r="867" spans="4:26" ht="15.75" customHeight="1" x14ac:dyDescent="0.25">
      <c r="D867" s="11"/>
      <c r="Z867" s="11"/>
    </row>
    <row r="868" spans="4:26" ht="15.75" customHeight="1" x14ac:dyDescent="0.25">
      <c r="D868" s="11"/>
      <c r="Z868" s="11"/>
    </row>
    <row r="869" spans="4:26" ht="15.75" customHeight="1" x14ac:dyDescent="0.25">
      <c r="D869" s="11"/>
      <c r="Z869" s="11"/>
    </row>
    <row r="870" spans="4:26" ht="15.75" customHeight="1" x14ac:dyDescent="0.25">
      <c r="D870" s="11"/>
      <c r="Z870" s="11"/>
    </row>
    <row r="871" spans="4:26" ht="15.75" customHeight="1" x14ac:dyDescent="0.25">
      <c r="D871" s="11"/>
      <c r="Z871" s="11"/>
    </row>
    <row r="872" spans="4:26" ht="15.75" customHeight="1" x14ac:dyDescent="0.25">
      <c r="D872" s="11"/>
      <c r="Z872" s="11"/>
    </row>
    <row r="873" spans="4:26" ht="15.75" customHeight="1" x14ac:dyDescent="0.25">
      <c r="D873" s="11"/>
      <c r="Z873" s="11"/>
    </row>
    <row r="874" spans="4:26" ht="15.75" customHeight="1" x14ac:dyDescent="0.25">
      <c r="D874" s="11"/>
      <c r="Z874" s="11"/>
    </row>
    <row r="875" spans="4:26" ht="15.75" customHeight="1" x14ac:dyDescent="0.25">
      <c r="D875" s="11"/>
      <c r="Z875" s="11"/>
    </row>
    <row r="876" spans="4:26" ht="15.75" customHeight="1" x14ac:dyDescent="0.25">
      <c r="D876" s="11"/>
      <c r="Z876" s="11"/>
    </row>
    <row r="877" spans="4:26" ht="15.75" customHeight="1" x14ac:dyDescent="0.25">
      <c r="D877" s="11"/>
      <c r="Z877" s="11"/>
    </row>
    <row r="878" spans="4:26" ht="15.75" customHeight="1" x14ac:dyDescent="0.25">
      <c r="D878" s="11"/>
      <c r="Z878" s="11"/>
    </row>
    <row r="879" spans="4:26" ht="15.75" customHeight="1" x14ac:dyDescent="0.25">
      <c r="D879" s="11"/>
      <c r="Z879" s="11"/>
    </row>
    <row r="880" spans="4:26" ht="15.75" customHeight="1" x14ac:dyDescent="0.25">
      <c r="D880" s="11"/>
      <c r="Z880" s="11"/>
    </row>
    <row r="881" spans="4:26" ht="15.75" customHeight="1" x14ac:dyDescent="0.25">
      <c r="D881" s="11"/>
      <c r="Z881" s="11"/>
    </row>
    <row r="882" spans="4:26" ht="15.75" customHeight="1" x14ac:dyDescent="0.25">
      <c r="D882" s="11"/>
      <c r="Z882" s="11"/>
    </row>
    <row r="883" spans="4:26" ht="15.75" customHeight="1" x14ac:dyDescent="0.25">
      <c r="D883" s="11"/>
      <c r="Z883" s="11"/>
    </row>
    <row r="884" spans="4:26" ht="15.75" customHeight="1" x14ac:dyDescent="0.25">
      <c r="D884" s="11"/>
      <c r="Z884" s="11"/>
    </row>
    <row r="885" spans="4:26" ht="15.75" customHeight="1" x14ac:dyDescent="0.25">
      <c r="D885" s="11"/>
      <c r="Z885" s="11"/>
    </row>
    <row r="886" spans="4:26" ht="15.75" customHeight="1" x14ac:dyDescent="0.25">
      <c r="D886" s="11"/>
      <c r="Z886" s="11"/>
    </row>
    <row r="887" spans="4:26" ht="15.75" customHeight="1" x14ac:dyDescent="0.25">
      <c r="D887" s="11"/>
      <c r="Z887" s="11"/>
    </row>
    <row r="888" spans="4:26" ht="15.75" customHeight="1" x14ac:dyDescent="0.25">
      <c r="D888" s="11"/>
      <c r="Z888" s="11"/>
    </row>
    <row r="889" spans="4:26" ht="15.75" customHeight="1" x14ac:dyDescent="0.25">
      <c r="D889" s="11"/>
      <c r="Z889" s="11"/>
    </row>
    <row r="890" spans="4:26" ht="15.75" customHeight="1" x14ac:dyDescent="0.25">
      <c r="D890" s="11"/>
      <c r="Z890" s="11"/>
    </row>
    <row r="891" spans="4:26" ht="15.75" customHeight="1" x14ac:dyDescent="0.25">
      <c r="D891" s="11"/>
      <c r="Z891" s="11"/>
    </row>
    <row r="892" spans="4:26" ht="15.75" customHeight="1" x14ac:dyDescent="0.25">
      <c r="D892" s="11"/>
      <c r="Z892" s="11"/>
    </row>
    <row r="893" spans="4:26" ht="15.75" customHeight="1" x14ac:dyDescent="0.25">
      <c r="D893" s="11"/>
      <c r="Z893" s="11"/>
    </row>
    <row r="894" spans="4:26" ht="15.75" customHeight="1" x14ac:dyDescent="0.25">
      <c r="D894" s="11"/>
      <c r="Z894" s="11"/>
    </row>
    <row r="895" spans="4:26" ht="15.75" customHeight="1" x14ac:dyDescent="0.25">
      <c r="D895" s="11"/>
      <c r="Z895" s="11"/>
    </row>
    <row r="896" spans="4:26" ht="15.75" customHeight="1" x14ac:dyDescent="0.25">
      <c r="D896" s="11"/>
      <c r="Z896" s="11"/>
    </row>
    <row r="897" spans="4:26" ht="15.75" customHeight="1" x14ac:dyDescent="0.25">
      <c r="D897" s="11"/>
      <c r="Z897" s="11"/>
    </row>
    <row r="898" spans="4:26" ht="15.75" customHeight="1" x14ac:dyDescent="0.25">
      <c r="D898" s="11"/>
      <c r="Z898" s="11"/>
    </row>
    <row r="899" spans="4:26" ht="15.75" customHeight="1" x14ac:dyDescent="0.25">
      <c r="D899" s="11"/>
      <c r="Z899" s="11"/>
    </row>
    <row r="900" spans="4:26" ht="15.75" customHeight="1" x14ac:dyDescent="0.25">
      <c r="D900" s="11"/>
      <c r="Z900" s="11"/>
    </row>
    <row r="901" spans="4:26" ht="15.75" customHeight="1" x14ac:dyDescent="0.25">
      <c r="D901" s="11"/>
      <c r="Z901" s="11"/>
    </row>
    <row r="902" spans="4:26" ht="15.75" customHeight="1" x14ac:dyDescent="0.25">
      <c r="D902" s="11"/>
      <c r="Z902" s="11"/>
    </row>
    <row r="903" spans="4:26" ht="15.75" customHeight="1" x14ac:dyDescent="0.25">
      <c r="D903" s="11"/>
      <c r="Z903" s="11"/>
    </row>
    <row r="904" spans="4:26" ht="15.75" customHeight="1" x14ac:dyDescent="0.25">
      <c r="D904" s="11"/>
      <c r="Z904" s="11"/>
    </row>
    <row r="905" spans="4:26" ht="15.75" customHeight="1" x14ac:dyDescent="0.25">
      <c r="D905" s="11"/>
      <c r="Z905" s="11"/>
    </row>
    <row r="906" spans="4:26" ht="15.75" customHeight="1" x14ac:dyDescent="0.25">
      <c r="D906" s="11"/>
      <c r="Z906" s="11"/>
    </row>
    <row r="907" spans="4:26" ht="15.75" customHeight="1" x14ac:dyDescent="0.25">
      <c r="D907" s="11"/>
      <c r="Z907" s="11"/>
    </row>
    <row r="908" spans="4:26" ht="15.75" customHeight="1" x14ac:dyDescent="0.25">
      <c r="D908" s="11"/>
      <c r="Z908" s="11"/>
    </row>
    <row r="909" spans="4:26" ht="15.75" customHeight="1" x14ac:dyDescent="0.25">
      <c r="D909" s="11"/>
      <c r="Z909" s="11"/>
    </row>
    <row r="910" spans="4:26" ht="15.75" customHeight="1" x14ac:dyDescent="0.25">
      <c r="D910" s="11"/>
      <c r="Z910" s="11"/>
    </row>
    <row r="911" spans="4:26" ht="15.75" customHeight="1" x14ac:dyDescent="0.25">
      <c r="D911" s="11"/>
      <c r="Z911" s="11"/>
    </row>
    <row r="912" spans="4:26" ht="15.75" customHeight="1" x14ac:dyDescent="0.25">
      <c r="D912" s="11"/>
      <c r="Z912" s="11"/>
    </row>
    <row r="913" spans="4:26" ht="15.75" customHeight="1" x14ac:dyDescent="0.25">
      <c r="D913" s="11"/>
      <c r="Z913" s="11"/>
    </row>
    <row r="914" spans="4:26" ht="15.75" customHeight="1" x14ac:dyDescent="0.25">
      <c r="D914" s="11"/>
      <c r="Z914" s="11"/>
    </row>
    <row r="915" spans="4:26" ht="15.75" customHeight="1" x14ac:dyDescent="0.25">
      <c r="D915" s="11"/>
      <c r="Z915" s="11"/>
    </row>
    <row r="916" spans="4:26" ht="15.75" customHeight="1" x14ac:dyDescent="0.25">
      <c r="D916" s="11"/>
      <c r="Z916" s="11"/>
    </row>
    <row r="917" spans="4:26" ht="15.75" customHeight="1" x14ac:dyDescent="0.25">
      <c r="D917" s="11"/>
      <c r="Z917" s="11"/>
    </row>
    <row r="918" spans="4:26" ht="15.75" customHeight="1" x14ac:dyDescent="0.25">
      <c r="D918" s="11"/>
      <c r="Z918" s="11"/>
    </row>
    <row r="919" spans="4:26" ht="15.75" customHeight="1" x14ac:dyDescent="0.25">
      <c r="D919" s="11"/>
      <c r="Z919" s="11"/>
    </row>
    <row r="920" spans="4:26" ht="15.75" customHeight="1" x14ac:dyDescent="0.25">
      <c r="D920" s="11"/>
      <c r="Z920" s="11"/>
    </row>
    <row r="921" spans="4:26" ht="15.75" customHeight="1" x14ac:dyDescent="0.25">
      <c r="D921" s="11"/>
      <c r="Z921" s="11"/>
    </row>
    <row r="922" spans="4:26" ht="15.75" customHeight="1" x14ac:dyDescent="0.25">
      <c r="D922" s="11"/>
      <c r="Z922" s="11"/>
    </row>
    <row r="923" spans="4:26" ht="15.75" customHeight="1" x14ac:dyDescent="0.25">
      <c r="D923" s="11"/>
      <c r="Z923" s="11"/>
    </row>
    <row r="924" spans="4:26" ht="15.75" customHeight="1" x14ac:dyDescent="0.25">
      <c r="D924" s="11"/>
      <c r="Z924" s="11"/>
    </row>
    <row r="925" spans="4:26" ht="15.75" customHeight="1" x14ac:dyDescent="0.25">
      <c r="D925" s="11"/>
      <c r="Z925" s="11"/>
    </row>
    <row r="926" spans="4:26" ht="15.75" customHeight="1" x14ac:dyDescent="0.25">
      <c r="D926" s="11"/>
      <c r="Z926" s="11"/>
    </row>
    <row r="927" spans="4:26" ht="15.75" customHeight="1" x14ac:dyDescent="0.25">
      <c r="D927" s="11"/>
      <c r="Z927" s="11"/>
    </row>
    <row r="928" spans="4:26" ht="15.75" customHeight="1" x14ac:dyDescent="0.25">
      <c r="D928" s="11"/>
      <c r="Z928" s="11"/>
    </row>
    <row r="929" spans="4:26" ht="15.75" customHeight="1" x14ac:dyDescent="0.25">
      <c r="D929" s="11"/>
      <c r="Z929" s="11"/>
    </row>
    <row r="930" spans="4:26" ht="15.75" customHeight="1" x14ac:dyDescent="0.25">
      <c r="D930" s="11"/>
      <c r="Z930" s="11"/>
    </row>
    <row r="931" spans="4:26" ht="15.75" customHeight="1" x14ac:dyDescent="0.25">
      <c r="D931" s="11"/>
      <c r="Z931" s="11"/>
    </row>
    <row r="932" spans="4:26" ht="15.75" customHeight="1" x14ac:dyDescent="0.25">
      <c r="D932" s="11"/>
      <c r="Z932" s="11"/>
    </row>
    <row r="933" spans="4:26" ht="15.75" customHeight="1" x14ac:dyDescent="0.25">
      <c r="D933" s="11"/>
      <c r="Z933" s="11"/>
    </row>
    <row r="934" spans="4:26" ht="15.75" customHeight="1" x14ac:dyDescent="0.25">
      <c r="D934" s="11"/>
      <c r="Z934" s="11"/>
    </row>
    <row r="935" spans="4:26" ht="15.75" customHeight="1" x14ac:dyDescent="0.25">
      <c r="D935" s="11"/>
      <c r="Z935" s="11"/>
    </row>
    <row r="936" spans="4:26" ht="15.75" customHeight="1" x14ac:dyDescent="0.25">
      <c r="D936" s="11"/>
      <c r="Z936" s="11"/>
    </row>
    <row r="937" spans="4:26" ht="15.75" customHeight="1" x14ac:dyDescent="0.25">
      <c r="D937" s="11"/>
      <c r="Z937" s="11"/>
    </row>
    <row r="938" spans="4:26" ht="15.75" customHeight="1" x14ac:dyDescent="0.25">
      <c r="D938" s="11"/>
      <c r="Z938" s="11"/>
    </row>
    <row r="939" spans="4:26" ht="15.75" customHeight="1" x14ac:dyDescent="0.25">
      <c r="D939" s="11"/>
      <c r="Z939" s="11"/>
    </row>
    <row r="940" spans="4:26" ht="15.75" customHeight="1" x14ac:dyDescent="0.25">
      <c r="D940" s="11"/>
      <c r="Z940" s="11"/>
    </row>
    <row r="941" spans="4:26" ht="15.75" customHeight="1" x14ac:dyDescent="0.25">
      <c r="D941" s="11"/>
      <c r="Z941" s="11"/>
    </row>
    <row r="942" spans="4:26" ht="15.75" customHeight="1" x14ac:dyDescent="0.25">
      <c r="D942" s="11"/>
      <c r="Z942" s="11"/>
    </row>
    <row r="943" spans="4:26" ht="15.75" customHeight="1" x14ac:dyDescent="0.25">
      <c r="D943" s="11"/>
      <c r="Z943" s="11"/>
    </row>
    <row r="944" spans="4:26" ht="15.75" customHeight="1" x14ac:dyDescent="0.25">
      <c r="D944" s="11"/>
      <c r="Z944" s="11"/>
    </row>
    <row r="945" spans="4:26" ht="15.75" customHeight="1" x14ac:dyDescent="0.25">
      <c r="D945" s="11"/>
      <c r="Z945" s="11"/>
    </row>
    <row r="946" spans="4:26" ht="15.75" customHeight="1" x14ac:dyDescent="0.25">
      <c r="D946" s="11"/>
      <c r="Z946" s="11"/>
    </row>
    <row r="947" spans="4:26" ht="15.75" customHeight="1" x14ac:dyDescent="0.25">
      <c r="D947" s="11"/>
      <c r="Z947" s="11"/>
    </row>
    <row r="948" spans="4:26" ht="15.75" customHeight="1" x14ac:dyDescent="0.25">
      <c r="D948" s="11"/>
      <c r="Z948" s="11"/>
    </row>
    <row r="949" spans="4:26" ht="15.75" customHeight="1" x14ac:dyDescent="0.25">
      <c r="D949" s="11"/>
      <c r="Z949" s="11"/>
    </row>
    <row r="950" spans="4:26" ht="15.75" customHeight="1" x14ac:dyDescent="0.25">
      <c r="D950" s="11"/>
      <c r="Z950" s="11"/>
    </row>
    <row r="951" spans="4:26" ht="15.75" customHeight="1" x14ac:dyDescent="0.25">
      <c r="D951" s="11"/>
      <c r="Z951" s="11"/>
    </row>
    <row r="952" spans="4:26" ht="15.75" customHeight="1" x14ac:dyDescent="0.25">
      <c r="D952" s="11"/>
      <c r="Z952" s="11"/>
    </row>
    <row r="953" spans="4:26" ht="15.75" customHeight="1" x14ac:dyDescent="0.25">
      <c r="D953" s="11"/>
      <c r="Z953" s="11"/>
    </row>
    <row r="954" spans="4:26" ht="15.75" customHeight="1" x14ac:dyDescent="0.25">
      <c r="D954" s="11"/>
      <c r="Z954" s="11"/>
    </row>
    <row r="955" spans="4:26" ht="15.75" customHeight="1" x14ac:dyDescent="0.25">
      <c r="D955" s="11"/>
      <c r="Z955" s="11"/>
    </row>
    <row r="956" spans="4:26" ht="15.75" customHeight="1" x14ac:dyDescent="0.25">
      <c r="D956" s="11"/>
      <c r="Z956" s="11"/>
    </row>
    <row r="957" spans="4:26" ht="15.75" customHeight="1" x14ac:dyDescent="0.25">
      <c r="D957" s="11"/>
      <c r="Z957" s="11"/>
    </row>
    <row r="958" spans="4:26" ht="15.75" customHeight="1" x14ac:dyDescent="0.25">
      <c r="D958" s="11"/>
      <c r="Z958" s="11"/>
    </row>
    <row r="959" spans="4:26" ht="15.75" customHeight="1" x14ac:dyDescent="0.25">
      <c r="D959" s="11"/>
      <c r="Z959" s="11"/>
    </row>
    <row r="960" spans="4:26" ht="15.75" customHeight="1" x14ac:dyDescent="0.25">
      <c r="D960" s="11"/>
      <c r="Z960" s="11"/>
    </row>
    <row r="961" spans="4:26" ht="15.75" customHeight="1" x14ac:dyDescent="0.25">
      <c r="D961" s="11"/>
      <c r="Z961" s="11"/>
    </row>
    <row r="962" spans="4:26" ht="15.75" customHeight="1" x14ac:dyDescent="0.25">
      <c r="D962" s="11"/>
      <c r="Z962" s="11"/>
    </row>
    <row r="963" spans="4:26" ht="15.75" customHeight="1" x14ac:dyDescent="0.25">
      <c r="D963" s="11"/>
      <c r="Z963" s="11"/>
    </row>
    <row r="964" spans="4:26" ht="15.75" customHeight="1" x14ac:dyDescent="0.25">
      <c r="D964" s="11"/>
      <c r="Z964" s="11"/>
    </row>
    <row r="965" spans="4:26" ht="15.75" customHeight="1" x14ac:dyDescent="0.25">
      <c r="D965" s="11"/>
      <c r="Z965" s="11"/>
    </row>
    <row r="966" spans="4:26" ht="15.75" customHeight="1" x14ac:dyDescent="0.25">
      <c r="D966" s="11"/>
      <c r="Z966" s="11"/>
    </row>
    <row r="967" spans="4:26" ht="15.75" customHeight="1" x14ac:dyDescent="0.25">
      <c r="D967" s="11"/>
      <c r="Z967" s="11"/>
    </row>
    <row r="968" spans="4:26" ht="15.75" customHeight="1" x14ac:dyDescent="0.25">
      <c r="D968" s="11"/>
      <c r="Z968" s="11"/>
    </row>
    <row r="969" spans="4:26" ht="15.75" customHeight="1" x14ac:dyDescent="0.25">
      <c r="D969" s="11"/>
      <c r="Z969" s="11"/>
    </row>
    <row r="970" spans="4:26" ht="15.75" customHeight="1" x14ac:dyDescent="0.25">
      <c r="D970" s="11"/>
      <c r="Z970" s="11"/>
    </row>
    <row r="971" spans="4:26" ht="15.75" customHeight="1" x14ac:dyDescent="0.25">
      <c r="D971" s="11"/>
      <c r="Z971" s="11"/>
    </row>
    <row r="972" spans="4:26" ht="15.75" customHeight="1" x14ac:dyDescent="0.25">
      <c r="D972" s="11"/>
      <c r="Z972" s="11"/>
    </row>
    <row r="973" spans="4:26" ht="15.75" customHeight="1" x14ac:dyDescent="0.25">
      <c r="D973" s="11"/>
      <c r="Z973" s="11"/>
    </row>
    <row r="974" spans="4:26" ht="15.75" customHeight="1" x14ac:dyDescent="0.25">
      <c r="D974" s="11"/>
      <c r="Z974" s="11"/>
    </row>
    <row r="975" spans="4:26" ht="15.75" customHeight="1" x14ac:dyDescent="0.25">
      <c r="D975" s="11"/>
      <c r="Z975" s="11"/>
    </row>
    <row r="976" spans="4:26" ht="15.75" customHeight="1" x14ac:dyDescent="0.25">
      <c r="D976" s="11"/>
      <c r="Z976" s="11"/>
    </row>
    <row r="977" spans="4:26" ht="15.75" customHeight="1" x14ac:dyDescent="0.25">
      <c r="D977" s="11"/>
      <c r="Z977" s="11"/>
    </row>
    <row r="978" spans="4:26" ht="15.75" customHeight="1" x14ac:dyDescent="0.25">
      <c r="D978" s="11"/>
      <c r="Z978" s="11"/>
    </row>
    <row r="979" spans="4:26" ht="15.75" customHeight="1" x14ac:dyDescent="0.25">
      <c r="D979" s="11"/>
      <c r="Z979" s="11"/>
    </row>
    <row r="980" spans="4:26" ht="15.75" customHeight="1" x14ac:dyDescent="0.25">
      <c r="D980" s="11"/>
      <c r="Z980" s="11"/>
    </row>
    <row r="981" spans="4:26" ht="15.75" customHeight="1" x14ac:dyDescent="0.25">
      <c r="D981" s="11"/>
      <c r="Z981" s="11"/>
    </row>
    <row r="982" spans="4:26" ht="15.75" customHeight="1" x14ac:dyDescent="0.25">
      <c r="D982" s="11"/>
      <c r="Z982" s="11"/>
    </row>
    <row r="983" spans="4:26" ht="15.75" customHeight="1" x14ac:dyDescent="0.25">
      <c r="D983" s="11"/>
      <c r="Z983" s="11"/>
    </row>
    <row r="984" spans="4:26" ht="15.75" customHeight="1" x14ac:dyDescent="0.25">
      <c r="D984" s="11"/>
      <c r="Z984" s="11"/>
    </row>
    <row r="985" spans="4:26" ht="15.75" customHeight="1" x14ac:dyDescent="0.25">
      <c r="D985" s="11"/>
      <c r="Z985" s="11"/>
    </row>
    <row r="986" spans="4:26" ht="15.75" customHeight="1" x14ac:dyDescent="0.25">
      <c r="D986" s="11"/>
      <c r="Z986" s="11"/>
    </row>
    <row r="987" spans="4:26" ht="15.75" customHeight="1" x14ac:dyDescent="0.25">
      <c r="D987" s="11"/>
      <c r="Z987" s="11"/>
    </row>
    <row r="988" spans="4:26" ht="15.75" customHeight="1" x14ac:dyDescent="0.25">
      <c r="D988" s="11"/>
      <c r="Z988" s="11"/>
    </row>
    <row r="989" spans="4:26" ht="15.75" customHeight="1" x14ac:dyDescent="0.25">
      <c r="D989" s="11"/>
      <c r="Z989" s="11"/>
    </row>
    <row r="990" spans="4:26" ht="15.75" customHeight="1" x14ac:dyDescent="0.25">
      <c r="D990" s="11"/>
      <c r="Z990" s="11"/>
    </row>
    <row r="991" spans="4:26" ht="15.75" customHeight="1" x14ac:dyDescent="0.25">
      <c r="D991" s="11"/>
      <c r="Z991" s="11"/>
    </row>
    <row r="992" spans="4:26" ht="15.75" customHeight="1" x14ac:dyDescent="0.25">
      <c r="D992" s="11"/>
      <c r="Z992" s="11"/>
    </row>
    <row r="993" spans="4:26" ht="15.75" customHeight="1" x14ac:dyDescent="0.25">
      <c r="D993" s="11"/>
      <c r="Z993" s="11"/>
    </row>
    <row r="994" spans="4:26" ht="15.75" customHeight="1" x14ac:dyDescent="0.25">
      <c r="D994" s="11"/>
      <c r="Z994" s="11"/>
    </row>
    <row r="995" spans="4:26" ht="15.75" customHeight="1" x14ac:dyDescent="0.25">
      <c r="D995" s="11"/>
      <c r="Z995" s="11"/>
    </row>
    <row r="996" spans="4:26" ht="15.75" customHeight="1" x14ac:dyDescent="0.25">
      <c r="D996" s="11"/>
      <c r="Z996" s="11"/>
    </row>
    <row r="997" spans="4:26" ht="15.75" customHeight="1" x14ac:dyDescent="0.25">
      <c r="D997" s="11"/>
      <c r="Z997" s="11"/>
    </row>
    <row r="998" spans="4:26" ht="15.75" customHeight="1" x14ac:dyDescent="0.25">
      <c r="D998" s="11"/>
      <c r="Z998" s="11"/>
    </row>
    <row r="999" spans="4:26" ht="15.75" customHeight="1" x14ac:dyDescent="0.25">
      <c r="D999" s="11"/>
      <c r="Z999" s="11"/>
    </row>
    <row r="1000" spans="4:26" ht="15.75" customHeight="1" x14ac:dyDescent="0.25">
      <c r="D1000" s="11"/>
      <c r="Z1000" s="11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zoomScale="70" zoomScaleNormal="70" workbookViewId="0">
      <selection activeCell="M22" sqref="B1:M22"/>
    </sheetView>
  </sheetViews>
  <sheetFormatPr defaultColWidth="14.42578125" defaultRowHeight="15" customHeight="1" x14ac:dyDescent="0.25"/>
  <cols>
    <col min="1" max="1" width="9.140625" customWidth="1"/>
    <col min="2" max="2" width="100.7109375" customWidth="1"/>
    <col min="3" max="3" width="23.85546875" customWidth="1"/>
    <col min="4" max="5" width="19.140625" customWidth="1"/>
    <col min="6" max="6" width="11.85546875" customWidth="1"/>
    <col min="7" max="7" width="13.140625" customWidth="1"/>
    <col min="8" max="8" width="9.140625" customWidth="1"/>
    <col min="9" max="9" width="13.42578125" customWidth="1"/>
    <col min="10" max="10" width="12" customWidth="1"/>
    <col min="11" max="26" width="9.140625" customWidth="1"/>
  </cols>
  <sheetData>
    <row r="1" spans="2:10" x14ac:dyDescent="0.25">
      <c r="B1" s="31" t="s">
        <v>251</v>
      </c>
    </row>
    <row r="2" spans="2:10" ht="30" x14ac:dyDescent="0.25">
      <c r="B2" s="32" t="s">
        <v>252</v>
      </c>
    </row>
    <row r="3" spans="2:10" x14ac:dyDescent="0.25">
      <c r="C3" s="33" t="s">
        <v>253</v>
      </c>
      <c r="D3" s="33" t="s">
        <v>254</v>
      </c>
      <c r="E3" s="33" t="s">
        <v>255</v>
      </c>
      <c r="F3" s="33" t="s">
        <v>256</v>
      </c>
      <c r="G3" s="34" t="s">
        <v>257</v>
      </c>
      <c r="I3" s="33" t="s">
        <v>258</v>
      </c>
      <c r="J3" s="33" t="s">
        <v>259</v>
      </c>
    </row>
    <row r="4" spans="2:10" x14ac:dyDescent="0.25">
      <c r="B4" s="35" t="s">
        <v>260</v>
      </c>
      <c r="C4" s="36">
        <v>6.45</v>
      </c>
      <c r="D4" s="36">
        <v>6.7</v>
      </c>
      <c r="E4" s="36">
        <v>6.94</v>
      </c>
      <c r="F4" s="36">
        <v>6.54</v>
      </c>
      <c r="G4" s="36">
        <v>5.86</v>
      </c>
      <c r="H4" s="35" t="s">
        <v>261</v>
      </c>
      <c r="I4" s="6">
        <f t="array" aca="1" ref="I4" ca="1">INDIRECT("'BoE rate monthly'!M" &amp; (94 - (ROW(I4) - 4)))</f>
        <v>5.9821428571428568</v>
      </c>
      <c r="J4" s="37">
        <f t="shared" ref="J4:J97" ca="1" si="0">G4-I4</f>
        <v>-0.12214285714285644</v>
      </c>
    </row>
    <row r="5" spans="2:10" x14ac:dyDescent="0.25">
      <c r="B5" s="35" t="s">
        <v>262</v>
      </c>
      <c r="C5" s="36">
        <v>6.46</v>
      </c>
      <c r="D5" s="36">
        <v>6.6</v>
      </c>
      <c r="E5" s="36">
        <v>6.87</v>
      </c>
      <c r="F5" s="36">
        <v>6.69</v>
      </c>
      <c r="G5" s="36">
        <v>5.97</v>
      </c>
      <c r="H5" s="35" t="s">
        <v>261</v>
      </c>
      <c r="I5" s="6">
        <f t="array" aca="1" ref="I5" ca="1">INDIRECT("'BoE rate monthly'!M" &amp; (94 - (ROW(I5) - 4)))</f>
        <v>5.9821428571428568</v>
      </c>
      <c r="J5" s="37">
        <f t="shared" ca="1" si="0"/>
        <v>-1.2142857142857011E-2</v>
      </c>
    </row>
    <row r="6" spans="2:10" x14ac:dyDescent="0.25">
      <c r="B6" s="35" t="s">
        <v>263</v>
      </c>
      <c r="C6" s="36">
        <v>6.31</v>
      </c>
      <c r="D6" s="36">
        <v>6.56</v>
      </c>
      <c r="E6" s="36">
        <v>6.7</v>
      </c>
      <c r="F6" s="36">
        <v>6.98</v>
      </c>
      <c r="G6" s="36">
        <v>5.87</v>
      </c>
      <c r="H6" s="35" t="s">
        <v>261</v>
      </c>
      <c r="I6" s="6">
        <f t="array" aca="1" ref="I6" ca="1">INDIRECT("'BoE rate monthly'!M" &amp; (94 - (ROW(I6) - 4)))</f>
        <v>5.9821428571428568</v>
      </c>
      <c r="J6" s="37">
        <f t="shared" ca="1" si="0"/>
        <v>-0.11214285714285666</v>
      </c>
    </row>
    <row r="7" spans="2:10" x14ac:dyDescent="0.25">
      <c r="B7" s="35" t="s">
        <v>264</v>
      </c>
      <c r="C7" s="36">
        <v>6.03</v>
      </c>
      <c r="D7" s="36">
        <v>6.23</v>
      </c>
      <c r="E7" s="36">
        <v>6.2</v>
      </c>
      <c r="F7" s="36">
        <v>6.99</v>
      </c>
      <c r="G7" s="36">
        <v>5.76</v>
      </c>
      <c r="H7" s="35" t="s">
        <v>261</v>
      </c>
      <c r="I7" s="6">
        <f t="array" aca="1" ref="I7" ca="1">INDIRECT("'BoE rate monthly'!M" &amp; (94 - (ROW(I7) - 4)))</f>
        <v>5.75</v>
      </c>
      <c r="J7" s="37">
        <f t="shared" ca="1" si="0"/>
        <v>9.9999999999997868E-3</v>
      </c>
    </row>
    <row r="8" spans="2:10" x14ac:dyDescent="0.25">
      <c r="B8" s="35" t="s">
        <v>265</v>
      </c>
      <c r="C8" s="36">
        <v>5.68</v>
      </c>
      <c r="D8" s="36">
        <v>5.95</v>
      </c>
      <c r="E8" s="36">
        <v>5.91</v>
      </c>
      <c r="F8" s="36">
        <v>5.89</v>
      </c>
      <c r="G8" s="36">
        <v>5.49</v>
      </c>
      <c r="H8" s="35" t="s">
        <v>261</v>
      </c>
      <c r="I8" s="6">
        <f t="array" aca="1" ref="I8" ca="1">INDIRECT("'BoE rate monthly'!M" &amp; (94 - (ROW(I8) - 4)))</f>
        <v>5.3235294117647056</v>
      </c>
      <c r="J8" s="37">
        <f t="shared" ca="1" si="0"/>
        <v>0.16647058823529459</v>
      </c>
    </row>
    <row r="9" spans="2:10" x14ac:dyDescent="0.25">
      <c r="B9" s="35" t="s">
        <v>266</v>
      </c>
      <c r="C9" s="36">
        <v>5.72</v>
      </c>
      <c r="D9" s="36">
        <v>5.84</v>
      </c>
      <c r="E9" s="36">
        <v>5.93</v>
      </c>
      <c r="F9" s="36">
        <v>5.99</v>
      </c>
      <c r="G9" s="36">
        <v>5.15</v>
      </c>
      <c r="H9" s="35" t="s">
        <v>261</v>
      </c>
      <c r="I9" s="6">
        <f t="array" aca="1" ref="I9" ca="1">INDIRECT("'BoE rate monthly'!M" &amp; (94 - (ROW(I9) - 4)))</f>
        <v>4.9365079365079367</v>
      </c>
      <c r="J9" s="37">
        <f t="shared" ca="1" si="0"/>
        <v>0.21349206349206362</v>
      </c>
    </row>
    <row r="10" spans="2:10" x14ac:dyDescent="0.25">
      <c r="B10" s="35" t="s">
        <v>267</v>
      </c>
      <c r="C10" s="36">
        <v>5.39</v>
      </c>
      <c r="D10" s="36">
        <v>5.68</v>
      </c>
      <c r="E10" s="36">
        <v>5.77</v>
      </c>
      <c r="F10" s="36">
        <v>5.89</v>
      </c>
      <c r="G10" s="36">
        <v>4.62</v>
      </c>
      <c r="H10" s="35" t="s">
        <v>261</v>
      </c>
      <c r="I10" s="6">
        <f t="array" aca="1" ref="I10" ca="1">INDIRECT("'BoE rate monthly'!M" &amp; (94 - (ROW(I10) - 4)))</f>
        <v>4.0357142857142856</v>
      </c>
      <c r="J10" s="37">
        <f t="shared" ca="1" si="0"/>
        <v>0.58428571428571452</v>
      </c>
    </row>
    <row r="11" spans="2:10" x14ac:dyDescent="0.25">
      <c r="B11" s="35" t="s">
        <v>268</v>
      </c>
      <c r="C11" s="36">
        <v>4.9800000000000004</v>
      </c>
      <c r="D11" s="36">
        <v>5.39</v>
      </c>
      <c r="E11" s="36">
        <v>5.65</v>
      </c>
      <c r="F11" s="36">
        <v>5.59</v>
      </c>
      <c r="G11" s="36">
        <v>4.1500000000000004</v>
      </c>
      <c r="H11" s="35" t="s">
        <v>261</v>
      </c>
      <c r="I11" s="6">
        <f t="array" aca="1" ref="I11" ca="1">INDIRECT("'BoE rate monthly'!M" &amp; (94 - (ROW(I11) - 4)))</f>
        <v>4.0357142857142856</v>
      </c>
      <c r="J11" s="37">
        <f t="shared" ca="1" si="0"/>
        <v>0.11428571428571477</v>
      </c>
    </row>
    <row r="12" spans="2:10" x14ac:dyDescent="0.25">
      <c r="B12" s="35" t="s">
        <v>269</v>
      </c>
      <c r="C12" s="36">
        <v>5.22</v>
      </c>
      <c r="D12" s="36">
        <v>5.62</v>
      </c>
      <c r="E12" s="36">
        <v>5.79</v>
      </c>
      <c r="F12" s="36">
        <v>5.79</v>
      </c>
      <c r="G12" s="36">
        <v>3.91</v>
      </c>
      <c r="H12" s="35" t="s">
        <v>261</v>
      </c>
      <c r="I12" s="6">
        <f t="array" aca="1" ref="I12" ca="1">INDIRECT("'BoE rate monthly'!M" &amp; (94 - (ROW(I12) - 4)))</f>
        <v>4.0357142857142856</v>
      </c>
      <c r="J12" s="37">
        <f t="shared" ca="1" si="0"/>
        <v>-0.12571428571428545</v>
      </c>
    </row>
    <row r="13" spans="2:10" x14ac:dyDescent="0.25">
      <c r="B13" s="35" t="s">
        <v>270</v>
      </c>
      <c r="C13" s="36">
        <v>5.41</v>
      </c>
      <c r="D13" s="36">
        <v>5.7</v>
      </c>
      <c r="E13" s="36">
        <v>5.81</v>
      </c>
      <c r="F13" s="36">
        <v>5.77</v>
      </c>
      <c r="G13" s="36">
        <v>4.0599999999999996</v>
      </c>
      <c r="H13" s="35" t="s">
        <v>261</v>
      </c>
      <c r="I13" s="6">
        <f t="array" aca="1" ref="I13" ca="1">INDIRECT("'BoE rate monthly'!M" &amp; (94 - (ROW(I13) - 4)))</f>
        <v>4.0357142857142856</v>
      </c>
      <c r="J13" s="37">
        <f t="shared" ca="1" si="0"/>
        <v>2.4285714285714022E-2</v>
      </c>
    </row>
    <row r="14" spans="2:10" x14ac:dyDescent="0.25">
      <c r="B14" s="35" t="s">
        <v>271</v>
      </c>
      <c r="C14" s="36">
        <v>4.5</v>
      </c>
      <c r="D14" s="36">
        <v>4.91</v>
      </c>
      <c r="E14" s="36">
        <v>5.0599999999999996</v>
      </c>
      <c r="F14" s="36">
        <v>5.46</v>
      </c>
      <c r="G14" s="36">
        <v>3.93</v>
      </c>
      <c r="H14" s="35" t="s">
        <v>261</v>
      </c>
      <c r="I14" s="6">
        <f t="array" aca="1" ref="I14" ca="1">INDIRECT("'BoE rate monthly'!M" &amp; (94 - (ROW(I14) - 4)))</f>
        <v>4.0357142857142856</v>
      </c>
      <c r="J14" s="37">
        <f t="shared" ca="1" si="0"/>
        <v>-0.10571428571428543</v>
      </c>
    </row>
    <row r="15" spans="2:10" x14ac:dyDescent="0.25">
      <c r="B15" s="35" t="s">
        <v>272</v>
      </c>
      <c r="C15" s="36">
        <v>4.62</v>
      </c>
      <c r="D15" s="36">
        <v>5.04</v>
      </c>
      <c r="E15" s="36">
        <v>5.0999999999999996</v>
      </c>
      <c r="F15" s="36">
        <v>5.76</v>
      </c>
      <c r="G15" s="36">
        <v>4.22</v>
      </c>
      <c r="H15" s="35" t="s">
        <v>261</v>
      </c>
      <c r="I15" s="6">
        <f t="array" aca="1" ref="I15" ca="1">INDIRECT("'BoE rate monthly'!M" &amp; (94 - (ROW(I15) - 4)))</f>
        <v>3.75</v>
      </c>
      <c r="J15" s="37">
        <f t="shared" ca="1" si="0"/>
        <v>0.46999999999999975</v>
      </c>
    </row>
    <row r="16" spans="2:10" x14ac:dyDescent="0.25">
      <c r="B16" s="35" t="s">
        <v>273</v>
      </c>
      <c r="C16" s="36">
        <v>4.0599999999999996</v>
      </c>
      <c r="D16" s="36">
        <v>4.59</v>
      </c>
      <c r="E16" s="36">
        <v>4.76</v>
      </c>
      <c r="F16" s="36">
        <v>5.22</v>
      </c>
      <c r="G16" s="36">
        <v>3.92</v>
      </c>
      <c r="H16" s="35" t="s">
        <v>261</v>
      </c>
      <c r="I16" s="6">
        <f t="array" aca="1" ref="I16" ca="1">INDIRECT("'BoE rate monthly'!M" &amp; (94 - (ROW(I16) - 4)))</f>
        <v>3.75</v>
      </c>
      <c r="J16" s="37">
        <f t="shared" ca="1" si="0"/>
        <v>0.16999999999999993</v>
      </c>
    </row>
    <row r="17" spans="2:10" x14ac:dyDescent="0.25">
      <c r="B17" s="35" t="s">
        <v>274</v>
      </c>
      <c r="C17" s="36">
        <v>3.85</v>
      </c>
      <c r="D17" s="36">
        <v>4.2</v>
      </c>
      <c r="E17" s="36">
        <v>4.3600000000000003</v>
      </c>
      <c r="F17" s="36">
        <v>4.9400000000000004</v>
      </c>
      <c r="G17" s="36">
        <v>3.75</v>
      </c>
      <c r="H17" s="35" t="s">
        <v>261</v>
      </c>
      <c r="I17" s="6">
        <f t="array" aca="1" ref="I17" ca="1">INDIRECT("'BoE rate monthly'!M" &amp; (94 - (ROW(I17) - 4)))</f>
        <v>3.5</v>
      </c>
      <c r="J17" s="37">
        <f t="shared" ca="1" si="0"/>
        <v>0.25</v>
      </c>
    </row>
    <row r="18" spans="2:10" x14ac:dyDescent="0.25">
      <c r="B18" s="35" t="s">
        <v>275</v>
      </c>
      <c r="C18" s="36">
        <v>4.5599999999999996</v>
      </c>
      <c r="D18" s="36">
        <v>5.0199999999999996</v>
      </c>
      <c r="E18" s="36">
        <v>5.05</v>
      </c>
      <c r="F18" s="36">
        <v>5.69</v>
      </c>
      <c r="G18" s="36">
        <v>3.61</v>
      </c>
      <c r="H18" s="35" t="s">
        <v>261</v>
      </c>
      <c r="I18" s="6">
        <f t="array" aca="1" ref="I18" ca="1">INDIRECT("'BoE rate monthly'!M" &amp; (94 - (ROW(I18) - 4)))</f>
        <v>3.75</v>
      </c>
      <c r="J18" s="37">
        <f t="shared" ca="1" si="0"/>
        <v>-0.14000000000000012</v>
      </c>
    </row>
    <row r="19" spans="2:10" x14ac:dyDescent="0.25">
      <c r="B19" s="35" t="s">
        <v>276</v>
      </c>
      <c r="C19" s="36">
        <v>5.05</v>
      </c>
      <c r="D19" s="36">
        <v>5.4</v>
      </c>
      <c r="E19" s="36">
        <v>5.53</v>
      </c>
      <c r="F19" s="36">
        <v>5.55</v>
      </c>
      <c r="G19" s="36">
        <v>3.88</v>
      </c>
      <c r="H19" s="35" t="s">
        <v>261</v>
      </c>
      <c r="I19" s="6">
        <f t="array" aca="1" ref="I19" ca="1">INDIRECT("'BoE rate monthly'!M" &amp; (94 - (ROW(I19) - 4)))</f>
        <v>4</v>
      </c>
      <c r="J19" s="37">
        <f t="shared" ca="1" si="0"/>
        <v>-0.12000000000000011</v>
      </c>
    </row>
    <row r="20" spans="2:10" x14ac:dyDescent="0.25">
      <c r="B20" s="35" t="s">
        <v>277</v>
      </c>
      <c r="C20" s="36">
        <v>4.9000000000000004</v>
      </c>
      <c r="D20" s="36">
        <v>5.23</v>
      </c>
      <c r="E20" s="36">
        <v>5.39</v>
      </c>
      <c r="F20" s="36">
        <v>5.79</v>
      </c>
      <c r="G20" s="36">
        <v>4.2300000000000004</v>
      </c>
      <c r="H20" s="35" t="s">
        <v>261</v>
      </c>
      <c r="I20" s="6">
        <f t="array" aca="1" ref="I20" ca="1">INDIRECT("'BoE rate monthly'!M" &amp; (94 - (ROW(I20) - 4)))</f>
        <v>4.4038461538461542</v>
      </c>
      <c r="J20" s="37">
        <f t="shared" ca="1" si="0"/>
        <v>-0.17384615384615376</v>
      </c>
    </row>
    <row r="21" spans="2:10" ht="15.75" customHeight="1" x14ac:dyDescent="0.25">
      <c r="B21" s="35" t="s">
        <v>278</v>
      </c>
      <c r="C21" s="36">
        <v>5.52</v>
      </c>
      <c r="D21" s="36">
        <v>5.93</v>
      </c>
      <c r="E21" s="36">
        <v>5.87</v>
      </c>
      <c r="F21" s="36">
        <v>6.15</v>
      </c>
      <c r="G21" s="36">
        <v>4.6500000000000004</v>
      </c>
      <c r="H21" s="35" t="s">
        <v>261</v>
      </c>
      <c r="I21" s="6">
        <f t="array" aca="1" ref="I21" ca="1">INDIRECT("'BoE rate monthly'!M" &amp; (94 - (ROW(I21) - 4)))</f>
        <v>4.75</v>
      </c>
      <c r="J21" s="37">
        <f t="shared" ca="1" si="0"/>
        <v>-9.9999999999999645E-2</v>
      </c>
    </row>
    <row r="22" spans="2:10" ht="15.75" customHeight="1" x14ac:dyDescent="0.25">
      <c r="B22" s="35" t="s">
        <v>279</v>
      </c>
      <c r="C22" s="36">
        <v>5.33</v>
      </c>
      <c r="D22" s="36">
        <v>5.63</v>
      </c>
      <c r="E22" s="36">
        <v>5.79</v>
      </c>
      <c r="F22" s="36">
        <v>6.09</v>
      </c>
      <c r="G22" s="36">
        <v>4.9800000000000004</v>
      </c>
      <c r="H22" s="35" t="s">
        <v>261</v>
      </c>
      <c r="I22" s="6">
        <f t="array" aca="1" ref="I22" ca="1">INDIRECT("'BoE rate monthly'!M" &amp; (94 - (ROW(I22) - 4)))</f>
        <v>4.75</v>
      </c>
      <c r="J22" s="37">
        <f t="shared" ca="1" si="0"/>
        <v>0.23000000000000043</v>
      </c>
    </row>
    <row r="23" spans="2:10" ht="15.75" customHeight="1" x14ac:dyDescent="0.25">
      <c r="B23" s="35" t="s">
        <v>280</v>
      </c>
      <c r="C23" s="36">
        <v>5.07</v>
      </c>
      <c r="D23" s="36">
        <v>5.28</v>
      </c>
      <c r="E23" s="36">
        <v>5.37</v>
      </c>
      <c r="F23" s="36">
        <v>5.65</v>
      </c>
      <c r="G23" s="36">
        <v>4.91</v>
      </c>
      <c r="H23" s="35" t="s">
        <v>261</v>
      </c>
      <c r="I23" s="6">
        <f t="array" aca="1" ref="I23" ca="1">INDIRECT("'BoE rate monthly'!M" &amp; (94 - (ROW(I23) - 4)))</f>
        <v>4.75</v>
      </c>
      <c r="J23" s="37">
        <f t="shared" ca="1" si="0"/>
        <v>0.16000000000000014</v>
      </c>
    </row>
    <row r="24" spans="2:10" ht="15.75" customHeight="1" x14ac:dyDescent="0.25">
      <c r="B24" s="35" t="s">
        <v>281</v>
      </c>
      <c r="C24" s="36">
        <v>5.2</v>
      </c>
      <c r="D24" s="36">
        <v>5.24</v>
      </c>
      <c r="E24" s="36">
        <v>5.28</v>
      </c>
      <c r="F24" s="36">
        <v>5.62</v>
      </c>
      <c r="G24" s="36">
        <v>4.82</v>
      </c>
      <c r="H24" s="35" t="s">
        <v>261</v>
      </c>
      <c r="I24" s="6">
        <f t="array" aca="1" ref="I24" ca="1">INDIRECT("'BoE rate monthly'!M" &amp; (94 - (ROW(I24) - 4)))</f>
        <v>4.75</v>
      </c>
      <c r="J24" s="37">
        <f t="shared" ca="1" si="0"/>
        <v>7.0000000000000284E-2</v>
      </c>
    </row>
    <row r="25" spans="2:10" ht="15.75" customHeight="1" x14ac:dyDescent="0.25">
      <c r="B25" s="35" t="s">
        <v>282</v>
      </c>
      <c r="C25" s="36">
        <v>4.7699999999999996</v>
      </c>
      <c r="D25" s="38">
        <v>5</v>
      </c>
      <c r="E25" s="36">
        <v>4.92</v>
      </c>
      <c r="F25" s="36">
        <v>5.21</v>
      </c>
      <c r="G25" s="36">
        <v>4.87</v>
      </c>
      <c r="H25" s="35" t="s">
        <v>261</v>
      </c>
      <c r="I25" s="6">
        <f t="array" aca="1" ref="I25" ca="1">INDIRECT("'BoE rate monthly'!M" &amp; (94 - (ROW(I25) - 4)))</f>
        <v>4.5</v>
      </c>
      <c r="J25" s="37">
        <f t="shared" ca="1" si="0"/>
        <v>0.37000000000000011</v>
      </c>
    </row>
    <row r="26" spans="2:10" ht="15.75" customHeight="1" x14ac:dyDescent="0.25">
      <c r="B26" s="35" t="s">
        <v>283</v>
      </c>
      <c r="C26" s="36">
        <v>4.5199999999999996</v>
      </c>
      <c r="D26" s="36">
        <v>4.88</v>
      </c>
      <c r="E26" s="36">
        <v>4.82</v>
      </c>
      <c r="F26" s="36">
        <v>5.1100000000000003</v>
      </c>
      <c r="G26" s="36">
        <v>4.59</v>
      </c>
      <c r="H26" s="35" t="s">
        <v>261</v>
      </c>
      <c r="I26" s="6">
        <f t="array" aca="1" ref="I26" ca="1">INDIRECT("'BoE rate monthly'!M" &amp; (94 - (ROW(I26) - 4)))</f>
        <v>4.5</v>
      </c>
      <c r="J26" s="37">
        <f t="shared" ca="1" si="0"/>
        <v>8.9999999999999858E-2</v>
      </c>
    </row>
    <row r="27" spans="2:10" ht="15.75" customHeight="1" x14ac:dyDescent="0.25">
      <c r="B27" s="35" t="s">
        <v>284</v>
      </c>
      <c r="C27" s="36">
        <v>4.74</v>
      </c>
      <c r="D27" s="36">
        <v>4.8600000000000003</v>
      </c>
      <c r="E27" s="38">
        <v>5</v>
      </c>
      <c r="F27" s="36">
        <v>5.24</v>
      </c>
      <c r="G27" s="36">
        <v>4.6100000000000003</v>
      </c>
      <c r="H27" s="35" t="s">
        <v>261</v>
      </c>
      <c r="I27" s="6">
        <f t="array" aca="1" ref="I27" ca="1">INDIRECT("'BoE rate monthly'!M" &amp; (94 - (ROW(I27) - 4)))</f>
        <v>4.5</v>
      </c>
      <c r="J27" s="37">
        <f t="shared" ca="1" si="0"/>
        <v>0.11000000000000032</v>
      </c>
    </row>
    <row r="28" spans="2:10" ht="15.75" customHeight="1" x14ac:dyDescent="0.25">
      <c r="B28" s="35" t="s">
        <v>285</v>
      </c>
      <c r="C28" s="36">
        <v>4.72</v>
      </c>
      <c r="D28" s="36">
        <v>5.05</v>
      </c>
      <c r="E28" s="36">
        <v>4.9800000000000004</v>
      </c>
      <c r="F28" s="36">
        <v>4.99</v>
      </c>
      <c r="G28" s="36">
        <v>4.66</v>
      </c>
      <c r="H28" s="35" t="s">
        <v>261</v>
      </c>
      <c r="I28" s="6">
        <f t="array" aca="1" ref="I28" ca="1">INDIRECT("'BoE rate monthly'!M" &amp; (94 - (ROW(I28) - 4)))</f>
        <v>4.5</v>
      </c>
      <c r="J28" s="37">
        <f t="shared" ca="1" si="0"/>
        <v>0.16000000000000014</v>
      </c>
    </row>
    <row r="29" spans="2:10" ht="15.75" customHeight="1" x14ac:dyDescent="0.25">
      <c r="B29" s="35" t="s">
        <v>286</v>
      </c>
      <c r="C29" s="38">
        <v>5</v>
      </c>
      <c r="D29" s="36">
        <v>5.2</v>
      </c>
      <c r="E29" s="36">
        <v>5.34</v>
      </c>
      <c r="F29" s="36">
        <v>5.52</v>
      </c>
      <c r="G29" s="36">
        <v>4.59</v>
      </c>
      <c r="H29" s="35" t="s">
        <v>261</v>
      </c>
      <c r="I29" s="6">
        <f t="array" aca="1" ref="I29" ca="1">INDIRECT("'BoE rate monthly'!M" &amp; (94 - (ROW(I29) - 4)))</f>
        <v>4.75</v>
      </c>
      <c r="J29" s="37">
        <f t="shared" ca="1" si="0"/>
        <v>-0.16000000000000014</v>
      </c>
    </row>
    <row r="30" spans="2:10" ht="15.75" customHeight="1" x14ac:dyDescent="0.25">
      <c r="B30" s="35" t="s">
        <v>287</v>
      </c>
      <c r="C30" s="36">
        <v>5.0999999999999996</v>
      </c>
      <c r="D30" s="36">
        <v>5.33</v>
      </c>
      <c r="E30" s="36">
        <v>5.39</v>
      </c>
      <c r="F30" s="36">
        <v>5.43</v>
      </c>
      <c r="G30" s="36">
        <v>4.9000000000000004</v>
      </c>
      <c r="H30" s="35" t="s">
        <v>261</v>
      </c>
      <c r="I30" s="6">
        <f t="array" aca="1" ref="I30" ca="1">INDIRECT("'BoE rate monthly'!M" &amp; (94 - (ROW(I30) - 4)))</f>
        <v>5</v>
      </c>
      <c r="J30" s="37">
        <f t="shared" ca="1" si="0"/>
        <v>-9.9999999999999645E-2</v>
      </c>
    </row>
    <row r="31" spans="2:10" ht="15.75" customHeight="1" x14ac:dyDescent="0.25">
      <c r="B31" s="35" t="s">
        <v>288</v>
      </c>
      <c r="C31" s="36">
        <v>5.15</v>
      </c>
      <c r="D31" s="36">
        <v>5.32</v>
      </c>
      <c r="E31" s="36">
        <v>5.49</v>
      </c>
      <c r="F31" s="36">
        <v>5.4</v>
      </c>
      <c r="G31" s="36">
        <v>5.1100000000000003</v>
      </c>
      <c r="H31" s="35" t="s">
        <v>261</v>
      </c>
      <c r="I31" s="6">
        <f t="array" aca="1" ref="I31" ca="1">INDIRECT("'BoE rate monthly'!M" &amp; (94 - (ROW(I31) - 4)))</f>
        <v>5.25</v>
      </c>
      <c r="J31" s="37">
        <f t="shared" ca="1" si="0"/>
        <v>-0.13999999999999968</v>
      </c>
    </row>
    <row r="32" spans="2:10" ht="15.75" customHeight="1" x14ac:dyDescent="0.25">
      <c r="B32" s="35" t="s">
        <v>289</v>
      </c>
      <c r="C32" s="36">
        <v>5.55</v>
      </c>
      <c r="D32" s="36">
        <v>5.78</v>
      </c>
      <c r="E32" s="36">
        <v>5.73</v>
      </c>
      <c r="F32" s="36">
        <v>5.65</v>
      </c>
      <c r="G32" s="36">
        <v>5.43</v>
      </c>
      <c r="H32" s="35" t="s">
        <v>261</v>
      </c>
      <c r="I32" s="6">
        <f t="array" aca="1" ref="I32" ca="1">INDIRECT("'BoE rate monthly'!M" &amp; (94 - (ROW(I32) - 4)))</f>
        <v>5.5</v>
      </c>
      <c r="J32" s="37">
        <f t="shared" ca="1" si="0"/>
        <v>-7.0000000000000284E-2</v>
      </c>
    </row>
    <row r="33" spans="2:10" ht="15.75" customHeight="1" x14ac:dyDescent="0.25">
      <c r="B33" s="35" t="s">
        <v>290</v>
      </c>
      <c r="C33" s="36">
        <v>5.98</v>
      </c>
      <c r="D33" s="36">
        <v>6.12</v>
      </c>
      <c r="E33" s="36">
        <v>6.1</v>
      </c>
      <c r="F33" s="36">
        <v>5.97</v>
      </c>
      <c r="G33" s="36">
        <v>5.63</v>
      </c>
      <c r="H33" s="35" t="s">
        <v>261</v>
      </c>
      <c r="I33" s="6">
        <f t="array" aca="1" ref="I33" ca="1">INDIRECT("'BoE rate monthly'!M" &amp; (94 - (ROW(I33) - 4)))</f>
        <v>5.75</v>
      </c>
      <c r="J33" s="37">
        <f t="shared" ca="1" si="0"/>
        <v>-0.12000000000000011</v>
      </c>
    </row>
    <row r="34" spans="2:10" ht="15.75" customHeight="1" x14ac:dyDescent="0.25">
      <c r="B34" s="35" t="s">
        <v>291</v>
      </c>
      <c r="C34" s="36">
        <v>6.05</v>
      </c>
      <c r="D34" s="36">
        <v>6.47</v>
      </c>
      <c r="E34" s="36">
        <v>6.19</v>
      </c>
      <c r="F34" s="38">
        <v>6</v>
      </c>
      <c r="G34" s="36">
        <v>5.7</v>
      </c>
      <c r="H34" s="35" t="s">
        <v>261</v>
      </c>
      <c r="I34" s="6">
        <f t="array" aca="1" ref="I34" ca="1">INDIRECT("'BoE rate monthly'!M" &amp; (94 - (ROW(I34) - 4)))</f>
        <v>5.5</v>
      </c>
      <c r="J34" s="37">
        <f t="shared" ca="1" si="0"/>
        <v>0.20000000000000018</v>
      </c>
    </row>
    <row r="35" spans="2:10" ht="15.75" customHeight="1" x14ac:dyDescent="0.25">
      <c r="B35" s="35" t="s">
        <v>292</v>
      </c>
      <c r="C35" s="36">
        <v>6.06</v>
      </c>
      <c r="D35" s="36">
        <v>6.22</v>
      </c>
      <c r="E35" s="36">
        <v>5.97</v>
      </c>
      <c r="F35" s="36">
        <v>5.93</v>
      </c>
      <c r="G35" s="36">
        <v>5.75</v>
      </c>
      <c r="H35" s="35" t="s">
        <v>261</v>
      </c>
      <c r="I35" s="6">
        <f t="array" aca="1" ref="I35" ca="1">INDIRECT("'BoE rate monthly'!M" &amp; (94 - (ROW(I35) - 4)))</f>
        <v>5.25</v>
      </c>
      <c r="J35" s="37">
        <f t="shared" ca="1" si="0"/>
        <v>0.5</v>
      </c>
    </row>
    <row r="36" spans="2:10" ht="15.75" customHeight="1" x14ac:dyDescent="0.25">
      <c r="B36" s="35" t="s">
        <v>293</v>
      </c>
      <c r="C36" s="36">
        <v>5.8</v>
      </c>
      <c r="D36" s="36">
        <v>5.69</v>
      </c>
      <c r="E36" s="36">
        <v>5.7</v>
      </c>
      <c r="F36" s="36">
        <v>5.77</v>
      </c>
      <c r="G36" s="36">
        <v>5.9</v>
      </c>
      <c r="H36" s="35" t="s">
        <v>261</v>
      </c>
      <c r="I36" s="6">
        <f t="array" aca="1" ref="I36" ca="1">INDIRECT("'BoE rate monthly'!M" &amp; (94 - (ROW(I36) - 4)))</f>
        <v>5</v>
      </c>
      <c r="J36" s="37">
        <f t="shared" ca="1" si="0"/>
        <v>0.90000000000000036</v>
      </c>
    </row>
    <row r="37" spans="2:10" ht="15.75" customHeight="1" x14ac:dyDescent="0.25">
      <c r="B37" s="35" t="s">
        <v>294</v>
      </c>
      <c r="C37" s="36">
        <v>6.6</v>
      </c>
      <c r="D37" s="36">
        <v>6.39</v>
      </c>
      <c r="E37" s="36">
        <v>6.4</v>
      </c>
      <c r="F37" s="36">
        <v>6.46</v>
      </c>
      <c r="G37" s="36">
        <v>6.04</v>
      </c>
      <c r="H37" s="35" t="s">
        <v>261</v>
      </c>
      <c r="I37" s="6">
        <f t="array" aca="1" ref="I37" ca="1">INDIRECT("'BoE rate monthly'!M" &amp; (94 - (ROW(I37) - 4)))</f>
        <v>5</v>
      </c>
      <c r="J37" s="37">
        <f t="shared" ca="1" si="0"/>
        <v>1.04</v>
      </c>
    </row>
    <row r="38" spans="2:10" ht="15.75" customHeight="1" x14ac:dyDescent="0.25">
      <c r="B38" s="35" t="s">
        <v>295</v>
      </c>
      <c r="C38" s="36">
        <v>5.96</v>
      </c>
      <c r="D38" s="36">
        <v>5.86</v>
      </c>
      <c r="E38" s="36">
        <v>5.84</v>
      </c>
      <c r="F38" s="36">
        <v>6.04</v>
      </c>
      <c r="G38" s="36">
        <v>5.94</v>
      </c>
      <c r="H38" s="35" t="s">
        <v>261</v>
      </c>
      <c r="I38" s="6">
        <f t="array" aca="1" ref="I38" ca="1">INDIRECT("'BoE rate monthly'!M" &amp; (94 - (ROW(I38) - 4)))</f>
        <v>3.0923913043478262</v>
      </c>
      <c r="J38" s="37">
        <f t="shared" ca="1" si="0"/>
        <v>2.8476086956521742</v>
      </c>
    </row>
    <row r="39" spans="2:10" ht="15.75" customHeight="1" x14ac:dyDescent="0.25">
      <c r="B39" s="35" t="s">
        <v>296</v>
      </c>
      <c r="C39" s="36">
        <v>4.7699999999999996</v>
      </c>
      <c r="D39" s="36">
        <v>5.1100000000000003</v>
      </c>
      <c r="E39" s="36">
        <v>5.28</v>
      </c>
      <c r="F39" s="36">
        <v>5.72</v>
      </c>
      <c r="G39" s="36">
        <v>4.7</v>
      </c>
      <c r="H39" s="35" t="s">
        <v>261</v>
      </c>
      <c r="I39" s="6">
        <f t="array" aca="1" ref="I39" ca="1">INDIRECT("'BoE rate monthly'!M" &amp; (94 - (ROW(I39) - 4)))</f>
        <v>0.51518987341772149</v>
      </c>
      <c r="J39" s="37">
        <f t="shared" ca="1" si="0"/>
        <v>4.1848101265822786</v>
      </c>
    </row>
    <row r="40" spans="2:10" ht="15.75" customHeight="1" x14ac:dyDescent="0.25">
      <c r="B40" s="35" t="s">
        <v>297</v>
      </c>
      <c r="C40" s="36">
        <v>3.98</v>
      </c>
      <c r="D40" s="36">
        <v>4.41</v>
      </c>
      <c r="E40" s="36">
        <v>4.95</v>
      </c>
      <c r="F40" s="36">
        <v>5.65</v>
      </c>
      <c r="G40" s="36">
        <v>3.64</v>
      </c>
      <c r="H40" s="35" t="s">
        <v>261</v>
      </c>
      <c r="I40" s="6">
        <f t="array" aca="1" ref="I40" ca="1">INDIRECT("'BoE rate monthly'!M" &amp; (94 - (ROW(I40) - 4)))</f>
        <v>0.51518987341772149</v>
      </c>
      <c r="J40" s="37">
        <f t="shared" ca="1" si="0"/>
        <v>3.1248101265822785</v>
      </c>
    </row>
    <row r="41" spans="2:10" ht="15.75" customHeight="1" x14ac:dyDescent="0.25">
      <c r="B41" s="35" t="s">
        <v>298</v>
      </c>
      <c r="C41" s="36">
        <v>4.45</v>
      </c>
      <c r="D41" s="36">
        <v>4.8600000000000003</v>
      </c>
      <c r="E41" s="36">
        <v>5.54</v>
      </c>
      <c r="F41" s="36">
        <v>6.28</v>
      </c>
      <c r="G41" s="36">
        <v>3.47</v>
      </c>
      <c r="H41" s="35" t="s">
        <v>261</v>
      </c>
      <c r="I41" s="6">
        <f t="array" aca="1" ref="I41" ca="1">INDIRECT("'BoE rate monthly'!M" &amp; (94 - (ROW(I41) - 4)))</f>
        <v>0.51518987341772149</v>
      </c>
      <c r="J41" s="37">
        <f t="shared" ca="1" si="0"/>
        <v>2.9548101265822786</v>
      </c>
    </row>
    <row r="42" spans="2:10" ht="15.75" customHeight="1" x14ac:dyDescent="0.25">
      <c r="B42" s="35" t="s">
        <v>299</v>
      </c>
      <c r="C42" s="36">
        <v>4.47</v>
      </c>
      <c r="D42" s="36">
        <v>4.82</v>
      </c>
      <c r="E42" s="36">
        <v>5.69</v>
      </c>
      <c r="F42" s="36">
        <v>2.59</v>
      </c>
      <c r="G42" s="36">
        <v>2.14</v>
      </c>
      <c r="H42" s="35" t="s">
        <v>261</v>
      </c>
      <c r="I42" s="6">
        <f t="array" aca="1" ref="I42" ca="1">INDIRECT("'BoE rate monthly'!M" &amp; (94 - (ROW(I42) - 4)))</f>
        <v>0.51518987341772149</v>
      </c>
      <c r="J42" s="37">
        <f t="shared" ca="1" si="0"/>
        <v>1.6248101265822785</v>
      </c>
    </row>
    <row r="43" spans="2:10" ht="15.75" customHeight="1" x14ac:dyDescent="0.25">
      <c r="B43" s="35" t="s">
        <v>300</v>
      </c>
      <c r="C43" s="36">
        <v>4.05</v>
      </c>
      <c r="D43" s="36">
        <v>4.84</v>
      </c>
      <c r="E43" s="36">
        <v>5.67</v>
      </c>
      <c r="F43" s="33" t="s">
        <v>301</v>
      </c>
      <c r="G43" s="36">
        <v>3.31</v>
      </c>
      <c r="H43" s="35" t="s">
        <v>261</v>
      </c>
      <c r="I43" s="6">
        <f t="array" aca="1" ref="I43" ca="1">INDIRECT("'BoE rate monthly'!M" &amp; (94 - (ROW(I43) - 4)))</f>
        <v>0.51518987341772149</v>
      </c>
      <c r="J43" s="37">
        <f t="shared" ca="1" si="0"/>
        <v>2.7948101265822785</v>
      </c>
    </row>
    <row r="44" spans="2:10" ht="15.75" customHeight="1" x14ac:dyDescent="0.25">
      <c r="B44" s="35" t="s">
        <v>302</v>
      </c>
      <c r="C44" s="36">
        <v>3.92</v>
      </c>
      <c r="D44" s="36">
        <v>4.68</v>
      </c>
      <c r="E44" s="36">
        <v>5.5</v>
      </c>
      <c r="F44" s="33" t="s">
        <v>301</v>
      </c>
      <c r="G44" s="38">
        <v>3</v>
      </c>
      <c r="H44" s="35" t="s">
        <v>261</v>
      </c>
      <c r="I44" s="6">
        <f t="array" aca="1" ref="I44" ca="1">INDIRECT("'BoE rate monthly'!M" &amp; (94 - (ROW(I44) - 4)))</f>
        <v>0.51518987341772149</v>
      </c>
      <c r="J44" s="37">
        <f t="shared" ca="1" si="0"/>
        <v>2.4848101265822784</v>
      </c>
    </row>
    <row r="45" spans="2:10" ht="15.75" customHeight="1" x14ac:dyDescent="0.25">
      <c r="B45" s="35" t="s">
        <v>303</v>
      </c>
      <c r="C45" s="36">
        <v>3.67</v>
      </c>
      <c r="D45" s="36">
        <v>4.46</v>
      </c>
      <c r="E45" s="36">
        <v>5.35</v>
      </c>
      <c r="F45" s="33" t="s">
        <v>301</v>
      </c>
      <c r="G45" s="36">
        <v>3.06</v>
      </c>
      <c r="H45" s="35" t="s">
        <v>261</v>
      </c>
      <c r="I45" s="6">
        <f t="array" aca="1" ref="I45" ca="1">INDIRECT("'BoE rate monthly'!M" &amp; (94 - (ROW(I45) - 4)))</f>
        <v>0.51518987341772149</v>
      </c>
      <c r="J45" s="37">
        <f t="shared" ca="1" si="0"/>
        <v>2.5448101265822785</v>
      </c>
    </row>
    <row r="46" spans="2:10" ht="15.75" customHeight="1" x14ac:dyDescent="0.25">
      <c r="B46" s="35" t="s">
        <v>304</v>
      </c>
      <c r="C46" s="36">
        <v>3.8</v>
      </c>
      <c r="D46" s="36">
        <v>4.33</v>
      </c>
      <c r="E46" s="36">
        <v>5.04</v>
      </c>
      <c r="F46" s="33" t="s">
        <v>301</v>
      </c>
      <c r="G46" s="36">
        <v>2.99</v>
      </c>
      <c r="H46" s="35" t="s">
        <v>261</v>
      </c>
      <c r="I46" s="6">
        <f t="array" aca="1" ref="I46" ca="1">INDIRECT("'BoE rate monthly'!M" &amp; (94 - (ROW(I46) - 4)))</f>
        <v>0.51518987341772149</v>
      </c>
      <c r="J46" s="37">
        <f t="shared" ca="1" si="0"/>
        <v>2.4748101265822786</v>
      </c>
    </row>
    <row r="47" spans="2:10" ht="15.75" customHeight="1" x14ac:dyDescent="0.25">
      <c r="B47" s="35" t="s">
        <v>305</v>
      </c>
      <c r="C47" s="36">
        <v>3.5</v>
      </c>
      <c r="D47" s="36">
        <v>4.1500000000000004</v>
      </c>
      <c r="E47" s="36">
        <v>4.76</v>
      </c>
      <c r="F47" s="33" t="s">
        <v>301</v>
      </c>
      <c r="G47" s="36">
        <v>2.96</v>
      </c>
      <c r="H47" s="35" t="s">
        <v>261</v>
      </c>
      <c r="I47" s="6">
        <f t="array" aca="1" ref="I47" ca="1">INDIRECT("'BoE rate monthly'!M" &amp; (94 - (ROW(I47) - 4)))</f>
        <v>0.51518987341772149</v>
      </c>
      <c r="J47" s="37">
        <f t="shared" ca="1" si="0"/>
        <v>2.4448101265822784</v>
      </c>
    </row>
    <row r="48" spans="2:10" ht="15.75" customHeight="1" x14ac:dyDescent="0.25">
      <c r="B48" s="35" t="s">
        <v>306</v>
      </c>
      <c r="C48" s="36">
        <v>3.68</v>
      </c>
      <c r="D48" s="36">
        <v>4.4400000000000004</v>
      </c>
      <c r="E48" s="36">
        <v>5.0999999999999996</v>
      </c>
      <c r="F48" s="33" t="s">
        <v>301</v>
      </c>
      <c r="G48" s="36">
        <v>2.9</v>
      </c>
      <c r="H48" s="35" t="s">
        <v>261</v>
      </c>
      <c r="I48" s="6">
        <f t="array" aca="1" ref="I48" ca="1">INDIRECT("'BoE rate monthly'!M" &amp; (94 - (ROW(I48) - 4)))</f>
        <v>0.51518987341772149</v>
      </c>
      <c r="J48" s="37">
        <f t="shared" ca="1" si="0"/>
        <v>2.3848101265822783</v>
      </c>
    </row>
    <row r="49" spans="2:10" ht="15.75" customHeight="1" x14ac:dyDescent="0.25">
      <c r="B49" s="35" t="s">
        <v>307</v>
      </c>
      <c r="C49" s="36">
        <v>3.36</v>
      </c>
      <c r="D49" s="36">
        <v>4.3099999999999996</v>
      </c>
      <c r="E49" s="36">
        <v>4.9000000000000004</v>
      </c>
      <c r="F49" s="33" t="s">
        <v>301</v>
      </c>
      <c r="G49" s="36">
        <v>2.76</v>
      </c>
      <c r="H49" s="35" t="s">
        <v>261</v>
      </c>
      <c r="I49" s="6">
        <f t="array" aca="1" ref="I49" ca="1">INDIRECT("'BoE rate monthly'!M" &amp; (94 - (ROW(I49) - 4)))</f>
        <v>0.51518987341772149</v>
      </c>
      <c r="J49" s="37">
        <f t="shared" ca="1" si="0"/>
        <v>2.2448101265822782</v>
      </c>
    </row>
    <row r="50" spans="2:10" ht="15.75" customHeight="1" x14ac:dyDescent="0.25">
      <c r="B50" s="35" t="s">
        <v>308</v>
      </c>
      <c r="C50" s="36">
        <v>2.92</v>
      </c>
      <c r="D50" s="36">
        <v>3.58</v>
      </c>
      <c r="E50" s="36">
        <v>3.98</v>
      </c>
      <c r="F50" s="33" t="s">
        <v>301</v>
      </c>
      <c r="G50" s="36">
        <v>2.73</v>
      </c>
      <c r="H50" s="35" t="s">
        <v>261</v>
      </c>
      <c r="I50" s="6">
        <f t="array" aca="1" ref="I50" ca="1">INDIRECT("'BoE rate monthly'!M" &amp; (94 - (ROW(I50) - 4)))</f>
        <v>0.51518987341772149</v>
      </c>
      <c r="J50" s="37">
        <f t="shared" ca="1" si="0"/>
        <v>2.2148101265822784</v>
      </c>
    </row>
    <row r="51" spans="2:10" ht="15.75" customHeight="1" x14ac:dyDescent="0.25">
      <c r="B51" s="35" t="s">
        <v>309</v>
      </c>
      <c r="C51" s="36">
        <v>3.22</v>
      </c>
      <c r="D51" s="36">
        <v>3.63</v>
      </c>
      <c r="E51" s="36">
        <v>4.0599999999999996</v>
      </c>
      <c r="F51" s="33" t="s">
        <v>301</v>
      </c>
      <c r="G51" s="36">
        <v>3.02</v>
      </c>
      <c r="H51" s="35" t="s">
        <v>261</v>
      </c>
      <c r="I51" s="6">
        <f t="array" aca="1" ref="I51" ca="1">INDIRECT("'BoE rate monthly'!M" &amp; (94 - (ROW(I51) - 4)))</f>
        <v>0.51518987341772149</v>
      </c>
      <c r="J51" s="37">
        <f t="shared" ca="1" si="0"/>
        <v>2.5048101265822784</v>
      </c>
    </row>
    <row r="52" spans="2:10" ht="15.75" customHeight="1" x14ac:dyDescent="0.25">
      <c r="B52" s="35" t="s">
        <v>310</v>
      </c>
      <c r="C52" s="36">
        <v>3.44</v>
      </c>
      <c r="D52" s="36">
        <v>3.91</v>
      </c>
      <c r="E52" s="36">
        <v>4.1900000000000004</v>
      </c>
      <c r="F52" s="33" t="s">
        <v>301</v>
      </c>
      <c r="G52" s="36">
        <v>3.26</v>
      </c>
      <c r="H52" s="35" t="s">
        <v>261</v>
      </c>
      <c r="I52" s="6">
        <f t="array" aca="1" ref="I52" ca="1">INDIRECT("'BoE rate monthly'!M" &amp; (94 - (ROW(I52) - 4)))</f>
        <v>0.51518987341772149</v>
      </c>
      <c r="J52" s="37">
        <f t="shared" ca="1" si="0"/>
        <v>2.7448101265822782</v>
      </c>
    </row>
    <row r="53" spans="2:10" ht="15.75" customHeight="1" x14ac:dyDescent="0.25">
      <c r="B53" s="35" t="s">
        <v>311</v>
      </c>
      <c r="C53" s="36">
        <v>3.74</v>
      </c>
      <c r="D53" s="36">
        <v>4.09</v>
      </c>
      <c r="E53" s="36">
        <v>4.3</v>
      </c>
      <c r="F53" s="33" t="s">
        <v>301</v>
      </c>
      <c r="G53" s="36">
        <v>3.53</v>
      </c>
      <c r="H53" s="35" t="s">
        <v>261</v>
      </c>
      <c r="I53" s="6">
        <f t="array" aca="1" ref="I53" ca="1">INDIRECT("'BoE rate monthly'!M" &amp; (94 - (ROW(I53) - 4)))</f>
        <v>0.51518987341772149</v>
      </c>
      <c r="J53" s="37">
        <f t="shared" ca="1" si="0"/>
        <v>3.0148101265822782</v>
      </c>
    </row>
    <row r="54" spans="2:10" ht="15.75" customHeight="1" x14ac:dyDescent="0.25">
      <c r="B54" s="35" t="s">
        <v>312</v>
      </c>
      <c r="C54" s="36">
        <v>3.67</v>
      </c>
      <c r="D54" s="36">
        <v>4.05</v>
      </c>
      <c r="E54" s="36">
        <v>4.07</v>
      </c>
      <c r="F54" s="33" t="s">
        <v>301</v>
      </c>
      <c r="G54" s="36">
        <v>3.52</v>
      </c>
      <c r="H54" s="35" t="s">
        <v>261</v>
      </c>
      <c r="I54" s="6">
        <f t="array" aca="1" ref="I54" ca="1">INDIRECT("'BoE rate monthly'!M" &amp; (94 - (ROW(I54) - 4)))</f>
        <v>0.51518987341772149</v>
      </c>
      <c r="J54" s="37">
        <f t="shared" ca="1" si="0"/>
        <v>3.0048101265822784</v>
      </c>
    </row>
    <row r="55" spans="2:10" ht="15.75" customHeight="1" x14ac:dyDescent="0.25">
      <c r="B55" s="35" t="s">
        <v>313</v>
      </c>
      <c r="C55" s="36">
        <v>3.35</v>
      </c>
      <c r="D55" s="36">
        <v>3.67</v>
      </c>
      <c r="E55" s="36">
        <v>3.91</v>
      </c>
      <c r="F55" s="33" t="s">
        <v>301</v>
      </c>
      <c r="G55" s="36">
        <v>3.44</v>
      </c>
      <c r="H55" s="35" t="s">
        <v>261</v>
      </c>
      <c r="I55" s="6">
        <f t="array" aca="1" ref="I55" ca="1">INDIRECT("'BoE rate monthly'!M" &amp; (94 - (ROW(I55) - 4)))</f>
        <v>0.51518987341772149</v>
      </c>
      <c r="J55" s="37">
        <f t="shared" ca="1" si="0"/>
        <v>2.9248101265822783</v>
      </c>
    </row>
    <row r="56" spans="2:10" ht="15.75" customHeight="1" x14ac:dyDescent="0.25">
      <c r="B56" s="35" t="s">
        <v>314</v>
      </c>
      <c r="C56" s="36">
        <v>2.9</v>
      </c>
      <c r="D56" s="36">
        <v>3.3</v>
      </c>
      <c r="E56" s="36">
        <v>3.63</v>
      </c>
      <c r="F56" s="33" t="s">
        <v>301</v>
      </c>
      <c r="G56" s="36">
        <v>3.08</v>
      </c>
      <c r="H56" s="35" t="s">
        <v>261</v>
      </c>
      <c r="I56" s="6">
        <f t="array" aca="1" ref="I56" ca="1">INDIRECT("'BoE rate monthly'!M" &amp; (94 - (ROW(I56) - 4)))</f>
        <v>0.51518987341772149</v>
      </c>
      <c r="J56" s="37">
        <f t="shared" ca="1" si="0"/>
        <v>2.5648101265822785</v>
      </c>
    </row>
    <row r="57" spans="2:10" ht="15.75" customHeight="1" x14ac:dyDescent="0.25">
      <c r="B57" s="35" t="s">
        <v>315</v>
      </c>
      <c r="C57" s="36">
        <v>2.63</v>
      </c>
      <c r="D57" s="36">
        <v>2.95</v>
      </c>
      <c r="E57" s="36">
        <v>3.41</v>
      </c>
      <c r="F57" s="33" t="s">
        <v>301</v>
      </c>
      <c r="G57" s="36">
        <v>2.91</v>
      </c>
      <c r="H57" s="35" t="s">
        <v>261</v>
      </c>
      <c r="I57" s="6">
        <f t="array" aca="1" ref="I57" ca="1">INDIRECT("'BoE rate monthly'!M" &amp; (94 - (ROW(I57) - 4)))</f>
        <v>0.51518987341772149</v>
      </c>
      <c r="J57" s="37">
        <f t="shared" ca="1" si="0"/>
        <v>2.3948101265822785</v>
      </c>
    </row>
    <row r="58" spans="2:10" ht="15.75" customHeight="1" x14ac:dyDescent="0.25">
      <c r="B58" s="35" t="s">
        <v>316</v>
      </c>
      <c r="C58" s="36">
        <v>2.54</v>
      </c>
      <c r="D58" s="36">
        <v>2.91</v>
      </c>
      <c r="E58" s="36">
        <v>3.4</v>
      </c>
      <c r="F58" s="33" t="s">
        <v>301</v>
      </c>
      <c r="G58" s="36">
        <v>2.97</v>
      </c>
      <c r="H58" s="35" t="s">
        <v>261</v>
      </c>
      <c r="I58" s="6">
        <f t="array" aca="1" ref="I58" ca="1">INDIRECT("'BoE rate monthly'!M" &amp; (94 - (ROW(I58) - 4)))</f>
        <v>0.51518987341772149</v>
      </c>
      <c r="J58" s="37">
        <f t="shared" ca="1" si="0"/>
        <v>2.4548101265822786</v>
      </c>
    </row>
    <row r="59" spans="2:10" ht="15.75" customHeight="1" x14ac:dyDescent="0.25">
      <c r="B59" s="35" t="s">
        <v>317</v>
      </c>
      <c r="C59" s="36">
        <v>2.4</v>
      </c>
      <c r="D59" s="36">
        <v>2.9</v>
      </c>
      <c r="E59" s="36">
        <v>3.34</v>
      </c>
      <c r="F59" s="33" t="s">
        <v>301</v>
      </c>
      <c r="G59" s="36">
        <v>2.77</v>
      </c>
      <c r="H59" s="35" t="s">
        <v>261</v>
      </c>
      <c r="I59" s="6">
        <f t="array" aca="1" ref="I59" ca="1">INDIRECT("'BoE rate monthly'!M" &amp; (94 - (ROW(I59) - 4)))</f>
        <v>0.51518987341772149</v>
      </c>
      <c r="J59" s="37">
        <f t="shared" ca="1" si="0"/>
        <v>2.2548101265822784</v>
      </c>
    </row>
    <row r="60" spans="2:10" ht="15.75" customHeight="1" x14ac:dyDescent="0.25">
      <c r="B60" s="35" t="s">
        <v>318</v>
      </c>
      <c r="C60" s="36">
        <v>2.37</v>
      </c>
      <c r="D60" s="36">
        <v>2.97</v>
      </c>
      <c r="E60" s="36">
        <v>3.48</v>
      </c>
      <c r="F60" s="33" t="s">
        <v>301</v>
      </c>
      <c r="G60" s="36">
        <v>2.68</v>
      </c>
      <c r="H60" s="35" t="s">
        <v>261</v>
      </c>
      <c r="I60" s="6">
        <f t="array" aca="1" ref="I60" ca="1">INDIRECT("'BoE rate monthly'!M" &amp; (94 - (ROW(I60) - 4)))</f>
        <v>0.51518987341772149</v>
      </c>
      <c r="J60" s="37">
        <f t="shared" ca="1" si="0"/>
        <v>2.1648101265822786</v>
      </c>
    </row>
    <row r="61" spans="2:10" ht="15.75" customHeight="1" x14ac:dyDescent="0.25">
      <c r="B61" s="35" t="s">
        <v>319</v>
      </c>
      <c r="C61" s="36">
        <v>2.6</v>
      </c>
      <c r="D61" s="36">
        <v>3.01</v>
      </c>
      <c r="E61" s="36">
        <v>3.69</v>
      </c>
      <c r="F61" s="33" t="s">
        <v>301</v>
      </c>
      <c r="G61" s="36">
        <v>2.71</v>
      </c>
      <c r="H61" s="35" t="s">
        <v>261</v>
      </c>
      <c r="I61" s="6">
        <f t="array" aca="1" ref="I61" ca="1">INDIRECT("'BoE rate monthly'!M" &amp; (94 - (ROW(I61) - 4)))</f>
        <v>0.51518987341772149</v>
      </c>
      <c r="J61" s="37">
        <f t="shared" ca="1" si="0"/>
        <v>2.1948101265822784</v>
      </c>
    </row>
    <row r="62" spans="2:10" ht="15.75" customHeight="1" x14ac:dyDescent="0.25">
      <c r="B62" s="35" t="s">
        <v>320</v>
      </c>
      <c r="C62" s="36">
        <v>2.46</v>
      </c>
      <c r="D62" s="36">
        <v>2.94</v>
      </c>
      <c r="E62" s="36">
        <v>3.61</v>
      </c>
      <c r="F62" s="36">
        <v>4.0599999999999996</v>
      </c>
      <c r="G62" s="36">
        <v>2.44</v>
      </c>
      <c r="H62" s="35" t="s">
        <v>261</v>
      </c>
      <c r="I62" s="6">
        <f t="array" aca="1" ref="I62" ca="1">INDIRECT("'BoE rate monthly'!M" &amp; (94 - (ROW(I62) - 4)))</f>
        <v>0.51518987341772149</v>
      </c>
      <c r="J62" s="37">
        <f t="shared" ca="1" si="0"/>
        <v>1.9248101265822783</v>
      </c>
    </row>
    <row r="63" spans="2:10" ht="15.75" customHeight="1" x14ac:dyDescent="0.25">
      <c r="B63" s="35" t="s">
        <v>321</v>
      </c>
      <c r="C63" s="36">
        <v>2.08</v>
      </c>
      <c r="D63" s="36">
        <v>2.89</v>
      </c>
      <c r="E63" s="36">
        <v>3.21</v>
      </c>
      <c r="F63" s="38">
        <v>4</v>
      </c>
      <c r="G63" s="36">
        <v>1.6</v>
      </c>
      <c r="H63" s="35" t="s">
        <v>261</v>
      </c>
      <c r="I63" s="6">
        <f t="array" aca="1" ref="I63" ca="1">INDIRECT("'BoE rate monthly'!M" &amp; (94 - (ROW(I63) - 4)))</f>
        <v>0.51518987341772149</v>
      </c>
      <c r="J63" s="37">
        <f t="shared" ca="1" si="0"/>
        <v>1.0848101265822785</v>
      </c>
    </row>
    <row r="64" spans="2:10" ht="15.75" customHeight="1" x14ac:dyDescent="0.25">
      <c r="B64" s="35" t="s">
        <v>322</v>
      </c>
      <c r="C64" s="36">
        <v>1.99</v>
      </c>
      <c r="D64" s="36">
        <v>2.63</v>
      </c>
      <c r="E64" s="36">
        <v>2.98</v>
      </c>
      <c r="F64" s="36">
        <v>3.47</v>
      </c>
      <c r="G64" s="36">
        <v>1.56</v>
      </c>
      <c r="H64" s="35" t="s">
        <v>261</v>
      </c>
      <c r="I64" s="6">
        <f t="array" aca="1" ref="I64" ca="1">INDIRECT("'BoE rate monthly'!M" &amp; (94 - (ROW(I64) - 4)))</f>
        <v>0.51518987341772149</v>
      </c>
      <c r="J64" s="37">
        <f t="shared" ca="1" si="0"/>
        <v>1.0448101265822785</v>
      </c>
    </row>
    <row r="65" spans="2:10" ht="15.75" customHeight="1" x14ac:dyDescent="0.25">
      <c r="B65" s="35" t="s">
        <v>323</v>
      </c>
      <c r="C65" s="36">
        <v>1.83</v>
      </c>
      <c r="D65" s="36">
        <v>2.54</v>
      </c>
      <c r="E65" s="36">
        <v>2.82</v>
      </c>
      <c r="F65" s="36">
        <v>3.24</v>
      </c>
      <c r="G65" s="36">
        <v>1.66</v>
      </c>
      <c r="H65" s="35" t="s">
        <v>261</v>
      </c>
      <c r="I65" s="6">
        <f t="array" aca="1" ref="I65" ca="1">INDIRECT("'BoE rate monthly'!M" &amp; (94 - (ROW(I65) - 4)))</f>
        <v>0.51518987341772149</v>
      </c>
      <c r="J65" s="37">
        <f t="shared" ca="1" si="0"/>
        <v>1.1448101265822785</v>
      </c>
    </row>
    <row r="66" spans="2:10" ht="15.75" customHeight="1" x14ac:dyDescent="0.25">
      <c r="B66" s="35" t="s">
        <v>324</v>
      </c>
      <c r="C66" s="36">
        <v>1.91</v>
      </c>
      <c r="D66" s="36">
        <v>2.4</v>
      </c>
      <c r="E66" s="36">
        <v>2.84</v>
      </c>
      <c r="F66" s="36">
        <v>3.35</v>
      </c>
      <c r="G66" s="36">
        <v>1.74</v>
      </c>
      <c r="H66" s="35" t="s">
        <v>261</v>
      </c>
      <c r="I66" s="6">
        <f t="array" aca="1" ref="I66" ca="1">INDIRECT("'BoE rate monthly'!M" &amp; (94 - (ROW(I66) - 4)))</f>
        <v>0.51518987341772149</v>
      </c>
      <c r="J66" s="37">
        <f t="shared" ca="1" si="0"/>
        <v>1.2248101265822786</v>
      </c>
    </row>
    <row r="67" spans="2:10" ht="15.75" customHeight="1" x14ac:dyDescent="0.25">
      <c r="B67" s="35" t="s">
        <v>325</v>
      </c>
      <c r="C67" s="36">
        <v>1.9</v>
      </c>
      <c r="D67" s="36">
        <v>2.2599999999999998</v>
      </c>
      <c r="E67" s="36">
        <v>2.75</v>
      </c>
      <c r="F67" s="36">
        <v>3.36</v>
      </c>
      <c r="G67" s="36">
        <v>1.78</v>
      </c>
      <c r="H67" s="35" t="s">
        <v>261</v>
      </c>
      <c r="I67" s="6">
        <f t="array" aca="1" ref="I67" ca="1">INDIRECT("'BoE rate monthly'!M" &amp; (94 - (ROW(I67) - 4)))</f>
        <v>0.51518987341772149</v>
      </c>
      <c r="J67" s="37">
        <f t="shared" ca="1" si="0"/>
        <v>1.2648101265822786</v>
      </c>
    </row>
    <row r="68" spans="2:10" ht="15.75" customHeight="1" x14ac:dyDescent="0.25">
      <c r="B68" s="35" t="s">
        <v>326</v>
      </c>
      <c r="C68" s="36">
        <v>1.9</v>
      </c>
      <c r="D68" s="36">
        <v>2.14</v>
      </c>
      <c r="E68" s="36">
        <v>2.7</v>
      </c>
      <c r="F68" s="36">
        <v>3.19</v>
      </c>
      <c r="G68" s="36">
        <v>1.67</v>
      </c>
      <c r="H68" s="35" t="s">
        <v>261</v>
      </c>
      <c r="I68" s="6">
        <f t="array" aca="1" ref="I68" ca="1">INDIRECT("'BoE rate monthly'!M" &amp; (94 - (ROW(I68) - 4)))</f>
        <v>0.51518987341772149</v>
      </c>
      <c r="J68" s="37">
        <f t="shared" ca="1" si="0"/>
        <v>1.1548101265822783</v>
      </c>
    </row>
    <row r="69" spans="2:10" ht="15.75" customHeight="1" x14ac:dyDescent="0.25">
      <c r="B69" s="35" t="s">
        <v>327</v>
      </c>
      <c r="C69" s="36">
        <v>1.75</v>
      </c>
      <c r="D69" s="36">
        <v>2.13</v>
      </c>
      <c r="E69" s="36">
        <v>2.54</v>
      </c>
      <c r="F69" s="36">
        <v>3.1</v>
      </c>
      <c r="G69" s="36">
        <v>1.62</v>
      </c>
      <c r="H69" s="35" t="s">
        <v>261</v>
      </c>
      <c r="I69" s="6">
        <f t="array" aca="1" ref="I69" ca="1">INDIRECT("'BoE rate monthly'!M" &amp; (94 - (ROW(I69) - 4)))</f>
        <v>0.25</v>
      </c>
      <c r="J69" s="37">
        <f t="shared" ca="1" si="0"/>
        <v>1.37</v>
      </c>
    </row>
    <row r="70" spans="2:10" ht="15.75" customHeight="1" x14ac:dyDescent="0.25">
      <c r="B70" s="35" t="s">
        <v>328</v>
      </c>
      <c r="C70" s="36">
        <v>1.59</v>
      </c>
      <c r="D70" s="36">
        <v>1.92</v>
      </c>
      <c r="E70" s="36">
        <v>2.34</v>
      </c>
      <c r="F70" s="36">
        <v>2.84</v>
      </c>
      <c r="G70" s="36">
        <v>1.54</v>
      </c>
      <c r="H70" s="35" t="s">
        <v>261</v>
      </c>
      <c r="I70" s="6">
        <f t="array" aca="1" ref="I70" ca="1">INDIRECT("'BoE rate monthly'!M" &amp; (94 - (ROW(I70) - 4)))</f>
        <v>0.25</v>
      </c>
      <c r="J70" s="37">
        <f t="shared" ca="1" si="0"/>
        <v>1.29</v>
      </c>
    </row>
    <row r="71" spans="2:10" ht="15.75" customHeight="1" x14ac:dyDescent="0.25">
      <c r="B71" s="35" t="s">
        <v>329</v>
      </c>
      <c r="C71" s="36">
        <v>1.45</v>
      </c>
      <c r="D71" s="36">
        <v>1.79</v>
      </c>
      <c r="E71" s="36">
        <v>2.2599999999999998</v>
      </c>
      <c r="F71" s="36">
        <v>2.98</v>
      </c>
      <c r="G71" s="36">
        <v>1.48</v>
      </c>
      <c r="H71" s="35" t="s">
        <v>261</v>
      </c>
      <c r="I71" s="6">
        <f t="array" aca="1" ref="I71" ca="1">INDIRECT("'BoE rate monthly'!M" &amp; (94 - (ROW(I71) - 4)))</f>
        <v>0.25</v>
      </c>
      <c r="J71" s="37">
        <f t="shared" ca="1" si="0"/>
        <v>1.23</v>
      </c>
    </row>
    <row r="72" spans="2:10" ht="15.75" customHeight="1" x14ac:dyDescent="0.25">
      <c r="B72" s="35" t="s">
        <v>330</v>
      </c>
      <c r="C72" s="36">
        <v>1.37</v>
      </c>
      <c r="D72" s="36">
        <v>1.68</v>
      </c>
      <c r="E72" s="36">
        <v>2.15</v>
      </c>
      <c r="F72" s="36">
        <v>2.8</v>
      </c>
      <c r="G72" s="36">
        <v>1.42</v>
      </c>
      <c r="H72" s="35" t="s">
        <v>261</v>
      </c>
      <c r="I72" s="6">
        <f t="array" aca="1" ref="I72" ca="1">INDIRECT("'BoE rate monthly'!M" &amp; (94 - (ROW(I72) - 4)))</f>
        <v>0.25</v>
      </c>
      <c r="J72" s="37">
        <f t="shared" ca="1" si="0"/>
        <v>1.17</v>
      </c>
    </row>
    <row r="73" spans="2:10" ht="15.75" customHeight="1" x14ac:dyDescent="0.25">
      <c r="B73" s="35" t="s">
        <v>331</v>
      </c>
      <c r="C73" s="36">
        <v>1.48</v>
      </c>
      <c r="D73" s="36">
        <v>1.7</v>
      </c>
      <c r="E73" s="36">
        <v>1.99</v>
      </c>
      <c r="F73" s="36">
        <v>2.82</v>
      </c>
      <c r="G73" s="36">
        <v>1.42</v>
      </c>
      <c r="H73" s="35" t="s">
        <v>261</v>
      </c>
      <c r="I73" s="6">
        <f t="array" aca="1" ref="I73" ca="1">INDIRECT("'BoE rate monthly'!M" &amp; (94 - (ROW(I73) - 4)))</f>
        <v>0.25</v>
      </c>
      <c r="J73" s="37">
        <f t="shared" ca="1" si="0"/>
        <v>1.17</v>
      </c>
    </row>
    <row r="74" spans="2:10" ht="15.75" customHeight="1" x14ac:dyDescent="0.25">
      <c r="B74" s="35" t="s">
        <v>332</v>
      </c>
      <c r="C74" s="36">
        <v>1.4</v>
      </c>
      <c r="D74" s="36">
        <v>1.6</v>
      </c>
      <c r="E74" s="36">
        <v>1.9</v>
      </c>
      <c r="F74" s="36">
        <v>2.72</v>
      </c>
      <c r="G74" s="36">
        <v>1.46</v>
      </c>
      <c r="H74" s="35" t="s">
        <v>261</v>
      </c>
      <c r="I74" s="6">
        <f t="array" aca="1" ref="I74" ca="1">INDIRECT("'BoE rate monthly'!M" &amp; (94 - (ROW(I74) - 4)))</f>
        <v>0.5</v>
      </c>
      <c r="J74" s="37">
        <f t="shared" ca="1" si="0"/>
        <v>0.96</v>
      </c>
    </row>
    <row r="75" spans="2:10" ht="15.75" customHeight="1" x14ac:dyDescent="0.25">
      <c r="B75" s="35" t="s">
        <v>333</v>
      </c>
      <c r="C75" s="36">
        <v>1.57</v>
      </c>
      <c r="D75" s="36">
        <v>1.7</v>
      </c>
      <c r="E75" s="36">
        <v>2.0699999999999998</v>
      </c>
      <c r="F75" s="36">
        <v>2.66</v>
      </c>
      <c r="G75" s="36">
        <v>1.69</v>
      </c>
      <c r="H75" s="35" t="s">
        <v>261</v>
      </c>
      <c r="I75" s="6">
        <f t="array" aca="1" ref="I75" ca="1">INDIRECT("'BoE rate monthly'!M" &amp; (94 - (ROW(I75) - 4)))</f>
        <v>0.5</v>
      </c>
      <c r="J75" s="37">
        <f t="shared" ca="1" si="0"/>
        <v>1.19</v>
      </c>
    </row>
    <row r="76" spans="2:10" ht="15.75" customHeight="1" x14ac:dyDescent="0.25">
      <c r="B76" s="35" t="s">
        <v>334</v>
      </c>
      <c r="C76" s="36">
        <v>1.53</v>
      </c>
      <c r="D76" s="36">
        <v>1.77</v>
      </c>
      <c r="E76" s="36">
        <v>2.02</v>
      </c>
      <c r="F76" s="36">
        <v>2.76</v>
      </c>
      <c r="G76" s="36">
        <v>1.58</v>
      </c>
      <c r="H76" s="35" t="s">
        <v>261</v>
      </c>
      <c r="I76" s="6">
        <f t="array" aca="1" ref="I76" ca="1">INDIRECT("'BoE rate monthly'!M" &amp; (94 - (ROW(I76) - 4)))</f>
        <v>0.5</v>
      </c>
      <c r="J76" s="37">
        <f t="shared" ca="1" si="0"/>
        <v>1.08</v>
      </c>
    </row>
    <row r="77" spans="2:10" ht="15.75" customHeight="1" x14ac:dyDescent="0.25">
      <c r="B77" s="35" t="s">
        <v>335</v>
      </c>
      <c r="C77" s="36">
        <v>1.74</v>
      </c>
      <c r="D77" s="36">
        <v>1.8</v>
      </c>
      <c r="E77" s="36">
        <v>2.0299999999999998</v>
      </c>
      <c r="F77" s="36">
        <v>2.74</v>
      </c>
      <c r="G77" s="36">
        <v>1.56</v>
      </c>
      <c r="H77" s="35" t="s">
        <v>261</v>
      </c>
      <c r="I77" s="6">
        <f t="array" aca="1" ref="I77" ca="1">INDIRECT("'BoE rate monthly'!M" &amp; (94 - (ROW(I77) - 4)))</f>
        <v>0.75</v>
      </c>
      <c r="J77" s="37">
        <f t="shared" ca="1" si="0"/>
        <v>0.81</v>
      </c>
    </row>
    <row r="78" spans="2:10" ht="15.75" customHeight="1" x14ac:dyDescent="0.25">
      <c r="B78" s="35" t="s">
        <v>336</v>
      </c>
      <c r="C78" s="36">
        <v>1.71</v>
      </c>
      <c r="D78" s="36">
        <v>1.81</v>
      </c>
      <c r="E78" s="36">
        <v>2.0099999999999998</v>
      </c>
      <c r="F78" s="36">
        <v>2.68</v>
      </c>
      <c r="G78" s="36">
        <v>1.68</v>
      </c>
      <c r="H78" s="35" t="s">
        <v>261</v>
      </c>
      <c r="I78" s="6">
        <f t="array" aca="1" ref="I78" ca="1">INDIRECT("'BoE rate monthly'!M" &amp; (94 - (ROW(I78) - 4)))</f>
        <v>0.75</v>
      </c>
      <c r="J78" s="37">
        <f t="shared" ca="1" si="0"/>
        <v>0.92999999999999994</v>
      </c>
    </row>
    <row r="79" spans="2:10" ht="15.75" customHeight="1" x14ac:dyDescent="0.25">
      <c r="B79" s="35" t="s">
        <v>337</v>
      </c>
      <c r="C79" s="36">
        <v>1.73</v>
      </c>
      <c r="D79" s="36">
        <v>1.81</v>
      </c>
      <c r="E79" s="36">
        <v>2.0099999999999998</v>
      </c>
      <c r="F79" s="36">
        <v>2.64</v>
      </c>
      <c r="G79" s="36">
        <v>1.7</v>
      </c>
      <c r="H79" s="35" t="s">
        <v>261</v>
      </c>
      <c r="I79" s="6">
        <f t="array" aca="1" ref="I79" ca="1">INDIRECT("'BoE rate monthly'!M" &amp; (94 - (ROW(I79) - 4)))</f>
        <v>0.75</v>
      </c>
      <c r="J79" s="37">
        <f t="shared" ca="1" si="0"/>
        <v>0.95</v>
      </c>
    </row>
    <row r="80" spans="2:10" ht="15.75" customHeight="1" x14ac:dyDescent="0.25">
      <c r="B80" s="35" t="s">
        <v>338</v>
      </c>
      <c r="C80" s="36">
        <v>1.7</v>
      </c>
      <c r="D80" s="36">
        <v>1.8</v>
      </c>
      <c r="E80" s="36">
        <v>2.0299999999999998</v>
      </c>
      <c r="F80" s="36">
        <v>2.56</v>
      </c>
      <c r="G80" s="36">
        <v>1.61</v>
      </c>
      <c r="H80" s="35" t="s">
        <v>261</v>
      </c>
      <c r="I80" s="6">
        <f t="array" aca="1" ref="I80" ca="1">INDIRECT("'BoE rate monthly'!M" &amp; (94 - (ROW(I80) - 4)))</f>
        <v>0.75</v>
      </c>
      <c r="J80" s="37">
        <f t="shared" ca="1" si="0"/>
        <v>0.8600000000000001</v>
      </c>
    </row>
    <row r="81" spans="2:10" ht="15.75" customHeight="1" x14ac:dyDescent="0.25">
      <c r="B81" s="35" t="s">
        <v>339</v>
      </c>
      <c r="C81" s="36">
        <v>1.64</v>
      </c>
      <c r="D81" s="36">
        <v>1.77</v>
      </c>
      <c r="E81" s="36">
        <v>1.97</v>
      </c>
      <c r="F81" s="36">
        <v>2.59</v>
      </c>
      <c r="G81" s="36">
        <v>1.6</v>
      </c>
      <c r="H81" s="35" t="s">
        <v>261</v>
      </c>
      <c r="I81" s="6">
        <f t="array" aca="1" ref="I81" ca="1">INDIRECT("'BoE rate monthly'!M" &amp; (94 - (ROW(I81) - 4)))</f>
        <v>0.75</v>
      </c>
      <c r="J81" s="37">
        <f t="shared" ca="1" si="0"/>
        <v>0.85000000000000009</v>
      </c>
    </row>
    <row r="82" spans="2:10" ht="15.75" customHeight="1" x14ac:dyDescent="0.25">
      <c r="B82" s="35" t="s">
        <v>340</v>
      </c>
      <c r="C82" s="36">
        <v>1.55</v>
      </c>
      <c r="D82" s="36">
        <v>1.66</v>
      </c>
      <c r="E82" s="36">
        <v>1.79</v>
      </c>
      <c r="F82" s="36">
        <v>2.58</v>
      </c>
      <c r="G82" s="36">
        <v>2.0299999999999998</v>
      </c>
      <c r="H82" s="35" t="s">
        <v>261</v>
      </c>
      <c r="I82" s="6">
        <f t="array" aca="1" ref="I82" ca="1">INDIRECT("'BoE rate monthly'!M" &amp; (94 - (ROW(I82) - 4)))</f>
        <v>0.75</v>
      </c>
      <c r="J82" s="37">
        <f t="shared" ca="1" si="0"/>
        <v>1.2799999999999998</v>
      </c>
    </row>
    <row r="83" spans="2:10" ht="15.75" customHeight="1" x14ac:dyDescent="0.25">
      <c r="B83" s="35" t="s">
        <v>341</v>
      </c>
      <c r="C83" s="36">
        <v>1.42</v>
      </c>
      <c r="D83" s="36">
        <v>1.54</v>
      </c>
      <c r="E83" s="36">
        <v>1.67</v>
      </c>
      <c r="F83" s="36">
        <v>2.4700000000000002</v>
      </c>
      <c r="G83" s="36">
        <v>1.94</v>
      </c>
      <c r="H83" s="35" t="s">
        <v>261</v>
      </c>
      <c r="I83" s="6">
        <f t="array" aca="1" ref="I83" ca="1">INDIRECT("'BoE rate monthly'!M" &amp; (94 - (ROW(I83) - 4)))</f>
        <v>0.10186046511627908</v>
      </c>
      <c r="J83" s="37">
        <f t="shared" ca="1" si="0"/>
        <v>1.8381395348837208</v>
      </c>
    </row>
    <row r="84" spans="2:10" ht="15.75" customHeight="1" x14ac:dyDescent="0.25">
      <c r="B84" s="35" t="s">
        <v>342</v>
      </c>
      <c r="C84" s="36">
        <v>1.4</v>
      </c>
      <c r="D84" s="36">
        <v>1.56</v>
      </c>
      <c r="E84" s="36">
        <v>1.66</v>
      </c>
      <c r="F84" s="36">
        <v>2.36</v>
      </c>
      <c r="G84" s="36">
        <v>2.37</v>
      </c>
      <c r="H84" s="35" t="s">
        <v>261</v>
      </c>
      <c r="I84" s="6">
        <f t="array" aca="1" ref="I84" ca="1">INDIRECT("'BoE rate monthly'!M" &amp; (94 - (ROW(I84) - 4)))</f>
        <v>0.10186046511627908</v>
      </c>
      <c r="J84" s="37">
        <f t="shared" ca="1" si="0"/>
        <v>2.268139534883721</v>
      </c>
    </row>
    <row r="85" spans="2:10" ht="15.75" customHeight="1" x14ac:dyDescent="0.25">
      <c r="B85" s="35" t="s">
        <v>343</v>
      </c>
      <c r="C85" s="36">
        <v>1.41</v>
      </c>
      <c r="D85" s="36">
        <v>1.62</v>
      </c>
      <c r="E85" s="36">
        <v>1.69</v>
      </c>
      <c r="F85" s="36">
        <v>2.4</v>
      </c>
      <c r="G85" s="36">
        <v>1.66</v>
      </c>
      <c r="H85" s="35" t="s">
        <v>261</v>
      </c>
      <c r="I85" s="6">
        <f t="array" aca="1" ref="I85" ca="1">INDIRECT("'BoE rate monthly'!M" &amp; (94 - (ROW(I85) - 4)))</f>
        <v>0.10186046511627908</v>
      </c>
      <c r="J85" s="37">
        <f t="shared" ca="1" si="0"/>
        <v>1.5581395348837208</v>
      </c>
    </row>
    <row r="86" spans="2:10" ht="15.75" customHeight="1" x14ac:dyDescent="0.25">
      <c r="B86" s="35" t="s">
        <v>344</v>
      </c>
      <c r="C86" s="36">
        <v>1.75</v>
      </c>
      <c r="D86" s="36">
        <v>1.88</v>
      </c>
      <c r="E86" s="36">
        <v>1.92</v>
      </c>
      <c r="F86" s="36">
        <v>2.39</v>
      </c>
      <c r="G86" s="36">
        <v>1.63</v>
      </c>
      <c r="H86" s="35" t="s">
        <v>261</v>
      </c>
      <c r="I86" s="6">
        <f t="array" aca="1" ref="I86" ca="1">INDIRECT("'BoE rate monthly'!M" &amp; (94 - (ROW(I86) - 4)))</f>
        <v>0.10186046511627908</v>
      </c>
      <c r="J86" s="37">
        <f t="shared" ca="1" si="0"/>
        <v>1.5281395348837208</v>
      </c>
    </row>
    <row r="87" spans="2:10" ht="15.75" customHeight="1" x14ac:dyDescent="0.25">
      <c r="B87" s="35" t="s">
        <v>345</v>
      </c>
      <c r="C87" s="36">
        <v>1.86</v>
      </c>
      <c r="D87" s="36">
        <v>2.04</v>
      </c>
      <c r="E87" s="38">
        <v>2</v>
      </c>
      <c r="F87" s="36">
        <v>2.5299999999999998</v>
      </c>
      <c r="G87" s="36">
        <v>2.19</v>
      </c>
      <c r="H87" s="35" t="s">
        <v>261</v>
      </c>
      <c r="I87" s="6">
        <f t="array" aca="1" ref="I87" ca="1">INDIRECT("'BoE rate monthly'!M" &amp; (94 - (ROW(I87) - 4)))</f>
        <v>0.10186046511627908</v>
      </c>
      <c r="J87" s="37">
        <f t="shared" ca="1" si="0"/>
        <v>2.0881395348837208</v>
      </c>
    </row>
    <row r="88" spans="2:10" ht="15.75" customHeight="1" x14ac:dyDescent="0.25">
      <c r="B88" s="35" t="s">
        <v>346</v>
      </c>
      <c r="C88" s="36">
        <v>1.56</v>
      </c>
      <c r="D88" s="36">
        <v>1.71</v>
      </c>
      <c r="E88" s="36">
        <v>1.74</v>
      </c>
      <c r="F88" s="36">
        <v>2.5499999999999998</v>
      </c>
      <c r="G88" s="36">
        <v>1.91</v>
      </c>
      <c r="H88" s="35" t="s">
        <v>261</v>
      </c>
      <c r="I88" s="6">
        <f t="array" aca="1" ref="I88" ca="1">INDIRECT("'BoE rate monthly'!M" &amp; (94 - (ROW(I88) - 4)))</f>
        <v>0.10186046511627908</v>
      </c>
      <c r="J88" s="37">
        <f t="shared" ca="1" si="0"/>
        <v>1.8081395348837208</v>
      </c>
    </row>
    <row r="89" spans="2:10" ht="15.75" customHeight="1" x14ac:dyDescent="0.25">
      <c r="B89" s="35" t="s">
        <v>347</v>
      </c>
      <c r="C89" s="36">
        <v>1.39</v>
      </c>
      <c r="D89" s="36">
        <v>1.66</v>
      </c>
      <c r="E89" s="36">
        <v>1.6</v>
      </c>
      <c r="F89" s="36">
        <v>2.59</v>
      </c>
      <c r="G89" s="36">
        <v>2.2400000000000002</v>
      </c>
      <c r="H89" s="35" t="s">
        <v>261</v>
      </c>
      <c r="I89" s="6">
        <f t="array" aca="1" ref="I89" ca="1">INDIRECT("'BoE rate monthly'!M" &amp; (94 - (ROW(I89) - 4)))</f>
        <v>0.10186046511627908</v>
      </c>
      <c r="J89" s="37">
        <f t="shared" ca="1" si="0"/>
        <v>2.1381395348837211</v>
      </c>
    </row>
    <row r="90" spans="2:10" ht="15.75" customHeight="1" x14ac:dyDescent="0.25">
      <c r="B90" s="35" t="s">
        <v>348</v>
      </c>
      <c r="C90" s="36">
        <v>1.2</v>
      </c>
      <c r="D90" s="36">
        <v>1.18</v>
      </c>
      <c r="E90" s="36">
        <v>1.29</v>
      </c>
      <c r="F90" s="36">
        <v>2.6</v>
      </c>
      <c r="G90" s="36">
        <v>2.1</v>
      </c>
      <c r="H90" s="35" t="s">
        <v>261</v>
      </c>
      <c r="I90" s="6">
        <f t="array" aca="1" ref="I90" ca="1">INDIRECT("'BoE rate monthly'!M" &amp; (94 - (ROW(I90) - 4)))</f>
        <v>0.25</v>
      </c>
      <c r="J90" s="37">
        <f t="shared" ca="1" si="0"/>
        <v>1.85</v>
      </c>
    </row>
    <row r="91" spans="2:10" ht="15.75" customHeight="1" x14ac:dyDescent="0.25">
      <c r="B91" s="35" t="s">
        <v>349</v>
      </c>
      <c r="C91" s="36">
        <v>1.57</v>
      </c>
      <c r="D91" s="36">
        <v>1.39</v>
      </c>
      <c r="E91" s="36">
        <v>1.59</v>
      </c>
      <c r="F91" s="36">
        <v>2.44</v>
      </c>
      <c r="G91" s="36">
        <v>1.65</v>
      </c>
      <c r="H91" s="35" t="s">
        <v>261</v>
      </c>
      <c r="I91" s="6">
        <f t="array" aca="1" ref="I91" ca="1">INDIRECT("'BoE rate monthly'!M" &amp; (94 - (ROW(I91) - 4)))</f>
        <v>0.63461538461538458</v>
      </c>
      <c r="J91" s="37">
        <f t="shared" ca="1" si="0"/>
        <v>1.0153846153846153</v>
      </c>
    </row>
    <row r="92" spans="2:10" ht="15.75" customHeight="1" x14ac:dyDescent="0.25">
      <c r="B92" s="35" t="s">
        <v>350</v>
      </c>
      <c r="C92" s="36">
        <v>2.14</v>
      </c>
      <c r="D92" s="36">
        <v>2.0299999999999998</v>
      </c>
      <c r="E92" s="36">
        <v>2.11</v>
      </c>
      <c r="F92" s="36">
        <v>2.5</v>
      </c>
      <c r="G92" s="36">
        <v>2.0099999999999998</v>
      </c>
      <c r="H92" s="35" t="s">
        <v>261</v>
      </c>
      <c r="I92" s="6">
        <f t="array" aca="1" ref="I92" ca="1">INDIRECT("'BoE rate monthly'!M" &amp; (94 - (ROW(I92) - 4)))</f>
        <v>1.1346153846153846</v>
      </c>
      <c r="J92" s="37">
        <f t="shared" ca="1" si="0"/>
        <v>0.87538461538461521</v>
      </c>
    </row>
    <row r="93" spans="2:10" ht="15.75" customHeight="1" x14ac:dyDescent="0.25">
      <c r="B93" s="35" t="s">
        <v>351</v>
      </c>
      <c r="C93" s="36">
        <v>2.87</v>
      </c>
      <c r="D93" s="36">
        <v>2.98</v>
      </c>
      <c r="E93" s="36">
        <v>2.9</v>
      </c>
      <c r="F93" s="36">
        <v>3.17</v>
      </c>
      <c r="G93" s="36">
        <v>2.4500000000000002</v>
      </c>
      <c r="H93" s="35" t="s">
        <v>261</v>
      </c>
      <c r="I93" s="6">
        <f t="array" aca="1" ref="I93" ca="1">INDIRECT("'BoE rate monthly'!M" &amp; (94 - (ROW(I93) - 4)))</f>
        <v>1.9807692307692308</v>
      </c>
      <c r="J93" s="37">
        <f t="shared" ca="1" si="0"/>
        <v>0.46923076923076934</v>
      </c>
    </row>
    <row r="94" spans="2:10" ht="15.75" customHeight="1" x14ac:dyDescent="0.25">
      <c r="B94" s="35" t="s">
        <v>352</v>
      </c>
      <c r="C94" s="36">
        <v>4.17</v>
      </c>
      <c r="D94" s="36">
        <v>4.46</v>
      </c>
      <c r="E94" s="36">
        <v>3.96</v>
      </c>
      <c r="F94" s="36">
        <v>4.21</v>
      </c>
      <c r="G94" s="36">
        <v>2.98</v>
      </c>
      <c r="H94" s="35" t="s">
        <v>261</v>
      </c>
      <c r="I94" s="6">
        <f t="array" aca="1" ref="I94" ca="1">INDIRECT("'BoE rate monthly'!M" &amp; (94 - (ROW(I94) - 4)))</f>
        <v>3.2692307692307692</v>
      </c>
      <c r="J94" s="37">
        <f t="shared" ca="1" si="0"/>
        <v>-0.28923076923076918</v>
      </c>
    </row>
    <row r="95" spans="2:10" ht="15.75" customHeight="1" x14ac:dyDescent="0.25">
      <c r="B95" s="35" t="s">
        <v>353</v>
      </c>
      <c r="C95" s="36">
        <v>5.43</v>
      </c>
      <c r="D95" s="36">
        <v>5.28</v>
      </c>
      <c r="E95" s="36">
        <v>5.05</v>
      </c>
      <c r="F95" s="36">
        <v>4.99</v>
      </c>
      <c r="G95" s="36">
        <v>4.1399999999999997</v>
      </c>
      <c r="H95" s="35" t="s">
        <v>261</v>
      </c>
      <c r="I95" s="6">
        <f t="array" aca="1" ref="I95" ca="1">INDIRECT("'BoE rate monthly'!M" &amp; (94 - (ROW(I95) - 4)))</f>
        <v>4.125</v>
      </c>
      <c r="J95" s="37">
        <f t="shared" ca="1" si="0"/>
        <v>1.499999999999968E-2</v>
      </c>
    </row>
    <row r="96" spans="2:10" ht="15.75" customHeight="1" x14ac:dyDescent="0.25">
      <c r="B96" s="35" t="s">
        <v>354</v>
      </c>
      <c r="C96" s="36">
        <v>4.74</v>
      </c>
      <c r="D96" s="36">
        <v>4.5599999999999996</v>
      </c>
      <c r="E96" s="36">
        <v>4.26</v>
      </c>
      <c r="F96" s="36">
        <v>4.33</v>
      </c>
      <c r="G96" s="36">
        <v>4.5999999999999996</v>
      </c>
      <c r="H96" s="35" t="s">
        <v>261</v>
      </c>
      <c r="I96" s="6">
        <f t="array" aca="1" ref="I96" ca="1">INDIRECT("'BoE rate monthly'!M" &amp; (94 - (ROW(I96) - 4)))</f>
        <v>0</v>
      </c>
      <c r="J96" s="37">
        <f t="shared" ca="1" si="0"/>
        <v>4.5999999999999996</v>
      </c>
    </row>
    <row r="97" spans="2:10" ht="15.75" customHeight="1" x14ac:dyDescent="0.25">
      <c r="B97" s="35" t="s">
        <v>355</v>
      </c>
      <c r="C97" s="36">
        <v>4.7300000000000004</v>
      </c>
      <c r="D97" s="36">
        <v>4.51</v>
      </c>
      <c r="E97" s="36">
        <v>4.29</v>
      </c>
      <c r="F97" s="36">
        <v>4.46</v>
      </c>
      <c r="G97" s="36">
        <v>4.8899999999999997</v>
      </c>
      <c r="H97" s="35" t="s">
        <v>261</v>
      </c>
      <c r="I97" s="6">
        <f t="array" aca="1" ref="I97" ca="1">INDIRECT("'BoE rate monthly'!M" &amp; (94 - (ROW(I97) - 4)))</f>
        <v>0</v>
      </c>
      <c r="J97" s="37">
        <f t="shared" ca="1" si="0"/>
        <v>4.8899999999999997</v>
      </c>
    </row>
    <row r="98" spans="2:10" ht="15.75" customHeight="1" x14ac:dyDescent="0.25"/>
    <row r="99" spans="2:10" ht="15.75" customHeight="1" x14ac:dyDescent="0.25">
      <c r="I99" s="1" t="s">
        <v>356</v>
      </c>
      <c r="J99" s="37">
        <f ca="1">AVERAGE(J4:J97)</f>
        <v>1.2491039889995428</v>
      </c>
    </row>
    <row r="100" spans="2:10" ht="15.75" customHeight="1" x14ac:dyDescent="0.25"/>
    <row r="101" spans="2:10" ht="15.75" customHeight="1" x14ac:dyDescent="0.25"/>
    <row r="102" spans="2:10" ht="15.75" customHeight="1" x14ac:dyDescent="0.25"/>
    <row r="103" spans="2:10" ht="15.75" customHeight="1" x14ac:dyDescent="0.25"/>
    <row r="104" spans="2:10" ht="15.75" customHeight="1" x14ac:dyDescent="0.25"/>
    <row r="105" spans="2:10" ht="15.75" customHeight="1" x14ac:dyDescent="0.25"/>
    <row r="106" spans="2:10" ht="15.75" customHeight="1" x14ac:dyDescent="0.25"/>
    <row r="107" spans="2:10" ht="15.75" customHeight="1" x14ac:dyDescent="0.25"/>
    <row r="108" spans="2:10" ht="15.75" customHeight="1" x14ac:dyDescent="0.25"/>
    <row r="109" spans="2:10" ht="15.75" customHeight="1" x14ac:dyDescent="0.25"/>
    <row r="110" spans="2:10" ht="15.75" customHeight="1" x14ac:dyDescent="0.25"/>
    <row r="111" spans="2:10" ht="15.75" customHeight="1" x14ac:dyDescent="0.25"/>
    <row r="112" spans="2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sqref="A1:B1"/>
    </sheetView>
  </sheetViews>
  <sheetFormatPr defaultColWidth="14.42578125" defaultRowHeight="15" customHeight="1" x14ac:dyDescent="0.25"/>
  <cols>
    <col min="1" max="1" width="15.7109375" customWidth="1"/>
    <col min="2" max="2" width="10.140625" customWidth="1"/>
    <col min="3" max="26" width="11.42578125" customWidth="1"/>
  </cols>
  <sheetData>
    <row r="1" spans="1:13" x14ac:dyDescent="0.25">
      <c r="A1" s="40" t="s">
        <v>357</v>
      </c>
      <c r="B1" s="41"/>
    </row>
    <row r="2" spans="1:13" x14ac:dyDescent="0.25">
      <c r="A2" s="18" t="s">
        <v>358</v>
      </c>
      <c r="B2" s="18" t="s">
        <v>359</v>
      </c>
      <c r="C2" s="1" t="s">
        <v>0</v>
      </c>
      <c r="D2" s="1" t="s">
        <v>360</v>
      </c>
      <c r="E2" s="1" t="s">
        <v>361</v>
      </c>
      <c r="G2" s="1" t="s">
        <v>362</v>
      </c>
      <c r="H2" s="1" t="s">
        <v>363</v>
      </c>
      <c r="I2" s="1" t="s">
        <v>364</v>
      </c>
      <c r="J2" s="1" t="s">
        <v>365</v>
      </c>
      <c r="L2" s="1" t="s">
        <v>366</v>
      </c>
    </row>
    <row r="3" spans="1:13" x14ac:dyDescent="0.25">
      <c r="A3" s="39">
        <v>45141</v>
      </c>
      <c r="B3" s="6">
        <v>5.25</v>
      </c>
      <c r="C3" s="1" t="str">
        <f t="shared" ref="C3:C254" si="0">"Q" &amp; INT((MONTH(A3)-1)/3 + 1) &amp; " " &amp; YEAR(A3)</f>
        <v>Q3 2023</v>
      </c>
      <c r="D3" s="1">
        <f>-IF(ROW(A3)=3, DATE(YEAR(A3), INT((MONTH(A3)-1)/3)*3+1, 1)-A3, A2-A3)</f>
        <v>33</v>
      </c>
      <c r="E3" s="1">
        <f t="shared" ref="E3:E254" si="1">B3*D3</f>
        <v>173.25</v>
      </c>
      <c r="G3" s="1" t="str">
        <f ca="1">IFERROR(__xludf.DUMMYFUNCTION("ARRAY_CONSTRAIN(ARRAYFORMULA(UNIQUE(C3:C254)), 112, 1)"),"Q3 2023")</f>
        <v>Q3 2023</v>
      </c>
      <c r="H3" s="1">
        <f t="shared" ref="H3:H254" ca="1" si="2">SUMIF(C$3:C$254, G3, E$3:E$254)</f>
        <v>173.25</v>
      </c>
      <c r="I3" s="1">
        <f t="shared" ref="I3:I114" ca="1" si="3">SUMIF(C$3:C$254, G3, D$3:D$254)</f>
        <v>33</v>
      </c>
      <c r="J3" s="1">
        <f t="shared" ref="J3:J114" ca="1" si="4">H3/I3</f>
        <v>5.25</v>
      </c>
      <c r="L3" s="5" t="s">
        <v>26</v>
      </c>
      <c r="M3" s="1">
        <f t="shared" ref="M3:M8" ca="1" si="5">IFERROR(VLOOKUP(L3, G:J, 4, FALSE), "")</f>
        <v>4.125</v>
      </c>
    </row>
    <row r="4" spans="1:13" x14ac:dyDescent="0.25">
      <c r="A4" s="39">
        <v>45099</v>
      </c>
      <c r="B4" s="6">
        <v>5</v>
      </c>
      <c r="C4" s="1" t="str">
        <f t="shared" si="0"/>
        <v>Q2 2023</v>
      </c>
      <c r="D4" s="1">
        <f t="shared" ref="D4:D254" si="6">IF(ROW(A4)=3, DATE(YEAR(A4), INT((MONTH(A4)-1)/3)*3+1, 1)-A4, A3-A4)</f>
        <v>42</v>
      </c>
      <c r="E4" s="1">
        <f t="shared" si="1"/>
        <v>210</v>
      </c>
      <c r="G4" s="1" t="str">
        <f ca="1">IFERROR(__xludf.DUMMYFUNCTION("""COMPUTED_VALUE"""),"Q2 2023")</f>
        <v>Q2 2023</v>
      </c>
      <c r="H4" s="1">
        <f t="shared" ca="1" si="2"/>
        <v>399</v>
      </c>
      <c r="I4" s="1">
        <f t="shared" ca="1" si="3"/>
        <v>84</v>
      </c>
      <c r="J4" s="1">
        <f t="shared" ca="1" si="4"/>
        <v>4.75</v>
      </c>
      <c r="L4" s="5" t="s">
        <v>27</v>
      </c>
      <c r="M4" s="1">
        <f t="shared" ca="1" si="5"/>
        <v>3.2692307692307692</v>
      </c>
    </row>
    <row r="5" spans="1:13" x14ac:dyDescent="0.25">
      <c r="A5" s="39">
        <v>45057</v>
      </c>
      <c r="B5" s="6">
        <v>4.5</v>
      </c>
      <c r="C5" s="1" t="str">
        <f t="shared" si="0"/>
        <v>Q2 2023</v>
      </c>
      <c r="D5" s="1">
        <f t="shared" si="6"/>
        <v>42</v>
      </c>
      <c r="E5" s="1">
        <f t="shared" si="1"/>
        <v>189</v>
      </c>
      <c r="G5" s="1" t="str">
        <f ca="1">IFERROR(__xludf.DUMMYFUNCTION("""COMPUTED_VALUE"""),"Q1 2023")</f>
        <v>Q1 2023</v>
      </c>
      <c r="H5" s="1">
        <f t="shared" ca="1" si="2"/>
        <v>404.25</v>
      </c>
      <c r="I5" s="1">
        <f t="shared" ca="1" si="3"/>
        <v>98</v>
      </c>
      <c r="J5" s="1">
        <f t="shared" ca="1" si="4"/>
        <v>4.125</v>
      </c>
      <c r="L5" s="13" t="s">
        <v>29</v>
      </c>
      <c r="M5" s="1">
        <f t="shared" ca="1" si="5"/>
        <v>1.9807692307692308</v>
      </c>
    </row>
    <row r="6" spans="1:13" x14ac:dyDescent="0.25">
      <c r="A6" s="39">
        <v>45008</v>
      </c>
      <c r="B6" s="6">
        <v>4.25</v>
      </c>
      <c r="C6" s="1" t="str">
        <f t="shared" si="0"/>
        <v>Q1 2023</v>
      </c>
      <c r="D6" s="1">
        <f t="shared" si="6"/>
        <v>49</v>
      </c>
      <c r="E6" s="1">
        <f t="shared" si="1"/>
        <v>208.25</v>
      </c>
      <c r="G6" s="1" t="str">
        <f ca="1">IFERROR(__xludf.DUMMYFUNCTION("""COMPUTED_VALUE"""),"Q4 2022")</f>
        <v>Q4 2022</v>
      </c>
      <c r="H6" s="1">
        <f t="shared" ca="1" si="2"/>
        <v>297.5</v>
      </c>
      <c r="I6" s="1">
        <f t="shared" ca="1" si="3"/>
        <v>91</v>
      </c>
      <c r="J6" s="1">
        <f t="shared" ca="1" si="4"/>
        <v>3.2692307692307692</v>
      </c>
      <c r="L6" s="13" t="s">
        <v>34</v>
      </c>
      <c r="M6" s="1">
        <f t="shared" ca="1" si="5"/>
        <v>1.1346153846153846</v>
      </c>
    </row>
    <row r="7" spans="1:13" x14ac:dyDescent="0.25">
      <c r="A7" s="39">
        <v>44959</v>
      </c>
      <c r="B7" s="6">
        <v>4</v>
      </c>
      <c r="C7" s="1" t="str">
        <f t="shared" si="0"/>
        <v>Q1 2023</v>
      </c>
      <c r="D7" s="1">
        <f t="shared" si="6"/>
        <v>49</v>
      </c>
      <c r="E7" s="1">
        <f t="shared" si="1"/>
        <v>196</v>
      </c>
      <c r="G7" s="1" t="str">
        <f ca="1">IFERROR(__xludf.DUMMYFUNCTION("""COMPUTED_VALUE"""),"Q3 2022")</f>
        <v>Q3 2022</v>
      </c>
      <c r="H7" s="1">
        <f t="shared" ca="1" si="2"/>
        <v>180.25</v>
      </c>
      <c r="I7" s="1">
        <f t="shared" ca="1" si="3"/>
        <v>91</v>
      </c>
      <c r="J7" s="1">
        <f t="shared" ca="1" si="4"/>
        <v>1.9807692307692308</v>
      </c>
      <c r="L7" s="15" t="s">
        <v>37</v>
      </c>
      <c r="M7" s="1">
        <f t="shared" ca="1" si="5"/>
        <v>0.63461538461538458</v>
      </c>
    </row>
    <row r="8" spans="1:13" x14ac:dyDescent="0.25">
      <c r="A8" s="39">
        <v>44910</v>
      </c>
      <c r="B8" s="6">
        <v>3.5</v>
      </c>
      <c r="C8" s="1" t="str">
        <f t="shared" si="0"/>
        <v>Q4 2022</v>
      </c>
      <c r="D8" s="1">
        <f t="shared" si="6"/>
        <v>49</v>
      </c>
      <c r="E8" s="1">
        <f t="shared" si="1"/>
        <v>171.5</v>
      </c>
      <c r="G8" s="1" t="str">
        <f ca="1">IFERROR(__xludf.DUMMYFUNCTION("""COMPUTED_VALUE"""),"Q2 2022")</f>
        <v>Q2 2022</v>
      </c>
      <c r="H8" s="1">
        <f t="shared" ca="1" si="2"/>
        <v>103.25</v>
      </c>
      <c r="I8" s="1">
        <f t="shared" ca="1" si="3"/>
        <v>91</v>
      </c>
      <c r="J8" s="1">
        <f t="shared" ca="1" si="4"/>
        <v>1.1346153846153846</v>
      </c>
      <c r="L8" s="5" t="s">
        <v>41</v>
      </c>
      <c r="M8" s="1">
        <f t="shared" ca="1" si="5"/>
        <v>0.25</v>
      </c>
    </row>
    <row r="9" spans="1:13" x14ac:dyDescent="0.25">
      <c r="A9" s="39">
        <v>44868</v>
      </c>
      <c r="B9" s="6">
        <v>3</v>
      </c>
      <c r="C9" s="1" t="str">
        <f t="shared" si="0"/>
        <v>Q4 2022</v>
      </c>
      <c r="D9" s="1">
        <f t="shared" si="6"/>
        <v>42</v>
      </c>
      <c r="E9" s="1">
        <f t="shared" si="1"/>
        <v>126</v>
      </c>
      <c r="G9" s="1" t="str">
        <f ca="1">IFERROR(__xludf.DUMMYFUNCTION("""COMPUTED_VALUE"""),"Q1 2022")</f>
        <v>Q1 2022</v>
      </c>
      <c r="H9" s="1">
        <f t="shared" ca="1" si="2"/>
        <v>57.75</v>
      </c>
      <c r="I9" s="1">
        <f t="shared" ca="1" si="3"/>
        <v>91</v>
      </c>
      <c r="J9" s="1">
        <f t="shared" ca="1" si="4"/>
        <v>0.63461538461538458</v>
      </c>
      <c r="L9" s="13" t="s">
        <v>43</v>
      </c>
      <c r="M9" s="1">
        <v>0.10186046511627908</v>
      </c>
    </row>
    <row r="10" spans="1:13" x14ac:dyDescent="0.25">
      <c r="A10" s="39">
        <v>44826</v>
      </c>
      <c r="B10" s="6">
        <v>2.25</v>
      </c>
      <c r="C10" s="1" t="str">
        <f t="shared" si="0"/>
        <v>Q3 2022</v>
      </c>
      <c r="D10" s="1">
        <f t="shared" si="6"/>
        <v>42</v>
      </c>
      <c r="E10" s="1">
        <f t="shared" si="1"/>
        <v>94.5</v>
      </c>
      <c r="G10" s="1" t="str">
        <f ca="1">IFERROR(__xludf.DUMMYFUNCTION("""COMPUTED_VALUE"""),"Q4 2021")</f>
        <v>Q4 2021</v>
      </c>
      <c r="H10" s="1">
        <f t="shared" ca="1" si="2"/>
        <v>12.25</v>
      </c>
      <c r="I10" s="1">
        <f t="shared" ca="1" si="3"/>
        <v>49</v>
      </c>
      <c r="J10" s="1">
        <f t="shared" ca="1" si="4"/>
        <v>0.25</v>
      </c>
      <c r="L10" s="13" t="s">
        <v>46</v>
      </c>
      <c r="M10" s="1">
        <v>0.10186046511627908</v>
      </c>
    </row>
    <row r="11" spans="1:13" x14ac:dyDescent="0.25">
      <c r="A11" s="39">
        <v>44777</v>
      </c>
      <c r="B11" s="6">
        <v>1.75</v>
      </c>
      <c r="C11" s="1" t="str">
        <f t="shared" si="0"/>
        <v>Q3 2022</v>
      </c>
      <c r="D11" s="1">
        <f t="shared" si="6"/>
        <v>49</v>
      </c>
      <c r="E11" s="1">
        <f t="shared" si="1"/>
        <v>85.75</v>
      </c>
      <c r="G11" s="1" t="str">
        <f ca="1">IFERROR(__xludf.DUMMYFUNCTION("""COMPUTED_VALUE"""),"Q1 2020")</f>
        <v>Q1 2020</v>
      </c>
      <c r="H11" s="1">
        <f t="shared" ca="1" si="2"/>
        <v>65.7</v>
      </c>
      <c r="I11" s="1">
        <f t="shared" ca="1" si="3"/>
        <v>645</v>
      </c>
      <c r="J11" s="1">
        <f t="shared" ca="1" si="4"/>
        <v>0.10186046511627908</v>
      </c>
      <c r="L11" s="15" t="s">
        <v>49</v>
      </c>
      <c r="M11" s="1">
        <v>0.10186046511627908</v>
      </c>
    </row>
    <row r="12" spans="1:13" x14ac:dyDescent="0.25">
      <c r="A12" s="39">
        <v>44728</v>
      </c>
      <c r="B12" s="6">
        <v>1.25</v>
      </c>
      <c r="C12" s="1" t="str">
        <f t="shared" si="0"/>
        <v>Q2 2022</v>
      </c>
      <c r="D12" s="1">
        <f t="shared" si="6"/>
        <v>49</v>
      </c>
      <c r="E12" s="1">
        <f t="shared" si="1"/>
        <v>61.25</v>
      </c>
      <c r="G12" s="1" t="str">
        <f ca="1">IFERROR(__xludf.DUMMYFUNCTION("""COMPUTED_VALUE"""),"Q3 2018")</f>
        <v>Q3 2018</v>
      </c>
      <c r="H12" s="1">
        <f t="shared" ca="1" si="2"/>
        <v>440.25</v>
      </c>
      <c r="I12" s="1">
        <f t="shared" ca="1" si="3"/>
        <v>587</v>
      </c>
      <c r="J12" s="1">
        <f t="shared" ca="1" si="4"/>
        <v>0.75</v>
      </c>
      <c r="L12" s="5" t="s">
        <v>51</v>
      </c>
      <c r="M12" s="1">
        <v>0.10186046511627908</v>
      </c>
    </row>
    <row r="13" spans="1:13" x14ac:dyDescent="0.25">
      <c r="A13" s="39">
        <v>44686</v>
      </c>
      <c r="B13" s="6">
        <v>1</v>
      </c>
      <c r="C13" s="1" t="str">
        <f t="shared" si="0"/>
        <v>Q2 2022</v>
      </c>
      <c r="D13" s="1">
        <f t="shared" si="6"/>
        <v>42</v>
      </c>
      <c r="E13" s="1">
        <f t="shared" si="1"/>
        <v>42</v>
      </c>
      <c r="G13" s="1" t="str">
        <f ca="1">IFERROR(__xludf.DUMMYFUNCTION("""COMPUTED_VALUE"""),"Q4 2017")</f>
        <v>Q4 2017</v>
      </c>
      <c r="H13" s="1">
        <f t="shared" ca="1" si="2"/>
        <v>136.5</v>
      </c>
      <c r="I13" s="1">
        <f t="shared" ca="1" si="3"/>
        <v>273</v>
      </c>
      <c r="J13" s="1">
        <f t="shared" ca="1" si="4"/>
        <v>0.5</v>
      </c>
      <c r="L13" s="13" t="s">
        <v>53</v>
      </c>
      <c r="M13" s="1">
        <v>0.10186046511627908</v>
      </c>
    </row>
    <row r="14" spans="1:13" x14ac:dyDescent="0.25">
      <c r="A14" s="39">
        <v>44637</v>
      </c>
      <c r="B14" s="6">
        <v>0.75</v>
      </c>
      <c r="C14" s="1" t="str">
        <f t="shared" si="0"/>
        <v>Q1 2022</v>
      </c>
      <c r="D14" s="1">
        <f t="shared" si="6"/>
        <v>49</v>
      </c>
      <c r="E14" s="1">
        <f t="shared" si="1"/>
        <v>36.75</v>
      </c>
      <c r="G14" s="1" t="str">
        <f ca="1">IFERROR(__xludf.DUMMYFUNCTION("""COMPUTED_VALUE"""),"Q3 2016")</f>
        <v>Q3 2016</v>
      </c>
      <c r="H14" s="1">
        <f t="shared" ca="1" si="2"/>
        <v>113.75</v>
      </c>
      <c r="I14" s="1">
        <f t="shared" ca="1" si="3"/>
        <v>455</v>
      </c>
      <c r="J14" s="1">
        <f t="shared" ca="1" si="4"/>
        <v>0.25</v>
      </c>
      <c r="L14" s="13" t="s">
        <v>55</v>
      </c>
      <c r="M14" s="1">
        <v>0.10186046511627908</v>
      </c>
    </row>
    <row r="15" spans="1:13" x14ac:dyDescent="0.25">
      <c r="A15" s="39">
        <v>44595</v>
      </c>
      <c r="B15" s="6">
        <v>0.5</v>
      </c>
      <c r="C15" s="1" t="str">
        <f t="shared" si="0"/>
        <v>Q1 2022</v>
      </c>
      <c r="D15" s="1">
        <f t="shared" si="6"/>
        <v>42</v>
      </c>
      <c r="E15" s="1">
        <f t="shared" si="1"/>
        <v>21</v>
      </c>
      <c r="G15" s="1" t="str">
        <f ca="1">IFERROR(__xludf.DUMMYFUNCTION("""COMPUTED_VALUE"""),"Q1 2009")</f>
        <v>Q1 2009</v>
      </c>
      <c r="H15" s="1">
        <f t="shared" ca="1" si="2"/>
        <v>1424.5</v>
      </c>
      <c r="I15" s="1">
        <f t="shared" ca="1" si="3"/>
        <v>2765</v>
      </c>
      <c r="J15" s="1">
        <f t="shared" ca="1" si="4"/>
        <v>0.51518987341772149</v>
      </c>
      <c r="L15" s="15" t="s">
        <v>57</v>
      </c>
      <c r="M15" s="1">
        <f ca="1">IFERROR(VLOOKUP(L15, G:J, 4, FALSE), "")</f>
        <v>0.10186046511627908</v>
      </c>
    </row>
    <row r="16" spans="1:13" x14ac:dyDescent="0.25">
      <c r="A16" s="39">
        <v>44546</v>
      </c>
      <c r="B16" s="6">
        <v>0.25</v>
      </c>
      <c r="C16" s="1" t="str">
        <f t="shared" si="0"/>
        <v>Q4 2021</v>
      </c>
      <c r="D16" s="1">
        <f t="shared" si="6"/>
        <v>49</v>
      </c>
      <c r="E16" s="1">
        <f t="shared" si="1"/>
        <v>12.25</v>
      </c>
      <c r="G16" s="1" t="str">
        <f ca="1">IFERROR(__xludf.DUMMYFUNCTION("""COMPUTED_VALUE"""),"Q4 2008")</f>
        <v>Q4 2008</v>
      </c>
      <c r="H16" s="1">
        <f t="shared" ca="1" si="2"/>
        <v>284.5</v>
      </c>
      <c r="I16" s="1">
        <f t="shared" ca="1" si="3"/>
        <v>92</v>
      </c>
      <c r="J16" s="1">
        <f t="shared" ca="1" si="4"/>
        <v>3.0923913043478262</v>
      </c>
      <c r="L16" s="5" t="s">
        <v>59</v>
      </c>
      <c r="M16" s="1">
        <v>0.75</v>
      </c>
    </row>
    <row r="17" spans="1:13" x14ac:dyDescent="0.25">
      <c r="A17" s="39">
        <v>43909</v>
      </c>
      <c r="B17" s="6">
        <v>0.1</v>
      </c>
      <c r="C17" s="1" t="str">
        <f t="shared" si="0"/>
        <v>Q1 2020</v>
      </c>
      <c r="D17" s="1">
        <f t="shared" si="6"/>
        <v>637</v>
      </c>
      <c r="E17" s="1">
        <f t="shared" si="1"/>
        <v>63.7</v>
      </c>
      <c r="G17" s="1" t="str">
        <f ca="1">IFERROR(__xludf.DUMMYFUNCTION("""COMPUTED_VALUE"""),"Q2 2008")</f>
        <v>Q2 2008</v>
      </c>
      <c r="H17" s="1">
        <f t="shared" ca="1" si="2"/>
        <v>905</v>
      </c>
      <c r="I17" s="1">
        <f t="shared" ca="1" si="3"/>
        <v>181</v>
      </c>
      <c r="J17" s="1">
        <f t="shared" ca="1" si="4"/>
        <v>5</v>
      </c>
      <c r="L17" s="13" t="s">
        <v>61</v>
      </c>
      <c r="M17" s="1">
        <v>0.75</v>
      </c>
    </row>
    <row r="18" spans="1:13" x14ac:dyDescent="0.25">
      <c r="A18" s="39">
        <v>43901</v>
      </c>
      <c r="B18" s="6">
        <v>0.25</v>
      </c>
      <c r="C18" s="1" t="str">
        <f t="shared" si="0"/>
        <v>Q1 2020</v>
      </c>
      <c r="D18" s="1">
        <f t="shared" si="6"/>
        <v>8</v>
      </c>
      <c r="E18" s="1">
        <f t="shared" si="1"/>
        <v>2</v>
      </c>
      <c r="G18" s="1" t="str">
        <f ca="1">IFERROR(__xludf.DUMMYFUNCTION("""COMPUTED_VALUE"""),"Q1 2008")</f>
        <v>Q1 2008</v>
      </c>
      <c r="H18" s="1">
        <f t="shared" ca="1" si="2"/>
        <v>330.75</v>
      </c>
      <c r="I18" s="1">
        <f t="shared" ca="1" si="3"/>
        <v>63</v>
      </c>
      <c r="J18" s="1">
        <f t="shared" ca="1" si="4"/>
        <v>5.25</v>
      </c>
      <c r="L18" s="13" t="s">
        <v>62</v>
      </c>
      <c r="M18" s="1">
        <v>0.75</v>
      </c>
    </row>
    <row r="19" spans="1:13" x14ac:dyDescent="0.25">
      <c r="A19" s="39">
        <v>43314</v>
      </c>
      <c r="B19" s="6">
        <v>0.75</v>
      </c>
      <c r="C19" s="1" t="str">
        <f t="shared" si="0"/>
        <v>Q3 2018</v>
      </c>
      <c r="D19" s="1">
        <f t="shared" si="6"/>
        <v>587</v>
      </c>
      <c r="E19" s="1">
        <f t="shared" si="1"/>
        <v>440.25</v>
      </c>
      <c r="G19" s="1" t="str">
        <f ca="1">IFERROR(__xludf.DUMMYFUNCTION("""COMPUTED_VALUE"""),"Q4 2007")</f>
        <v>Q4 2007</v>
      </c>
      <c r="H19" s="1">
        <f t="shared" ca="1" si="2"/>
        <v>346.5</v>
      </c>
      <c r="I19" s="1">
        <f t="shared" ca="1" si="3"/>
        <v>63</v>
      </c>
      <c r="J19" s="1">
        <f t="shared" ca="1" si="4"/>
        <v>5.5</v>
      </c>
      <c r="L19" s="15" t="s">
        <v>64</v>
      </c>
      <c r="M19" s="1">
        <v>0.75</v>
      </c>
    </row>
    <row r="20" spans="1:13" x14ac:dyDescent="0.25">
      <c r="A20" s="39">
        <v>43041</v>
      </c>
      <c r="B20" s="6">
        <v>0.5</v>
      </c>
      <c r="C20" s="1" t="str">
        <f t="shared" si="0"/>
        <v>Q4 2017</v>
      </c>
      <c r="D20" s="1">
        <f t="shared" si="6"/>
        <v>273</v>
      </c>
      <c r="E20" s="1">
        <f t="shared" si="1"/>
        <v>136.5</v>
      </c>
      <c r="G20" s="1" t="str">
        <f ca="1">IFERROR(__xludf.DUMMYFUNCTION("""COMPUTED_VALUE"""),"Q3 2007")</f>
        <v>Q3 2007</v>
      </c>
      <c r="H20" s="1">
        <f t="shared" ca="1" si="2"/>
        <v>885.5</v>
      </c>
      <c r="I20" s="1">
        <f t="shared" ca="1" si="3"/>
        <v>154</v>
      </c>
      <c r="J20" s="1">
        <f t="shared" ca="1" si="4"/>
        <v>5.75</v>
      </c>
      <c r="L20" s="5" t="s">
        <v>67</v>
      </c>
      <c r="M20" s="1">
        <v>0.75</v>
      </c>
    </row>
    <row r="21" spans="1:13" ht="15.75" customHeight="1" x14ac:dyDescent="0.25">
      <c r="A21" s="39">
        <v>42586</v>
      </c>
      <c r="B21" s="6">
        <v>0.25</v>
      </c>
      <c r="C21" s="1" t="str">
        <f t="shared" si="0"/>
        <v>Q3 2016</v>
      </c>
      <c r="D21" s="1">
        <f t="shared" si="6"/>
        <v>455</v>
      </c>
      <c r="E21" s="1">
        <f t="shared" si="1"/>
        <v>113.75</v>
      </c>
      <c r="G21" s="1" t="str">
        <f ca="1">IFERROR(__xludf.DUMMYFUNCTION("""COMPUTED_VALUE"""),"Q2 2007")</f>
        <v>Q2 2007</v>
      </c>
      <c r="H21" s="1">
        <f t="shared" ca="1" si="2"/>
        <v>308</v>
      </c>
      <c r="I21" s="1">
        <f t="shared" ca="1" si="3"/>
        <v>56</v>
      </c>
      <c r="J21" s="1">
        <f t="shared" ca="1" si="4"/>
        <v>5.5</v>
      </c>
      <c r="L21" s="13" t="s">
        <v>69</v>
      </c>
      <c r="M21" s="1">
        <f ca="1">IFERROR(VLOOKUP(L21, G:J, 4, FALSE), "")</f>
        <v>0.75</v>
      </c>
    </row>
    <row r="22" spans="1:13" ht="15.75" customHeight="1" x14ac:dyDescent="0.25">
      <c r="A22" s="39">
        <v>39877</v>
      </c>
      <c r="B22" s="6">
        <v>0.5</v>
      </c>
      <c r="C22" s="1" t="str">
        <f t="shared" si="0"/>
        <v>Q1 2009</v>
      </c>
      <c r="D22" s="1">
        <f t="shared" si="6"/>
        <v>2709</v>
      </c>
      <c r="E22" s="1">
        <f t="shared" si="1"/>
        <v>1354.5</v>
      </c>
      <c r="G22" s="1" t="str">
        <f ca="1">IFERROR(__xludf.DUMMYFUNCTION("""COMPUTED_VALUE"""),"Q1 2007")</f>
        <v>Q1 2007</v>
      </c>
      <c r="H22" s="1">
        <f t="shared" ca="1" si="2"/>
        <v>624.75</v>
      </c>
      <c r="I22" s="1">
        <f t="shared" ca="1" si="3"/>
        <v>119</v>
      </c>
      <c r="J22" s="1">
        <f t="shared" ca="1" si="4"/>
        <v>5.25</v>
      </c>
      <c r="L22" s="13" t="s">
        <v>71</v>
      </c>
      <c r="M22" s="1">
        <v>0.5</v>
      </c>
    </row>
    <row r="23" spans="1:13" ht="15.75" customHeight="1" x14ac:dyDescent="0.25">
      <c r="A23" s="39">
        <v>39849</v>
      </c>
      <c r="B23" s="6">
        <v>1</v>
      </c>
      <c r="C23" s="1" t="str">
        <f t="shared" si="0"/>
        <v>Q1 2009</v>
      </c>
      <c r="D23" s="1">
        <f t="shared" si="6"/>
        <v>28</v>
      </c>
      <c r="E23" s="1">
        <f t="shared" si="1"/>
        <v>28</v>
      </c>
      <c r="G23" s="1" t="str">
        <f ca="1">IFERROR(__xludf.DUMMYFUNCTION("""COMPUTED_VALUE"""),"Q4 2006")</f>
        <v>Q4 2006</v>
      </c>
      <c r="H23" s="1">
        <f t="shared" ca="1" si="2"/>
        <v>315</v>
      </c>
      <c r="I23" s="1">
        <f t="shared" ca="1" si="3"/>
        <v>63</v>
      </c>
      <c r="J23" s="1">
        <f t="shared" ca="1" si="4"/>
        <v>5</v>
      </c>
      <c r="L23" s="15" t="s">
        <v>72</v>
      </c>
      <c r="M23" s="1">
        <v>0.5</v>
      </c>
    </row>
    <row r="24" spans="1:13" ht="15.75" customHeight="1" x14ac:dyDescent="0.25">
      <c r="A24" s="39">
        <v>39821</v>
      </c>
      <c r="B24" s="6">
        <v>1.5</v>
      </c>
      <c r="C24" s="1" t="str">
        <f t="shared" si="0"/>
        <v>Q1 2009</v>
      </c>
      <c r="D24" s="1">
        <f t="shared" si="6"/>
        <v>28</v>
      </c>
      <c r="E24" s="1">
        <f t="shared" si="1"/>
        <v>42</v>
      </c>
      <c r="G24" s="1" t="str">
        <f ca="1">IFERROR(__xludf.DUMMYFUNCTION("""COMPUTED_VALUE"""),"Q3 2006")</f>
        <v>Q3 2006</v>
      </c>
      <c r="H24" s="1">
        <f t="shared" ca="1" si="2"/>
        <v>465.5</v>
      </c>
      <c r="I24" s="1">
        <f t="shared" ca="1" si="3"/>
        <v>98</v>
      </c>
      <c r="J24" s="1">
        <f t="shared" ca="1" si="4"/>
        <v>4.75</v>
      </c>
      <c r="L24" s="5" t="s">
        <v>74</v>
      </c>
      <c r="M24" s="1">
        <f ca="1">IFERROR(VLOOKUP(L24, G:J, 4, FALSE), "")</f>
        <v>0.5</v>
      </c>
    </row>
    <row r="25" spans="1:13" ht="15.75" customHeight="1" x14ac:dyDescent="0.25">
      <c r="A25" s="39">
        <v>39786</v>
      </c>
      <c r="B25" s="6">
        <v>2</v>
      </c>
      <c r="C25" s="1" t="str">
        <f t="shared" si="0"/>
        <v>Q4 2008</v>
      </c>
      <c r="D25" s="1">
        <f t="shared" si="6"/>
        <v>35</v>
      </c>
      <c r="E25" s="1">
        <f t="shared" si="1"/>
        <v>70</v>
      </c>
      <c r="G25" s="1" t="str">
        <f ca="1">IFERROR(__xludf.DUMMYFUNCTION("""COMPUTED_VALUE"""),"Q3 2005")</f>
        <v>Q3 2005</v>
      </c>
      <c r="H25" s="1">
        <f t="shared" ca="1" si="2"/>
        <v>1638</v>
      </c>
      <c r="I25" s="1">
        <f t="shared" ca="1" si="3"/>
        <v>364</v>
      </c>
      <c r="J25" s="1">
        <f t="shared" ca="1" si="4"/>
        <v>4.5</v>
      </c>
      <c r="L25" s="13" t="s">
        <v>75</v>
      </c>
      <c r="M25" s="1">
        <v>0.25</v>
      </c>
    </row>
    <row r="26" spans="1:13" ht="15.75" customHeight="1" x14ac:dyDescent="0.25">
      <c r="A26" s="39">
        <v>39758</v>
      </c>
      <c r="B26" s="6">
        <v>3</v>
      </c>
      <c r="C26" s="1" t="str">
        <f t="shared" si="0"/>
        <v>Q4 2008</v>
      </c>
      <c r="D26" s="1">
        <f t="shared" si="6"/>
        <v>28</v>
      </c>
      <c r="E26" s="1">
        <f t="shared" si="1"/>
        <v>84</v>
      </c>
      <c r="G26" s="1" t="str">
        <f ca="1">IFERROR(__xludf.DUMMYFUNCTION("""COMPUTED_VALUE"""),"Q3 2004")</f>
        <v>Q3 2004</v>
      </c>
      <c r="H26" s="1">
        <f t="shared" ca="1" si="2"/>
        <v>1729</v>
      </c>
      <c r="I26" s="1">
        <f t="shared" ca="1" si="3"/>
        <v>364</v>
      </c>
      <c r="J26" s="1">
        <f t="shared" ca="1" si="4"/>
        <v>4.75</v>
      </c>
      <c r="L26" s="13" t="s">
        <v>76</v>
      </c>
      <c r="M26" s="1">
        <v>0.25</v>
      </c>
    </row>
    <row r="27" spans="1:13" ht="15.75" customHeight="1" x14ac:dyDescent="0.25">
      <c r="A27" s="39">
        <v>39729</v>
      </c>
      <c r="B27" s="6">
        <v>4.5</v>
      </c>
      <c r="C27" s="1" t="str">
        <f t="shared" si="0"/>
        <v>Q4 2008</v>
      </c>
      <c r="D27" s="1">
        <f t="shared" si="6"/>
        <v>29</v>
      </c>
      <c r="E27" s="1">
        <f t="shared" si="1"/>
        <v>130.5</v>
      </c>
      <c r="G27" s="1" t="str">
        <f ca="1">IFERROR(__xludf.DUMMYFUNCTION("""COMPUTED_VALUE"""),"Q2 2004")</f>
        <v>Q2 2004</v>
      </c>
      <c r="H27" s="1">
        <f t="shared" ca="1" si="2"/>
        <v>400.75</v>
      </c>
      <c r="I27" s="1">
        <f t="shared" ca="1" si="3"/>
        <v>91</v>
      </c>
      <c r="J27" s="1">
        <f t="shared" ca="1" si="4"/>
        <v>4.4038461538461542</v>
      </c>
      <c r="L27" s="15" t="s">
        <v>77</v>
      </c>
      <c r="M27" s="1">
        <v>0.25</v>
      </c>
    </row>
    <row r="28" spans="1:13" ht="15.75" customHeight="1" x14ac:dyDescent="0.25">
      <c r="A28" s="39">
        <v>39548</v>
      </c>
      <c r="B28" s="6">
        <v>5</v>
      </c>
      <c r="C28" s="1" t="str">
        <f t="shared" si="0"/>
        <v>Q2 2008</v>
      </c>
      <c r="D28" s="1">
        <f t="shared" si="6"/>
        <v>181</v>
      </c>
      <c r="E28" s="1">
        <f t="shared" si="1"/>
        <v>905</v>
      </c>
      <c r="G28" s="1" t="str">
        <f ca="1">IFERROR(__xludf.DUMMYFUNCTION("""COMPUTED_VALUE"""),"Q1 2004")</f>
        <v>Q1 2004</v>
      </c>
      <c r="H28" s="1">
        <f t="shared" ca="1" si="2"/>
        <v>364</v>
      </c>
      <c r="I28" s="1">
        <f t="shared" ca="1" si="3"/>
        <v>91</v>
      </c>
      <c r="J28" s="1">
        <f t="shared" ca="1" si="4"/>
        <v>4</v>
      </c>
      <c r="L28" s="5" t="s">
        <v>78</v>
      </c>
      <c r="M28" s="1">
        <v>0.25</v>
      </c>
    </row>
    <row r="29" spans="1:13" ht="15.75" customHeight="1" x14ac:dyDescent="0.25">
      <c r="A29" s="39">
        <v>39485</v>
      </c>
      <c r="B29" s="6">
        <v>5.25</v>
      </c>
      <c r="C29" s="1" t="str">
        <f t="shared" si="0"/>
        <v>Q1 2008</v>
      </c>
      <c r="D29" s="1">
        <f t="shared" si="6"/>
        <v>63</v>
      </c>
      <c r="E29" s="1">
        <f t="shared" si="1"/>
        <v>330.75</v>
      </c>
      <c r="G29" s="1" t="str">
        <f ca="1">IFERROR(__xludf.DUMMYFUNCTION("""COMPUTED_VALUE"""),"Q4 2003")</f>
        <v>Q4 2003</v>
      </c>
      <c r="H29" s="1">
        <f t="shared" ca="1" si="2"/>
        <v>341.25</v>
      </c>
      <c r="I29" s="1">
        <f t="shared" ca="1" si="3"/>
        <v>91</v>
      </c>
      <c r="J29" s="1">
        <f t="shared" ca="1" si="4"/>
        <v>3.75</v>
      </c>
      <c r="L29" s="13" t="s">
        <v>79</v>
      </c>
      <c r="M29" s="1">
        <f ca="1">IFERROR(VLOOKUP(L29, G:J, 4, FALSE), "")</f>
        <v>0.25</v>
      </c>
    </row>
    <row r="30" spans="1:13" ht="15.75" customHeight="1" x14ac:dyDescent="0.25">
      <c r="A30" s="39">
        <v>39422</v>
      </c>
      <c r="B30" s="6">
        <v>5.5</v>
      </c>
      <c r="C30" s="1" t="str">
        <f t="shared" si="0"/>
        <v>Q4 2007</v>
      </c>
      <c r="D30" s="1">
        <f t="shared" si="6"/>
        <v>63</v>
      </c>
      <c r="E30" s="1">
        <f t="shared" si="1"/>
        <v>346.5</v>
      </c>
      <c r="G30" s="1" t="str">
        <f ca="1">IFERROR(__xludf.DUMMYFUNCTION("""COMPUTED_VALUE"""),"Q3 2003")</f>
        <v>Q3 2003</v>
      </c>
      <c r="H30" s="1">
        <f t="shared" ca="1" si="2"/>
        <v>416.5</v>
      </c>
      <c r="I30" s="1">
        <f t="shared" ca="1" si="3"/>
        <v>119</v>
      </c>
      <c r="J30" s="1">
        <f t="shared" ca="1" si="4"/>
        <v>3.5</v>
      </c>
      <c r="L30" s="13" t="s">
        <v>80</v>
      </c>
      <c r="M30" s="1">
        <v>0.51518987341772149</v>
      </c>
    </row>
    <row r="31" spans="1:13" ht="15.75" customHeight="1" x14ac:dyDescent="0.25">
      <c r="A31" s="39">
        <v>39268</v>
      </c>
      <c r="B31" s="6">
        <v>5.75</v>
      </c>
      <c r="C31" s="1" t="str">
        <f t="shared" si="0"/>
        <v>Q3 2007</v>
      </c>
      <c r="D31" s="1">
        <f t="shared" si="6"/>
        <v>154</v>
      </c>
      <c r="E31" s="1">
        <f t="shared" si="1"/>
        <v>885.5</v>
      </c>
      <c r="G31" s="1" t="str">
        <f ca="1">IFERROR(__xludf.DUMMYFUNCTION("""COMPUTED_VALUE"""),"Q1 2003")</f>
        <v>Q1 2003</v>
      </c>
      <c r="H31" s="1">
        <f t="shared" ca="1" si="2"/>
        <v>577.5</v>
      </c>
      <c r="I31" s="1">
        <f t="shared" ca="1" si="3"/>
        <v>154</v>
      </c>
      <c r="J31" s="1">
        <f t="shared" ca="1" si="4"/>
        <v>3.75</v>
      </c>
      <c r="L31" s="15" t="s">
        <v>81</v>
      </c>
      <c r="M31" s="1">
        <v>0.51518987341772149</v>
      </c>
    </row>
    <row r="32" spans="1:13" ht="15.75" customHeight="1" x14ac:dyDescent="0.25">
      <c r="A32" s="39">
        <v>39212</v>
      </c>
      <c r="B32" s="6">
        <v>5.5</v>
      </c>
      <c r="C32" s="1" t="str">
        <f t="shared" si="0"/>
        <v>Q2 2007</v>
      </c>
      <c r="D32" s="1">
        <f t="shared" si="6"/>
        <v>56</v>
      </c>
      <c r="E32" s="1">
        <f t="shared" si="1"/>
        <v>308</v>
      </c>
      <c r="G32" s="1" t="str">
        <f ca="1">IFERROR(__xludf.DUMMYFUNCTION("""COMPUTED_VALUE"""),"Q4 2001")</f>
        <v>Q4 2001</v>
      </c>
      <c r="H32" s="1">
        <f t="shared" ca="1" si="2"/>
        <v>1977.5</v>
      </c>
      <c r="I32" s="1">
        <f t="shared" ca="1" si="3"/>
        <v>490</v>
      </c>
      <c r="J32" s="1">
        <f t="shared" ca="1" si="4"/>
        <v>4.0357142857142856</v>
      </c>
      <c r="L32" s="5" t="s">
        <v>82</v>
      </c>
      <c r="M32" s="1">
        <v>0.51518987341772149</v>
      </c>
    </row>
    <row r="33" spans="1:13" ht="15.75" customHeight="1" x14ac:dyDescent="0.25">
      <c r="A33" s="39">
        <v>39093</v>
      </c>
      <c r="B33" s="6">
        <v>5.25</v>
      </c>
      <c r="C33" s="1" t="str">
        <f t="shared" si="0"/>
        <v>Q1 2007</v>
      </c>
      <c r="D33" s="1">
        <f t="shared" si="6"/>
        <v>119</v>
      </c>
      <c r="E33" s="1">
        <f t="shared" si="1"/>
        <v>624.75</v>
      </c>
      <c r="G33" s="1" t="str">
        <f ca="1">IFERROR(__xludf.DUMMYFUNCTION("""COMPUTED_VALUE"""),"Q3 2001")</f>
        <v>Q3 2001</v>
      </c>
      <c r="H33" s="1">
        <f t="shared" ca="1" si="2"/>
        <v>311</v>
      </c>
      <c r="I33" s="1">
        <f t="shared" ca="1" si="3"/>
        <v>63</v>
      </c>
      <c r="J33" s="1">
        <f t="shared" ca="1" si="4"/>
        <v>4.9365079365079367</v>
      </c>
      <c r="L33" s="13" t="s">
        <v>83</v>
      </c>
      <c r="M33" s="1">
        <v>0.51518987341772149</v>
      </c>
    </row>
    <row r="34" spans="1:13" ht="15.75" customHeight="1" x14ac:dyDescent="0.25">
      <c r="A34" s="39">
        <v>39030</v>
      </c>
      <c r="B34" s="6">
        <v>5</v>
      </c>
      <c r="C34" s="1" t="str">
        <f t="shared" si="0"/>
        <v>Q4 2006</v>
      </c>
      <c r="D34" s="1">
        <f t="shared" si="6"/>
        <v>63</v>
      </c>
      <c r="E34" s="1">
        <f t="shared" si="1"/>
        <v>315</v>
      </c>
      <c r="G34" s="1" t="str">
        <f ca="1">IFERROR(__xludf.DUMMYFUNCTION("""COMPUTED_VALUE"""),"Q2 2001")</f>
        <v>Q2 2001</v>
      </c>
      <c r="H34" s="1">
        <f t="shared" ca="1" si="2"/>
        <v>633.5</v>
      </c>
      <c r="I34" s="1">
        <f t="shared" ca="1" si="3"/>
        <v>119</v>
      </c>
      <c r="J34" s="1">
        <f t="shared" ca="1" si="4"/>
        <v>5.3235294117647056</v>
      </c>
      <c r="L34" s="13" t="s">
        <v>84</v>
      </c>
      <c r="M34" s="1">
        <v>0.51518987341772149</v>
      </c>
    </row>
    <row r="35" spans="1:13" ht="15.75" customHeight="1" x14ac:dyDescent="0.25">
      <c r="A35" s="39">
        <v>38932</v>
      </c>
      <c r="B35" s="6">
        <v>4.75</v>
      </c>
      <c r="C35" s="1" t="str">
        <f t="shared" si="0"/>
        <v>Q3 2006</v>
      </c>
      <c r="D35" s="1">
        <f t="shared" si="6"/>
        <v>98</v>
      </c>
      <c r="E35" s="1">
        <f t="shared" si="1"/>
        <v>465.5</v>
      </c>
      <c r="G35" s="1" t="str">
        <f ca="1">IFERROR(__xludf.DUMMYFUNCTION("""COMPUTED_VALUE"""),"Q1 2001")</f>
        <v>Q1 2001</v>
      </c>
      <c r="H35" s="1">
        <f t="shared" ca="1" si="2"/>
        <v>322</v>
      </c>
      <c r="I35" s="1">
        <f t="shared" ca="1" si="3"/>
        <v>56</v>
      </c>
      <c r="J35" s="1">
        <f t="shared" ca="1" si="4"/>
        <v>5.75</v>
      </c>
      <c r="L35" s="15" t="s">
        <v>85</v>
      </c>
      <c r="M35" s="1">
        <v>0.51518987341772149</v>
      </c>
    </row>
    <row r="36" spans="1:13" ht="15.75" customHeight="1" x14ac:dyDescent="0.25">
      <c r="A36" s="39">
        <v>38568</v>
      </c>
      <c r="B36" s="6">
        <v>4.5</v>
      </c>
      <c r="C36" s="1" t="str">
        <f t="shared" si="0"/>
        <v>Q3 2005</v>
      </c>
      <c r="D36" s="1">
        <f t="shared" si="6"/>
        <v>364</v>
      </c>
      <c r="E36" s="1">
        <f t="shared" si="1"/>
        <v>1638</v>
      </c>
      <c r="G36" s="1" t="str">
        <f ca="1">IFERROR(__xludf.DUMMYFUNCTION("""COMPUTED_VALUE"""),"Q1 2000")</f>
        <v>Q1 2000</v>
      </c>
      <c r="H36" s="1">
        <f t="shared" ca="1" si="2"/>
        <v>2345</v>
      </c>
      <c r="I36" s="1">
        <f t="shared" ca="1" si="3"/>
        <v>392</v>
      </c>
      <c r="J36" s="1">
        <f t="shared" ca="1" si="4"/>
        <v>5.9821428571428568</v>
      </c>
      <c r="L36" s="5" t="s">
        <v>86</v>
      </c>
      <c r="M36" s="1">
        <v>0.51518987341772149</v>
      </c>
    </row>
    <row r="37" spans="1:13" ht="15.75" customHeight="1" x14ac:dyDescent="0.25">
      <c r="A37" s="39">
        <v>38204</v>
      </c>
      <c r="B37" s="6">
        <v>4.75</v>
      </c>
      <c r="C37" s="1" t="str">
        <f t="shared" si="0"/>
        <v>Q3 2004</v>
      </c>
      <c r="D37" s="1">
        <f t="shared" si="6"/>
        <v>364</v>
      </c>
      <c r="E37" s="1">
        <f t="shared" si="1"/>
        <v>1729</v>
      </c>
      <c r="G37" s="1" t="str">
        <f ca="1">IFERROR(__xludf.DUMMYFUNCTION("""COMPUTED_VALUE"""),"Q4 1999")</f>
        <v>Q4 1999</v>
      </c>
      <c r="H37" s="1">
        <f t="shared" ca="1" si="2"/>
        <v>385</v>
      </c>
      <c r="I37" s="1">
        <f t="shared" ca="1" si="3"/>
        <v>70</v>
      </c>
      <c r="J37" s="1">
        <f t="shared" ca="1" si="4"/>
        <v>5.5</v>
      </c>
      <c r="L37" s="13" t="s">
        <v>87</v>
      </c>
      <c r="M37" s="1">
        <v>0.51518987341772149</v>
      </c>
    </row>
    <row r="38" spans="1:13" ht="15.75" customHeight="1" x14ac:dyDescent="0.25">
      <c r="A38" s="39">
        <v>38148</v>
      </c>
      <c r="B38" s="6">
        <v>4.5</v>
      </c>
      <c r="C38" s="1" t="str">
        <f t="shared" si="0"/>
        <v>Q2 2004</v>
      </c>
      <c r="D38" s="1">
        <f t="shared" si="6"/>
        <v>56</v>
      </c>
      <c r="E38" s="1">
        <f t="shared" si="1"/>
        <v>252</v>
      </c>
      <c r="G38" s="1" t="str">
        <f ca="1">IFERROR(__xludf.DUMMYFUNCTION("""COMPUTED_VALUE"""),"Q3 1999")</f>
        <v>Q3 1999</v>
      </c>
      <c r="H38" s="1">
        <f t="shared" ca="1" si="2"/>
        <v>299.25</v>
      </c>
      <c r="I38" s="1">
        <f t="shared" ca="1" si="3"/>
        <v>57</v>
      </c>
      <c r="J38" s="1">
        <f t="shared" ca="1" si="4"/>
        <v>5.25</v>
      </c>
      <c r="L38" s="13" t="s">
        <v>88</v>
      </c>
      <c r="M38" s="1">
        <v>0.51518987341772149</v>
      </c>
    </row>
    <row r="39" spans="1:13" ht="15.75" customHeight="1" x14ac:dyDescent="0.25">
      <c r="A39" s="39">
        <v>38113</v>
      </c>
      <c r="B39" s="6">
        <v>4.25</v>
      </c>
      <c r="C39" s="1" t="str">
        <f t="shared" si="0"/>
        <v>Q2 2004</v>
      </c>
      <c r="D39" s="1">
        <f t="shared" si="6"/>
        <v>35</v>
      </c>
      <c r="E39" s="1">
        <f t="shared" si="1"/>
        <v>148.75</v>
      </c>
      <c r="G39" s="1" t="str">
        <f ca="1">IFERROR(__xludf.DUMMYFUNCTION("""COMPUTED_VALUE"""),"Q2 1999")</f>
        <v>Q2 1999</v>
      </c>
      <c r="H39" s="1">
        <f t="shared" ca="1" si="2"/>
        <v>780.75</v>
      </c>
      <c r="I39" s="1">
        <f t="shared" ca="1" si="3"/>
        <v>153</v>
      </c>
      <c r="J39" s="1">
        <f t="shared" ca="1" si="4"/>
        <v>5.1029411764705879</v>
      </c>
      <c r="L39" s="15" t="s">
        <v>89</v>
      </c>
      <c r="M39" s="1">
        <v>0.51518987341772149</v>
      </c>
    </row>
    <row r="40" spans="1:13" ht="15.75" customHeight="1" x14ac:dyDescent="0.25">
      <c r="A40" s="39">
        <v>38022</v>
      </c>
      <c r="B40" s="6">
        <v>4</v>
      </c>
      <c r="C40" s="1" t="str">
        <f t="shared" si="0"/>
        <v>Q1 2004</v>
      </c>
      <c r="D40" s="1">
        <f t="shared" si="6"/>
        <v>91</v>
      </c>
      <c r="E40" s="1">
        <f t="shared" si="1"/>
        <v>364</v>
      </c>
      <c r="G40" s="1" t="str">
        <f ca="1">IFERROR(__xludf.DUMMYFUNCTION("""COMPUTED_VALUE"""),"Q1 1999")</f>
        <v>Q1 1999</v>
      </c>
      <c r="H40" s="1">
        <f t="shared" ca="1" si="2"/>
        <v>514.5</v>
      </c>
      <c r="I40" s="1">
        <f t="shared" ca="1" si="3"/>
        <v>91</v>
      </c>
      <c r="J40" s="1">
        <f t="shared" ca="1" si="4"/>
        <v>5.6538461538461542</v>
      </c>
      <c r="L40" s="5" t="s">
        <v>90</v>
      </c>
      <c r="M40" s="1">
        <v>0.51518987341772149</v>
      </c>
    </row>
    <row r="41" spans="1:13" ht="15.75" customHeight="1" x14ac:dyDescent="0.25">
      <c r="A41" s="39">
        <v>37931</v>
      </c>
      <c r="B41" s="6">
        <v>3.75</v>
      </c>
      <c r="C41" s="1" t="str">
        <f t="shared" si="0"/>
        <v>Q4 2003</v>
      </c>
      <c r="D41" s="1">
        <f t="shared" si="6"/>
        <v>91</v>
      </c>
      <c r="E41" s="1">
        <f t="shared" si="1"/>
        <v>341.25</v>
      </c>
      <c r="G41" s="1" t="str">
        <f ca="1">IFERROR(__xludf.DUMMYFUNCTION("""COMPUTED_VALUE"""),"Q4 1998")</f>
        <v>Q4 1998</v>
      </c>
      <c r="H41" s="1">
        <f t="shared" ca="1" si="2"/>
        <v>614.25</v>
      </c>
      <c r="I41" s="1">
        <f t="shared" ca="1" si="3"/>
        <v>91</v>
      </c>
      <c r="J41" s="1">
        <f t="shared" ca="1" si="4"/>
        <v>6.75</v>
      </c>
      <c r="L41" s="13" t="s">
        <v>91</v>
      </c>
      <c r="M41" s="1">
        <v>0.51518987341772149</v>
      </c>
    </row>
    <row r="42" spans="1:13" ht="15.75" customHeight="1" x14ac:dyDescent="0.25">
      <c r="A42" s="39">
        <v>37812</v>
      </c>
      <c r="B42" s="6">
        <v>3.5</v>
      </c>
      <c r="C42" s="1" t="str">
        <f t="shared" si="0"/>
        <v>Q3 2003</v>
      </c>
      <c r="D42" s="1">
        <f t="shared" si="6"/>
        <v>119</v>
      </c>
      <c r="E42" s="1">
        <f t="shared" si="1"/>
        <v>416.5</v>
      </c>
      <c r="G42" s="1" t="str">
        <f ca="1">IFERROR(__xludf.DUMMYFUNCTION("""COMPUTED_VALUE"""),"Q2 1998")</f>
        <v>Q2 1998</v>
      </c>
      <c r="H42" s="1">
        <f t="shared" ca="1" si="2"/>
        <v>945</v>
      </c>
      <c r="I42" s="1">
        <f t="shared" ca="1" si="3"/>
        <v>126</v>
      </c>
      <c r="J42" s="1">
        <f t="shared" ca="1" si="4"/>
        <v>7.5</v>
      </c>
      <c r="L42" s="13" t="s">
        <v>92</v>
      </c>
      <c r="M42" s="1">
        <v>0.51518987341772149</v>
      </c>
    </row>
    <row r="43" spans="1:13" ht="15.75" customHeight="1" x14ac:dyDescent="0.25">
      <c r="A43" s="39">
        <v>37658</v>
      </c>
      <c r="B43" s="6">
        <v>3.75</v>
      </c>
      <c r="C43" s="1" t="str">
        <f t="shared" si="0"/>
        <v>Q1 2003</v>
      </c>
      <c r="D43" s="1">
        <f t="shared" si="6"/>
        <v>154</v>
      </c>
      <c r="E43" s="1">
        <f t="shared" si="1"/>
        <v>577.5</v>
      </c>
      <c r="G43" s="1" t="str">
        <f ca="1">IFERROR(__xludf.DUMMYFUNCTION("""COMPUTED_VALUE"""),"Q4 1997")</f>
        <v>Q4 1997</v>
      </c>
      <c r="H43" s="1">
        <f t="shared" ca="1" si="2"/>
        <v>1522.5</v>
      </c>
      <c r="I43" s="1">
        <f t="shared" ca="1" si="3"/>
        <v>210</v>
      </c>
      <c r="J43" s="1">
        <f t="shared" ca="1" si="4"/>
        <v>7.25</v>
      </c>
      <c r="L43" s="15" t="s">
        <v>93</v>
      </c>
      <c r="M43" s="1">
        <v>0.51518987341772149</v>
      </c>
    </row>
    <row r="44" spans="1:13" ht="15.75" customHeight="1" x14ac:dyDescent="0.25">
      <c r="A44" s="39">
        <v>37203</v>
      </c>
      <c r="B44" s="6">
        <v>4</v>
      </c>
      <c r="C44" s="1" t="str">
        <f t="shared" si="0"/>
        <v>Q4 2001</v>
      </c>
      <c r="D44" s="1">
        <f t="shared" si="6"/>
        <v>455</v>
      </c>
      <c r="E44" s="1">
        <f t="shared" si="1"/>
        <v>1820</v>
      </c>
      <c r="G44" s="1" t="str">
        <f ca="1">IFERROR(__xludf.DUMMYFUNCTION("""COMPUTED_VALUE"""),"Q3 1997")</f>
        <v>Q3 1997</v>
      </c>
      <c r="H44" s="1">
        <f t="shared" ca="1" si="2"/>
        <v>826</v>
      </c>
      <c r="I44" s="1">
        <f t="shared" ca="1" si="3"/>
        <v>119</v>
      </c>
      <c r="J44" s="1">
        <f t="shared" ca="1" si="4"/>
        <v>6.9411764705882355</v>
      </c>
      <c r="L44" s="5" t="s">
        <v>94</v>
      </c>
      <c r="M44" s="1">
        <v>0.51518987341772149</v>
      </c>
    </row>
    <row r="45" spans="1:13" ht="15.75" customHeight="1" x14ac:dyDescent="0.25">
      <c r="A45" s="39">
        <v>37168</v>
      </c>
      <c r="B45" s="6">
        <v>4.5</v>
      </c>
      <c r="C45" s="1" t="str">
        <f t="shared" si="0"/>
        <v>Q4 2001</v>
      </c>
      <c r="D45" s="1">
        <f t="shared" si="6"/>
        <v>35</v>
      </c>
      <c r="E45" s="1">
        <f t="shared" si="1"/>
        <v>157.5</v>
      </c>
      <c r="G45" s="1" t="str">
        <f ca="1">IFERROR(__xludf.DUMMYFUNCTION("""COMPUTED_VALUE"""),"Q2 1997")</f>
        <v>Q2 1997</v>
      </c>
      <c r="H45" s="1">
        <f t="shared" ca="1" si="2"/>
        <v>414.75</v>
      </c>
      <c r="I45" s="1">
        <f t="shared" ca="1" si="3"/>
        <v>65</v>
      </c>
      <c r="J45" s="1">
        <f t="shared" ca="1" si="4"/>
        <v>6.3807692307692312</v>
      </c>
      <c r="L45" s="13" t="s">
        <v>95</v>
      </c>
      <c r="M45" s="1">
        <v>0.51518987341772149</v>
      </c>
    </row>
    <row r="46" spans="1:13" ht="15.75" customHeight="1" x14ac:dyDescent="0.25">
      <c r="A46" s="39">
        <v>37152</v>
      </c>
      <c r="B46" s="6">
        <v>4.75</v>
      </c>
      <c r="C46" s="1" t="str">
        <f t="shared" si="0"/>
        <v>Q3 2001</v>
      </c>
      <c r="D46" s="1">
        <f t="shared" si="6"/>
        <v>16</v>
      </c>
      <c r="E46" s="1">
        <f t="shared" si="1"/>
        <v>76</v>
      </c>
      <c r="G46" s="1" t="str">
        <f ca="1">IFERROR(__xludf.DUMMYFUNCTION("""COMPUTED_VALUE"""),"Q4 1996")</f>
        <v>Q4 1996</v>
      </c>
      <c r="H46" s="1">
        <f t="shared" ca="1" si="2"/>
        <v>1116.72</v>
      </c>
      <c r="I46" s="1">
        <f t="shared" ca="1" si="3"/>
        <v>188</v>
      </c>
      <c r="J46" s="1">
        <f t="shared" ca="1" si="4"/>
        <v>5.94</v>
      </c>
      <c r="L46" s="13" t="s">
        <v>96</v>
      </c>
      <c r="M46" s="1">
        <v>0.51518987341772149</v>
      </c>
    </row>
    <row r="47" spans="1:13" ht="15.75" customHeight="1" x14ac:dyDescent="0.25">
      <c r="A47" s="39">
        <v>37105</v>
      </c>
      <c r="B47" s="6">
        <v>5</v>
      </c>
      <c r="C47" s="1" t="str">
        <f t="shared" si="0"/>
        <v>Q3 2001</v>
      </c>
      <c r="D47" s="1">
        <f t="shared" si="6"/>
        <v>47</v>
      </c>
      <c r="E47" s="1">
        <f t="shared" si="1"/>
        <v>235</v>
      </c>
      <c r="G47" s="1" t="str">
        <f ca="1">IFERROR(__xludf.DUMMYFUNCTION("""COMPUTED_VALUE"""),"Q2 1996")</f>
        <v>Q2 1996</v>
      </c>
      <c r="H47" s="1">
        <f t="shared" ca="1" si="2"/>
        <v>830.74</v>
      </c>
      <c r="I47" s="1">
        <f t="shared" ca="1" si="3"/>
        <v>146</v>
      </c>
      <c r="J47" s="1">
        <f t="shared" ca="1" si="4"/>
        <v>5.69</v>
      </c>
      <c r="L47" s="15" t="s">
        <v>97</v>
      </c>
      <c r="M47" s="1">
        <v>0.51518987341772149</v>
      </c>
    </row>
    <row r="48" spans="1:13" ht="15.75" customHeight="1" x14ac:dyDescent="0.25">
      <c r="A48" s="39">
        <v>37021</v>
      </c>
      <c r="B48" s="6">
        <v>5.25</v>
      </c>
      <c r="C48" s="1" t="str">
        <f t="shared" si="0"/>
        <v>Q2 2001</v>
      </c>
      <c r="D48" s="1">
        <f t="shared" si="6"/>
        <v>84</v>
      </c>
      <c r="E48" s="1">
        <f t="shared" si="1"/>
        <v>441</v>
      </c>
      <c r="G48" s="1" t="str">
        <f ca="1">IFERROR(__xludf.DUMMYFUNCTION("""COMPUTED_VALUE"""),"Q1 1996")</f>
        <v>Q1 1996</v>
      </c>
      <c r="H48" s="1">
        <f t="shared" ca="1" si="2"/>
        <v>841.1</v>
      </c>
      <c r="I48" s="1">
        <f t="shared" ca="1" si="3"/>
        <v>140</v>
      </c>
      <c r="J48" s="1">
        <f t="shared" ca="1" si="4"/>
        <v>6.0078571428571435</v>
      </c>
      <c r="L48" s="5" t="s">
        <v>98</v>
      </c>
      <c r="M48" s="1">
        <v>0.51518987341772149</v>
      </c>
    </row>
    <row r="49" spans="1:13" ht="15.75" customHeight="1" x14ac:dyDescent="0.25">
      <c r="A49" s="39">
        <v>36986</v>
      </c>
      <c r="B49" s="6">
        <v>5.5</v>
      </c>
      <c r="C49" s="1" t="str">
        <f t="shared" si="0"/>
        <v>Q2 2001</v>
      </c>
      <c r="D49" s="1">
        <f t="shared" si="6"/>
        <v>35</v>
      </c>
      <c r="E49" s="1">
        <f t="shared" si="1"/>
        <v>192.5</v>
      </c>
      <c r="G49" s="1" t="str">
        <f ca="1">IFERROR(__xludf.DUMMYFUNCTION("""COMPUTED_VALUE"""),"Q4 1995")</f>
        <v>Q4 1995</v>
      </c>
      <c r="H49" s="1">
        <f t="shared" ca="1" si="2"/>
        <v>229.68</v>
      </c>
      <c r="I49" s="1">
        <f t="shared" ca="1" si="3"/>
        <v>36</v>
      </c>
      <c r="J49" s="1">
        <f t="shared" ca="1" si="4"/>
        <v>6.38</v>
      </c>
      <c r="L49" s="13" t="s">
        <v>99</v>
      </c>
      <c r="M49" s="1">
        <v>0.51518987341772149</v>
      </c>
    </row>
    <row r="50" spans="1:13" ht="15.75" customHeight="1" x14ac:dyDescent="0.25">
      <c r="A50" s="39">
        <v>36930</v>
      </c>
      <c r="B50" s="6">
        <v>5.75</v>
      </c>
      <c r="C50" s="1" t="str">
        <f t="shared" si="0"/>
        <v>Q1 2001</v>
      </c>
      <c r="D50" s="1">
        <f t="shared" si="6"/>
        <v>56</v>
      </c>
      <c r="E50" s="1">
        <f t="shared" si="1"/>
        <v>322</v>
      </c>
      <c r="G50" s="1" t="str">
        <f ca="1">IFERROR(__xludf.DUMMYFUNCTION("""COMPUTED_VALUE"""),"Q1 1995")</f>
        <v>Q1 1995</v>
      </c>
      <c r="H50" s="1">
        <f t="shared" ca="1" si="2"/>
        <v>2081.8200000000002</v>
      </c>
      <c r="I50" s="1">
        <f t="shared" ca="1" si="3"/>
        <v>314</v>
      </c>
      <c r="J50" s="1">
        <f t="shared" ca="1" si="4"/>
        <v>6.6300000000000008</v>
      </c>
      <c r="L50" s="13" t="s">
        <v>100</v>
      </c>
      <c r="M50" s="1">
        <v>0.51518987341772149</v>
      </c>
    </row>
    <row r="51" spans="1:13" ht="15.75" customHeight="1" x14ac:dyDescent="0.25">
      <c r="A51" s="39">
        <v>36566</v>
      </c>
      <c r="B51" s="6">
        <v>6</v>
      </c>
      <c r="C51" s="1" t="str">
        <f t="shared" si="0"/>
        <v>Q1 2000</v>
      </c>
      <c r="D51" s="1">
        <f t="shared" si="6"/>
        <v>364</v>
      </c>
      <c r="E51" s="1">
        <f t="shared" si="1"/>
        <v>2184</v>
      </c>
      <c r="G51" s="1" t="str">
        <f ca="1">IFERROR(__xludf.DUMMYFUNCTION("""COMPUTED_VALUE"""),"Q4 1994")</f>
        <v>Q4 1994</v>
      </c>
      <c r="H51" s="1">
        <f t="shared" ca="1" si="2"/>
        <v>349.40999999999997</v>
      </c>
      <c r="I51" s="1">
        <f t="shared" ca="1" si="3"/>
        <v>57</v>
      </c>
      <c r="J51" s="1">
        <f t="shared" ca="1" si="4"/>
        <v>6.129999999999999</v>
      </c>
      <c r="L51" s="15" t="s">
        <v>101</v>
      </c>
      <c r="M51" s="1">
        <v>0.51518987341772149</v>
      </c>
    </row>
    <row r="52" spans="1:13" ht="15.75" customHeight="1" x14ac:dyDescent="0.25">
      <c r="A52" s="39">
        <v>36538</v>
      </c>
      <c r="B52" s="6">
        <v>5.75</v>
      </c>
      <c r="C52" s="1" t="str">
        <f t="shared" si="0"/>
        <v>Q1 2000</v>
      </c>
      <c r="D52" s="1">
        <f t="shared" si="6"/>
        <v>28</v>
      </c>
      <c r="E52" s="1">
        <f t="shared" si="1"/>
        <v>161</v>
      </c>
      <c r="G52" s="1" t="str">
        <f ca="1">IFERROR(__xludf.DUMMYFUNCTION("""COMPUTED_VALUE"""),"Q3 1994")</f>
        <v>Q3 1994</v>
      </c>
      <c r="H52" s="1">
        <f t="shared" ca="1" si="2"/>
        <v>484.18</v>
      </c>
      <c r="I52" s="1">
        <f t="shared" ca="1" si="3"/>
        <v>86</v>
      </c>
      <c r="J52" s="1">
        <f t="shared" ca="1" si="4"/>
        <v>5.63</v>
      </c>
      <c r="L52" s="5" t="s">
        <v>102</v>
      </c>
      <c r="M52" s="1">
        <v>0.51518987341772149</v>
      </c>
    </row>
    <row r="53" spans="1:13" ht="15.75" customHeight="1" x14ac:dyDescent="0.25">
      <c r="A53" s="39">
        <v>36468</v>
      </c>
      <c r="B53" s="6">
        <v>5.5</v>
      </c>
      <c r="C53" s="1" t="str">
        <f t="shared" si="0"/>
        <v>Q4 1999</v>
      </c>
      <c r="D53" s="1">
        <f t="shared" si="6"/>
        <v>70</v>
      </c>
      <c r="E53" s="1">
        <f t="shared" si="1"/>
        <v>385</v>
      </c>
      <c r="G53" s="1" t="str">
        <f ca="1">IFERROR(__xludf.DUMMYFUNCTION("""COMPUTED_VALUE"""),"Q1 1994")</f>
        <v>Q1 1994</v>
      </c>
      <c r="H53" s="1">
        <f t="shared" ca="1" si="2"/>
        <v>1108.08</v>
      </c>
      <c r="I53" s="1">
        <f t="shared" ca="1" si="3"/>
        <v>216</v>
      </c>
      <c r="J53" s="1">
        <f t="shared" ca="1" si="4"/>
        <v>5.13</v>
      </c>
      <c r="L53" s="13" t="s">
        <v>103</v>
      </c>
      <c r="M53" s="1">
        <v>0.51518987341772149</v>
      </c>
    </row>
    <row r="54" spans="1:13" ht="15.75" customHeight="1" x14ac:dyDescent="0.25">
      <c r="A54" s="39">
        <v>36411</v>
      </c>
      <c r="B54" s="6">
        <v>5.25</v>
      </c>
      <c r="C54" s="1" t="str">
        <f t="shared" si="0"/>
        <v>Q3 1999</v>
      </c>
      <c r="D54" s="1">
        <f t="shared" si="6"/>
        <v>57</v>
      </c>
      <c r="E54" s="1">
        <f t="shared" si="1"/>
        <v>299.25</v>
      </c>
      <c r="G54" s="1" t="str">
        <f ca="1">IFERROR(__xludf.DUMMYFUNCTION("""COMPUTED_VALUE"""),"Q4 1993")</f>
        <v>Q4 1993</v>
      </c>
      <c r="H54" s="1">
        <f t="shared" ca="1" si="2"/>
        <v>414.26</v>
      </c>
      <c r="I54" s="1">
        <f t="shared" ca="1" si="3"/>
        <v>77</v>
      </c>
      <c r="J54" s="1">
        <f t="shared" ca="1" si="4"/>
        <v>5.38</v>
      </c>
      <c r="L54" s="13" t="s">
        <v>104</v>
      </c>
      <c r="M54" s="1">
        <v>0.51518987341772149</v>
      </c>
    </row>
    <row r="55" spans="1:13" ht="15.75" customHeight="1" x14ac:dyDescent="0.25">
      <c r="A55" s="39">
        <v>36321</v>
      </c>
      <c r="B55" s="6">
        <v>5</v>
      </c>
      <c r="C55" s="1" t="str">
        <f t="shared" si="0"/>
        <v>Q2 1999</v>
      </c>
      <c r="D55" s="1">
        <f t="shared" si="6"/>
        <v>90</v>
      </c>
      <c r="E55" s="1">
        <f t="shared" si="1"/>
        <v>450</v>
      </c>
      <c r="G55" s="1" t="str">
        <f ca="1">IFERROR(__xludf.DUMMYFUNCTION("""COMPUTED_VALUE"""),"Q1 1993")</f>
        <v>Q1 1993</v>
      </c>
      <c r="H55" s="1">
        <f t="shared" ca="1" si="2"/>
        <v>1769.8799999999999</v>
      </c>
      <c r="I55" s="1">
        <f t="shared" ca="1" si="3"/>
        <v>301</v>
      </c>
      <c r="J55" s="1">
        <f t="shared" ca="1" si="4"/>
        <v>5.88</v>
      </c>
      <c r="L55" s="15" t="s">
        <v>105</v>
      </c>
      <c r="M55" s="1">
        <v>0.51518987341772149</v>
      </c>
    </row>
    <row r="56" spans="1:13" ht="15.75" customHeight="1" x14ac:dyDescent="0.25">
      <c r="A56" s="39">
        <v>36258</v>
      </c>
      <c r="B56" s="6">
        <v>5.25</v>
      </c>
      <c r="C56" s="1" t="str">
        <f t="shared" si="0"/>
        <v>Q2 1999</v>
      </c>
      <c r="D56" s="1">
        <f t="shared" si="6"/>
        <v>63</v>
      </c>
      <c r="E56" s="1">
        <f t="shared" si="1"/>
        <v>330.75</v>
      </c>
      <c r="G56" s="1" t="str">
        <f ca="1">IFERROR(__xludf.DUMMYFUNCTION("""COMPUTED_VALUE"""),"Q4 1992")</f>
        <v>Q4 1992</v>
      </c>
      <c r="H56" s="1">
        <f t="shared" ca="1" si="2"/>
        <v>729.76</v>
      </c>
      <c r="I56" s="1">
        <f t="shared" ca="1" si="3"/>
        <v>102</v>
      </c>
      <c r="J56" s="1">
        <f t="shared" ca="1" si="4"/>
        <v>7.1545098039215684</v>
      </c>
      <c r="L56" s="22" t="s">
        <v>106</v>
      </c>
      <c r="M56" s="1">
        <v>0.51518987341772149</v>
      </c>
    </row>
    <row r="57" spans="1:13" ht="15.75" customHeight="1" x14ac:dyDescent="0.25">
      <c r="A57" s="39">
        <v>36195</v>
      </c>
      <c r="B57" s="6">
        <v>5.5</v>
      </c>
      <c r="C57" s="1" t="str">
        <f t="shared" si="0"/>
        <v>Q1 1999</v>
      </c>
      <c r="D57" s="1">
        <f t="shared" si="6"/>
        <v>63</v>
      </c>
      <c r="E57" s="1">
        <f t="shared" si="1"/>
        <v>346.5</v>
      </c>
      <c r="G57" s="1" t="str">
        <f ca="1">IFERROR(__xludf.DUMMYFUNCTION("""COMPUTED_VALUE"""),"Q3 1992")</f>
        <v>Q3 1992</v>
      </c>
      <c r="H57" s="1">
        <f t="shared" ca="1" si="2"/>
        <v>213.12</v>
      </c>
      <c r="I57" s="1">
        <f t="shared" ca="1" si="3"/>
        <v>24</v>
      </c>
      <c r="J57" s="1">
        <f t="shared" ca="1" si="4"/>
        <v>8.8800000000000008</v>
      </c>
      <c r="L57" s="13" t="s">
        <v>107</v>
      </c>
      <c r="M57" s="1">
        <v>0.51518987341772149</v>
      </c>
    </row>
    <row r="58" spans="1:13" ht="15.75" customHeight="1" x14ac:dyDescent="0.25">
      <c r="A58" s="39">
        <v>36167</v>
      </c>
      <c r="B58" s="6">
        <v>6</v>
      </c>
      <c r="C58" s="1" t="str">
        <f t="shared" si="0"/>
        <v>Q1 1999</v>
      </c>
      <c r="D58" s="1">
        <f t="shared" si="6"/>
        <v>28</v>
      </c>
      <c r="E58" s="1">
        <f t="shared" si="1"/>
        <v>168</v>
      </c>
      <c r="G58" s="1" t="str">
        <f ca="1">IFERROR(__xludf.DUMMYFUNCTION("""COMPUTED_VALUE"""),"Q2 1992")</f>
        <v>Q2 1992</v>
      </c>
      <c r="H58" s="1">
        <f t="shared" ca="1" si="2"/>
        <v>1383.2</v>
      </c>
      <c r="I58" s="1">
        <f t="shared" ca="1" si="3"/>
        <v>140</v>
      </c>
      <c r="J58" s="1">
        <f t="shared" ca="1" si="4"/>
        <v>9.8800000000000008</v>
      </c>
      <c r="L58" s="13" t="s">
        <v>108</v>
      </c>
      <c r="M58" s="1">
        <v>0.51518987341772149</v>
      </c>
    </row>
    <row r="59" spans="1:13" ht="15.75" customHeight="1" x14ac:dyDescent="0.25">
      <c r="A59" s="39">
        <v>36139</v>
      </c>
      <c r="B59" s="6">
        <v>6.25</v>
      </c>
      <c r="C59" s="1" t="str">
        <f t="shared" si="0"/>
        <v>Q4 1998</v>
      </c>
      <c r="D59" s="1">
        <f t="shared" si="6"/>
        <v>28</v>
      </c>
      <c r="E59" s="1">
        <f t="shared" si="1"/>
        <v>175</v>
      </c>
      <c r="G59" s="1" t="str">
        <f ca="1">IFERROR(__xludf.DUMMYFUNCTION("""COMPUTED_VALUE"""),"Q3 1991")</f>
        <v>Q3 1991</v>
      </c>
      <c r="H59" s="1">
        <f t="shared" ca="1" si="2"/>
        <v>3120.2400000000002</v>
      </c>
      <c r="I59" s="1">
        <f t="shared" ca="1" si="3"/>
        <v>298</v>
      </c>
      <c r="J59" s="1">
        <f t="shared" ca="1" si="4"/>
        <v>10.470604026845638</v>
      </c>
      <c r="L59" s="15" t="s">
        <v>109</v>
      </c>
      <c r="M59" s="1">
        <f t="shared" ref="M59:M60" ca="1" si="7">IFERROR(VLOOKUP(L59, G:J, 4, FALSE), "")</f>
        <v>0.51518987341772149</v>
      </c>
    </row>
    <row r="60" spans="1:13" ht="15.75" customHeight="1" x14ac:dyDescent="0.25">
      <c r="A60" s="39">
        <v>36104</v>
      </c>
      <c r="B60" s="6">
        <v>6.75</v>
      </c>
      <c r="C60" s="1" t="str">
        <f t="shared" si="0"/>
        <v>Q4 1998</v>
      </c>
      <c r="D60" s="1">
        <f t="shared" si="6"/>
        <v>35</v>
      </c>
      <c r="E60" s="1">
        <f t="shared" si="1"/>
        <v>236.25</v>
      </c>
      <c r="G60" s="1" t="str">
        <f ca="1">IFERROR(__xludf.DUMMYFUNCTION("""COMPUTED_VALUE"""),"Q2 1991")</f>
        <v>Q2 1991</v>
      </c>
      <c r="H60" s="1">
        <f t="shared" ca="1" si="2"/>
        <v>1056.58</v>
      </c>
      <c r="I60" s="1">
        <f t="shared" ca="1" si="3"/>
        <v>91</v>
      </c>
      <c r="J60" s="1">
        <f t="shared" ca="1" si="4"/>
        <v>11.610769230769231</v>
      </c>
      <c r="L60" s="23" t="s">
        <v>110</v>
      </c>
      <c r="M60" s="1">
        <f t="shared" ca="1" si="7"/>
        <v>3.0923913043478262</v>
      </c>
    </row>
    <row r="61" spans="1:13" ht="15.75" customHeight="1" x14ac:dyDescent="0.25">
      <c r="A61" s="39">
        <v>36076</v>
      </c>
      <c r="B61" s="6">
        <v>7.25</v>
      </c>
      <c r="C61" s="1" t="str">
        <f t="shared" si="0"/>
        <v>Q4 1998</v>
      </c>
      <c r="D61" s="1">
        <f t="shared" si="6"/>
        <v>28</v>
      </c>
      <c r="E61" s="1">
        <f t="shared" si="1"/>
        <v>203</v>
      </c>
      <c r="G61" s="1" t="str">
        <f ca="1">IFERROR(__xludf.DUMMYFUNCTION("""COMPUTED_VALUE"""),"Q1 1991")</f>
        <v>Q1 1991</v>
      </c>
      <c r="H61" s="1">
        <f t="shared" ca="1" si="2"/>
        <v>743.54000000000008</v>
      </c>
      <c r="I61" s="1">
        <f t="shared" ca="1" si="3"/>
        <v>58</v>
      </c>
      <c r="J61" s="1">
        <f t="shared" ca="1" si="4"/>
        <v>12.819655172413794</v>
      </c>
      <c r="L61" s="24" t="s">
        <v>111</v>
      </c>
      <c r="M61" s="1">
        <v>5</v>
      </c>
    </row>
    <row r="62" spans="1:13" ht="15.75" customHeight="1" x14ac:dyDescent="0.25">
      <c r="A62" s="39">
        <v>35950</v>
      </c>
      <c r="B62" s="6">
        <v>7.5</v>
      </c>
      <c r="C62" s="1" t="str">
        <f t="shared" si="0"/>
        <v>Q2 1998</v>
      </c>
      <c r="D62" s="1">
        <f t="shared" si="6"/>
        <v>126</v>
      </c>
      <c r="E62" s="1">
        <f t="shared" si="1"/>
        <v>945</v>
      </c>
      <c r="G62" s="1" t="str">
        <f ca="1">IFERROR(__xludf.DUMMYFUNCTION("""COMPUTED_VALUE"""),"Q4 1990")</f>
        <v>Q4 1990</v>
      </c>
      <c r="H62" s="1">
        <f t="shared" ca="1" si="2"/>
        <v>1776.64</v>
      </c>
      <c r="I62" s="1">
        <f t="shared" ca="1" si="3"/>
        <v>128</v>
      </c>
      <c r="J62" s="1">
        <f t="shared" ca="1" si="4"/>
        <v>13.88</v>
      </c>
      <c r="L62" s="13" t="s">
        <v>112</v>
      </c>
      <c r="M62" s="1">
        <f t="shared" ref="M62:M69" ca="1" si="8">IFERROR(VLOOKUP(L62, G:J, 4, FALSE), "")</f>
        <v>5</v>
      </c>
    </row>
    <row r="63" spans="1:13" ht="15.75" customHeight="1" x14ac:dyDescent="0.25">
      <c r="A63" s="39">
        <v>35740</v>
      </c>
      <c r="B63" s="6">
        <v>7.25</v>
      </c>
      <c r="C63" s="1" t="str">
        <f t="shared" si="0"/>
        <v>Q4 1997</v>
      </c>
      <c r="D63" s="1">
        <f t="shared" si="6"/>
        <v>210</v>
      </c>
      <c r="E63" s="1">
        <f t="shared" si="1"/>
        <v>1522.5</v>
      </c>
      <c r="G63" s="1" t="str">
        <f ca="1">IFERROR(__xludf.DUMMYFUNCTION("""COMPUTED_VALUE"""),"Q4 1989")</f>
        <v>Q4 1989</v>
      </c>
      <c r="H63" s="1">
        <f t="shared" ca="1" si="2"/>
        <v>5460.96</v>
      </c>
      <c r="I63" s="1">
        <f t="shared" ca="1" si="3"/>
        <v>367</v>
      </c>
      <c r="J63" s="1">
        <f t="shared" ca="1" si="4"/>
        <v>14.88</v>
      </c>
      <c r="L63" s="15" t="s">
        <v>113</v>
      </c>
      <c r="M63" s="1">
        <f t="shared" ca="1" si="8"/>
        <v>5.25</v>
      </c>
    </row>
    <row r="64" spans="1:13" ht="15.75" customHeight="1" x14ac:dyDescent="0.25">
      <c r="A64" s="39">
        <v>35649</v>
      </c>
      <c r="B64" s="6">
        <v>7</v>
      </c>
      <c r="C64" s="1" t="str">
        <f t="shared" si="0"/>
        <v>Q3 1997</v>
      </c>
      <c r="D64" s="1">
        <f t="shared" si="6"/>
        <v>91</v>
      </c>
      <c r="E64" s="1">
        <f t="shared" si="1"/>
        <v>637</v>
      </c>
      <c r="G64" s="1" t="str">
        <f ca="1">IFERROR(__xludf.DUMMYFUNCTION("""COMPUTED_VALUE"""),"Q3 1989")</f>
        <v>Q3 1989</v>
      </c>
      <c r="H64" s="1">
        <f t="shared" ca="1" si="2"/>
        <v>495.88</v>
      </c>
      <c r="I64" s="1">
        <f t="shared" ca="1" si="3"/>
        <v>36</v>
      </c>
      <c r="J64" s="1">
        <f t="shared" ca="1" si="4"/>
        <v>13.774444444444445</v>
      </c>
      <c r="L64" s="23" t="s">
        <v>114</v>
      </c>
      <c r="M64" s="1">
        <f t="shared" ca="1" si="8"/>
        <v>5.5</v>
      </c>
    </row>
    <row r="65" spans="1:13" ht="15.75" customHeight="1" x14ac:dyDescent="0.25">
      <c r="A65" s="39">
        <v>35621</v>
      </c>
      <c r="B65" s="6">
        <v>6.75</v>
      </c>
      <c r="C65" s="1" t="str">
        <f t="shared" si="0"/>
        <v>Q3 1997</v>
      </c>
      <c r="D65" s="1">
        <f t="shared" si="6"/>
        <v>28</v>
      </c>
      <c r="E65" s="1">
        <f t="shared" si="1"/>
        <v>189</v>
      </c>
      <c r="G65" s="1" t="str">
        <f ca="1">IFERROR(__xludf.DUMMYFUNCTION("""COMPUTED_VALUE"""),"Q2 1989")</f>
        <v>Q2 1989</v>
      </c>
      <c r="H65" s="1">
        <f t="shared" ca="1" si="2"/>
        <v>1347.5</v>
      </c>
      <c r="I65" s="1">
        <f t="shared" ca="1" si="3"/>
        <v>98</v>
      </c>
      <c r="J65" s="1">
        <f t="shared" ca="1" si="4"/>
        <v>13.75</v>
      </c>
      <c r="L65" s="24" t="s">
        <v>115</v>
      </c>
      <c r="M65" s="1">
        <f t="shared" ca="1" si="8"/>
        <v>5.75</v>
      </c>
    </row>
    <row r="66" spans="1:13" ht="15.75" customHeight="1" x14ac:dyDescent="0.25">
      <c r="A66" s="39">
        <v>35587</v>
      </c>
      <c r="B66" s="6">
        <v>6.5</v>
      </c>
      <c r="C66" s="1" t="str">
        <f t="shared" si="0"/>
        <v>Q2 1997</v>
      </c>
      <c r="D66" s="1">
        <f t="shared" si="6"/>
        <v>34</v>
      </c>
      <c r="E66" s="1">
        <f t="shared" si="1"/>
        <v>221</v>
      </c>
      <c r="G66" s="1" t="str">
        <f ca="1">IFERROR(__xludf.DUMMYFUNCTION("""COMPUTED_VALUE"""),"Q4 1988")</f>
        <v>Q4 1988</v>
      </c>
      <c r="H66" s="1">
        <f t="shared" ca="1" si="2"/>
        <v>2331.2800000000002</v>
      </c>
      <c r="I66" s="1">
        <f t="shared" ca="1" si="3"/>
        <v>181</v>
      </c>
      <c r="J66" s="1">
        <f t="shared" ca="1" si="4"/>
        <v>12.88</v>
      </c>
      <c r="L66" s="13" t="s">
        <v>116</v>
      </c>
      <c r="M66" s="1">
        <f t="shared" ca="1" si="8"/>
        <v>5.5</v>
      </c>
    </row>
    <row r="67" spans="1:13" ht="15.75" customHeight="1" x14ac:dyDescent="0.25">
      <c r="A67" s="39">
        <v>35556</v>
      </c>
      <c r="B67" s="6">
        <v>6.25</v>
      </c>
      <c r="C67" s="1" t="str">
        <f t="shared" si="0"/>
        <v>Q2 1997</v>
      </c>
      <c r="D67" s="1">
        <f t="shared" si="6"/>
        <v>31</v>
      </c>
      <c r="E67" s="1">
        <f t="shared" si="1"/>
        <v>193.75</v>
      </c>
      <c r="G67" s="1" t="str">
        <f ca="1">IFERROR(__xludf.DUMMYFUNCTION("""COMPUTED_VALUE"""),"Q3 1988")</f>
        <v>Q3 1988</v>
      </c>
      <c r="H67" s="1">
        <f t="shared" ca="1" si="2"/>
        <v>1603.08</v>
      </c>
      <c r="I67" s="1">
        <f t="shared" ca="1" si="3"/>
        <v>141</v>
      </c>
      <c r="J67" s="1">
        <f t="shared" ca="1" si="4"/>
        <v>11.369361702127659</v>
      </c>
      <c r="L67" s="15" t="s">
        <v>117</v>
      </c>
      <c r="M67" s="1">
        <f t="shared" ca="1" si="8"/>
        <v>5.25</v>
      </c>
    </row>
    <row r="68" spans="1:13" ht="15.75" customHeight="1" x14ac:dyDescent="0.25">
      <c r="A68" s="39">
        <v>35368</v>
      </c>
      <c r="B68" s="6">
        <v>5.94</v>
      </c>
      <c r="C68" s="1" t="str">
        <f t="shared" si="0"/>
        <v>Q4 1996</v>
      </c>
      <c r="D68" s="1">
        <f t="shared" si="6"/>
        <v>188</v>
      </c>
      <c r="E68" s="1">
        <f t="shared" si="1"/>
        <v>1116.72</v>
      </c>
      <c r="G68" s="1" t="str">
        <f ca="1">IFERROR(__xludf.DUMMYFUNCTION("""COMPUTED_VALUE"""),"Q2 1988")</f>
        <v>Q2 1988</v>
      </c>
      <c r="H68" s="1">
        <f t="shared" ca="1" si="2"/>
        <v>720.7</v>
      </c>
      <c r="I68" s="1">
        <f t="shared" ca="1" si="3"/>
        <v>90</v>
      </c>
      <c r="J68" s="1">
        <f t="shared" ca="1" si="4"/>
        <v>8.007777777777779</v>
      </c>
      <c r="L68" s="23" t="s">
        <v>118</v>
      </c>
      <c r="M68" s="1">
        <f t="shared" ca="1" si="8"/>
        <v>5</v>
      </c>
    </row>
    <row r="69" spans="1:13" ht="15.75" customHeight="1" x14ac:dyDescent="0.25">
      <c r="A69" s="39">
        <v>35222</v>
      </c>
      <c r="B69" s="6">
        <v>5.69</v>
      </c>
      <c r="C69" s="1" t="str">
        <f t="shared" si="0"/>
        <v>Q2 1996</v>
      </c>
      <c r="D69" s="1">
        <f t="shared" si="6"/>
        <v>146</v>
      </c>
      <c r="E69" s="1">
        <f t="shared" si="1"/>
        <v>830.74</v>
      </c>
      <c r="G69" s="1" t="str">
        <f ca="1">IFERROR(__xludf.DUMMYFUNCTION("""COMPUTED_VALUE"""),"Q1 1988")</f>
        <v>Q1 1988</v>
      </c>
      <c r="H69" s="1">
        <f t="shared" ca="1" si="2"/>
        <v>583.96</v>
      </c>
      <c r="I69" s="1">
        <f t="shared" ca="1" si="3"/>
        <v>67</v>
      </c>
      <c r="J69" s="1">
        <f t="shared" ca="1" si="4"/>
        <v>8.7158208955223895</v>
      </c>
      <c r="L69" s="24" t="s">
        <v>119</v>
      </c>
      <c r="M69" s="1">
        <f t="shared" ca="1" si="8"/>
        <v>4.75</v>
      </c>
    </row>
    <row r="70" spans="1:13" ht="15.75" customHeight="1" x14ac:dyDescent="0.25">
      <c r="A70" s="39">
        <v>35132</v>
      </c>
      <c r="B70" s="6">
        <v>5.94</v>
      </c>
      <c r="C70" s="1" t="str">
        <f t="shared" si="0"/>
        <v>Q1 1996</v>
      </c>
      <c r="D70" s="1">
        <f t="shared" si="6"/>
        <v>90</v>
      </c>
      <c r="E70" s="1">
        <f t="shared" si="1"/>
        <v>534.6</v>
      </c>
      <c r="G70" s="1" t="str">
        <f ca="1">IFERROR(__xludf.DUMMYFUNCTION("""COMPUTED_VALUE"""),"Q4 1987")</f>
        <v>Q4 1987</v>
      </c>
      <c r="H70" s="1">
        <f t="shared" ca="1" si="2"/>
        <v>872.88000000000011</v>
      </c>
      <c r="I70" s="1">
        <f t="shared" ca="1" si="3"/>
        <v>101</v>
      </c>
      <c r="J70" s="1">
        <f t="shared" ca="1" si="4"/>
        <v>8.6423762376237629</v>
      </c>
      <c r="L70" s="13" t="s">
        <v>120</v>
      </c>
      <c r="M70" s="1">
        <v>4.5</v>
      </c>
    </row>
    <row r="71" spans="1:13" ht="15.75" customHeight="1" x14ac:dyDescent="0.25">
      <c r="A71" s="39">
        <v>35082</v>
      </c>
      <c r="B71" s="6">
        <v>6.13</v>
      </c>
      <c r="C71" s="1" t="str">
        <f t="shared" si="0"/>
        <v>Q1 1996</v>
      </c>
      <c r="D71" s="1">
        <f t="shared" si="6"/>
        <v>50</v>
      </c>
      <c r="E71" s="1">
        <f t="shared" si="1"/>
        <v>306.5</v>
      </c>
      <c r="G71" s="1" t="str">
        <f ca="1">IFERROR(__xludf.DUMMYFUNCTION("""COMPUTED_VALUE"""),"Q3 1987")</f>
        <v>Q3 1987</v>
      </c>
      <c r="H71" s="1">
        <f t="shared" ca="1" si="2"/>
        <v>770.6400000000001</v>
      </c>
      <c r="I71" s="1">
        <f t="shared" ca="1" si="3"/>
        <v>78</v>
      </c>
      <c r="J71" s="1">
        <f t="shared" ca="1" si="4"/>
        <v>9.8800000000000008</v>
      </c>
      <c r="L71" s="15" t="s">
        <v>121</v>
      </c>
      <c r="M71" s="1">
        <v>4.5</v>
      </c>
    </row>
    <row r="72" spans="1:13" ht="15.75" customHeight="1" x14ac:dyDescent="0.25">
      <c r="A72" s="39">
        <v>35046</v>
      </c>
      <c r="B72" s="6">
        <v>6.38</v>
      </c>
      <c r="C72" s="1" t="str">
        <f t="shared" si="0"/>
        <v>Q4 1995</v>
      </c>
      <c r="D72" s="1">
        <f t="shared" si="6"/>
        <v>36</v>
      </c>
      <c r="E72" s="1">
        <f t="shared" si="1"/>
        <v>229.68</v>
      </c>
      <c r="G72" s="1" t="str">
        <f ca="1">IFERROR(__xludf.DUMMYFUNCTION("""COMPUTED_VALUE"""),"Q2 1987")</f>
        <v>Q2 1987</v>
      </c>
      <c r="H72" s="1">
        <f t="shared" ca="1" si="2"/>
        <v>893</v>
      </c>
      <c r="I72" s="1">
        <f t="shared" ca="1" si="3"/>
        <v>100</v>
      </c>
      <c r="J72" s="1">
        <f t="shared" ca="1" si="4"/>
        <v>8.93</v>
      </c>
      <c r="L72" s="23" t="s">
        <v>122</v>
      </c>
      <c r="M72" s="1">
        <v>4.5</v>
      </c>
    </row>
    <row r="73" spans="1:13" ht="15.75" customHeight="1" x14ac:dyDescent="0.25">
      <c r="A73" s="39">
        <v>34732</v>
      </c>
      <c r="B73" s="6">
        <v>6.63</v>
      </c>
      <c r="C73" s="1" t="str">
        <f t="shared" si="0"/>
        <v>Q1 1995</v>
      </c>
      <c r="D73" s="1">
        <f t="shared" si="6"/>
        <v>314</v>
      </c>
      <c r="E73" s="1">
        <f t="shared" si="1"/>
        <v>2081.8200000000002</v>
      </c>
      <c r="G73" s="1" t="str">
        <f ca="1">IFERROR(__xludf.DUMMYFUNCTION("""COMPUTED_VALUE"""),"Q1 1987")</f>
        <v>Q1 1987</v>
      </c>
      <c r="H73" s="1">
        <f t="shared" ca="1" si="2"/>
        <v>498.50000000000006</v>
      </c>
      <c r="I73" s="1">
        <f t="shared" ca="1" si="3"/>
        <v>50</v>
      </c>
      <c r="J73" s="1">
        <f t="shared" ca="1" si="4"/>
        <v>9.9700000000000006</v>
      </c>
      <c r="L73" s="24" t="s">
        <v>123</v>
      </c>
      <c r="M73" s="1">
        <f ca="1">IFERROR(VLOOKUP(L73, G:J, 4, FALSE), "")</f>
        <v>4.5</v>
      </c>
    </row>
    <row r="74" spans="1:13" ht="15.75" customHeight="1" x14ac:dyDescent="0.25">
      <c r="A74" s="39">
        <v>34675</v>
      </c>
      <c r="B74" s="6">
        <v>6.13</v>
      </c>
      <c r="C74" s="1" t="str">
        <f t="shared" si="0"/>
        <v>Q4 1994</v>
      </c>
      <c r="D74" s="1">
        <f t="shared" si="6"/>
        <v>57</v>
      </c>
      <c r="E74" s="1">
        <f t="shared" si="1"/>
        <v>349.40999999999997</v>
      </c>
      <c r="G74" s="1" t="str">
        <f ca="1">IFERROR(__xludf.DUMMYFUNCTION("""COMPUTED_VALUE"""),"Q4 1986")</f>
        <v>Q4 1986</v>
      </c>
      <c r="H74" s="1">
        <f t="shared" ca="1" si="2"/>
        <v>1577.6000000000001</v>
      </c>
      <c r="I74" s="1">
        <f t="shared" ca="1" si="3"/>
        <v>145</v>
      </c>
      <c r="J74" s="1">
        <f t="shared" ca="1" si="4"/>
        <v>10.88</v>
      </c>
      <c r="L74" s="13" t="s">
        <v>124</v>
      </c>
      <c r="M74" s="1">
        <v>4.75</v>
      </c>
    </row>
    <row r="75" spans="1:13" ht="15.75" customHeight="1" x14ac:dyDescent="0.25">
      <c r="A75" s="39">
        <v>34589</v>
      </c>
      <c r="B75" s="6">
        <v>5.63</v>
      </c>
      <c r="C75" s="1" t="str">
        <f t="shared" si="0"/>
        <v>Q3 1994</v>
      </c>
      <c r="D75" s="1">
        <f t="shared" si="6"/>
        <v>86</v>
      </c>
      <c r="E75" s="1">
        <f t="shared" si="1"/>
        <v>484.18</v>
      </c>
      <c r="G75" s="1" t="str">
        <f ca="1">IFERROR(__xludf.DUMMYFUNCTION("""COMPUTED_VALUE"""),"Q2 1986")</f>
        <v>Q2 1986</v>
      </c>
      <c r="H75" s="1">
        <f t="shared" ca="1" si="2"/>
        <v>1872.0600000000002</v>
      </c>
      <c r="I75" s="1">
        <f t="shared" ca="1" si="3"/>
        <v>187</v>
      </c>
      <c r="J75" s="1">
        <f t="shared" ca="1" si="4"/>
        <v>10.011016042780749</v>
      </c>
      <c r="L75" s="15" t="s">
        <v>125</v>
      </c>
      <c r="M75" s="1">
        <v>4.75</v>
      </c>
    </row>
    <row r="76" spans="1:13" ht="15.75" customHeight="1" x14ac:dyDescent="0.25">
      <c r="A76" s="39">
        <v>34373</v>
      </c>
      <c r="B76" s="6">
        <v>5.13</v>
      </c>
      <c r="C76" s="1" t="str">
        <f t="shared" si="0"/>
        <v>Q1 1994</v>
      </c>
      <c r="D76" s="1">
        <f t="shared" si="6"/>
        <v>216</v>
      </c>
      <c r="E76" s="1">
        <f t="shared" si="1"/>
        <v>1108.08</v>
      </c>
      <c r="G76" s="1" t="str">
        <f ca="1">IFERROR(__xludf.DUMMYFUNCTION("""COMPUTED_VALUE"""),"Q1 1986")</f>
        <v>Q1 1986</v>
      </c>
      <c r="H76" s="1">
        <f t="shared" ca="1" si="2"/>
        <v>1041.68</v>
      </c>
      <c r="I76" s="1">
        <f t="shared" ca="1" si="3"/>
        <v>86</v>
      </c>
      <c r="J76" s="1">
        <f t="shared" ca="1" si="4"/>
        <v>12.112558139534885</v>
      </c>
      <c r="L76" s="23" t="s">
        <v>126</v>
      </c>
      <c r="M76" s="1">
        <v>4.75</v>
      </c>
    </row>
    <row r="77" spans="1:13" ht="15.75" customHeight="1" x14ac:dyDescent="0.25">
      <c r="A77" s="39">
        <v>34296</v>
      </c>
      <c r="B77" s="6">
        <v>5.38</v>
      </c>
      <c r="C77" s="1" t="str">
        <f t="shared" si="0"/>
        <v>Q4 1993</v>
      </c>
      <c r="D77" s="1">
        <f t="shared" si="6"/>
        <v>77</v>
      </c>
      <c r="E77" s="1">
        <f t="shared" si="1"/>
        <v>414.26</v>
      </c>
      <c r="G77" s="1" t="str">
        <f ca="1">IFERROR(__xludf.DUMMYFUNCTION("""COMPUTED_VALUE"""),"Q3 1985")</f>
        <v>Q3 1985</v>
      </c>
      <c r="H77" s="1">
        <f t="shared" ca="1" si="2"/>
        <v>2146.94</v>
      </c>
      <c r="I77" s="1">
        <f t="shared" ca="1" si="3"/>
        <v>188</v>
      </c>
      <c r="J77" s="1">
        <f t="shared" ca="1" si="4"/>
        <v>11.419893617021277</v>
      </c>
      <c r="L77" s="24" t="s">
        <v>127</v>
      </c>
      <c r="M77" s="1">
        <f t="shared" ref="M77:M81" ca="1" si="9">IFERROR(VLOOKUP(L77, G:J, 4, FALSE), "")</f>
        <v>4.75</v>
      </c>
    </row>
    <row r="78" spans="1:13" ht="15.75" customHeight="1" x14ac:dyDescent="0.25">
      <c r="A78" s="39">
        <v>33995</v>
      </c>
      <c r="B78" s="6">
        <v>5.88</v>
      </c>
      <c r="C78" s="1" t="str">
        <f t="shared" si="0"/>
        <v>Q1 1993</v>
      </c>
      <c r="D78" s="1">
        <f t="shared" si="6"/>
        <v>301</v>
      </c>
      <c r="E78" s="1">
        <f t="shared" si="1"/>
        <v>1769.8799999999999</v>
      </c>
      <c r="G78" s="1" t="str">
        <f ca="1">IFERROR(__xludf.DUMMYFUNCTION("""COMPUTED_VALUE"""),"Q2 1985")</f>
        <v>Q2 1985</v>
      </c>
      <c r="H78" s="1">
        <f t="shared" ca="1" si="2"/>
        <v>1027.54</v>
      </c>
      <c r="I78" s="1">
        <f t="shared" ca="1" si="3"/>
        <v>83</v>
      </c>
      <c r="J78" s="1">
        <f t="shared" ca="1" si="4"/>
        <v>12.379999999999999</v>
      </c>
      <c r="L78" s="13" t="s">
        <v>128</v>
      </c>
      <c r="M78" s="1">
        <f t="shared" ca="1" si="9"/>
        <v>4.4038461538461542</v>
      </c>
    </row>
    <row r="79" spans="1:13" ht="15.75" customHeight="1" x14ac:dyDescent="0.25">
      <c r="A79" s="39">
        <v>33921</v>
      </c>
      <c r="B79" s="6">
        <v>6.88</v>
      </c>
      <c r="C79" s="1" t="str">
        <f t="shared" si="0"/>
        <v>Q4 1992</v>
      </c>
      <c r="D79" s="1">
        <f t="shared" si="6"/>
        <v>74</v>
      </c>
      <c r="E79" s="1">
        <f t="shared" si="1"/>
        <v>509.12</v>
      </c>
      <c r="G79" s="1" t="str">
        <f ca="1">IFERROR(__xludf.DUMMYFUNCTION("""COMPUTED_VALUE"""),"Q1 1985")</f>
        <v>Q1 1985</v>
      </c>
      <c r="H79" s="1">
        <f t="shared" ca="1" si="2"/>
        <v>1264.5999999999999</v>
      </c>
      <c r="I79" s="1">
        <f t="shared" ca="1" si="3"/>
        <v>95</v>
      </c>
      <c r="J79" s="1">
        <f t="shared" ca="1" si="4"/>
        <v>13.311578947368421</v>
      </c>
      <c r="L79" s="15" t="s">
        <v>129</v>
      </c>
      <c r="M79" s="1">
        <f t="shared" ca="1" si="9"/>
        <v>4</v>
      </c>
    </row>
    <row r="80" spans="1:13" ht="15.75" customHeight="1" x14ac:dyDescent="0.25">
      <c r="A80" s="39">
        <v>33893</v>
      </c>
      <c r="B80" s="6">
        <v>7.88</v>
      </c>
      <c r="C80" s="1" t="str">
        <f t="shared" si="0"/>
        <v>Q4 1992</v>
      </c>
      <c r="D80" s="1">
        <f t="shared" si="6"/>
        <v>28</v>
      </c>
      <c r="E80" s="1">
        <f t="shared" si="1"/>
        <v>220.64</v>
      </c>
      <c r="G80" s="1" t="str">
        <f ca="1">IFERROR(__xludf.DUMMYFUNCTION("""COMPUTED_VALUE"""),"Q4 1984")</f>
        <v>Q4 1984</v>
      </c>
      <c r="H80" s="1">
        <f t="shared" ca="1" si="2"/>
        <v>673</v>
      </c>
      <c r="I80" s="1">
        <f t="shared" ca="1" si="3"/>
        <v>70</v>
      </c>
      <c r="J80" s="1">
        <f t="shared" ca="1" si="4"/>
        <v>9.6142857142857139</v>
      </c>
      <c r="L80" s="23" t="s">
        <v>130</v>
      </c>
      <c r="M80" s="1">
        <f t="shared" ca="1" si="9"/>
        <v>3.75</v>
      </c>
    </row>
    <row r="81" spans="1:13" ht="15.75" customHeight="1" x14ac:dyDescent="0.25">
      <c r="A81" s="39">
        <v>33869</v>
      </c>
      <c r="B81" s="6">
        <v>8.8800000000000008</v>
      </c>
      <c r="C81" s="1" t="str">
        <f t="shared" si="0"/>
        <v>Q3 1992</v>
      </c>
      <c r="D81" s="1">
        <f t="shared" si="6"/>
        <v>24</v>
      </c>
      <c r="E81" s="1">
        <f t="shared" si="1"/>
        <v>213.12</v>
      </c>
      <c r="G81" s="1" t="str">
        <f ca="1">IFERROR(__xludf.DUMMYFUNCTION("""COMPUTED_VALUE"""),"Q3 1984")</f>
        <v>Q3 1984</v>
      </c>
      <c r="H81" s="1">
        <f t="shared" ca="1" si="2"/>
        <v>1325.25</v>
      </c>
      <c r="I81" s="1">
        <f t="shared" ca="1" si="3"/>
        <v>122</v>
      </c>
      <c r="J81" s="1">
        <f t="shared" ca="1" si="4"/>
        <v>10.862704918032787</v>
      </c>
      <c r="L81" s="24" t="s">
        <v>131</v>
      </c>
      <c r="M81" s="1">
        <f t="shared" ca="1" si="9"/>
        <v>3.5</v>
      </c>
    </row>
    <row r="82" spans="1:13" ht="15.75" customHeight="1" x14ac:dyDescent="0.25">
      <c r="A82" s="39">
        <v>33729</v>
      </c>
      <c r="B82" s="6">
        <v>9.8800000000000008</v>
      </c>
      <c r="C82" s="1" t="str">
        <f t="shared" si="0"/>
        <v>Q2 1992</v>
      </c>
      <c r="D82" s="1">
        <f t="shared" si="6"/>
        <v>140</v>
      </c>
      <c r="E82" s="1">
        <f t="shared" si="1"/>
        <v>1383.2</v>
      </c>
      <c r="G82" s="1" t="str">
        <f ca="1">IFERROR(__xludf.DUMMYFUNCTION("""COMPUTED_VALUE"""),"Q2 1984")</f>
        <v>Q2 1984</v>
      </c>
      <c r="H82" s="1">
        <f t="shared" ca="1" si="2"/>
        <v>515.16</v>
      </c>
      <c r="I82" s="1">
        <f t="shared" ca="1" si="3"/>
        <v>57</v>
      </c>
      <c r="J82" s="1">
        <f t="shared" ca="1" si="4"/>
        <v>9.0378947368421052</v>
      </c>
      <c r="L82" s="13" t="s">
        <v>132</v>
      </c>
      <c r="M82" s="1">
        <v>3.75</v>
      </c>
    </row>
    <row r="83" spans="1:13" ht="15.75" customHeight="1" x14ac:dyDescent="0.25">
      <c r="A83" s="39">
        <v>33485</v>
      </c>
      <c r="B83" s="6">
        <v>10.38</v>
      </c>
      <c r="C83" s="1" t="str">
        <f t="shared" si="0"/>
        <v>Q3 1991</v>
      </c>
      <c r="D83" s="1">
        <f t="shared" si="6"/>
        <v>244</v>
      </c>
      <c r="E83" s="1">
        <f t="shared" si="1"/>
        <v>2532.7200000000003</v>
      </c>
      <c r="G83" s="1" t="str">
        <f ca="1">IFERROR(__xludf.DUMMYFUNCTION("""COMPUTED_VALUE"""),"Q1 1984")</f>
        <v>Q1 1984</v>
      </c>
      <c r="H83" s="1">
        <f t="shared" ca="1" si="2"/>
        <v>549.59</v>
      </c>
      <c r="I83" s="1">
        <f t="shared" ca="1" si="3"/>
        <v>64</v>
      </c>
      <c r="J83" s="1">
        <f t="shared" ca="1" si="4"/>
        <v>8.5873437500000005</v>
      </c>
      <c r="L83" s="15" t="s">
        <v>133</v>
      </c>
      <c r="M83" s="1">
        <f ca="1">IFERROR(VLOOKUP(L83, G:J, 4, FALSE), "")</f>
        <v>3.75</v>
      </c>
    </row>
    <row r="84" spans="1:13" ht="15.75" customHeight="1" x14ac:dyDescent="0.25">
      <c r="A84" s="39">
        <v>33431</v>
      </c>
      <c r="B84" s="6">
        <v>10.88</v>
      </c>
      <c r="C84" s="1" t="str">
        <f t="shared" si="0"/>
        <v>Q3 1991</v>
      </c>
      <c r="D84" s="1">
        <f t="shared" si="6"/>
        <v>54</v>
      </c>
      <c r="E84" s="1">
        <f t="shared" si="1"/>
        <v>587.5200000000001</v>
      </c>
      <c r="G84" s="1" t="str">
        <f ca="1">IFERROR(__xludf.DUMMYFUNCTION("""COMPUTED_VALUE"""),"Q4 1983")</f>
        <v>Q4 1983</v>
      </c>
      <c r="H84" s="1">
        <f t="shared" ca="1" si="2"/>
        <v>1413.3600000000001</v>
      </c>
      <c r="I84" s="1">
        <f t="shared" ca="1" si="3"/>
        <v>156</v>
      </c>
      <c r="J84" s="1">
        <f t="shared" ca="1" si="4"/>
        <v>9.06</v>
      </c>
      <c r="L84" s="23" t="s">
        <v>134</v>
      </c>
      <c r="M84" s="1">
        <v>4.0357142857142856</v>
      </c>
    </row>
    <row r="85" spans="1:13" ht="15.75" customHeight="1" x14ac:dyDescent="0.25">
      <c r="A85" s="39">
        <v>33382</v>
      </c>
      <c r="B85" s="6">
        <v>11.38</v>
      </c>
      <c r="C85" s="1" t="str">
        <f t="shared" si="0"/>
        <v>Q2 1991</v>
      </c>
      <c r="D85" s="1">
        <f t="shared" si="6"/>
        <v>49</v>
      </c>
      <c r="E85" s="1">
        <f t="shared" si="1"/>
        <v>557.62</v>
      </c>
      <c r="G85" s="1" t="str">
        <f ca="1">IFERROR(__xludf.DUMMYFUNCTION("""COMPUTED_VALUE"""),"Q3 1983")</f>
        <v>Q3 1983</v>
      </c>
      <c r="H85" s="1">
        <f t="shared" ca="1" si="2"/>
        <v>525.68000000000006</v>
      </c>
      <c r="I85" s="1">
        <f t="shared" ca="1" si="3"/>
        <v>55</v>
      </c>
      <c r="J85" s="1">
        <f t="shared" ca="1" si="4"/>
        <v>9.5578181818181829</v>
      </c>
      <c r="L85" s="24" t="s">
        <v>135</v>
      </c>
      <c r="M85" s="1">
        <v>4.0357142857142856</v>
      </c>
    </row>
    <row r="86" spans="1:13" ht="15.75" customHeight="1" x14ac:dyDescent="0.25">
      <c r="A86" s="39">
        <v>33340</v>
      </c>
      <c r="B86" s="6">
        <v>11.88</v>
      </c>
      <c r="C86" s="1" t="str">
        <f t="shared" si="0"/>
        <v>Q2 1991</v>
      </c>
      <c r="D86" s="1">
        <f t="shared" si="6"/>
        <v>42</v>
      </c>
      <c r="E86" s="1">
        <f t="shared" si="1"/>
        <v>498.96000000000004</v>
      </c>
      <c r="G86" s="1" t="str">
        <f ca="1">IFERROR(__xludf.DUMMYFUNCTION("""COMPUTED_VALUE"""),"Q2 1983")</f>
        <v>Q2 1983</v>
      </c>
      <c r="H86" s="1">
        <f t="shared" ca="1" si="2"/>
        <v>1159.08</v>
      </c>
      <c r="I86" s="1">
        <f t="shared" ca="1" si="3"/>
        <v>118</v>
      </c>
      <c r="J86" s="1">
        <f t="shared" ca="1" si="4"/>
        <v>9.822711864406779</v>
      </c>
      <c r="L86" s="13" t="s">
        <v>136</v>
      </c>
      <c r="M86" s="1">
        <v>4.0357142857142856</v>
      </c>
    </row>
    <row r="87" spans="1:13" ht="15.75" customHeight="1" x14ac:dyDescent="0.25">
      <c r="A87" s="39">
        <v>33319</v>
      </c>
      <c r="B87" s="6">
        <v>12.38</v>
      </c>
      <c r="C87" s="1" t="str">
        <f t="shared" si="0"/>
        <v>Q1 1991</v>
      </c>
      <c r="D87" s="1">
        <f t="shared" si="6"/>
        <v>21</v>
      </c>
      <c r="E87" s="1">
        <f t="shared" si="1"/>
        <v>259.98</v>
      </c>
      <c r="G87" s="1" t="str">
        <f ca="1">IFERROR(__xludf.DUMMYFUNCTION("""COMPUTED_VALUE"""),"Q1 1983")</f>
        <v>Q1 1983</v>
      </c>
      <c r="H87" s="1">
        <f t="shared" ca="1" si="2"/>
        <v>988.24</v>
      </c>
      <c r="I87" s="1">
        <f t="shared" ca="1" si="3"/>
        <v>91</v>
      </c>
      <c r="J87" s="1">
        <f t="shared" ca="1" si="4"/>
        <v>10.85978021978022</v>
      </c>
      <c r="L87" s="15" t="s">
        <v>137</v>
      </c>
      <c r="M87" s="1">
        <v>4.0357142857142856</v>
      </c>
    </row>
    <row r="88" spans="1:13" ht="15.75" customHeight="1" x14ac:dyDescent="0.25">
      <c r="A88" s="39">
        <v>33296</v>
      </c>
      <c r="B88" s="6">
        <v>12.88</v>
      </c>
      <c r="C88" s="1" t="str">
        <f t="shared" si="0"/>
        <v>Q1 1991</v>
      </c>
      <c r="D88" s="1">
        <f t="shared" si="6"/>
        <v>23</v>
      </c>
      <c r="E88" s="1">
        <f t="shared" si="1"/>
        <v>296.24</v>
      </c>
      <c r="G88" s="1" t="str">
        <f ca="1">IFERROR(__xludf.DUMMYFUNCTION("""COMPUTED_VALUE"""),"Q4 1982")</f>
        <v>Q4 1982</v>
      </c>
      <c r="H88" s="1">
        <f t="shared" ca="1" si="2"/>
        <v>891.1</v>
      </c>
      <c r="I88" s="1">
        <f t="shared" ca="1" si="3"/>
        <v>92</v>
      </c>
      <c r="J88" s="1">
        <f t="shared" ca="1" si="4"/>
        <v>9.6858695652173914</v>
      </c>
      <c r="L88" s="23" t="s">
        <v>138</v>
      </c>
      <c r="M88" s="1">
        <f t="shared" ref="M88:M91" ca="1" si="10">IFERROR(VLOOKUP(L88, G:J, 4, FALSE), "")</f>
        <v>4.0357142857142856</v>
      </c>
    </row>
    <row r="89" spans="1:13" ht="15.75" customHeight="1" x14ac:dyDescent="0.25">
      <c r="A89" s="39">
        <v>33282</v>
      </c>
      <c r="B89" s="6">
        <v>13.38</v>
      </c>
      <c r="C89" s="1" t="str">
        <f t="shared" si="0"/>
        <v>Q1 1991</v>
      </c>
      <c r="D89" s="1">
        <f t="shared" si="6"/>
        <v>14</v>
      </c>
      <c r="E89" s="1">
        <f t="shared" si="1"/>
        <v>187.32000000000002</v>
      </c>
      <c r="G89" s="1" t="str">
        <f ca="1">IFERROR(__xludf.DUMMYFUNCTION("""COMPUTED_VALUE"""),"Q3 1982")</f>
        <v>Q3 1982</v>
      </c>
      <c r="H89" s="1">
        <f t="shared" ca="1" si="2"/>
        <v>1055.8999999999999</v>
      </c>
      <c r="I89" s="1">
        <f t="shared" ca="1" si="3"/>
        <v>95</v>
      </c>
      <c r="J89" s="1">
        <f t="shared" ca="1" si="4"/>
        <v>11.114736842105263</v>
      </c>
      <c r="L89" s="24" t="s">
        <v>139</v>
      </c>
      <c r="M89" s="1">
        <f t="shared" ca="1" si="10"/>
        <v>4.9365079365079367</v>
      </c>
    </row>
    <row r="90" spans="1:13" ht="15.75" customHeight="1" x14ac:dyDescent="0.25">
      <c r="A90" s="39">
        <v>33154</v>
      </c>
      <c r="B90" s="6">
        <v>13.88</v>
      </c>
      <c r="C90" s="1" t="str">
        <f t="shared" si="0"/>
        <v>Q4 1990</v>
      </c>
      <c r="D90" s="1">
        <f t="shared" si="6"/>
        <v>128</v>
      </c>
      <c r="E90" s="1">
        <f t="shared" si="1"/>
        <v>1776.64</v>
      </c>
      <c r="G90" s="1" t="str">
        <f ca="1">IFERROR(__xludf.DUMMYFUNCTION("""COMPUTED_VALUE"""),"Q2 1982")</f>
        <v>Q2 1982</v>
      </c>
      <c r="H90" s="1">
        <f t="shared" ca="1" si="2"/>
        <v>1087.2900000000002</v>
      </c>
      <c r="I90" s="1">
        <f t="shared" ca="1" si="3"/>
        <v>84</v>
      </c>
      <c r="J90" s="1">
        <f t="shared" ca="1" si="4"/>
        <v>12.943928571428573</v>
      </c>
      <c r="L90" s="13" t="s">
        <v>140</v>
      </c>
      <c r="M90" s="1">
        <f t="shared" ca="1" si="10"/>
        <v>5.3235294117647056</v>
      </c>
    </row>
    <row r="91" spans="1:13" ht="15.75" customHeight="1" x14ac:dyDescent="0.25">
      <c r="A91" s="39">
        <v>32787</v>
      </c>
      <c r="B91" s="6">
        <v>14.88</v>
      </c>
      <c r="C91" s="1" t="str">
        <f t="shared" si="0"/>
        <v>Q4 1989</v>
      </c>
      <c r="D91" s="1">
        <f t="shared" si="6"/>
        <v>367</v>
      </c>
      <c r="E91" s="1">
        <f t="shared" si="1"/>
        <v>5460.96</v>
      </c>
      <c r="G91" s="1" t="str">
        <f ca="1">IFERROR(__xludf.DUMMYFUNCTION("""COMPUTED_VALUE"""),"Q1 1982")</f>
        <v>Q1 1982</v>
      </c>
      <c r="H91" s="1">
        <f t="shared" ca="1" si="2"/>
        <v>1195.8400000000001</v>
      </c>
      <c r="I91" s="1">
        <f t="shared" ca="1" si="3"/>
        <v>88</v>
      </c>
      <c r="J91" s="1">
        <f t="shared" ca="1" si="4"/>
        <v>13.589090909090912</v>
      </c>
      <c r="L91" s="15" t="s">
        <v>141</v>
      </c>
      <c r="M91" s="1">
        <f t="shared" ca="1" si="10"/>
        <v>5.75</v>
      </c>
    </row>
    <row r="92" spans="1:13" ht="15.75" customHeight="1" x14ac:dyDescent="0.25">
      <c r="A92" s="39">
        <v>32759</v>
      </c>
      <c r="B92" s="6">
        <v>13.75</v>
      </c>
      <c r="C92" s="1" t="str">
        <f t="shared" si="0"/>
        <v>Q3 1989</v>
      </c>
      <c r="D92" s="1">
        <f t="shared" si="6"/>
        <v>28</v>
      </c>
      <c r="E92" s="1">
        <f t="shared" si="1"/>
        <v>385</v>
      </c>
      <c r="G92" s="1" t="str">
        <f ca="1">IFERROR(__xludf.DUMMYFUNCTION("""COMPUTED_VALUE"""),"Q4 1981")</f>
        <v>Q4 1981</v>
      </c>
      <c r="H92" s="1">
        <f t="shared" ca="1" si="2"/>
        <v>1433.5700000000002</v>
      </c>
      <c r="I92" s="1">
        <f t="shared" ca="1" si="3"/>
        <v>98</v>
      </c>
      <c r="J92" s="1">
        <f t="shared" ca="1" si="4"/>
        <v>14.628265306122451</v>
      </c>
      <c r="L92" s="23" t="s">
        <v>142</v>
      </c>
      <c r="M92" s="1">
        <v>5.9821428571428568</v>
      </c>
    </row>
    <row r="93" spans="1:13" ht="15.75" customHeight="1" x14ac:dyDescent="0.25">
      <c r="A93" s="39">
        <v>32755</v>
      </c>
      <c r="B93" s="6">
        <v>13.88</v>
      </c>
      <c r="C93" s="1" t="str">
        <f t="shared" si="0"/>
        <v>Q3 1989</v>
      </c>
      <c r="D93" s="1">
        <f t="shared" si="6"/>
        <v>4</v>
      </c>
      <c r="E93" s="1">
        <f t="shared" si="1"/>
        <v>55.52</v>
      </c>
      <c r="G93" s="1" t="str">
        <f ca="1">IFERROR(__xludf.DUMMYFUNCTION("""COMPUTED_VALUE"""),"Q3 1981")</f>
        <v>Q3 1981</v>
      </c>
      <c r="H93" s="1">
        <f t="shared" ca="1" si="2"/>
        <v>644.49</v>
      </c>
      <c r="I93" s="1">
        <f t="shared" ca="1" si="3"/>
        <v>48</v>
      </c>
      <c r="J93" s="1">
        <f t="shared" ca="1" si="4"/>
        <v>13.426875000000001</v>
      </c>
      <c r="L93" s="24" t="s">
        <v>143</v>
      </c>
      <c r="M93" s="1">
        <v>5.9821428571428568</v>
      </c>
    </row>
    <row r="94" spans="1:13" ht="15.75" customHeight="1" x14ac:dyDescent="0.25">
      <c r="A94" s="39">
        <v>32751</v>
      </c>
      <c r="B94" s="6">
        <v>13.84</v>
      </c>
      <c r="C94" s="1" t="str">
        <f t="shared" si="0"/>
        <v>Q3 1989</v>
      </c>
      <c r="D94" s="1">
        <f t="shared" si="6"/>
        <v>4</v>
      </c>
      <c r="E94" s="1">
        <f t="shared" si="1"/>
        <v>55.36</v>
      </c>
      <c r="G94" s="1" t="str">
        <f ca="1">IFERROR(__xludf.DUMMYFUNCTION("""COMPUTED_VALUE"""),"Q1 1981")</f>
        <v>Q1 1981</v>
      </c>
      <c r="H94" s="1">
        <f t="shared" ca="1" si="2"/>
        <v>2004</v>
      </c>
      <c r="I94" s="1">
        <f t="shared" ca="1" si="3"/>
        <v>167</v>
      </c>
      <c r="J94" s="1">
        <f t="shared" ca="1" si="4"/>
        <v>12</v>
      </c>
      <c r="L94" s="13" t="s">
        <v>144</v>
      </c>
      <c r="M94" s="1">
        <v>5.9821428571428568</v>
      </c>
    </row>
    <row r="95" spans="1:13" ht="15.75" customHeight="1" x14ac:dyDescent="0.25">
      <c r="A95" s="39">
        <v>32653</v>
      </c>
      <c r="B95" s="6">
        <v>13.75</v>
      </c>
      <c r="C95" s="1" t="str">
        <f t="shared" si="0"/>
        <v>Q2 1989</v>
      </c>
      <c r="D95" s="1">
        <f t="shared" si="6"/>
        <v>98</v>
      </c>
      <c r="E95" s="1">
        <f t="shared" si="1"/>
        <v>1347.5</v>
      </c>
      <c r="G95" s="1" t="str">
        <f ca="1">IFERROR(__xludf.DUMMYFUNCTION("""COMPUTED_VALUE"""),"Q4 1980")</f>
        <v>Q4 1980</v>
      </c>
      <c r="H95" s="1">
        <f t="shared" ca="1" si="2"/>
        <v>1484</v>
      </c>
      <c r="I95" s="1">
        <f t="shared" ca="1" si="3"/>
        <v>106</v>
      </c>
      <c r="J95" s="1">
        <f t="shared" ca="1" si="4"/>
        <v>14</v>
      </c>
      <c r="L95" s="15" t="s">
        <v>145</v>
      </c>
      <c r="M95" s="1">
        <f t="shared" ref="M95:M100" ca="1" si="11">IFERROR(VLOOKUP(L95, G:J, 4, FALSE), "")</f>
        <v>5.9821428571428568</v>
      </c>
    </row>
    <row r="96" spans="1:13" ht="15.75" customHeight="1" x14ac:dyDescent="0.25">
      <c r="A96" s="39">
        <v>32472</v>
      </c>
      <c r="B96" s="6">
        <v>12.88</v>
      </c>
      <c r="C96" s="1" t="str">
        <f t="shared" si="0"/>
        <v>Q4 1988</v>
      </c>
      <c r="D96" s="1">
        <f t="shared" si="6"/>
        <v>181</v>
      </c>
      <c r="E96" s="1">
        <f t="shared" si="1"/>
        <v>2331.2800000000002</v>
      </c>
      <c r="G96" s="1" t="str">
        <f ca="1">IFERROR(__xludf.DUMMYFUNCTION("""COMPUTED_VALUE"""),"Q3 1980")</f>
        <v>Q3 1980</v>
      </c>
      <c r="H96" s="1">
        <f t="shared" ca="1" si="2"/>
        <v>2320</v>
      </c>
      <c r="I96" s="1">
        <f t="shared" ca="1" si="3"/>
        <v>145</v>
      </c>
      <c r="J96" s="1">
        <f t="shared" ca="1" si="4"/>
        <v>16</v>
      </c>
      <c r="L96" s="5" t="s">
        <v>146</v>
      </c>
      <c r="M96" s="1">
        <f t="shared" ca="1" si="11"/>
        <v>5.5</v>
      </c>
    </row>
    <row r="97" spans="1:13" ht="15.75" customHeight="1" x14ac:dyDescent="0.25">
      <c r="A97" s="39">
        <v>32380</v>
      </c>
      <c r="B97" s="6">
        <v>11.88</v>
      </c>
      <c r="C97" s="1" t="str">
        <f t="shared" si="0"/>
        <v>Q3 1988</v>
      </c>
      <c r="D97" s="1">
        <f t="shared" si="6"/>
        <v>92</v>
      </c>
      <c r="E97" s="1">
        <f t="shared" si="1"/>
        <v>1092.96</v>
      </c>
      <c r="G97" s="1" t="str">
        <f ca="1">IFERROR(__xludf.DUMMYFUNCTION("""COMPUTED_VALUE"""),"Q4 1979")</f>
        <v>Q4 1979</v>
      </c>
      <c r="H97" s="1">
        <f t="shared" ca="1" si="2"/>
        <v>3927</v>
      </c>
      <c r="I97" s="1">
        <f t="shared" ca="1" si="3"/>
        <v>231</v>
      </c>
      <c r="J97" s="1">
        <f t="shared" ca="1" si="4"/>
        <v>17</v>
      </c>
      <c r="L97" s="13" t="s">
        <v>147</v>
      </c>
      <c r="M97" s="1">
        <f t="shared" ca="1" si="11"/>
        <v>5.25</v>
      </c>
    </row>
    <row r="98" spans="1:13" ht="15.75" customHeight="1" x14ac:dyDescent="0.25">
      <c r="A98" s="39">
        <v>32363</v>
      </c>
      <c r="B98" s="6">
        <v>10.88</v>
      </c>
      <c r="C98" s="1" t="str">
        <f t="shared" si="0"/>
        <v>Q3 1988</v>
      </c>
      <c r="D98" s="1">
        <f t="shared" si="6"/>
        <v>17</v>
      </c>
      <c r="E98" s="1">
        <f t="shared" si="1"/>
        <v>184.96</v>
      </c>
      <c r="G98" s="1" t="str">
        <f ca="1">IFERROR(__xludf.DUMMYFUNCTION("""COMPUTED_VALUE"""),"Q2 1979")</f>
        <v>Q2 1979</v>
      </c>
      <c r="H98" s="1">
        <f t="shared" ca="1" si="2"/>
        <v>2998</v>
      </c>
      <c r="I98" s="1">
        <f t="shared" ca="1" si="3"/>
        <v>224</v>
      </c>
      <c r="J98" s="1">
        <f t="shared" ca="1" si="4"/>
        <v>13.383928571428571</v>
      </c>
      <c r="L98" s="13" t="s">
        <v>148</v>
      </c>
      <c r="M98" s="1">
        <f t="shared" ca="1" si="11"/>
        <v>5.1029411764705879</v>
      </c>
    </row>
    <row r="99" spans="1:13" ht="15.75" customHeight="1" x14ac:dyDescent="0.25">
      <c r="A99" s="39">
        <v>32345</v>
      </c>
      <c r="B99" s="6">
        <v>10.38</v>
      </c>
      <c r="C99" s="1" t="str">
        <f t="shared" si="0"/>
        <v>Q3 1988</v>
      </c>
      <c r="D99" s="1">
        <f t="shared" si="6"/>
        <v>18</v>
      </c>
      <c r="E99" s="1">
        <f t="shared" si="1"/>
        <v>186.84</v>
      </c>
      <c r="G99" s="1" t="str">
        <f ca="1">IFERROR(__xludf.DUMMYFUNCTION("""COMPUTED_VALUE"""),"Q1 1979")</f>
        <v>Q1 1979</v>
      </c>
      <c r="H99" s="1">
        <f t="shared" ca="1" si="2"/>
        <v>749</v>
      </c>
      <c r="I99" s="1">
        <f t="shared" ca="1" si="3"/>
        <v>56</v>
      </c>
      <c r="J99" s="1">
        <f t="shared" ca="1" si="4"/>
        <v>13.375</v>
      </c>
      <c r="L99" s="15" t="s">
        <v>149</v>
      </c>
      <c r="M99" s="1">
        <f t="shared" ca="1" si="11"/>
        <v>5.6538461538461542</v>
      </c>
    </row>
    <row r="100" spans="1:13" ht="15.75" customHeight="1" x14ac:dyDescent="0.25">
      <c r="A100" s="39">
        <v>32331</v>
      </c>
      <c r="B100" s="6">
        <v>9.8800000000000008</v>
      </c>
      <c r="C100" s="1" t="str">
        <f t="shared" si="0"/>
        <v>Q3 1988</v>
      </c>
      <c r="D100" s="1">
        <f t="shared" si="6"/>
        <v>14</v>
      </c>
      <c r="E100" s="1">
        <f t="shared" si="1"/>
        <v>138.32000000000002</v>
      </c>
      <c r="G100" s="1" t="str">
        <f ca="1">IFERROR(__xludf.DUMMYFUNCTION("""COMPUTED_VALUE"""),"Q4 1978")</f>
        <v>Q4 1978</v>
      </c>
      <c r="H100" s="1">
        <f t="shared" ca="1" si="2"/>
        <v>1137.5</v>
      </c>
      <c r="I100" s="1">
        <f t="shared" ca="1" si="3"/>
        <v>91</v>
      </c>
      <c r="J100" s="1">
        <f t="shared" ca="1" si="4"/>
        <v>12.5</v>
      </c>
      <c r="L100" s="5" t="s">
        <v>150</v>
      </c>
      <c r="M100" s="1">
        <f t="shared" ca="1" si="11"/>
        <v>6.75</v>
      </c>
    </row>
    <row r="101" spans="1:13" ht="15.75" customHeight="1" x14ac:dyDescent="0.25">
      <c r="A101" s="39">
        <v>32318</v>
      </c>
      <c r="B101" s="6">
        <v>8.8800000000000008</v>
      </c>
      <c r="C101" s="1" t="str">
        <f t="shared" si="0"/>
        <v>Q2 1988</v>
      </c>
      <c r="D101" s="1">
        <f t="shared" si="6"/>
        <v>13</v>
      </c>
      <c r="E101" s="1">
        <f t="shared" si="1"/>
        <v>115.44000000000001</v>
      </c>
      <c r="G101" s="1" t="str">
        <f ca="1">IFERROR(__xludf.DUMMYFUNCTION("""COMPUTED_VALUE"""),"Q2 1978")</f>
        <v>Q2 1978</v>
      </c>
      <c r="H101" s="1">
        <f t="shared" ca="1" si="2"/>
        <v>2012.25</v>
      </c>
      <c r="I101" s="1">
        <f t="shared" ca="1" si="3"/>
        <v>211</v>
      </c>
      <c r="J101" s="1">
        <f t="shared" ca="1" si="4"/>
        <v>9.5367298578199051</v>
      </c>
      <c r="L101" s="13" t="s">
        <v>151</v>
      </c>
      <c r="M101" s="1">
        <v>7.5</v>
      </c>
    </row>
    <row r="102" spans="1:13" ht="15.75" customHeight="1" x14ac:dyDescent="0.25">
      <c r="A102" s="39">
        <v>32304</v>
      </c>
      <c r="B102" s="6">
        <v>8.3800000000000008</v>
      </c>
      <c r="C102" s="1" t="str">
        <f t="shared" si="0"/>
        <v>Q2 1988</v>
      </c>
      <c r="D102" s="1">
        <f t="shared" si="6"/>
        <v>14</v>
      </c>
      <c r="E102" s="1">
        <f t="shared" si="1"/>
        <v>117.32000000000001</v>
      </c>
      <c r="G102" s="1" t="str">
        <f ca="1">IFERROR(__xludf.DUMMYFUNCTION("""COMPUTED_VALUE"""),"Q1 1978")</f>
        <v>Q1 1978</v>
      </c>
      <c r="H102" s="1">
        <f t="shared" ca="1" si="2"/>
        <v>604.5</v>
      </c>
      <c r="I102" s="1">
        <f t="shared" ca="1" si="3"/>
        <v>93</v>
      </c>
      <c r="J102" s="1">
        <f t="shared" ca="1" si="4"/>
        <v>6.5</v>
      </c>
      <c r="L102" s="13" t="s">
        <v>152</v>
      </c>
      <c r="M102" s="1">
        <f ca="1">IFERROR(VLOOKUP(L102, G:J, 4, FALSE), "")</f>
        <v>7.5</v>
      </c>
    </row>
    <row r="103" spans="1:13" ht="15.75" customHeight="1" x14ac:dyDescent="0.25">
      <c r="A103" s="39">
        <v>32297</v>
      </c>
      <c r="B103" s="6">
        <v>7.88</v>
      </c>
      <c r="C103" s="1" t="str">
        <f t="shared" si="0"/>
        <v>Q2 1988</v>
      </c>
      <c r="D103" s="1">
        <f t="shared" si="6"/>
        <v>7</v>
      </c>
      <c r="E103" s="1">
        <f t="shared" si="1"/>
        <v>55.16</v>
      </c>
      <c r="G103" s="1" t="str">
        <f ca="1">IFERROR(__xludf.DUMMYFUNCTION("""COMPUTED_VALUE"""),"Q4 1977")</f>
        <v>Q4 1977</v>
      </c>
      <c r="H103" s="1">
        <f t="shared" ca="1" si="2"/>
        <v>542.5</v>
      </c>
      <c r="I103" s="1">
        <f t="shared" ca="1" si="3"/>
        <v>91</v>
      </c>
      <c r="J103" s="1">
        <f t="shared" ca="1" si="4"/>
        <v>5.9615384615384617</v>
      </c>
      <c r="L103" s="25" t="s">
        <v>153</v>
      </c>
      <c r="M103" s="1">
        <v>7.25</v>
      </c>
    </row>
    <row r="104" spans="1:13" ht="15.75" customHeight="1" x14ac:dyDescent="0.25">
      <c r="A104" s="39">
        <v>32280</v>
      </c>
      <c r="B104" s="6">
        <v>7.38</v>
      </c>
      <c r="C104" s="1" t="str">
        <f t="shared" si="0"/>
        <v>Q2 1988</v>
      </c>
      <c r="D104" s="1">
        <f t="shared" si="6"/>
        <v>17</v>
      </c>
      <c r="E104" s="1">
        <f t="shared" si="1"/>
        <v>125.46</v>
      </c>
      <c r="G104" s="1" t="str">
        <f ca="1">IFERROR(__xludf.DUMMYFUNCTION("""COMPUTED_VALUE"""),"Q3 1977")</f>
        <v>Q3 1977</v>
      </c>
      <c r="H104" s="1">
        <f t="shared" ca="1" si="2"/>
        <v>420</v>
      </c>
      <c r="I104" s="1">
        <f t="shared" ca="1" si="3"/>
        <v>63</v>
      </c>
      <c r="J104" s="1">
        <f t="shared" ca="1" si="4"/>
        <v>6.666666666666667</v>
      </c>
      <c r="L104" s="26" t="s">
        <v>154</v>
      </c>
      <c r="M104" s="1">
        <f t="shared" ref="M104:M106" ca="1" si="12">IFERROR(VLOOKUP(L104, G:J, 4, FALSE), "")</f>
        <v>7.25</v>
      </c>
    </row>
    <row r="105" spans="1:13" ht="15.75" customHeight="1" x14ac:dyDescent="0.25">
      <c r="A105" s="39">
        <v>32241</v>
      </c>
      <c r="B105" s="6">
        <v>7.88</v>
      </c>
      <c r="C105" s="1" t="str">
        <f t="shared" si="0"/>
        <v>Q2 1988</v>
      </c>
      <c r="D105" s="1">
        <f t="shared" si="6"/>
        <v>39</v>
      </c>
      <c r="E105" s="1">
        <f t="shared" si="1"/>
        <v>307.32</v>
      </c>
      <c r="G105" s="1" t="str">
        <f ca="1">IFERROR(__xludf.DUMMYFUNCTION("""COMPUTED_VALUE"""),"Q2 1977")</f>
        <v>Q2 1977</v>
      </c>
      <c r="H105" s="1">
        <f t="shared" ca="1" si="2"/>
        <v>967.25</v>
      </c>
      <c r="I105" s="1">
        <f t="shared" ca="1" si="3"/>
        <v>118</v>
      </c>
      <c r="J105" s="1">
        <f t="shared" ca="1" si="4"/>
        <v>8.1970338983050848</v>
      </c>
      <c r="L105" s="13" t="s">
        <v>155</v>
      </c>
      <c r="M105" s="1">
        <f t="shared" ca="1" si="12"/>
        <v>6.9411764705882355</v>
      </c>
    </row>
    <row r="106" spans="1:13" ht="15.75" customHeight="1" x14ac:dyDescent="0.25">
      <c r="A106" s="39">
        <v>32219</v>
      </c>
      <c r="B106" s="6">
        <v>8.3800000000000008</v>
      </c>
      <c r="C106" s="1" t="str">
        <f t="shared" si="0"/>
        <v>Q1 1988</v>
      </c>
      <c r="D106" s="1">
        <f t="shared" si="6"/>
        <v>22</v>
      </c>
      <c r="E106" s="1">
        <f t="shared" si="1"/>
        <v>184.36</v>
      </c>
      <c r="G106" s="1" t="str">
        <f ca="1">IFERROR(__xludf.DUMMYFUNCTION("""COMPUTED_VALUE"""),"Q1 1977")</f>
        <v>Q1 1977</v>
      </c>
      <c r="H106" s="1">
        <f t="shared" ca="1" si="2"/>
        <v>1085.5</v>
      </c>
      <c r="I106" s="1">
        <f t="shared" ca="1" si="3"/>
        <v>92</v>
      </c>
      <c r="J106" s="1">
        <f t="shared" ca="1" si="4"/>
        <v>11.798913043478262</v>
      </c>
      <c r="L106" s="13" t="s">
        <v>156</v>
      </c>
      <c r="M106" s="1">
        <f t="shared" ca="1" si="12"/>
        <v>6.3807692307692312</v>
      </c>
    </row>
    <row r="107" spans="1:13" ht="15.75" customHeight="1" x14ac:dyDescent="0.25">
      <c r="A107" s="39">
        <v>32174</v>
      </c>
      <c r="B107" s="6">
        <v>8.8800000000000008</v>
      </c>
      <c r="C107" s="1" t="str">
        <f t="shared" si="0"/>
        <v>Q1 1988</v>
      </c>
      <c r="D107" s="1">
        <f t="shared" si="6"/>
        <v>45</v>
      </c>
      <c r="E107" s="1">
        <f t="shared" si="1"/>
        <v>399.6</v>
      </c>
      <c r="G107" s="1" t="str">
        <f ca="1">IFERROR(__xludf.DUMMYFUNCTION("""COMPUTED_VALUE"""),"Q4 1976")</f>
        <v>Q4 1976</v>
      </c>
      <c r="H107" s="1">
        <f t="shared" ca="1" si="2"/>
        <v>1404.5</v>
      </c>
      <c r="I107" s="1">
        <f t="shared" ca="1" si="3"/>
        <v>95</v>
      </c>
      <c r="J107" s="1">
        <f t="shared" ca="1" si="4"/>
        <v>14.784210526315789</v>
      </c>
      <c r="L107" s="25" t="s">
        <v>157</v>
      </c>
      <c r="M107" s="1">
        <v>5.94</v>
      </c>
    </row>
    <row r="108" spans="1:13" ht="15.75" customHeight="1" x14ac:dyDescent="0.25">
      <c r="A108" s="39">
        <v>32114</v>
      </c>
      <c r="B108" s="6">
        <v>8.3800000000000008</v>
      </c>
      <c r="C108" s="1" t="str">
        <f t="shared" si="0"/>
        <v>Q4 1987</v>
      </c>
      <c r="D108" s="1">
        <f t="shared" si="6"/>
        <v>60</v>
      </c>
      <c r="E108" s="1">
        <f t="shared" si="1"/>
        <v>502.80000000000007</v>
      </c>
      <c r="G108" s="1" t="str">
        <f ca="1">IFERROR(__xludf.DUMMYFUNCTION("""COMPUTED_VALUE"""),"Q3 1976")</f>
        <v>Q3 1976</v>
      </c>
      <c r="H108" s="1">
        <f t="shared" ca="1" si="2"/>
        <v>312</v>
      </c>
      <c r="I108" s="1">
        <f t="shared" ca="1" si="3"/>
        <v>24</v>
      </c>
      <c r="J108" s="1">
        <f t="shared" ca="1" si="4"/>
        <v>13</v>
      </c>
      <c r="L108" s="5" t="s">
        <v>158</v>
      </c>
      <c r="M108" s="1">
        <f ca="1">IFERROR(VLOOKUP(L108, G:J, 4, FALSE), "")</f>
        <v>5.94</v>
      </c>
    </row>
    <row r="109" spans="1:13" ht="15.75" customHeight="1" x14ac:dyDescent="0.25">
      <c r="A109" s="39">
        <v>32085</v>
      </c>
      <c r="B109" s="6">
        <v>8.8800000000000008</v>
      </c>
      <c r="C109" s="1" t="str">
        <f t="shared" si="0"/>
        <v>Q4 1987</v>
      </c>
      <c r="D109" s="1">
        <f t="shared" si="6"/>
        <v>29</v>
      </c>
      <c r="E109" s="1">
        <f t="shared" si="1"/>
        <v>257.52000000000004</v>
      </c>
      <c r="G109" s="1" t="str">
        <f ca="1">IFERROR(__xludf.DUMMYFUNCTION("""COMPUTED_VALUE"""),"Q2 1976")</f>
        <v>Q2 1976</v>
      </c>
      <c r="H109" s="1">
        <f t="shared" ca="1" si="2"/>
        <v>1582</v>
      </c>
      <c r="I109" s="1">
        <f t="shared" ca="1" si="3"/>
        <v>140</v>
      </c>
      <c r="J109" s="1">
        <f t="shared" ca="1" si="4"/>
        <v>11.3</v>
      </c>
      <c r="L109" s="24" t="s">
        <v>159</v>
      </c>
      <c r="M109" s="1">
        <v>5.69</v>
      </c>
    </row>
    <row r="110" spans="1:13" ht="15.75" customHeight="1" x14ac:dyDescent="0.25">
      <c r="A110" s="39">
        <v>32073</v>
      </c>
      <c r="B110" s="6">
        <v>9.3800000000000008</v>
      </c>
      <c r="C110" s="1" t="str">
        <f t="shared" si="0"/>
        <v>Q4 1987</v>
      </c>
      <c r="D110" s="1">
        <f t="shared" si="6"/>
        <v>12</v>
      </c>
      <c r="E110" s="1">
        <f t="shared" si="1"/>
        <v>112.56</v>
      </c>
      <c r="G110" s="1" t="str">
        <f ca="1">IFERROR(__xludf.DUMMYFUNCTION("""COMPUTED_VALUE"""),"Q1 1976")</f>
        <v>Q1 1976</v>
      </c>
      <c r="H110" s="1">
        <f t="shared" ca="1" si="2"/>
        <v>1078</v>
      </c>
      <c r="I110" s="1">
        <f t="shared" ca="1" si="3"/>
        <v>112</v>
      </c>
      <c r="J110" s="1">
        <f t="shared" ca="1" si="4"/>
        <v>9.625</v>
      </c>
      <c r="L110" s="24" t="s">
        <v>160</v>
      </c>
      <c r="M110" s="1">
        <f t="shared" ref="M110:M112" ca="1" si="13">IFERROR(VLOOKUP(L110, G:J, 4, FALSE), "")</f>
        <v>5.69</v>
      </c>
    </row>
    <row r="111" spans="1:13" ht="15.75" customHeight="1" x14ac:dyDescent="0.25">
      <c r="A111" s="39">
        <v>31995</v>
      </c>
      <c r="B111" s="6">
        <v>9.8800000000000008</v>
      </c>
      <c r="C111" s="1" t="str">
        <f t="shared" si="0"/>
        <v>Q3 1987</v>
      </c>
      <c r="D111" s="1">
        <f t="shared" si="6"/>
        <v>78</v>
      </c>
      <c r="E111" s="1">
        <f t="shared" si="1"/>
        <v>770.6400000000001</v>
      </c>
      <c r="G111" s="1" t="str">
        <f ca="1">IFERROR(__xludf.DUMMYFUNCTION("""COMPUTED_VALUE"""),"Q4 1975")</f>
        <v>Q4 1975</v>
      </c>
      <c r="H111" s="1">
        <f t="shared" ca="1" si="2"/>
        <v>1069.25</v>
      </c>
      <c r="I111" s="1">
        <f t="shared" ca="1" si="3"/>
        <v>91</v>
      </c>
      <c r="J111" s="1">
        <f t="shared" ca="1" si="4"/>
        <v>11.75</v>
      </c>
      <c r="L111" s="24" t="s">
        <v>161</v>
      </c>
      <c r="M111" s="1">
        <f t="shared" ca="1" si="13"/>
        <v>6.0078571428571435</v>
      </c>
    </row>
    <row r="112" spans="1:13" ht="15.75" customHeight="1" x14ac:dyDescent="0.25">
      <c r="A112" s="39">
        <v>31905</v>
      </c>
      <c r="B112" s="6">
        <v>8.8800000000000008</v>
      </c>
      <c r="C112" s="1" t="str">
        <f t="shared" si="0"/>
        <v>Q2 1987</v>
      </c>
      <c r="D112" s="1">
        <f t="shared" si="6"/>
        <v>90</v>
      </c>
      <c r="E112" s="1">
        <f t="shared" si="1"/>
        <v>799.2</v>
      </c>
      <c r="G112" s="1" t="str">
        <f ca="1">IFERROR(__xludf.DUMMYFUNCTION("""COMPUTED_VALUE"""),"Q3 1975")</f>
        <v>Q3 1975</v>
      </c>
      <c r="H112" s="1">
        <f t="shared" ca="1" si="2"/>
        <v>770</v>
      </c>
      <c r="I112" s="1">
        <f t="shared" ca="1" si="3"/>
        <v>70</v>
      </c>
      <c r="J112" s="1">
        <f t="shared" ca="1" si="4"/>
        <v>11</v>
      </c>
      <c r="L112" s="23" t="s">
        <v>162</v>
      </c>
      <c r="M112" s="1">
        <f t="shared" ca="1" si="13"/>
        <v>6.38</v>
      </c>
    </row>
    <row r="113" spans="1:13" ht="15.75" customHeight="1" x14ac:dyDescent="0.25">
      <c r="A113" s="39">
        <v>31895</v>
      </c>
      <c r="B113" s="6">
        <v>9.3800000000000008</v>
      </c>
      <c r="C113" s="1" t="str">
        <f t="shared" si="0"/>
        <v>Q2 1987</v>
      </c>
      <c r="D113" s="1">
        <f t="shared" si="6"/>
        <v>10</v>
      </c>
      <c r="E113" s="1">
        <f t="shared" si="1"/>
        <v>93.800000000000011</v>
      </c>
      <c r="G113" s="1" t="str">
        <f ca="1">IFERROR(__xludf.DUMMYFUNCTION("""COMPUTED_VALUE"""),"Q2 1975")</f>
        <v>Q2 1975</v>
      </c>
      <c r="H113" s="1">
        <f t="shared" ca="1" si="2"/>
        <v>976.5</v>
      </c>
      <c r="I113" s="1">
        <f t="shared" ca="1" si="3"/>
        <v>98</v>
      </c>
      <c r="J113" s="1">
        <f t="shared" ca="1" si="4"/>
        <v>9.9642857142857135</v>
      </c>
      <c r="L113" s="24" t="s">
        <v>163</v>
      </c>
      <c r="M113" s="1">
        <v>6.63</v>
      </c>
    </row>
    <row r="114" spans="1:13" ht="15.75" customHeight="1" x14ac:dyDescent="0.25">
      <c r="A114" s="39">
        <v>31854</v>
      </c>
      <c r="B114" s="6">
        <v>9.8800000000000008</v>
      </c>
      <c r="C114" s="1" t="str">
        <f t="shared" si="0"/>
        <v>Q1 1987</v>
      </c>
      <c r="D114" s="1">
        <f t="shared" si="6"/>
        <v>41</v>
      </c>
      <c r="E114" s="1">
        <f t="shared" si="1"/>
        <v>405.08000000000004</v>
      </c>
      <c r="G114" s="1" t="str">
        <f ca="1">IFERROR(__xludf.DUMMYFUNCTION("""COMPUTED_VALUE"""),"Q1 1975")</f>
        <v>Q1 1975</v>
      </c>
      <c r="H114" s="1">
        <f t="shared" ca="1" si="2"/>
        <v>952</v>
      </c>
      <c r="I114" s="1">
        <f t="shared" ca="1" si="3"/>
        <v>91</v>
      </c>
      <c r="J114" s="1">
        <f t="shared" ca="1" si="4"/>
        <v>10.461538461538462</v>
      </c>
      <c r="L114" s="24" t="s">
        <v>164</v>
      </c>
      <c r="M114" s="1">
        <v>6.63</v>
      </c>
    </row>
    <row r="115" spans="1:13" ht="15.75" customHeight="1" x14ac:dyDescent="0.25">
      <c r="A115" s="39">
        <v>31845</v>
      </c>
      <c r="B115" s="6">
        <v>10.38</v>
      </c>
      <c r="C115" s="1" t="str">
        <f t="shared" si="0"/>
        <v>Q1 1987</v>
      </c>
      <c r="D115" s="1">
        <f t="shared" si="6"/>
        <v>9</v>
      </c>
      <c r="E115" s="1">
        <f t="shared" si="1"/>
        <v>93.42</v>
      </c>
      <c r="H115" s="1">
        <f t="shared" si="2"/>
        <v>0</v>
      </c>
      <c r="L115" s="24" t="s">
        <v>165</v>
      </c>
      <c r="M115" s="1">
        <f t="shared" ref="M115:M117" ca="1" si="14">IFERROR(VLOOKUP(L115, G:J, 4, FALSE), "")</f>
        <v>6.6300000000000008</v>
      </c>
    </row>
    <row r="116" spans="1:13" ht="15.75" customHeight="1" x14ac:dyDescent="0.25">
      <c r="A116" s="39">
        <v>31700</v>
      </c>
      <c r="B116" s="6">
        <v>10.88</v>
      </c>
      <c r="C116" s="1" t="str">
        <f t="shared" si="0"/>
        <v>Q4 1986</v>
      </c>
      <c r="D116" s="1">
        <f t="shared" si="6"/>
        <v>145</v>
      </c>
      <c r="E116" s="1">
        <f t="shared" si="1"/>
        <v>1577.6000000000001</v>
      </c>
      <c r="H116" s="1">
        <f t="shared" si="2"/>
        <v>0</v>
      </c>
      <c r="L116" s="23" t="s">
        <v>166</v>
      </c>
      <c r="M116" s="1">
        <f t="shared" ca="1" si="14"/>
        <v>6.129999999999999</v>
      </c>
    </row>
    <row r="117" spans="1:13" ht="15.75" customHeight="1" x14ac:dyDescent="0.25">
      <c r="A117" s="39">
        <v>31555</v>
      </c>
      <c r="B117" s="6">
        <v>9.8800000000000008</v>
      </c>
      <c r="C117" s="1" t="str">
        <f t="shared" si="0"/>
        <v>Q2 1986</v>
      </c>
      <c r="D117" s="1">
        <f t="shared" si="6"/>
        <v>145</v>
      </c>
      <c r="E117" s="1">
        <f t="shared" si="1"/>
        <v>1432.6000000000001</v>
      </c>
      <c r="H117" s="1">
        <f t="shared" si="2"/>
        <v>0</v>
      </c>
      <c r="L117" s="24" t="s">
        <v>167</v>
      </c>
      <c r="M117" s="1">
        <f t="shared" ca="1" si="14"/>
        <v>5.63</v>
      </c>
    </row>
    <row r="118" spans="1:13" ht="15.75" customHeight="1" x14ac:dyDescent="0.25">
      <c r="A118" s="39">
        <v>31520</v>
      </c>
      <c r="B118" s="6">
        <v>10.38</v>
      </c>
      <c r="C118" s="1" t="str">
        <f t="shared" si="0"/>
        <v>Q2 1986</v>
      </c>
      <c r="D118" s="1">
        <f t="shared" si="6"/>
        <v>35</v>
      </c>
      <c r="E118" s="1">
        <f t="shared" si="1"/>
        <v>363.3</v>
      </c>
      <c r="H118" s="1">
        <f t="shared" si="2"/>
        <v>0</v>
      </c>
      <c r="L118" s="24" t="s">
        <v>168</v>
      </c>
      <c r="M118" s="1">
        <v>5.13</v>
      </c>
    </row>
    <row r="119" spans="1:13" ht="15.75" customHeight="1" x14ac:dyDescent="0.25">
      <c r="A119" s="39">
        <v>31513</v>
      </c>
      <c r="B119" s="6">
        <v>10.88</v>
      </c>
      <c r="C119" s="1" t="str">
        <f t="shared" si="0"/>
        <v>Q2 1986</v>
      </c>
      <c r="D119" s="1">
        <f t="shared" si="6"/>
        <v>7</v>
      </c>
      <c r="E119" s="1">
        <f t="shared" si="1"/>
        <v>76.160000000000011</v>
      </c>
      <c r="H119" s="1">
        <f t="shared" si="2"/>
        <v>0</v>
      </c>
      <c r="L119" s="27" t="s">
        <v>169</v>
      </c>
      <c r="M119" s="1">
        <f t="shared" ref="M119:M120" ca="1" si="15">IFERROR(VLOOKUP(L119, G:J, 4, FALSE), "")</f>
        <v>5.13</v>
      </c>
    </row>
    <row r="120" spans="1:13" ht="15.75" customHeight="1" x14ac:dyDescent="0.25">
      <c r="A120" s="39">
        <v>31490</v>
      </c>
      <c r="B120" s="6">
        <v>11.38</v>
      </c>
      <c r="C120" s="1" t="str">
        <f t="shared" si="0"/>
        <v>Q1 1986</v>
      </c>
      <c r="D120" s="1">
        <f t="shared" si="6"/>
        <v>23</v>
      </c>
      <c r="E120" s="1">
        <f t="shared" si="1"/>
        <v>261.74</v>
      </c>
      <c r="H120" s="1">
        <f t="shared" si="2"/>
        <v>0</v>
      </c>
      <c r="L120" s="23" t="s">
        <v>170</v>
      </c>
      <c r="M120" s="1">
        <f t="shared" ca="1" si="15"/>
        <v>5.38</v>
      </c>
    </row>
    <row r="121" spans="1:13" ht="15.75" customHeight="1" x14ac:dyDescent="0.25">
      <c r="A121" s="39">
        <v>31427</v>
      </c>
      <c r="B121" s="6">
        <v>12.38</v>
      </c>
      <c r="C121" s="1" t="str">
        <f t="shared" si="0"/>
        <v>Q1 1986</v>
      </c>
      <c r="D121" s="1">
        <f t="shared" si="6"/>
        <v>63</v>
      </c>
      <c r="E121" s="1">
        <f t="shared" si="1"/>
        <v>779.94</v>
      </c>
      <c r="H121" s="1">
        <f t="shared" si="2"/>
        <v>0</v>
      </c>
      <c r="L121" s="24" t="s">
        <v>171</v>
      </c>
      <c r="M121" s="1">
        <v>5.88</v>
      </c>
    </row>
    <row r="122" spans="1:13" ht="15.75" customHeight="1" x14ac:dyDescent="0.25">
      <c r="A122" s="39">
        <v>31254</v>
      </c>
      <c r="B122" s="6">
        <v>11.38</v>
      </c>
      <c r="C122" s="1" t="str">
        <f t="shared" si="0"/>
        <v>Q3 1985</v>
      </c>
      <c r="D122" s="1">
        <f t="shared" si="6"/>
        <v>173</v>
      </c>
      <c r="E122" s="1">
        <f t="shared" si="1"/>
        <v>1968.7400000000002</v>
      </c>
      <c r="H122" s="1">
        <f t="shared" si="2"/>
        <v>0</v>
      </c>
      <c r="L122" s="24" t="s">
        <v>172</v>
      </c>
      <c r="M122" s="1">
        <v>5.88</v>
      </c>
    </row>
    <row r="123" spans="1:13" ht="15.75" customHeight="1" x14ac:dyDescent="0.25">
      <c r="A123" s="39">
        <v>31239</v>
      </c>
      <c r="B123" s="6">
        <v>11.88</v>
      </c>
      <c r="C123" s="1" t="str">
        <f t="shared" si="0"/>
        <v>Q3 1985</v>
      </c>
      <c r="D123" s="1">
        <f t="shared" si="6"/>
        <v>15</v>
      </c>
      <c r="E123" s="1">
        <f t="shared" si="1"/>
        <v>178.20000000000002</v>
      </c>
      <c r="H123" s="1">
        <f t="shared" si="2"/>
        <v>0</v>
      </c>
      <c r="L123" s="27" t="s">
        <v>173</v>
      </c>
      <c r="M123" s="1">
        <f t="shared" ref="M123:M126" ca="1" si="16">IFERROR(VLOOKUP(L123, G:J, 4, FALSE), "")</f>
        <v>5.88</v>
      </c>
    </row>
    <row r="124" spans="1:13" ht="15.75" customHeight="1" x14ac:dyDescent="0.25">
      <c r="A124" s="39">
        <v>31156</v>
      </c>
      <c r="B124" s="6">
        <v>12.38</v>
      </c>
      <c r="C124" s="1" t="str">
        <f t="shared" si="0"/>
        <v>Q2 1985</v>
      </c>
      <c r="D124" s="1">
        <f t="shared" si="6"/>
        <v>83</v>
      </c>
      <c r="E124" s="1">
        <f t="shared" si="1"/>
        <v>1027.54</v>
      </c>
      <c r="H124" s="1">
        <f t="shared" si="2"/>
        <v>0</v>
      </c>
      <c r="L124" s="23" t="s">
        <v>174</v>
      </c>
      <c r="M124" s="1">
        <f t="shared" ca="1" si="16"/>
        <v>7.1545098039215684</v>
      </c>
    </row>
    <row r="125" spans="1:13" ht="15.75" customHeight="1" x14ac:dyDescent="0.25">
      <c r="A125" s="39">
        <v>31134</v>
      </c>
      <c r="B125" s="6">
        <v>12.88</v>
      </c>
      <c r="C125" s="1" t="str">
        <f t="shared" si="0"/>
        <v>Q1 1985</v>
      </c>
      <c r="D125" s="1">
        <f t="shared" si="6"/>
        <v>22</v>
      </c>
      <c r="E125" s="1">
        <f t="shared" si="1"/>
        <v>283.36</v>
      </c>
      <c r="H125" s="1">
        <f t="shared" si="2"/>
        <v>0</v>
      </c>
      <c r="L125" s="24" t="s">
        <v>175</v>
      </c>
      <c r="M125" s="1">
        <f t="shared" ca="1" si="16"/>
        <v>8.8800000000000008</v>
      </c>
    </row>
    <row r="126" spans="1:13" ht="15.75" customHeight="1" x14ac:dyDescent="0.25">
      <c r="A126" s="39">
        <v>31126</v>
      </c>
      <c r="B126" s="6">
        <v>13.38</v>
      </c>
      <c r="C126" s="1" t="str">
        <f t="shared" si="0"/>
        <v>Q1 1985</v>
      </c>
      <c r="D126" s="1">
        <f t="shared" si="6"/>
        <v>8</v>
      </c>
      <c r="E126" s="1">
        <f t="shared" si="1"/>
        <v>107.04</v>
      </c>
      <c r="H126" s="1">
        <f t="shared" si="2"/>
        <v>0</v>
      </c>
      <c r="L126" s="24" t="s">
        <v>176</v>
      </c>
      <c r="M126" s="1">
        <f t="shared" ca="1" si="16"/>
        <v>9.8800000000000008</v>
      </c>
    </row>
    <row r="127" spans="1:13" ht="15.75" customHeight="1" x14ac:dyDescent="0.25">
      <c r="A127" s="39">
        <v>31075</v>
      </c>
      <c r="B127" s="6">
        <v>13.88</v>
      </c>
      <c r="C127" s="1" t="str">
        <f t="shared" si="0"/>
        <v>Q1 1985</v>
      </c>
      <c r="D127" s="1">
        <f t="shared" si="6"/>
        <v>51</v>
      </c>
      <c r="E127" s="1">
        <f t="shared" si="1"/>
        <v>707.88</v>
      </c>
      <c r="H127" s="1">
        <f t="shared" si="2"/>
        <v>0</v>
      </c>
      <c r="L127" s="27" t="s">
        <v>177</v>
      </c>
      <c r="M127" s="1">
        <v>10.470604026845638</v>
      </c>
    </row>
    <row r="128" spans="1:13" ht="15.75" customHeight="1" x14ac:dyDescent="0.25">
      <c r="A128" s="39">
        <v>31061</v>
      </c>
      <c r="B128" s="6">
        <v>11.88</v>
      </c>
      <c r="C128" s="1" t="str">
        <f t="shared" si="0"/>
        <v>Q1 1985</v>
      </c>
      <c r="D128" s="1">
        <f t="shared" si="6"/>
        <v>14</v>
      </c>
      <c r="E128" s="1">
        <f t="shared" si="1"/>
        <v>166.32000000000002</v>
      </c>
      <c r="H128" s="1">
        <f t="shared" si="2"/>
        <v>0</v>
      </c>
      <c r="L128" s="23" t="s">
        <v>178</v>
      </c>
      <c r="M128" s="1">
        <v>10.470604026845638</v>
      </c>
    </row>
    <row r="129" spans="1:13" ht="15.75" customHeight="1" x14ac:dyDescent="0.25">
      <c r="A129" s="39">
        <v>31009</v>
      </c>
      <c r="B129" s="6">
        <v>9.5</v>
      </c>
      <c r="C129" s="1" t="str">
        <f t="shared" si="0"/>
        <v>Q4 1984</v>
      </c>
      <c r="D129" s="1">
        <f t="shared" si="6"/>
        <v>52</v>
      </c>
      <c r="E129" s="1">
        <f t="shared" si="1"/>
        <v>494</v>
      </c>
      <c r="H129" s="1">
        <f t="shared" si="2"/>
        <v>0</v>
      </c>
      <c r="L129" s="24" t="s">
        <v>179</v>
      </c>
      <c r="M129" s="1">
        <f t="shared" ref="M129:M132" ca="1" si="17">IFERROR(VLOOKUP(L129, G:J, 4, FALSE), "")</f>
        <v>10.470604026845638</v>
      </c>
    </row>
    <row r="130" spans="1:13" ht="15.75" customHeight="1" x14ac:dyDescent="0.25">
      <c r="A130" s="39">
        <v>31005</v>
      </c>
      <c r="B130" s="6">
        <v>9.75</v>
      </c>
      <c r="C130" s="1" t="str">
        <f t="shared" si="0"/>
        <v>Q4 1984</v>
      </c>
      <c r="D130" s="1">
        <f t="shared" si="6"/>
        <v>4</v>
      </c>
      <c r="E130" s="1">
        <f t="shared" si="1"/>
        <v>39</v>
      </c>
      <c r="H130" s="1">
        <f t="shared" si="2"/>
        <v>0</v>
      </c>
      <c r="L130" s="24" t="s">
        <v>180</v>
      </c>
      <c r="M130" s="1">
        <f t="shared" ca="1" si="17"/>
        <v>11.610769230769231</v>
      </c>
    </row>
    <row r="131" spans="1:13" ht="15.75" customHeight="1" x14ac:dyDescent="0.25">
      <c r="A131" s="39">
        <v>30991</v>
      </c>
      <c r="B131" s="6">
        <v>10</v>
      </c>
      <c r="C131" s="1" t="str">
        <f t="shared" si="0"/>
        <v>Q4 1984</v>
      </c>
      <c r="D131" s="1">
        <f t="shared" si="6"/>
        <v>14</v>
      </c>
      <c r="E131" s="1">
        <f t="shared" si="1"/>
        <v>140</v>
      </c>
      <c r="H131" s="1">
        <f t="shared" si="2"/>
        <v>0</v>
      </c>
      <c r="L131" s="27" t="s">
        <v>181</v>
      </c>
      <c r="M131" s="1">
        <f t="shared" ca="1" si="17"/>
        <v>12.819655172413794</v>
      </c>
    </row>
    <row r="132" spans="1:13" ht="15.75" customHeight="1" x14ac:dyDescent="0.25">
      <c r="A132" s="39">
        <v>30911</v>
      </c>
      <c r="B132" s="6">
        <v>10.5</v>
      </c>
      <c r="C132" s="1" t="str">
        <f t="shared" si="0"/>
        <v>Q3 1984</v>
      </c>
      <c r="D132" s="1">
        <f t="shared" si="6"/>
        <v>80</v>
      </c>
      <c r="E132" s="1">
        <f t="shared" si="1"/>
        <v>840</v>
      </c>
      <c r="H132" s="1">
        <f t="shared" si="2"/>
        <v>0</v>
      </c>
      <c r="L132" s="23" t="s">
        <v>182</v>
      </c>
      <c r="M132" s="1">
        <f t="shared" ca="1" si="17"/>
        <v>13.88</v>
      </c>
    </row>
    <row r="133" spans="1:13" ht="15.75" customHeight="1" x14ac:dyDescent="0.25">
      <c r="A133" s="39">
        <v>30910</v>
      </c>
      <c r="B133" s="6">
        <v>10.75</v>
      </c>
      <c r="C133" s="1" t="str">
        <f t="shared" si="0"/>
        <v>Q3 1984</v>
      </c>
      <c r="D133" s="1">
        <f t="shared" si="6"/>
        <v>1</v>
      </c>
      <c r="E133" s="1">
        <f t="shared" si="1"/>
        <v>10.75</v>
      </c>
      <c r="H133" s="1">
        <f t="shared" si="2"/>
        <v>0</v>
      </c>
      <c r="L133" s="24" t="s">
        <v>183</v>
      </c>
      <c r="M133" s="1">
        <v>14.88</v>
      </c>
    </row>
    <row r="134" spans="1:13" ht="15.75" customHeight="1" x14ac:dyDescent="0.25">
      <c r="A134" s="39">
        <v>30903</v>
      </c>
      <c r="B134" s="6">
        <v>11</v>
      </c>
      <c r="C134" s="1" t="str">
        <f t="shared" si="0"/>
        <v>Q3 1984</v>
      </c>
      <c r="D134" s="1">
        <f t="shared" si="6"/>
        <v>7</v>
      </c>
      <c r="E134" s="1">
        <f t="shared" si="1"/>
        <v>77</v>
      </c>
      <c r="H134" s="1">
        <f t="shared" si="2"/>
        <v>0</v>
      </c>
      <c r="L134" s="24" t="s">
        <v>184</v>
      </c>
      <c r="M134" s="1">
        <v>14.88</v>
      </c>
    </row>
    <row r="135" spans="1:13" ht="15.75" customHeight="1" x14ac:dyDescent="0.25">
      <c r="A135" s="39">
        <v>30902</v>
      </c>
      <c r="B135" s="6">
        <v>11.5</v>
      </c>
      <c r="C135" s="1" t="str">
        <f t="shared" si="0"/>
        <v>Q3 1984</v>
      </c>
      <c r="D135" s="1">
        <f t="shared" si="6"/>
        <v>1</v>
      </c>
      <c r="E135" s="1">
        <f t="shared" si="1"/>
        <v>11.5</v>
      </c>
      <c r="H135" s="1">
        <f t="shared" si="2"/>
        <v>0</v>
      </c>
      <c r="L135" s="27" t="s">
        <v>185</v>
      </c>
      <c r="M135" s="1">
        <v>14.88</v>
      </c>
    </row>
    <row r="136" spans="1:13" ht="15.75" customHeight="1" x14ac:dyDescent="0.25">
      <c r="A136" s="39">
        <v>30874</v>
      </c>
      <c r="B136" s="6">
        <v>12</v>
      </c>
      <c r="C136" s="1" t="str">
        <f t="shared" si="0"/>
        <v>Q3 1984</v>
      </c>
      <c r="D136" s="1">
        <f t="shared" si="6"/>
        <v>28</v>
      </c>
      <c r="E136" s="1">
        <f t="shared" si="1"/>
        <v>336</v>
      </c>
      <c r="H136" s="1">
        <f t="shared" si="2"/>
        <v>0</v>
      </c>
      <c r="L136" s="23" t="s">
        <v>186</v>
      </c>
      <c r="M136" s="1">
        <f t="shared" ref="M136:M138" ca="1" si="18">IFERROR(VLOOKUP(L136, G:J, 4, FALSE), "")</f>
        <v>14.88</v>
      </c>
    </row>
    <row r="137" spans="1:13" ht="15.75" customHeight="1" x14ac:dyDescent="0.25">
      <c r="A137" s="39">
        <v>30869</v>
      </c>
      <c r="B137" s="6">
        <v>10</v>
      </c>
      <c r="C137" s="1" t="str">
        <f t="shared" si="0"/>
        <v>Q3 1984</v>
      </c>
      <c r="D137" s="1">
        <f t="shared" si="6"/>
        <v>5</v>
      </c>
      <c r="E137" s="1">
        <f t="shared" si="1"/>
        <v>50</v>
      </c>
      <c r="H137" s="1">
        <f t="shared" si="2"/>
        <v>0</v>
      </c>
      <c r="L137" s="24" t="s">
        <v>187</v>
      </c>
      <c r="M137" s="1">
        <f t="shared" ca="1" si="18"/>
        <v>13.774444444444445</v>
      </c>
    </row>
    <row r="138" spans="1:13" ht="15.75" customHeight="1" x14ac:dyDescent="0.25">
      <c r="A138" s="39">
        <v>30862</v>
      </c>
      <c r="B138" s="6">
        <v>8.8800000000000008</v>
      </c>
      <c r="C138" s="1" t="str">
        <f t="shared" si="0"/>
        <v>Q2 1984</v>
      </c>
      <c r="D138" s="1">
        <f t="shared" si="6"/>
        <v>7</v>
      </c>
      <c r="E138" s="1">
        <f t="shared" si="1"/>
        <v>62.160000000000004</v>
      </c>
      <c r="H138" s="1">
        <f t="shared" si="2"/>
        <v>0</v>
      </c>
      <c r="L138" s="24" t="s">
        <v>188</v>
      </c>
      <c r="M138" s="1">
        <f t="shared" ca="1" si="18"/>
        <v>13.75</v>
      </c>
    </row>
    <row r="139" spans="1:13" ht="15.75" customHeight="1" x14ac:dyDescent="0.25">
      <c r="A139" s="39">
        <v>30812</v>
      </c>
      <c r="B139" s="6">
        <v>9.06</v>
      </c>
      <c r="C139" s="1" t="str">
        <f t="shared" si="0"/>
        <v>Q2 1984</v>
      </c>
      <c r="D139" s="1">
        <f t="shared" si="6"/>
        <v>50</v>
      </c>
      <c r="E139" s="1">
        <f t="shared" si="1"/>
        <v>453</v>
      </c>
      <c r="H139" s="1">
        <f t="shared" si="2"/>
        <v>0</v>
      </c>
      <c r="L139" s="27" t="s">
        <v>189</v>
      </c>
      <c r="M139" s="1">
        <v>12.88</v>
      </c>
    </row>
    <row r="140" spans="1:13" ht="15.75" customHeight="1" x14ac:dyDescent="0.25">
      <c r="A140" s="39">
        <v>30755</v>
      </c>
      <c r="B140" s="6">
        <v>8.56</v>
      </c>
      <c r="C140" s="1" t="str">
        <f t="shared" si="0"/>
        <v>Q1 1984</v>
      </c>
      <c r="D140" s="1">
        <f t="shared" si="6"/>
        <v>57</v>
      </c>
      <c r="E140" s="1">
        <f t="shared" si="1"/>
        <v>487.92</v>
      </c>
      <c r="H140" s="1">
        <f t="shared" si="2"/>
        <v>0</v>
      </c>
      <c r="L140" s="23" t="s">
        <v>190</v>
      </c>
      <c r="M140" s="1">
        <f t="shared" ref="M140:M148" ca="1" si="19">IFERROR(VLOOKUP(L140, G:J, 4, FALSE), "")</f>
        <v>12.88</v>
      </c>
    </row>
    <row r="141" spans="1:13" ht="15.75" customHeight="1" x14ac:dyDescent="0.25">
      <c r="A141" s="39">
        <v>30748</v>
      </c>
      <c r="B141" s="6">
        <v>8.81</v>
      </c>
      <c r="C141" s="1" t="str">
        <f t="shared" si="0"/>
        <v>Q1 1984</v>
      </c>
      <c r="D141" s="1">
        <f t="shared" si="6"/>
        <v>7</v>
      </c>
      <c r="E141" s="1">
        <f t="shared" si="1"/>
        <v>61.67</v>
      </c>
      <c r="H141" s="1">
        <f t="shared" si="2"/>
        <v>0</v>
      </c>
      <c r="L141" s="24" t="s">
        <v>191</v>
      </c>
      <c r="M141" s="1">
        <f t="shared" ca="1" si="19"/>
        <v>11.369361702127659</v>
      </c>
    </row>
    <row r="142" spans="1:13" ht="15.75" customHeight="1" x14ac:dyDescent="0.25">
      <c r="A142" s="39">
        <v>30592</v>
      </c>
      <c r="B142" s="6">
        <v>9.06</v>
      </c>
      <c r="C142" s="1" t="str">
        <f t="shared" si="0"/>
        <v>Q4 1983</v>
      </c>
      <c r="D142" s="1">
        <f t="shared" si="6"/>
        <v>156</v>
      </c>
      <c r="E142" s="1">
        <f t="shared" si="1"/>
        <v>1413.3600000000001</v>
      </c>
      <c r="H142" s="1">
        <f t="shared" si="2"/>
        <v>0</v>
      </c>
      <c r="L142" s="24" t="s">
        <v>192</v>
      </c>
      <c r="M142" s="1">
        <f t="shared" ca="1" si="19"/>
        <v>8.007777777777779</v>
      </c>
    </row>
    <row r="143" spans="1:13" ht="15.75" customHeight="1" x14ac:dyDescent="0.25">
      <c r="A143" s="39">
        <v>30538</v>
      </c>
      <c r="B143" s="6">
        <v>9.56</v>
      </c>
      <c r="C143" s="1" t="str">
        <f t="shared" si="0"/>
        <v>Q3 1983</v>
      </c>
      <c r="D143" s="1">
        <f t="shared" si="6"/>
        <v>54</v>
      </c>
      <c r="E143" s="1">
        <f t="shared" si="1"/>
        <v>516.24</v>
      </c>
      <c r="H143" s="1">
        <f t="shared" si="2"/>
        <v>0</v>
      </c>
      <c r="L143" s="24" t="s">
        <v>193</v>
      </c>
      <c r="M143" s="1">
        <f t="shared" ca="1" si="19"/>
        <v>8.7158208955223895</v>
      </c>
    </row>
    <row r="144" spans="1:13" ht="15.75" customHeight="1" x14ac:dyDescent="0.25">
      <c r="A144" s="39">
        <v>30537</v>
      </c>
      <c r="B144" s="6">
        <v>9.44</v>
      </c>
      <c r="C144" s="1" t="str">
        <f t="shared" si="0"/>
        <v>Q3 1983</v>
      </c>
      <c r="D144" s="1">
        <f t="shared" si="6"/>
        <v>1</v>
      </c>
      <c r="E144" s="1">
        <f t="shared" si="1"/>
        <v>9.44</v>
      </c>
      <c r="H144" s="1">
        <f t="shared" si="2"/>
        <v>0</v>
      </c>
      <c r="L144" s="23" t="s">
        <v>194</v>
      </c>
      <c r="M144" s="1">
        <f t="shared" ca="1" si="19"/>
        <v>8.6423762376237629</v>
      </c>
    </row>
    <row r="145" spans="1:13" ht="15.75" customHeight="1" x14ac:dyDescent="0.25">
      <c r="A145" s="39">
        <v>30481</v>
      </c>
      <c r="B145" s="6">
        <v>9.56</v>
      </c>
      <c r="C145" s="1" t="str">
        <f t="shared" si="0"/>
        <v>Q2 1983</v>
      </c>
      <c r="D145" s="1">
        <f t="shared" si="6"/>
        <v>56</v>
      </c>
      <c r="E145" s="1">
        <f t="shared" si="1"/>
        <v>535.36</v>
      </c>
      <c r="H145" s="1">
        <f t="shared" si="2"/>
        <v>0</v>
      </c>
      <c r="L145" s="24" t="s">
        <v>195</v>
      </c>
      <c r="M145" s="1">
        <f t="shared" ca="1" si="19"/>
        <v>9.8800000000000008</v>
      </c>
    </row>
    <row r="146" spans="1:13" ht="15.75" customHeight="1" x14ac:dyDescent="0.25">
      <c r="A146" s="39">
        <v>30480</v>
      </c>
      <c r="B146" s="6">
        <v>9.81</v>
      </c>
      <c r="C146" s="1" t="str">
        <f t="shared" si="0"/>
        <v>Q2 1983</v>
      </c>
      <c r="D146" s="1">
        <f t="shared" si="6"/>
        <v>1</v>
      </c>
      <c r="E146" s="1">
        <f t="shared" si="1"/>
        <v>9.81</v>
      </c>
      <c r="H146" s="1">
        <f t="shared" si="2"/>
        <v>0</v>
      </c>
      <c r="L146" s="24" t="s">
        <v>196</v>
      </c>
      <c r="M146" s="1">
        <f t="shared" ca="1" si="19"/>
        <v>8.93</v>
      </c>
    </row>
    <row r="147" spans="1:13" ht="15.75" customHeight="1" x14ac:dyDescent="0.25">
      <c r="A147" s="39">
        <v>30420</v>
      </c>
      <c r="B147" s="6">
        <v>10.06</v>
      </c>
      <c r="C147" s="1" t="str">
        <f t="shared" si="0"/>
        <v>Q2 1983</v>
      </c>
      <c r="D147" s="1">
        <f t="shared" si="6"/>
        <v>60</v>
      </c>
      <c r="E147" s="1">
        <f t="shared" si="1"/>
        <v>603.6</v>
      </c>
      <c r="H147" s="1">
        <f t="shared" si="2"/>
        <v>0</v>
      </c>
      <c r="L147" s="24" t="s">
        <v>197</v>
      </c>
      <c r="M147" s="1">
        <f t="shared" ca="1" si="19"/>
        <v>9.9700000000000006</v>
      </c>
    </row>
    <row r="148" spans="1:13" ht="15.75" customHeight="1" x14ac:dyDescent="0.25">
      <c r="A148" s="39">
        <v>30419</v>
      </c>
      <c r="B148" s="6">
        <v>10.31</v>
      </c>
      <c r="C148" s="1" t="str">
        <f t="shared" si="0"/>
        <v>Q2 1983</v>
      </c>
      <c r="D148" s="1">
        <f t="shared" si="6"/>
        <v>1</v>
      </c>
      <c r="E148" s="1">
        <f t="shared" si="1"/>
        <v>10.31</v>
      </c>
      <c r="H148" s="1">
        <f t="shared" si="2"/>
        <v>0</v>
      </c>
      <c r="L148" s="23" t="s">
        <v>198</v>
      </c>
      <c r="M148" s="1">
        <f t="shared" ca="1" si="19"/>
        <v>10.88</v>
      </c>
    </row>
    <row r="149" spans="1:13" ht="15.75" customHeight="1" x14ac:dyDescent="0.25">
      <c r="A149" s="39">
        <v>30390</v>
      </c>
      <c r="B149" s="6">
        <v>10.56</v>
      </c>
      <c r="C149" s="1" t="str">
        <f t="shared" si="0"/>
        <v>Q1 1983</v>
      </c>
      <c r="D149" s="1">
        <f t="shared" si="6"/>
        <v>29</v>
      </c>
      <c r="E149" s="1">
        <f t="shared" si="1"/>
        <v>306.24</v>
      </c>
      <c r="H149" s="1">
        <f t="shared" si="2"/>
        <v>0</v>
      </c>
      <c r="L149" s="24" t="s">
        <v>199</v>
      </c>
      <c r="M149" s="1">
        <v>10.011016042780749</v>
      </c>
    </row>
    <row r="150" spans="1:13" ht="15.75" customHeight="1" x14ac:dyDescent="0.25">
      <c r="A150" s="39">
        <v>30328</v>
      </c>
      <c r="B150" s="6">
        <v>11</v>
      </c>
      <c r="C150" s="1" t="str">
        <f t="shared" si="0"/>
        <v>Q1 1983</v>
      </c>
      <c r="D150" s="1">
        <f t="shared" si="6"/>
        <v>62</v>
      </c>
      <c r="E150" s="1">
        <f t="shared" si="1"/>
        <v>682</v>
      </c>
      <c r="H150" s="1">
        <f t="shared" si="2"/>
        <v>0</v>
      </c>
      <c r="L150" s="24" t="s">
        <v>200</v>
      </c>
      <c r="M150" s="1">
        <f t="shared" ref="M150:M151" ca="1" si="20">IFERROR(VLOOKUP(L150, G:J, 4, FALSE), "")</f>
        <v>10.011016042780749</v>
      </c>
    </row>
    <row r="151" spans="1:13" ht="15.75" customHeight="1" x14ac:dyDescent="0.25">
      <c r="A151" s="39">
        <v>30281</v>
      </c>
      <c r="B151" s="6">
        <v>10</v>
      </c>
      <c r="C151" s="1" t="str">
        <f t="shared" si="0"/>
        <v>Q4 1982</v>
      </c>
      <c r="D151" s="1">
        <f t="shared" si="6"/>
        <v>47</v>
      </c>
      <c r="E151" s="1">
        <f t="shared" si="1"/>
        <v>470</v>
      </c>
      <c r="H151" s="1">
        <f t="shared" si="2"/>
        <v>0</v>
      </c>
      <c r="L151" s="24" t="s">
        <v>201</v>
      </c>
      <c r="M151" s="1">
        <f t="shared" ca="1" si="20"/>
        <v>12.112558139534885</v>
      </c>
    </row>
    <row r="152" spans="1:13" ht="15.75" customHeight="1" x14ac:dyDescent="0.25">
      <c r="A152" s="39">
        <v>30257</v>
      </c>
      <c r="B152" s="6">
        <v>9.1300000000000008</v>
      </c>
      <c r="C152" s="1" t="str">
        <f t="shared" si="0"/>
        <v>Q4 1982</v>
      </c>
      <c r="D152" s="1">
        <f t="shared" si="6"/>
        <v>24</v>
      </c>
      <c r="E152" s="1">
        <f t="shared" si="1"/>
        <v>219.12</v>
      </c>
      <c r="H152" s="1">
        <f t="shared" si="2"/>
        <v>0</v>
      </c>
      <c r="L152" s="23" t="s">
        <v>202</v>
      </c>
      <c r="M152" s="1">
        <v>11.419893617021277</v>
      </c>
    </row>
    <row r="153" spans="1:13" ht="15.75" customHeight="1" x14ac:dyDescent="0.25">
      <c r="A153" s="39">
        <v>30256</v>
      </c>
      <c r="B153" s="6">
        <v>9.3800000000000008</v>
      </c>
      <c r="C153" s="1" t="str">
        <f t="shared" si="0"/>
        <v>Q4 1982</v>
      </c>
      <c r="D153" s="1">
        <f t="shared" si="6"/>
        <v>1</v>
      </c>
      <c r="E153" s="1">
        <f t="shared" si="1"/>
        <v>9.3800000000000008</v>
      </c>
      <c r="H153" s="1">
        <f t="shared" si="2"/>
        <v>0</v>
      </c>
      <c r="L153" s="24" t="s">
        <v>203</v>
      </c>
      <c r="M153" s="1">
        <f t="shared" ref="M153:M169" ca="1" si="21">IFERROR(VLOOKUP(L153, G:J, 4, FALSE), "")</f>
        <v>11.419893617021277</v>
      </c>
    </row>
    <row r="154" spans="1:13" ht="15.75" customHeight="1" x14ac:dyDescent="0.25">
      <c r="A154" s="39">
        <v>30236</v>
      </c>
      <c r="B154" s="6">
        <v>9.6300000000000008</v>
      </c>
      <c r="C154" s="1" t="str">
        <f t="shared" si="0"/>
        <v>Q4 1982</v>
      </c>
      <c r="D154" s="1">
        <f t="shared" si="6"/>
        <v>20</v>
      </c>
      <c r="E154" s="1">
        <f t="shared" si="1"/>
        <v>192.60000000000002</v>
      </c>
      <c r="H154" s="1">
        <f t="shared" si="2"/>
        <v>0</v>
      </c>
      <c r="L154" s="24" t="s">
        <v>204</v>
      </c>
      <c r="M154" s="1">
        <f t="shared" ca="1" si="21"/>
        <v>12.379999999999999</v>
      </c>
    </row>
    <row r="155" spans="1:13" ht="15.75" customHeight="1" x14ac:dyDescent="0.25">
      <c r="A155" s="39">
        <v>30224</v>
      </c>
      <c r="B155" s="6">
        <v>10.130000000000001</v>
      </c>
      <c r="C155" s="1" t="str">
        <f t="shared" si="0"/>
        <v>Q3 1982</v>
      </c>
      <c r="D155" s="1">
        <f t="shared" si="6"/>
        <v>12</v>
      </c>
      <c r="E155" s="1">
        <f t="shared" si="1"/>
        <v>121.56</v>
      </c>
      <c r="H155" s="1">
        <f t="shared" si="2"/>
        <v>0</v>
      </c>
      <c r="L155" s="24" t="s">
        <v>205</v>
      </c>
      <c r="M155" s="1">
        <f t="shared" ca="1" si="21"/>
        <v>13.311578947368421</v>
      </c>
    </row>
    <row r="156" spans="1:13" ht="15.75" customHeight="1" x14ac:dyDescent="0.25">
      <c r="A156" s="39">
        <v>30223</v>
      </c>
      <c r="B156" s="6">
        <v>10.25</v>
      </c>
      <c r="C156" s="1" t="str">
        <f t="shared" si="0"/>
        <v>Q3 1982</v>
      </c>
      <c r="D156" s="1">
        <f t="shared" si="6"/>
        <v>1</v>
      </c>
      <c r="E156" s="1">
        <f t="shared" si="1"/>
        <v>10.25</v>
      </c>
      <c r="H156" s="1">
        <f t="shared" si="2"/>
        <v>0</v>
      </c>
      <c r="L156" s="23" t="s">
        <v>206</v>
      </c>
      <c r="M156" s="1">
        <f t="shared" ca="1" si="21"/>
        <v>9.6142857142857139</v>
      </c>
    </row>
    <row r="157" spans="1:13" ht="15.75" customHeight="1" x14ac:dyDescent="0.25">
      <c r="A157" s="39">
        <v>30222</v>
      </c>
      <c r="B157" s="6">
        <v>10.38</v>
      </c>
      <c r="C157" s="1" t="str">
        <f t="shared" si="0"/>
        <v>Q3 1982</v>
      </c>
      <c r="D157" s="1">
        <f t="shared" si="6"/>
        <v>1</v>
      </c>
      <c r="E157" s="1">
        <f t="shared" si="1"/>
        <v>10.38</v>
      </c>
      <c r="H157" s="1">
        <f t="shared" si="2"/>
        <v>0</v>
      </c>
      <c r="L157" s="28" t="s">
        <v>207</v>
      </c>
      <c r="M157" s="1">
        <f t="shared" ca="1" si="21"/>
        <v>10.862704918032787</v>
      </c>
    </row>
    <row r="158" spans="1:13" ht="15.75" customHeight="1" x14ac:dyDescent="0.25">
      <c r="A158" s="39">
        <v>30221</v>
      </c>
      <c r="B158" s="6">
        <v>10.5</v>
      </c>
      <c r="C158" s="1" t="str">
        <f t="shared" si="0"/>
        <v>Q3 1982</v>
      </c>
      <c r="D158" s="1">
        <f t="shared" si="6"/>
        <v>1</v>
      </c>
      <c r="E158" s="1">
        <f t="shared" si="1"/>
        <v>10.5</v>
      </c>
      <c r="H158" s="1">
        <f t="shared" si="2"/>
        <v>0</v>
      </c>
      <c r="L158" s="28" t="s">
        <v>208</v>
      </c>
      <c r="M158" s="1">
        <f t="shared" ca="1" si="21"/>
        <v>9.0378947368421052</v>
      </c>
    </row>
    <row r="159" spans="1:13" ht="15.75" customHeight="1" x14ac:dyDescent="0.25">
      <c r="A159" s="39">
        <v>30190</v>
      </c>
      <c r="B159" s="6">
        <v>10.63</v>
      </c>
      <c r="C159" s="1" t="str">
        <f t="shared" si="0"/>
        <v>Q3 1982</v>
      </c>
      <c r="D159" s="1">
        <f t="shared" si="6"/>
        <v>31</v>
      </c>
      <c r="E159" s="1">
        <f t="shared" si="1"/>
        <v>329.53000000000003</v>
      </c>
      <c r="H159" s="1">
        <f t="shared" si="2"/>
        <v>0</v>
      </c>
      <c r="L159" s="28" t="s">
        <v>209</v>
      </c>
      <c r="M159" s="1">
        <f t="shared" ca="1" si="21"/>
        <v>8.5873437500000005</v>
      </c>
    </row>
    <row r="160" spans="1:13" ht="15.75" customHeight="1" x14ac:dyDescent="0.25">
      <c r="A160" s="39">
        <v>30189</v>
      </c>
      <c r="B160" s="6">
        <v>10.88</v>
      </c>
      <c r="C160" s="1" t="str">
        <f t="shared" si="0"/>
        <v>Q3 1982</v>
      </c>
      <c r="D160" s="1">
        <f t="shared" si="6"/>
        <v>1</v>
      </c>
      <c r="E160" s="1">
        <f t="shared" si="1"/>
        <v>10.88</v>
      </c>
      <c r="H160" s="1">
        <f t="shared" si="2"/>
        <v>0</v>
      </c>
      <c r="L160" s="28" t="s">
        <v>210</v>
      </c>
      <c r="M160" s="1">
        <f t="shared" ca="1" si="21"/>
        <v>9.06</v>
      </c>
    </row>
    <row r="161" spans="1:13" ht="15.75" customHeight="1" x14ac:dyDescent="0.25">
      <c r="A161" s="39">
        <v>30188</v>
      </c>
      <c r="B161" s="6">
        <v>11</v>
      </c>
      <c r="C161" s="1" t="str">
        <f t="shared" si="0"/>
        <v>Q3 1982</v>
      </c>
      <c r="D161" s="1">
        <f t="shared" si="6"/>
        <v>1</v>
      </c>
      <c r="E161" s="1">
        <f t="shared" si="1"/>
        <v>11</v>
      </c>
      <c r="H161" s="1">
        <f t="shared" si="2"/>
        <v>0</v>
      </c>
      <c r="L161" s="28" t="s">
        <v>211</v>
      </c>
      <c r="M161" s="1">
        <f t="shared" ca="1" si="21"/>
        <v>9.5578181818181829</v>
      </c>
    </row>
    <row r="162" spans="1:13" ht="15.75" customHeight="1" x14ac:dyDescent="0.25">
      <c r="A162" s="39">
        <v>30187</v>
      </c>
      <c r="B162" s="6">
        <v>11.13</v>
      </c>
      <c r="C162" s="1" t="str">
        <f t="shared" si="0"/>
        <v>Q3 1982</v>
      </c>
      <c r="D162" s="1">
        <f t="shared" si="6"/>
        <v>1</v>
      </c>
      <c r="E162" s="1">
        <f t="shared" si="1"/>
        <v>11.13</v>
      </c>
      <c r="H162" s="1">
        <f t="shared" si="2"/>
        <v>0</v>
      </c>
      <c r="L162" s="28" t="s">
        <v>212</v>
      </c>
      <c r="M162" s="1">
        <f t="shared" ca="1" si="21"/>
        <v>9.822711864406779</v>
      </c>
    </row>
    <row r="163" spans="1:13" ht="15.75" customHeight="1" x14ac:dyDescent="0.25">
      <c r="A163" s="39">
        <v>30180</v>
      </c>
      <c r="B163" s="6">
        <v>11.25</v>
      </c>
      <c r="C163" s="1" t="str">
        <f t="shared" si="0"/>
        <v>Q3 1982</v>
      </c>
      <c r="D163" s="1">
        <f t="shared" si="6"/>
        <v>7</v>
      </c>
      <c r="E163" s="1">
        <f t="shared" si="1"/>
        <v>78.75</v>
      </c>
      <c r="H163" s="1">
        <f t="shared" si="2"/>
        <v>0</v>
      </c>
      <c r="L163" s="28" t="s">
        <v>213</v>
      </c>
      <c r="M163" s="1">
        <f t="shared" ca="1" si="21"/>
        <v>10.85978021978022</v>
      </c>
    </row>
    <row r="164" spans="1:13" ht="15.75" customHeight="1" x14ac:dyDescent="0.25">
      <c r="A164" s="39">
        <v>30179</v>
      </c>
      <c r="B164" s="6">
        <v>11.38</v>
      </c>
      <c r="C164" s="1" t="str">
        <f t="shared" si="0"/>
        <v>Q3 1982</v>
      </c>
      <c r="D164" s="1">
        <f t="shared" si="6"/>
        <v>1</v>
      </c>
      <c r="E164" s="1">
        <f t="shared" si="1"/>
        <v>11.38</v>
      </c>
      <c r="H164" s="1">
        <f t="shared" si="2"/>
        <v>0</v>
      </c>
      <c r="L164" s="28" t="s">
        <v>214</v>
      </c>
      <c r="M164" s="1">
        <f t="shared" ca="1" si="21"/>
        <v>9.6858695652173914</v>
      </c>
    </row>
    <row r="165" spans="1:13" ht="15.75" customHeight="1" x14ac:dyDescent="0.25">
      <c r="A165" s="39">
        <v>30167</v>
      </c>
      <c r="B165" s="6">
        <v>11.5</v>
      </c>
      <c r="C165" s="1" t="str">
        <f t="shared" si="0"/>
        <v>Q3 1982</v>
      </c>
      <c r="D165" s="1">
        <f t="shared" si="6"/>
        <v>12</v>
      </c>
      <c r="E165" s="1">
        <f t="shared" si="1"/>
        <v>138</v>
      </c>
      <c r="H165" s="1">
        <f t="shared" si="2"/>
        <v>0</v>
      </c>
      <c r="L165" s="28" t="s">
        <v>215</v>
      </c>
      <c r="M165" s="1">
        <f t="shared" ca="1" si="21"/>
        <v>11.114736842105263</v>
      </c>
    </row>
    <row r="166" spans="1:13" ht="15.75" customHeight="1" x14ac:dyDescent="0.25">
      <c r="A166" s="39">
        <v>30165</v>
      </c>
      <c r="B166" s="6">
        <v>11.56</v>
      </c>
      <c r="C166" s="1" t="str">
        <f t="shared" si="0"/>
        <v>Q3 1982</v>
      </c>
      <c r="D166" s="1">
        <f t="shared" si="6"/>
        <v>2</v>
      </c>
      <c r="E166" s="1">
        <f t="shared" si="1"/>
        <v>23.12</v>
      </c>
      <c r="H166" s="1">
        <f t="shared" si="2"/>
        <v>0</v>
      </c>
      <c r="L166" s="28" t="s">
        <v>216</v>
      </c>
      <c r="M166" s="1">
        <f t="shared" ca="1" si="21"/>
        <v>12.943928571428573</v>
      </c>
    </row>
    <row r="167" spans="1:13" ht="15.75" customHeight="1" x14ac:dyDescent="0.25">
      <c r="A167" s="39">
        <v>30162</v>
      </c>
      <c r="B167" s="6">
        <v>11.63</v>
      </c>
      <c r="C167" s="1" t="str">
        <f t="shared" si="0"/>
        <v>Q3 1982</v>
      </c>
      <c r="D167" s="1">
        <f t="shared" si="6"/>
        <v>3</v>
      </c>
      <c r="E167" s="1">
        <f t="shared" si="1"/>
        <v>34.89</v>
      </c>
      <c r="H167" s="1">
        <f t="shared" si="2"/>
        <v>0</v>
      </c>
      <c r="L167" s="28" t="s">
        <v>217</v>
      </c>
      <c r="M167" s="1">
        <f t="shared" ca="1" si="21"/>
        <v>13.589090909090912</v>
      </c>
    </row>
    <row r="168" spans="1:13" ht="15.75" customHeight="1" x14ac:dyDescent="0.25">
      <c r="A168" s="39">
        <v>30161</v>
      </c>
      <c r="B168" s="6">
        <v>11.75</v>
      </c>
      <c r="C168" s="1" t="str">
        <f t="shared" si="0"/>
        <v>Q3 1982</v>
      </c>
      <c r="D168" s="1">
        <f t="shared" si="6"/>
        <v>1</v>
      </c>
      <c r="E168" s="1">
        <f t="shared" si="1"/>
        <v>11.75</v>
      </c>
      <c r="H168" s="1">
        <f t="shared" si="2"/>
        <v>0</v>
      </c>
      <c r="L168" s="28" t="s">
        <v>218</v>
      </c>
      <c r="M168" s="1">
        <f t="shared" ca="1" si="21"/>
        <v>14.628265306122451</v>
      </c>
    </row>
    <row r="169" spans="1:13" ht="15.75" customHeight="1" x14ac:dyDescent="0.25">
      <c r="A169" s="39">
        <v>30160</v>
      </c>
      <c r="B169" s="6">
        <v>11.81</v>
      </c>
      <c r="C169" s="1" t="str">
        <f t="shared" si="0"/>
        <v>Q3 1982</v>
      </c>
      <c r="D169" s="1">
        <f t="shared" si="6"/>
        <v>1</v>
      </c>
      <c r="E169" s="1">
        <f t="shared" si="1"/>
        <v>11.81</v>
      </c>
      <c r="H169" s="1">
        <f t="shared" si="2"/>
        <v>0</v>
      </c>
      <c r="L169" s="28" t="s">
        <v>219</v>
      </c>
      <c r="M169" s="1">
        <f t="shared" ca="1" si="21"/>
        <v>13.426875000000001</v>
      </c>
    </row>
    <row r="170" spans="1:13" ht="15.75" customHeight="1" x14ac:dyDescent="0.25">
      <c r="A170" s="39">
        <v>30158</v>
      </c>
      <c r="B170" s="6">
        <v>11.94</v>
      </c>
      <c r="C170" s="1" t="str">
        <f t="shared" si="0"/>
        <v>Q3 1982</v>
      </c>
      <c r="D170" s="1">
        <f t="shared" si="6"/>
        <v>2</v>
      </c>
      <c r="E170" s="1">
        <f t="shared" si="1"/>
        <v>23.88</v>
      </c>
      <c r="H170" s="1">
        <f t="shared" si="2"/>
        <v>0</v>
      </c>
      <c r="L170" s="28" t="s">
        <v>220</v>
      </c>
      <c r="M170" s="1">
        <v>12</v>
      </c>
    </row>
    <row r="171" spans="1:13" ht="15.75" customHeight="1" x14ac:dyDescent="0.25">
      <c r="A171" s="39">
        <v>30153</v>
      </c>
      <c r="B171" s="6">
        <v>12.06</v>
      </c>
      <c r="C171" s="1" t="str">
        <f t="shared" si="0"/>
        <v>Q3 1982</v>
      </c>
      <c r="D171" s="1">
        <f t="shared" si="6"/>
        <v>5</v>
      </c>
      <c r="E171" s="1">
        <f t="shared" si="1"/>
        <v>60.300000000000004</v>
      </c>
      <c r="H171" s="1">
        <f t="shared" si="2"/>
        <v>0</v>
      </c>
      <c r="L171" s="28" t="s">
        <v>221</v>
      </c>
      <c r="M171" s="1">
        <f t="shared" ref="M171:M173" ca="1" si="22">IFERROR(VLOOKUP(L171, G:J, 4, FALSE), "")</f>
        <v>12</v>
      </c>
    </row>
    <row r="172" spans="1:13" ht="15.75" customHeight="1" x14ac:dyDescent="0.25">
      <c r="A172" s="39">
        <v>30145</v>
      </c>
      <c r="B172" s="6">
        <v>12.13</v>
      </c>
      <c r="C172" s="1" t="str">
        <f t="shared" si="0"/>
        <v>Q3 1982</v>
      </c>
      <c r="D172" s="1">
        <f t="shared" si="6"/>
        <v>8</v>
      </c>
      <c r="E172" s="1">
        <f t="shared" si="1"/>
        <v>97.04</v>
      </c>
      <c r="H172" s="1">
        <f t="shared" si="2"/>
        <v>0</v>
      </c>
      <c r="L172" s="28" t="s">
        <v>222</v>
      </c>
      <c r="M172" s="1">
        <f t="shared" ca="1" si="22"/>
        <v>14</v>
      </c>
    </row>
    <row r="173" spans="1:13" ht="15.75" customHeight="1" x14ac:dyDescent="0.25">
      <c r="A173" s="39">
        <v>30144</v>
      </c>
      <c r="B173" s="6">
        <v>12.25</v>
      </c>
      <c r="C173" s="1" t="str">
        <f t="shared" si="0"/>
        <v>Q3 1982</v>
      </c>
      <c r="D173" s="1">
        <f t="shared" si="6"/>
        <v>1</v>
      </c>
      <c r="E173" s="1">
        <f t="shared" si="1"/>
        <v>12.25</v>
      </c>
      <c r="H173" s="1">
        <f t="shared" si="2"/>
        <v>0</v>
      </c>
      <c r="L173" s="28" t="s">
        <v>223</v>
      </c>
      <c r="M173" s="1">
        <f t="shared" ca="1" si="22"/>
        <v>16</v>
      </c>
    </row>
    <row r="174" spans="1:13" ht="15.75" customHeight="1" x14ac:dyDescent="0.25">
      <c r="A174" s="39">
        <v>30141</v>
      </c>
      <c r="B174" s="6">
        <v>12.5</v>
      </c>
      <c r="C174" s="1" t="str">
        <f t="shared" si="0"/>
        <v>Q3 1982</v>
      </c>
      <c r="D174" s="1">
        <f t="shared" si="6"/>
        <v>3</v>
      </c>
      <c r="E174" s="1">
        <f t="shared" si="1"/>
        <v>37.5</v>
      </c>
      <c r="H174" s="1">
        <f t="shared" si="2"/>
        <v>0</v>
      </c>
      <c r="L174" s="28" t="s">
        <v>224</v>
      </c>
      <c r="M174" s="1">
        <v>17</v>
      </c>
    </row>
    <row r="175" spans="1:13" ht="15.75" customHeight="1" x14ac:dyDescent="0.25">
      <c r="A175" s="39">
        <v>30110</v>
      </c>
      <c r="B175" s="6">
        <v>12.63</v>
      </c>
      <c r="C175" s="1" t="str">
        <f t="shared" si="0"/>
        <v>Q2 1982</v>
      </c>
      <c r="D175" s="1">
        <f t="shared" si="6"/>
        <v>31</v>
      </c>
      <c r="E175" s="1">
        <f t="shared" si="1"/>
        <v>391.53000000000003</v>
      </c>
      <c r="H175" s="1">
        <f t="shared" si="2"/>
        <v>0</v>
      </c>
      <c r="L175" s="28" t="s">
        <v>225</v>
      </c>
      <c r="M175" s="1">
        <v>17</v>
      </c>
    </row>
    <row r="176" spans="1:13" ht="15.75" customHeight="1" x14ac:dyDescent="0.25">
      <c r="A176" s="39">
        <v>30061</v>
      </c>
      <c r="B176" s="6">
        <v>13.13</v>
      </c>
      <c r="C176" s="1" t="str">
        <f t="shared" si="0"/>
        <v>Q2 1982</v>
      </c>
      <c r="D176" s="1">
        <f t="shared" si="6"/>
        <v>49</v>
      </c>
      <c r="E176" s="1">
        <f t="shared" si="1"/>
        <v>643.37</v>
      </c>
      <c r="H176" s="1">
        <f t="shared" si="2"/>
        <v>0</v>
      </c>
      <c r="L176" s="28" t="s">
        <v>226</v>
      </c>
      <c r="M176" s="1">
        <f ca="1">IFERROR(VLOOKUP(L176, G:J, 4, FALSE), "")</f>
        <v>17</v>
      </c>
    </row>
    <row r="177" spans="1:13" ht="15.75" customHeight="1" x14ac:dyDescent="0.25">
      <c r="A177" s="39">
        <v>30060</v>
      </c>
      <c r="B177" s="6">
        <v>13</v>
      </c>
      <c r="C177" s="1" t="str">
        <f t="shared" si="0"/>
        <v>Q2 1982</v>
      </c>
      <c r="D177" s="1">
        <f t="shared" si="6"/>
        <v>1</v>
      </c>
      <c r="E177" s="1">
        <f t="shared" si="1"/>
        <v>13</v>
      </c>
      <c r="H177" s="1">
        <f t="shared" si="2"/>
        <v>0</v>
      </c>
      <c r="L177" s="28" t="s">
        <v>227</v>
      </c>
      <c r="M177" s="1">
        <v>13.383928571428571</v>
      </c>
    </row>
    <row r="178" spans="1:13" ht="15.75" customHeight="1" x14ac:dyDescent="0.25">
      <c r="A178" s="39">
        <v>30057</v>
      </c>
      <c r="B178" s="6">
        <v>13.13</v>
      </c>
      <c r="C178" s="1" t="str">
        <f t="shared" si="0"/>
        <v>Q2 1982</v>
      </c>
      <c r="D178" s="1">
        <f t="shared" si="6"/>
        <v>3</v>
      </c>
      <c r="E178" s="1">
        <f t="shared" si="1"/>
        <v>39.39</v>
      </c>
      <c r="H178" s="1">
        <f t="shared" si="2"/>
        <v>0</v>
      </c>
      <c r="L178" s="28" t="s">
        <v>228</v>
      </c>
      <c r="M178" s="1">
        <f t="shared" ref="M178:M180" ca="1" si="23">IFERROR(VLOOKUP(L178, G:J, 4, FALSE), "")</f>
        <v>13.383928571428571</v>
      </c>
    </row>
    <row r="179" spans="1:13" ht="15.75" customHeight="1" x14ac:dyDescent="0.25">
      <c r="A179" s="39">
        <v>30020</v>
      </c>
      <c r="B179" s="6">
        <v>13.25</v>
      </c>
      <c r="C179" s="1" t="str">
        <f t="shared" si="0"/>
        <v>Q1 1982</v>
      </c>
      <c r="D179" s="1">
        <f t="shared" si="6"/>
        <v>37</v>
      </c>
      <c r="E179" s="1">
        <f t="shared" si="1"/>
        <v>490.25</v>
      </c>
      <c r="H179" s="1">
        <f t="shared" si="2"/>
        <v>0</v>
      </c>
      <c r="L179" s="28" t="s">
        <v>229</v>
      </c>
      <c r="M179" s="1">
        <f t="shared" ca="1" si="23"/>
        <v>13.375</v>
      </c>
    </row>
    <row r="180" spans="1:13" ht="15.75" customHeight="1" x14ac:dyDescent="0.25">
      <c r="A180" s="39">
        <v>30007</v>
      </c>
      <c r="B180" s="6">
        <v>13.63</v>
      </c>
      <c r="C180" s="1" t="str">
        <f t="shared" si="0"/>
        <v>Q1 1982</v>
      </c>
      <c r="D180" s="1">
        <f t="shared" si="6"/>
        <v>13</v>
      </c>
      <c r="E180" s="1">
        <f t="shared" si="1"/>
        <v>177.19</v>
      </c>
      <c r="H180" s="1">
        <f t="shared" si="2"/>
        <v>0</v>
      </c>
      <c r="L180" s="28" t="s">
        <v>230</v>
      </c>
      <c r="M180" s="1">
        <f t="shared" ca="1" si="23"/>
        <v>12.5</v>
      </c>
    </row>
    <row r="181" spans="1:13" ht="15.75" customHeight="1" x14ac:dyDescent="0.25">
      <c r="A181" s="39">
        <v>30004</v>
      </c>
      <c r="B181" s="6">
        <v>13.81</v>
      </c>
      <c r="C181" s="1" t="str">
        <f t="shared" si="0"/>
        <v>Q1 1982</v>
      </c>
      <c r="D181" s="1">
        <f t="shared" si="6"/>
        <v>3</v>
      </c>
      <c r="E181" s="1">
        <f t="shared" si="1"/>
        <v>41.43</v>
      </c>
      <c r="H181" s="1">
        <f t="shared" si="2"/>
        <v>0</v>
      </c>
      <c r="L181" s="28" t="s">
        <v>231</v>
      </c>
      <c r="M181" s="1">
        <v>9.5367298578199051</v>
      </c>
    </row>
    <row r="182" spans="1:13" ht="15.75" customHeight="1" x14ac:dyDescent="0.25">
      <c r="A182" s="39">
        <v>29973</v>
      </c>
      <c r="B182" s="6">
        <v>13.88</v>
      </c>
      <c r="C182" s="1" t="str">
        <f t="shared" si="0"/>
        <v>Q1 1982</v>
      </c>
      <c r="D182" s="1">
        <f t="shared" si="6"/>
        <v>31</v>
      </c>
      <c r="E182" s="1">
        <f t="shared" si="1"/>
        <v>430.28000000000003</v>
      </c>
      <c r="H182" s="1">
        <f t="shared" si="2"/>
        <v>0</v>
      </c>
      <c r="L182" s="28" t="s">
        <v>232</v>
      </c>
      <c r="M182" s="1">
        <f t="shared" ref="M182:M200" ca="1" si="24">IFERROR(VLOOKUP(L182, G:J, 4, FALSE), "")</f>
        <v>9.5367298578199051</v>
      </c>
    </row>
    <row r="183" spans="1:13" ht="15.75" customHeight="1" x14ac:dyDescent="0.25">
      <c r="A183" s="39">
        <v>29972</v>
      </c>
      <c r="B183" s="6">
        <v>14</v>
      </c>
      <c r="C183" s="1" t="str">
        <f t="shared" si="0"/>
        <v>Q1 1982</v>
      </c>
      <c r="D183" s="1">
        <f t="shared" si="6"/>
        <v>1</v>
      </c>
      <c r="E183" s="1">
        <f t="shared" si="1"/>
        <v>14</v>
      </c>
      <c r="H183" s="1">
        <f t="shared" si="2"/>
        <v>0</v>
      </c>
      <c r="L183" s="28" t="s">
        <v>233</v>
      </c>
      <c r="M183" s="1">
        <f t="shared" ca="1" si="24"/>
        <v>6.5</v>
      </c>
    </row>
    <row r="184" spans="1:13" ht="15.75" customHeight="1" x14ac:dyDescent="0.25">
      <c r="A184" s="39">
        <v>29971</v>
      </c>
      <c r="B184" s="6">
        <v>14.13</v>
      </c>
      <c r="C184" s="1" t="str">
        <f t="shared" si="0"/>
        <v>Q1 1982</v>
      </c>
      <c r="D184" s="1">
        <f t="shared" si="6"/>
        <v>1</v>
      </c>
      <c r="E184" s="1">
        <f t="shared" si="1"/>
        <v>14.13</v>
      </c>
      <c r="H184" s="1">
        <f t="shared" si="2"/>
        <v>0</v>
      </c>
      <c r="L184" s="28" t="s">
        <v>234</v>
      </c>
      <c r="M184" s="1">
        <f t="shared" ca="1" si="24"/>
        <v>5.9615384615384617</v>
      </c>
    </row>
    <row r="185" spans="1:13" ht="15.75" customHeight="1" x14ac:dyDescent="0.25">
      <c r="A185" s="39">
        <v>29970</v>
      </c>
      <c r="B185" s="6">
        <v>14.25</v>
      </c>
      <c r="C185" s="1" t="str">
        <f t="shared" si="0"/>
        <v>Q1 1982</v>
      </c>
      <c r="D185" s="1">
        <f t="shared" si="6"/>
        <v>1</v>
      </c>
      <c r="E185" s="1">
        <f t="shared" si="1"/>
        <v>14.25</v>
      </c>
      <c r="H185" s="1">
        <f t="shared" si="2"/>
        <v>0</v>
      </c>
      <c r="L185" s="28" t="s">
        <v>235</v>
      </c>
      <c r="M185" s="1">
        <f t="shared" ca="1" si="24"/>
        <v>6.666666666666667</v>
      </c>
    </row>
    <row r="186" spans="1:13" ht="15.75" customHeight="1" x14ac:dyDescent="0.25">
      <c r="A186" s="39">
        <v>29969</v>
      </c>
      <c r="B186" s="6">
        <v>14.31</v>
      </c>
      <c r="C186" s="1" t="str">
        <f t="shared" si="0"/>
        <v>Q1 1982</v>
      </c>
      <c r="D186" s="1">
        <f t="shared" si="6"/>
        <v>1</v>
      </c>
      <c r="E186" s="1">
        <f t="shared" si="1"/>
        <v>14.31</v>
      </c>
      <c r="H186" s="1">
        <f t="shared" si="2"/>
        <v>0</v>
      </c>
      <c r="L186" s="28" t="s">
        <v>236</v>
      </c>
      <c r="M186" s="1">
        <f t="shared" ca="1" si="24"/>
        <v>8.1970338983050848</v>
      </c>
    </row>
    <row r="187" spans="1:13" ht="15.75" customHeight="1" x14ac:dyDescent="0.25">
      <c r="A187" s="39">
        <v>29924</v>
      </c>
      <c r="B187" s="6">
        <v>14.38</v>
      </c>
      <c r="C187" s="1" t="str">
        <f t="shared" si="0"/>
        <v>Q4 1981</v>
      </c>
      <c r="D187" s="1">
        <f t="shared" si="6"/>
        <v>45</v>
      </c>
      <c r="E187" s="1">
        <f t="shared" si="1"/>
        <v>647.1</v>
      </c>
      <c r="H187" s="1">
        <f t="shared" si="2"/>
        <v>0</v>
      </c>
      <c r="L187" s="28" t="s">
        <v>237</v>
      </c>
      <c r="M187" s="1">
        <f t="shared" ca="1" si="24"/>
        <v>11.798913043478262</v>
      </c>
    </row>
    <row r="188" spans="1:13" ht="15.75" customHeight="1" x14ac:dyDescent="0.25">
      <c r="A188" s="39">
        <v>29915</v>
      </c>
      <c r="B188" s="6">
        <v>14.56</v>
      </c>
      <c r="C188" s="1" t="str">
        <f t="shared" si="0"/>
        <v>Q4 1981</v>
      </c>
      <c r="D188" s="1">
        <f t="shared" si="6"/>
        <v>9</v>
      </c>
      <c r="E188" s="1">
        <f t="shared" si="1"/>
        <v>131.04</v>
      </c>
      <c r="H188" s="1">
        <f t="shared" si="2"/>
        <v>0</v>
      </c>
      <c r="L188" s="28" t="s">
        <v>238</v>
      </c>
      <c r="M188" s="1">
        <f t="shared" ca="1" si="24"/>
        <v>14.784210526315789</v>
      </c>
    </row>
    <row r="189" spans="1:13" ht="15.75" customHeight="1" x14ac:dyDescent="0.25">
      <c r="A189" s="39">
        <v>29899</v>
      </c>
      <c r="B189" s="6">
        <v>14.63</v>
      </c>
      <c r="C189" s="1" t="str">
        <f t="shared" si="0"/>
        <v>Q4 1981</v>
      </c>
      <c r="D189" s="1">
        <f t="shared" si="6"/>
        <v>16</v>
      </c>
      <c r="E189" s="1">
        <f t="shared" si="1"/>
        <v>234.08</v>
      </c>
      <c r="H189" s="1">
        <f t="shared" si="2"/>
        <v>0</v>
      </c>
      <c r="L189" s="28" t="s">
        <v>239</v>
      </c>
      <c r="M189" s="1">
        <f t="shared" ca="1" si="24"/>
        <v>13</v>
      </c>
    </row>
    <row r="190" spans="1:13" ht="15.75" customHeight="1" x14ac:dyDescent="0.25">
      <c r="A190" s="39">
        <v>29896</v>
      </c>
      <c r="B190" s="6">
        <v>15.06</v>
      </c>
      <c r="C190" s="1" t="str">
        <f t="shared" si="0"/>
        <v>Q4 1981</v>
      </c>
      <c r="D190" s="1">
        <f t="shared" si="6"/>
        <v>3</v>
      </c>
      <c r="E190" s="1">
        <f t="shared" si="1"/>
        <v>45.18</v>
      </c>
      <c r="H190" s="1">
        <f t="shared" si="2"/>
        <v>0</v>
      </c>
      <c r="L190" s="28" t="s">
        <v>240</v>
      </c>
      <c r="M190" s="1">
        <f t="shared" ca="1" si="24"/>
        <v>11.3</v>
      </c>
    </row>
    <row r="191" spans="1:13" ht="15.75" customHeight="1" x14ac:dyDescent="0.25">
      <c r="A191" s="39">
        <v>29887</v>
      </c>
      <c r="B191" s="6">
        <v>15.13</v>
      </c>
      <c r="C191" s="1" t="str">
        <f t="shared" si="0"/>
        <v>Q4 1981</v>
      </c>
      <c r="D191" s="1">
        <f t="shared" si="6"/>
        <v>9</v>
      </c>
      <c r="E191" s="1">
        <f t="shared" si="1"/>
        <v>136.17000000000002</v>
      </c>
      <c r="H191" s="1">
        <f t="shared" si="2"/>
        <v>0</v>
      </c>
      <c r="L191" s="28" t="s">
        <v>241</v>
      </c>
      <c r="M191" s="1">
        <f t="shared" ca="1" si="24"/>
        <v>9.625</v>
      </c>
    </row>
    <row r="192" spans="1:13" ht="15.75" customHeight="1" x14ac:dyDescent="0.25">
      <c r="A192" s="39">
        <v>29871</v>
      </c>
      <c r="B192" s="6">
        <v>15</v>
      </c>
      <c r="C192" s="1" t="str">
        <f t="shared" si="0"/>
        <v>Q4 1981</v>
      </c>
      <c r="D192" s="1">
        <f t="shared" si="6"/>
        <v>16</v>
      </c>
      <c r="E192" s="1">
        <f t="shared" si="1"/>
        <v>240</v>
      </c>
      <c r="H192" s="1">
        <f t="shared" si="2"/>
        <v>0</v>
      </c>
      <c r="L192" s="28" t="s">
        <v>242</v>
      </c>
      <c r="M192" s="1">
        <f t="shared" ca="1" si="24"/>
        <v>11.75</v>
      </c>
    </row>
    <row r="193" spans="1:13" ht="15.75" customHeight="1" x14ac:dyDescent="0.25">
      <c r="A193" s="39">
        <v>29844</v>
      </c>
      <c r="B193" s="6">
        <v>14</v>
      </c>
      <c r="C193" s="1" t="str">
        <f t="shared" si="0"/>
        <v>Q3 1981</v>
      </c>
      <c r="D193" s="1">
        <f t="shared" si="6"/>
        <v>27</v>
      </c>
      <c r="E193" s="1">
        <f t="shared" si="1"/>
        <v>378</v>
      </c>
      <c r="H193" s="1">
        <f t="shared" si="2"/>
        <v>0</v>
      </c>
      <c r="L193" s="28" t="s">
        <v>243</v>
      </c>
      <c r="M193" s="1">
        <f t="shared" ca="1" si="24"/>
        <v>11</v>
      </c>
    </row>
    <row r="194" spans="1:13" ht="15.75" customHeight="1" x14ac:dyDescent="0.25">
      <c r="A194" s="39">
        <v>29823</v>
      </c>
      <c r="B194" s="6">
        <v>12.69</v>
      </c>
      <c r="C194" s="1" t="str">
        <f t="shared" si="0"/>
        <v>Q3 1981</v>
      </c>
      <c r="D194" s="1">
        <f t="shared" si="6"/>
        <v>21</v>
      </c>
      <c r="E194" s="1">
        <f t="shared" si="1"/>
        <v>266.49</v>
      </c>
      <c r="H194" s="1">
        <f t="shared" si="2"/>
        <v>0</v>
      </c>
      <c r="L194" s="28" t="s">
        <v>244</v>
      </c>
      <c r="M194" s="1">
        <f t="shared" ca="1" si="24"/>
        <v>9.9642857142857135</v>
      </c>
    </row>
    <row r="195" spans="1:13" ht="15.75" customHeight="1" x14ac:dyDescent="0.25">
      <c r="A195" s="39">
        <v>29656</v>
      </c>
      <c r="B195" s="6">
        <v>12</v>
      </c>
      <c r="C195" s="1" t="str">
        <f t="shared" si="0"/>
        <v>Q1 1981</v>
      </c>
      <c r="D195" s="1">
        <f t="shared" si="6"/>
        <v>167</v>
      </c>
      <c r="E195" s="1">
        <f t="shared" si="1"/>
        <v>2004</v>
      </c>
      <c r="H195" s="1">
        <f t="shared" si="2"/>
        <v>0</v>
      </c>
      <c r="L195" s="28" t="s">
        <v>245</v>
      </c>
      <c r="M195" s="1">
        <f t="shared" ca="1" si="24"/>
        <v>10.461538461538462</v>
      </c>
    </row>
    <row r="196" spans="1:13" ht="15.75" customHeight="1" x14ac:dyDescent="0.25">
      <c r="A196" s="39">
        <v>29550</v>
      </c>
      <c r="B196" s="6">
        <v>14</v>
      </c>
      <c r="C196" s="1" t="str">
        <f t="shared" si="0"/>
        <v>Q4 1980</v>
      </c>
      <c r="D196" s="1">
        <f t="shared" si="6"/>
        <v>106</v>
      </c>
      <c r="E196" s="1">
        <f t="shared" si="1"/>
        <v>1484</v>
      </c>
      <c r="H196" s="1">
        <f t="shared" si="2"/>
        <v>0</v>
      </c>
      <c r="L196" s="28" t="s">
        <v>246</v>
      </c>
      <c r="M196" s="1" t="str">
        <f t="shared" ca="1" si="24"/>
        <v/>
      </c>
    </row>
    <row r="197" spans="1:13" ht="15.75" customHeight="1" x14ac:dyDescent="0.25">
      <c r="A197" s="39">
        <v>29405</v>
      </c>
      <c r="B197" s="6">
        <v>16</v>
      </c>
      <c r="C197" s="1" t="str">
        <f t="shared" si="0"/>
        <v>Q3 1980</v>
      </c>
      <c r="D197" s="1">
        <f t="shared" si="6"/>
        <v>145</v>
      </c>
      <c r="E197" s="1">
        <f t="shared" si="1"/>
        <v>2320</v>
      </c>
      <c r="H197" s="1">
        <f t="shared" si="2"/>
        <v>0</v>
      </c>
      <c r="L197" s="28" t="s">
        <v>247</v>
      </c>
      <c r="M197" s="1" t="str">
        <f t="shared" ca="1" si="24"/>
        <v/>
      </c>
    </row>
    <row r="198" spans="1:13" ht="15.75" customHeight="1" x14ac:dyDescent="0.25">
      <c r="A198" s="39">
        <v>29174</v>
      </c>
      <c r="B198" s="6">
        <v>17</v>
      </c>
      <c r="C198" s="1" t="str">
        <f t="shared" si="0"/>
        <v>Q4 1979</v>
      </c>
      <c r="D198" s="1">
        <f t="shared" si="6"/>
        <v>231</v>
      </c>
      <c r="E198" s="1">
        <f t="shared" si="1"/>
        <v>3927</v>
      </c>
      <c r="H198" s="1">
        <f t="shared" si="2"/>
        <v>0</v>
      </c>
      <c r="L198" s="28" t="s">
        <v>248</v>
      </c>
      <c r="M198" s="1" t="str">
        <f t="shared" ca="1" si="24"/>
        <v/>
      </c>
    </row>
    <row r="199" spans="1:13" ht="15.75" customHeight="1" x14ac:dyDescent="0.25">
      <c r="A199" s="39">
        <v>29019</v>
      </c>
      <c r="B199" s="6">
        <v>14</v>
      </c>
      <c r="C199" s="1" t="str">
        <f t="shared" si="0"/>
        <v>Q2 1979</v>
      </c>
      <c r="D199" s="1">
        <f t="shared" si="6"/>
        <v>155</v>
      </c>
      <c r="E199" s="1">
        <f t="shared" si="1"/>
        <v>2170</v>
      </c>
      <c r="H199" s="1">
        <f t="shared" si="2"/>
        <v>0</v>
      </c>
      <c r="L199" s="28" t="s">
        <v>249</v>
      </c>
      <c r="M199" s="1" t="str">
        <f t="shared" ca="1" si="24"/>
        <v/>
      </c>
    </row>
    <row r="200" spans="1:13" ht="15.75" customHeight="1" x14ac:dyDescent="0.25">
      <c r="A200" s="39">
        <v>28950</v>
      </c>
      <c r="B200" s="6">
        <v>12</v>
      </c>
      <c r="C200" s="1" t="str">
        <f t="shared" si="0"/>
        <v>Q2 1979</v>
      </c>
      <c r="D200" s="1">
        <f t="shared" si="6"/>
        <v>69</v>
      </c>
      <c r="E200" s="1">
        <f t="shared" si="1"/>
        <v>828</v>
      </c>
      <c r="H200" s="1">
        <f t="shared" si="2"/>
        <v>0</v>
      </c>
      <c r="L200" s="28" t="s">
        <v>250</v>
      </c>
      <c r="M200" s="1" t="str">
        <f t="shared" ca="1" si="24"/>
        <v/>
      </c>
    </row>
    <row r="201" spans="1:13" ht="15.75" customHeight="1" x14ac:dyDescent="0.25">
      <c r="A201" s="39">
        <v>28915</v>
      </c>
      <c r="B201" s="6">
        <v>13</v>
      </c>
      <c r="C201" s="1" t="str">
        <f t="shared" si="0"/>
        <v>Q1 1979</v>
      </c>
      <c r="D201" s="1">
        <f t="shared" si="6"/>
        <v>35</v>
      </c>
      <c r="E201" s="1">
        <f t="shared" si="1"/>
        <v>455</v>
      </c>
      <c r="H201" s="1">
        <f t="shared" si="2"/>
        <v>0</v>
      </c>
    </row>
    <row r="202" spans="1:13" ht="15.75" customHeight="1" x14ac:dyDescent="0.25">
      <c r="A202" s="39">
        <v>28894</v>
      </c>
      <c r="B202" s="6">
        <v>14</v>
      </c>
      <c r="C202" s="1" t="str">
        <f t="shared" si="0"/>
        <v>Q1 1979</v>
      </c>
      <c r="D202" s="1">
        <f t="shared" si="6"/>
        <v>21</v>
      </c>
      <c r="E202" s="1">
        <f t="shared" si="1"/>
        <v>294</v>
      </c>
      <c r="H202" s="1">
        <f t="shared" si="2"/>
        <v>0</v>
      </c>
    </row>
    <row r="203" spans="1:13" ht="15.75" customHeight="1" x14ac:dyDescent="0.25">
      <c r="A203" s="39">
        <v>28803</v>
      </c>
      <c r="B203" s="6">
        <v>12.5</v>
      </c>
      <c r="C203" s="1" t="str">
        <f t="shared" si="0"/>
        <v>Q4 1978</v>
      </c>
      <c r="D203" s="1">
        <f t="shared" si="6"/>
        <v>91</v>
      </c>
      <c r="E203" s="1">
        <f t="shared" si="1"/>
        <v>1137.5</v>
      </c>
      <c r="H203" s="1">
        <f t="shared" si="2"/>
        <v>0</v>
      </c>
    </row>
    <row r="204" spans="1:13" ht="15.75" customHeight="1" x14ac:dyDescent="0.25">
      <c r="A204" s="39">
        <v>28649</v>
      </c>
      <c r="B204" s="6">
        <v>10</v>
      </c>
      <c r="C204" s="1" t="str">
        <f t="shared" si="0"/>
        <v>Q2 1978</v>
      </c>
      <c r="D204" s="1">
        <f t="shared" si="6"/>
        <v>154</v>
      </c>
      <c r="E204" s="1">
        <f t="shared" si="1"/>
        <v>1540</v>
      </c>
      <c r="H204" s="1">
        <f t="shared" si="2"/>
        <v>0</v>
      </c>
    </row>
    <row r="205" spans="1:13" ht="15.75" customHeight="1" x14ac:dyDescent="0.25">
      <c r="A205" s="39">
        <v>28625</v>
      </c>
      <c r="B205" s="6">
        <v>9</v>
      </c>
      <c r="C205" s="1" t="str">
        <f t="shared" si="0"/>
        <v>Q2 1978</v>
      </c>
      <c r="D205" s="1">
        <f t="shared" si="6"/>
        <v>24</v>
      </c>
      <c r="E205" s="1">
        <f t="shared" si="1"/>
        <v>216</v>
      </c>
      <c r="H205" s="1">
        <f t="shared" si="2"/>
        <v>0</v>
      </c>
    </row>
    <row r="206" spans="1:13" ht="15.75" customHeight="1" x14ac:dyDescent="0.25">
      <c r="A206" s="39">
        <v>28618</v>
      </c>
      <c r="B206" s="6">
        <v>8.75</v>
      </c>
      <c r="C206" s="1" t="str">
        <f t="shared" si="0"/>
        <v>Q2 1978</v>
      </c>
      <c r="D206" s="1">
        <f t="shared" si="6"/>
        <v>7</v>
      </c>
      <c r="E206" s="1">
        <f t="shared" si="1"/>
        <v>61.25</v>
      </c>
      <c r="H206" s="1">
        <f t="shared" si="2"/>
        <v>0</v>
      </c>
    </row>
    <row r="207" spans="1:13" ht="15.75" customHeight="1" x14ac:dyDescent="0.25">
      <c r="A207" s="39">
        <v>28592</v>
      </c>
      <c r="B207" s="6">
        <v>7.5</v>
      </c>
      <c r="C207" s="1" t="str">
        <f t="shared" si="0"/>
        <v>Q2 1978</v>
      </c>
      <c r="D207" s="1">
        <f t="shared" si="6"/>
        <v>26</v>
      </c>
      <c r="E207" s="1">
        <f t="shared" si="1"/>
        <v>195</v>
      </c>
      <c r="H207" s="1">
        <f t="shared" si="2"/>
        <v>0</v>
      </c>
    </row>
    <row r="208" spans="1:13" ht="15.75" customHeight="1" x14ac:dyDescent="0.25">
      <c r="A208" s="39">
        <v>28499</v>
      </c>
      <c r="B208" s="6">
        <v>6.5</v>
      </c>
      <c r="C208" s="1" t="str">
        <f t="shared" si="0"/>
        <v>Q1 1978</v>
      </c>
      <c r="D208" s="1">
        <f t="shared" si="6"/>
        <v>93</v>
      </c>
      <c r="E208" s="1">
        <f t="shared" si="1"/>
        <v>604.5</v>
      </c>
      <c r="H208" s="1">
        <f t="shared" si="2"/>
        <v>0</v>
      </c>
    </row>
    <row r="209" spans="1:8" ht="15.75" customHeight="1" x14ac:dyDescent="0.25">
      <c r="A209" s="39">
        <v>28457</v>
      </c>
      <c r="B209" s="6">
        <v>7</v>
      </c>
      <c r="C209" s="1" t="str">
        <f t="shared" si="0"/>
        <v>Q4 1977</v>
      </c>
      <c r="D209" s="1">
        <f t="shared" si="6"/>
        <v>42</v>
      </c>
      <c r="E209" s="1">
        <f t="shared" si="1"/>
        <v>294</v>
      </c>
      <c r="H209" s="1">
        <f t="shared" si="2"/>
        <v>0</v>
      </c>
    </row>
    <row r="210" spans="1:8" ht="15.75" customHeight="1" x14ac:dyDescent="0.25">
      <c r="A210" s="39">
        <v>28415</v>
      </c>
      <c r="B210" s="6">
        <v>5</v>
      </c>
      <c r="C210" s="1" t="str">
        <f t="shared" si="0"/>
        <v>Q4 1977</v>
      </c>
      <c r="D210" s="1">
        <f t="shared" si="6"/>
        <v>42</v>
      </c>
      <c r="E210" s="1">
        <f t="shared" si="1"/>
        <v>210</v>
      </c>
      <c r="H210" s="1">
        <f t="shared" si="2"/>
        <v>0</v>
      </c>
    </row>
    <row r="211" spans="1:8" ht="15.75" customHeight="1" x14ac:dyDescent="0.25">
      <c r="A211" s="39">
        <v>28408</v>
      </c>
      <c r="B211" s="6">
        <v>5.5</v>
      </c>
      <c r="C211" s="1" t="str">
        <f t="shared" si="0"/>
        <v>Q4 1977</v>
      </c>
      <c r="D211" s="1">
        <f t="shared" si="6"/>
        <v>7</v>
      </c>
      <c r="E211" s="1">
        <f t="shared" si="1"/>
        <v>38.5</v>
      </c>
      <c r="H211" s="1">
        <f t="shared" si="2"/>
        <v>0</v>
      </c>
    </row>
    <row r="212" spans="1:8" ht="15.75" customHeight="1" x14ac:dyDescent="0.25">
      <c r="A212" s="39">
        <v>28387</v>
      </c>
      <c r="B212" s="6">
        <v>6</v>
      </c>
      <c r="C212" s="1" t="str">
        <f t="shared" si="0"/>
        <v>Q3 1977</v>
      </c>
      <c r="D212" s="1">
        <f t="shared" si="6"/>
        <v>21</v>
      </c>
      <c r="E212" s="1">
        <f t="shared" si="1"/>
        <v>126</v>
      </c>
      <c r="H212" s="1">
        <f t="shared" si="2"/>
        <v>0</v>
      </c>
    </row>
    <row r="213" spans="1:8" ht="15.75" customHeight="1" x14ac:dyDescent="0.25">
      <c r="A213" s="39">
        <v>28380</v>
      </c>
      <c r="B213" s="6">
        <v>6.5</v>
      </c>
      <c r="C213" s="1" t="str">
        <f t="shared" si="0"/>
        <v>Q3 1977</v>
      </c>
      <c r="D213" s="1">
        <f t="shared" si="6"/>
        <v>7</v>
      </c>
      <c r="E213" s="1">
        <f t="shared" si="1"/>
        <v>45.5</v>
      </c>
      <c r="H213" s="1">
        <f t="shared" si="2"/>
        <v>0</v>
      </c>
    </row>
    <row r="214" spans="1:8" ht="15.75" customHeight="1" x14ac:dyDescent="0.25">
      <c r="A214" s="39">
        <v>28352</v>
      </c>
      <c r="B214" s="6">
        <v>7</v>
      </c>
      <c r="C214" s="1" t="str">
        <f t="shared" si="0"/>
        <v>Q3 1977</v>
      </c>
      <c r="D214" s="1">
        <f t="shared" si="6"/>
        <v>28</v>
      </c>
      <c r="E214" s="1">
        <f t="shared" si="1"/>
        <v>196</v>
      </c>
      <c r="H214" s="1">
        <f t="shared" si="2"/>
        <v>0</v>
      </c>
    </row>
    <row r="215" spans="1:8" ht="15.75" customHeight="1" x14ac:dyDescent="0.25">
      <c r="A215" s="39">
        <v>28345</v>
      </c>
      <c r="B215" s="6">
        <v>7.5</v>
      </c>
      <c r="C215" s="1" t="str">
        <f t="shared" si="0"/>
        <v>Q3 1977</v>
      </c>
      <c r="D215" s="1">
        <f t="shared" si="6"/>
        <v>7</v>
      </c>
      <c r="E215" s="1">
        <f t="shared" si="1"/>
        <v>52.5</v>
      </c>
      <c r="H215" s="1">
        <f t="shared" si="2"/>
        <v>0</v>
      </c>
    </row>
    <row r="216" spans="1:8" ht="15.75" customHeight="1" x14ac:dyDescent="0.25">
      <c r="A216" s="39">
        <v>28261</v>
      </c>
      <c r="B216" s="6">
        <v>8</v>
      </c>
      <c r="C216" s="1" t="str">
        <f t="shared" si="0"/>
        <v>Q2 1977</v>
      </c>
      <c r="D216" s="1">
        <f t="shared" si="6"/>
        <v>84</v>
      </c>
      <c r="E216" s="1">
        <f t="shared" si="1"/>
        <v>672</v>
      </c>
      <c r="H216" s="1">
        <f t="shared" si="2"/>
        <v>0</v>
      </c>
    </row>
    <row r="217" spans="1:8" ht="15.75" customHeight="1" x14ac:dyDescent="0.25">
      <c r="A217" s="39">
        <v>28247</v>
      </c>
      <c r="B217" s="6">
        <v>8.25</v>
      </c>
      <c r="C217" s="1" t="str">
        <f t="shared" si="0"/>
        <v>Q2 1977</v>
      </c>
      <c r="D217" s="1">
        <f t="shared" si="6"/>
        <v>14</v>
      </c>
      <c r="E217" s="1">
        <f t="shared" si="1"/>
        <v>115.5</v>
      </c>
      <c r="H217" s="1">
        <f t="shared" si="2"/>
        <v>0</v>
      </c>
    </row>
    <row r="218" spans="1:8" ht="15.75" customHeight="1" x14ac:dyDescent="0.25">
      <c r="A218" s="39">
        <v>28240</v>
      </c>
      <c r="B218" s="6">
        <v>8.75</v>
      </c>
      <c r="C218" s="1" t="str">
        <f t="shared" si="0"/>
        <v>Q2 1977</v>
      </c>
      <c r="D218" s="1">
        <f t="shared" si="6"/>
        <v>7</v>
      </c>
      <c r="E218" s="1">
        <f t="shared" si="1"/>
        <v>61.25</v>
      </c>
      <c r="H218" s="1">
        <f t="shared" si="2"/>
        <v>0</v>
      </c>
    </row>
    <row r="219" spans="1:8" ht="15.75" customHeight="1" x14ac:dyDescent="0.25">
      <c r="A219" s="39">
        <v>28233</v>
      </c>
      <c r="B219" s="6">
        <v>9</v>
      </c>
      <c r="C219" s="1" t="str">
        <f t="shared" si="0"/>
        <v>Q2 1977</v>
      </c>
      <c r="D219" s="1">
        <f t="shared" si="6"/>
        <v>7</v>
      </c>
      <c r="E219" s="1">
        <f t="shared" si="1"/>
        <v>63</v>
      </c>
      <c r="H219" s="1">
        <f t="shared" si="2"/>
        <v>0</v>
      </c>
    </row>
    <row r="220" spans="1:8" ht="15.75" customHeight="1" x14ac:dyDescent="0.25">
      <c r="A220" s="39">
        <v>28227</v>
      </c>
      <c r="B220" s="6">
        <v>9.25</v>
      </c>
      <c r="C220" s="1" t="str">
        <f t="shared" si="0"/>
        <v>Q2 1977</v>
      </c>
      <c r="D220" s="1">
        <f t="shared" si="6"/>
        <v>6</v>
      </c>
      <c r="E220" s="1">
        <f t="shared" si="1"/>
        <v>55.5</v>
      </c>
      <c r="H220" s="1">
        <f t="shared" si="2"/>
        <v>0</v>
      </c>
    </row>
    <row r="221" spans="1:8" ht="15.75" customHeight="1" x14ac:dyDescent="0.25">
      <c r="A221" s="39">
        <v>28215</v>
      </c>
      <c r="B221" s="6">
        <v>9.5</v>
      </c>
      <c r="C221" s="1" t="str">
        <f t="shared" si="0"/>
        <v>Q1 1977</v>
      </c>
      <c r="D221" s="1">
        <f t="shared" si="6"/>
        <v>12</v>
      </c>
      <c r="E221" s="1">
        <f t="shared" si="1"/>
        <v>114</v>
      </c>
      <c r="H221" s="1">
        <f t="shared" si="2"/>
        <v>0</v>
      </c>
    </row>
    <row r="222" spans="1:8" ht="15.75" customHeight="1" x14ac:dyDescent="0.25">
      <c r="A222" s="39">
        <v>28205</v>
      </c>
      <c r="B222" s="6">
        <v>10.5</v>
      </c>
      <c r="C222" s="1" t="str">
        <f t="shared" si="0"/>
        <v>Q1 1977</v>
      </c>
      <c r="D222" s="1">
        <f t="shared" si="6"/>
        <v>10</v>
      </c>
      <c r="E222" s="1">
        <f t="shared" si="1"/>
        <v>105</v>
      </c>
      <c r="H222" s="1">
        <f t="shared" si="2"/>
        <v>0</v>
      </c>
    </row>
    <row r="223" spans="1:8" ht="15.75" customHeight="1" x14ac:dyDescent="0.25">
      <c r="A223" s="39">
        <v>28194</v>
      </c>
      <c r="B223" s="6">
        <v>11</v>
      </c>
      <c r="C223" s="1" t="str">
        <f t="shared" si="0"/>
        <v>Q1 1977</v>
      </c>
      <c r="D223" s="1">
        <f t="shared" si="6"/>
        <v>11</v>
      </c>
      <c r="E223" s="1">
        <f t="shared" si="1"/>
        <v>121</v>
      </c>
      <c r="H223" s="1">
        <f t="shared" si="2"/>
        <v>0</v>
      </c>
    </row>
    <row r="224" spans="1:8" ht="15.75" customHeight="1" x14ac:dyDescent="0.25">
      <c r="A224" s="39">
        <v>28159</v>
      </c>
      <c r="B224" s="6">
        <v>12</v>
      </c>
      <c r="C224" s="1" t="str">
        <f t="shared" si="0"/>
        <v>Q1 1977</v>
      </c>
      <c r="D224" s="1">
        <f t="shared" si="6"/>
        <v>35</v>
      </c>
      <c r="E224" s="1">
        <f t="shared" si="1"/>
        <v>420</v>
      </c>
      <c r="H224" s="1">
        <f t="shared" si="2"/>
        <v>0</v>
      </c>
    </row>
    <row r="225" spans="1:8" ht="15.75" customHeight="1" x14ac:dyDescent="0.25">
      <c r="A225" s="39">
        <v>28156</v>
      </c>
      <c r="B225" s="6">
        <v>12.25</v>
      </c>
      <c r="C225" s="1" t="str">
        <f t="shared" si="0"/>
        <v>Q1 1977</v>
      </c>
      <c r="D225" s="1">
        <f t="shared" si="6"/>
        <v>3</v>
      </c>
      <c r="E225" s="1">
        <f t="shared" si="1"/>
        <v>36.75</v>
      </c>
      <c r="H225" s="1">
        <f t="shared" si="2"/>
        <v>0</v>
      </c>
    </row>
    <row r="226" spans="1:8" ht="15.75" customHeight="1" x14ac:dyDescent="0.25">
      <c r="A226" s="39">
        <v>28149</v>
      </c>
      <c r="B226" s="6">
        <v>13.25</v>
      </c>
      <c r="C226" s="1" t="str">
        <f t="shared" si="0"/>
        <v>Q1 1977</v>
      </c>
      <c r="D226" s="1">
        <f t="shared" si="6"/>
        <v>7</v>
      </c>
      <c r="E226" s="1">
        <f t="shared" si="1"/>
        <v>92.75</v>
      </c>
      <c r="H226" s="1">
        <f t="shared" si="2"/>
        <v>0</v>
      </c>
    </row>
    <row r="227" spans="1:8" ht="15.75" customHeight="1" x14ac:dyDescent="0.25">
      <c r="A227" s="39">
        <v>28135</v>
      </c>
      <c r="B227" s="6">
        <v>14</v>
      </c>
      <c r="C227" s="1" t="str">
        <f t="shared" si="0"/>
        <v>Q1 1977</v>
      </c>
      <c r="D227" s="1">
        <f t="shared" si="6"/>
        <v>14</v>
      </c>
      <c r="E227" s="1">
        <f t="shared" si="1"/>
        <v>196</v>
      </c>
      <c r="H227" s="1">
        <f t="shared" si="2"/>
        <v>0</v>
      </c>
    </row>
    <row r="228" spans="1:8" ht="15.75" customHeight="1" x14ac:dyDescent="0.25">
      <c r="A228" s="39">
        <v>28123</v>
      </c>
      <c r="B228" s="6">
        <v>14.25</v>
      </c>
      <c r="C228" s="1" t="str">
        <f t="shared" si="0"/>
        <v>Q4 1976</v>
      </c>
      <c r="D228" s="1">
        <f t="shared" si="6"/>
        <v>12</v>
      </c>
      <c r="E228" s="1">
        <f t="shared" si="1"/>
        <v>171</v>
      </c>
      <c r="H228" s="1">
        <f t="shared" si="2"/>
        <v>0</v>
      </c>
    </row>
    <row r="229" spans="1:8" ht="15.75" customHeight="1" x14ac:dyDescent="0.25">
      <c r="A229" s="39">
        <v>28114</v>
      </c>
      <c r="B229" s="6">
        <v>14.5</v>
      </c>
      <c r="C229" s="1" t="str">
        <f t="shared" si="0"/>
        <v>Q4 1976</v>
      </c>
      <c r="D229" s="1">
        <f t="shared" si="6"/>
        <v>9</v>
      </c>
      <c r="E229" s="1">
        <f t="shared" si="1"/>
        <v>130.5</v>
      </c>
      <c r="H229" s="1">
        <f t="shared" si="2"/>
        <v>0</v>
      </c>
    </row>
    <row r="230" spans="1:8" ht="15.75" customHeight="1" x14ac:dyDescent="0.25">
      <c r="A230" s="39">
        <v>28086</v>
      </c>
      <c r="B230" s="6">
        <v>14.75</v>
      </c>
      <c r="C230" s="1" t="str">
        <f t="shared" si="0"/>
        <v>Q4 1976</v>
      </c>
      <c r="D230" s="1">
        <f t="shared" si="6"/>
        <v>28</v>
      </c>
      <c r="E230" s="1">
        <f t="shared" si="1"/>
        <v>413</v>
      </c>
      <c r="H230" s="1">
        <f t="shared" si="2"/>
        <v>0</v>
      </c>
    </row>
    <row r="231" spans="1:8" ht="15.75" customHeight="1" x14ac:dyDescent="0.25">
      <c r="A231" s="39">
        <v>28040</v>
      </c>
      <c r="B231" s="6">
        <v>15</v>
      </c>
      <c r="C231" s="1" t="str">
        <f t="shared" si="0"/>
        <v>Q4 1976</v>
      </c>
      <c r="D231" s="1">
        <f t="shared" si="6"/>
        <v>46</v>
      </c>
      <c r="E231" s="1">
        <f t="shared" si="1"/>
        <v>690</v>
      </c>
      <c r="H231" s="1">
        <f t="shared" si="2"/>
        <v>0</v>
      </c>
    </row>
    <row r="232" spans="1:8" ht="15.75" customHeight="1" x14ac:dyDescent="0.25">
      <c r="A232" s="39">
        <v>28016</v>
      </c>
      <c r="B232" s="6">
        <v>13</v>
      </c>
      <c r="C232" s="1" t="str">
        <f t="shared" si="0"/>
        <v>Q3 1976</v>
      </c>
      <c r="D232" s="1">
        <f t="shared" si="6"/>
        <v>24</v>
      </c>
      <c r="E232" s="1">
        <f t="shared" si="1"/>
        <v>312</v>
      </c>
      <c r="H232" s="1">
        <f t="shared" si="2"/>
        <v>0</v>
      </c>
    </row>
    <row r="233" spans="1:8" ht="15.75" customHeight="1" x14ac:dyDescent="0.25">
      <c r="A233" s="39">
        <v>27904</v>
      </c>
      <c r="B233" s="6">
        <v>11.5</v>
      </c>
      <c r="C233" s="1" t="str">
        <f t="shared" si="0"/>
        <v>Q2 1976</v>
      </c>
      <c r="D233" s="1">
        <f t="shared" si="6"/>
        <v>112</v>
      </c>
      <c r="E233" s="1">
        <f t="shared" si="1"/>
        <v>1288</v>
      </c>
      <c r="H233" s="1">
        <f t="shared" si="2"/>
        <v>0</v>
      </c>
    </row>
    <row r="234" spans="1:8" ht="15.75" customHeight="1" x14ac:dyDescent="0.25">
      <c r="A234" s="39">
        <v>27876</v>
      </c>
      <c r="B234" s="6">
        <v>10.5</v>
      </c>
      <c r="C234" s="1" t="str">
        <f t="shared" si="0"/>
        <v>Q2 1976</v>
      </c>
      <c r="D234" s="1">
        <f t="shared" si="6"/>
        <v>28</v>
      </c>
      <c r="E234" s="1">
        <f t="shared" si="1"/>
        <v>294</v>
      </c>
      <c r="H234" s="1">
        <f t="shared" si="2"/>
        <v>0</v>
      </c>
    </row>
    <row r="235" spans="1:8" ht="15.75" customHeight="1" x14ac:dyDescent="0.25">
      <c r="A235" s="39">
        <v>27827</v>
      </c>
      <c r="B235" s="6">
        <v>9</v>
      </c>
      <c r="C235" s="1" t="str">
        <f t="shared" si="0"/>
        <v>Q1 1976</v>
      </c>
      <c r="D235" s="1">
        <f t="shared" si="6"/>
        <v>49</v>
      </c>
      <c r="E235" s="1">
        <f t="shared" si="1"/>
        <v>441</v>
      </c>
      <c r="H235" s="1">
        <f t="shared" si="2"/>
        <v>0</v>
      </c>
    </row>
    <row r="236" spans="1:8" ht="15.75" customHeight="1" x14ac:dyDescent="0.25">
      <c r="A236" s="39">
        <v>27820</v>
      </c>
      <c r="B236" s="6">
        <v>9.25</v>
      </c>
      <c r="C236" s="1" t="str">
        <f t="shared" si="0"/>
        <v>Q1 1976</v>
      </c>
      <c r="D236" s="1">
        <f t="shared" si="6"/>
        <v>7</v>
      </c>
      <c r="E236" s="1">
        <f t="shared" si="1"/>
        <v>64.75</v>
      </c>
      <c r="H236" s="1">
        <f t="shared" si="2"/>
        <v>0</v>
      </c>
    </row>
    <row r="237" spans="1:8" ht="15.75" customHeight="1" x14ac:dyDescent="0.25">
      <c r="A237" s="39">
        <v>27799</v>
      </c>
      <c r="B237" s="6">
        <v>9.5</v>
      </c>
      <c r="C237" s="1" t="str">
        <f t="shared" si="0"/>
        <v>Q1 1976</v>
      </c>
      <c r="D237" s="1">
        <f t="shared" si="6"/>
        <v>21</v>
      </c>
      <c r="E237" s="1">
        <f t="shared" si="1"/>
        <v>199.5</v>
      </c>
      <c r="H237" s="1">
        <f t="shared" si="2"/>
        <v>0</v>
      </c>
    </row>
    <row r="238" spans="1:8" ht="15.75" customHeight="1" x14ac:dyDescent="0.25">
      <c r="A238" s="39">
        <v>27792</v>
      </c>
      <c r="B238" s="6">
        <v>10</v>
      </c>
      <c r="C238" s="1" t="str">
        <f t="shared" si="0"/>
        <v>Q1 1976</v>
      </c>
      <c r="D238" s="1">
        <f t="shared" si="6"/>
        <v>7</v>
      </c>
      <c r="E238" s="1">
        <f t="shared" si="1"/>
        <v>70</v>
      </c>
      <c r="H238" s="1">
        <f t="shared" si="2"/>
        <v>0</v>
      </c>
    </row>
    <row r="239" spans="1:8" ht="15.75" customHeight="1" x14ac:dyDescent="0.25">
      <c r="A239" s="39">
        <v>27785</v>
      </c>
      <c r="B239" s="6">
        <v>10.5</v>
      </c>
      <c r="C239" s="1" t="str">
        <f t="shared" si="0"/>
        <v>Q1 1976</v>
      </c>
      <c r="D239" s="1">
        <f t="shared" si="6"/>
        <v>7</v>
      </c>
      <c r="E239" s="1">
        <f t="shared" si="1"/>
        <v>73.5</v>
      </c>
      <c r="H239" s="1">
        <f t="shared" si="2"/>
        <v>0</v>
      </c>
    </row>
    <row r="240" spans="1:8" ht="15.75" customHeight="1" x14ac:dyDescent="0.25">
      <c r="A240" s="39">
        <v>27778</v>
      </c>
      <c r="B240" s="6">
        <v>10.75</v>
      </c>
      <c r="C240" s="1" t="str">
        <f t="shared" si="0"/>
        <v>Q1 1976</v>
      </c>
      <c r="D240" s="1">
        <f t="shared" si="6"/>
        <v>7</v>
      </c>
      <c r="E240" s="1">
        <f t="shared" si="1"/>
        <v>75.25</v>
      </c>
      <c r="H240" s="1">
        <f t="shared" si="2"/>
        <v>0</v>
      </c>
    </row>
    <row r="241" spans="1:8" ht="15.75" customHeight="1" x14ac:dyDescent="0.25">
      <c r="A241" s="39">
        <v>27764</v>
      </c>
      <c r="B241" s="6">
        <v>11</v>
      </c>
      <c r="C241" s="1" t="str">
        <f t="shared" si="0"/>
        <v>Q1 1976</v>
      </c>
      <c r="D241" s="1">
        <f t="shared" si="6"/>
        <v>14</v>
      </c>
      <c r="E241" s="1">
        <f t="shared" si="1"/>
        <v>154</v>
      </c>
      <c r="H241" s="1">
        <f t="shared" si="2"/>
        <v>0</v>
      </c>
    </row>
    <row r="242" spans="1:8" ht="15.75" customHeight="1" x14ac:dyDescent="0.25">
      <c r="A242" s="39">
        <v>27757</v>
      </c>
      <c r="B242" s="6">
        <v>11.25</v>
      </c>
      <c r="C242" s="1" t="str">
        <f t="shared" si="0"/>
        <v>Q4 1975</v>
      </c>
      <c r="D242" s="1">
        <f t="shared" si="6"/>
        <v>7</v>
      </c>
      <c r="E242" s="1">
        <f t="shared" si="1"/>
        <v>78.75</v>
      </c>
      <c r="H242" s="1">
        <f t="shared" si="2"/>
        <v>0</v>
      </c>
    </row>
    <row r="243" spans="1:8" ht="15.75" customHeight="1" x14ac:dyDescent="0.25">
      <c r="A243" s="39">
        <v>27729</v>
      </c>
      <c r="B243" s="6">
        <v>11.5</v>
      </c>
      <c r="C243" s="1" t="str">
        <f t="shared" si="0"/>
        <v>Q4 1975</v>
      </c>
      <c r="D243" s="1">
        <f t="shared" si="6"/>
        <v>28</v>
      </c>
      <c r="E243" s="1">
        <f t="shared" si="1"/>
        <v>322</v>
      </c>
      <c r="H243" s="1">
        <f t="shared" si="2"/>
        <v>0</v>
      </c>
    </row>
    <row r="244" spans="1:8" ht="15.75" customHeight="1" x14ac:dyDescent="0.25">
      <c r="A244" s="39">
        <v>27715</v>
      </c>
      <c r="B244" s="6">
        <v>11.75</v>
      </c>
      <c r="C244" s="1" t="str">
        <f t="shared" si="0"/>
        <v>Q4 1975</v>
      </c>
      <c r="D244" s="1">
        <f t="shared" si="6"/>
        <v>14</v>
      </c>
      <c r="E244" s="1">
        <f t="shared" si="1"/>
        <v>164.5</v>
      </c>
      <c r="H244" s="1">
        <f t="shared" si="2"/>
        <v>0</v>
      </c>
    </row>
    <row r="245" spans="1:8" ht="15.75" customHeight="1" x14ac:dyDescent="0.25">
      <c r="A245" s="39">
        <v>27673</v>
      </c>
      <c r="B245" s="6">
        <v>12</v>
      </c>
      <c r="C245" s="1" t="str">
        <f t="shared" si="0"/>
        <v>Q4 1975</v>
      </c>
      <c r="D245" s="1">
        <f t="shared" si="6"/>
        <v>42</v>
      </c>
      <c r="E245" s="1">
        <f t="shared" si="1"/>
        <v>504</v>
      </c>
      <c r="H245" s="1">
        <f t="shared" si="2"/>
        <v>0</v>
      </c>
    </row>
    <row r="246" spans="1:8" ht="15.75" customHeight="1" x14ac:dyDescent="0.25">
      <c r="A246" s="39">
        <v>27603</v>
      </c>
      <c r="B246" s="6">
        <v>11</v>
      </c>
      <c r="C246" s="1" t="str">
        <f t="shared" si="0"/>
        <v>Q3 1975</v>
      </c>
      <c r="D246" s="1">
        <f t="shared" si="6"/>
        <v>70</v>
      </c>
      <c r="E246" s="1">
        <f t="shared" si="1"/>
        <v>770</v>
      </c>
      <c r="H246" s="1">
        <f t="shared" si="2"/>
        <v>0</v>
      </c>
    </row>
    <row r="247" spans="1:8" ht="15.75" customHeight="1" x14ac:dyDescent="0.25">
      <c r="A247" s="39">
        <v>27519</v>
      </c>
      <c r="B247" s="6">
        <v>10</v>
      </c>
      <c r="C247" s="1" t="str">
        <f t="shared" si="0"/>
        <v>Q2 1975</v>
      </c>
      <c r="D247" s="1">
        <f t="shared" si="6"/>
        <v>84</v>
      </c>
      <c r="E247" s="1">
        <f t="shared" si="1"/>
        <v>840</v>
      </c>
      <c r="H247" s="1">
        <f t="shared" si="2"/>
        <v>0</v>
      </c>
    </row>
    <row r="248" spans="1:8" ht="15.75" customHeight="1" x14ac:dyDescent="0.25">
      <c r="A248" s="39">
        <v>27505</v>
      </c>
      <c r="B248" s="6">
        <v>9.75</v>
      </c>
      <c r="C248" s="1" t="str">
        <f t="shared" si="0"/>
        <v>Q2 1975</v>
      </c>
      <c r="D248" s="1">
        <f t="shared" si="6"/>
        <v>14</v>
      </c>
      <c r="E248" s="1">
        <f t="shared" si="1"/>
        <v>136.5</v>
      </c>
      <c r="H248" s="1">
        <f t="shared" si="2"/>
        <v>0</v>
      </c>
    </row>
    <row r="249" spans="1:8" ht="15.75" customHeight="1" x14ac:dyDescent="0.25">
      <c r="A249" s="39">
        <v>27477</v>
      </c>
      <c r="B249" s="6">
        <v>10</v>
      </c>
      <c r="C249" s="1" t="str">
        <f t="shared" si="0"/>
        <v>Q1 1975</v>
      </c>
      <c r="D249" s="1">
        <f t="shared" si="6"/>
        <v>28</v>
      </c>
      <c r="E249" s="1">
        <f t="shared" si="1"/>
        <v>280</v>
      </c>
      <c r="H249" s="1">
        <f t="shared" si="2"/>
        <v>0</v>
      </c>
    </row>
    <row r="250" spans="1:8" ht="15.75" customHeight="1" x14ac:dyDescent="0.25">
      <c r="A250" s="39">
        <v>27463</v>
      </c>
      <c r="B250" s="6">
        <v>10.25</v>
      </c>
      <c r="C250" s="1" t="str">
        <f t="shared" si="0"/>
        <v>Q1 1975</v>
      </c>
      <c r="D250" s="1">
        <f t="shared" si="6"/>
        <v>14</v>
      </c>
      <c r="E250" s="1">
        <f t="shared" si="1"/>
        <v>143.5</v>
      </c>
      <c r="H250" s="1">
        <f t="shared" si="2"/>
        <v>0</v>
      </c>
    </row>
    <row r="251" spans="1:8" ht="15.75" customHeight="1" x14ac:dyDescent="0.25">
      <c r="A251" s="39">
        <v>27442</v>
      </c>
      <c r="B251" s="6">
        <v>10.5</v>
      </c>
      <c r="C251" s="1" t="str">
        <f t="shared" si="0"/>
        <v>Q1 1975</v>
      </c>
      <c r="D251" s="1">
        <f t="shared" si="6"/>
        <v>21</v>
      </c>
      <c r="E251" s="1">
        <f t="shared" si="1"/>
        <v>220.5</v>
      </c>
      <c r="H251" s="1">
        <f t="shared" si="2"/>
        <v>0</v>
      </c>
    </row>
    <row r="252" spans="1:8" ht="15.75" customHeight="1" x14ac:dyDescent="0.25">
      <c r="A252" s="39">
        <v>27435</v>
      </c>
      <c r="B252" s="6">
        <v>10.75</v>
      </c>
      <c r="C252" s="1" t="str">
        <f t="shared" si="0"/>
        <v>Q1 1975</v>
      </c>
      <c r="D252" s="1">
        <f t="shared" si="6"/>
        <v>7</v>
      </c>
      <c r="E252" s="1">
        <f t="shared" si="1"/>
        <v>75.25</v>
      </c>
      <c r="H252" s="1">
        <f t="shared" si="2"/>
        <v>0</v>
      </c>
    </row>
    <row r="253" spans="1:8" ht="15.75" customHeight="1" x14ac:dyDescent="0.25">
      <c r="A253" s="39">
        <v>27421</v>
      </c>
      <c r="B253" s="6">
        <v>11</v>
      </c>
      <c r="C253" s="1" t="str">
        <f t="shared" si="0"/>
        <v>Q1 1975</v>
      </c>
      <c r="D253" s="1">
        <f t="shared" si="6"/>
        <v>14</v>
      </c>
      <c r="E253" s="1">
        <f t="shared" si="1"/>
        <v>154</v>
      </c>
      <c r="H253" s="1">
        <f t="shared" si="2"/>
        <v>0</v>
      </c>
    </row>
    <row r="254" spans="1:8" ht="15.75" customHeight="1" x14ac:dyDescent="0.25">
      <c r="A254" s="39">
        <v>27414</v>
      </c>
      <c r="B254" s="6">
        <v>11.25</v>
      </c>
      <c r="C254" s="1" t="str">
        <f t="shared" si="0"/>
        <v>Q1 1975</v>
      </c>
      <c r="D254" s="1">
        <f t="shared" si="6"/>
        <v>7</v>
      </c>
      <c r="E254" s="1">
        <f t="shared" si="1"/>
        <v>78.75</v>
      </c>
      <c r="H254" s="1">
        <f t="shared" si="2"/>
        <v>0</v>
      </c>
    </row>
    <row r="255" spans="1:8" ht="15.75" customHeight="1" x14ac:dyDescent="0.25"/>
    <row r="256" spans="1: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mortgage rates quarterly</vt:lpstr>
      <vt:lpstr>BoE rate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Him Shun</cp:lastModifiedBy>
  <dcterms:modified xsi:type="dcterms:W3CDTF">2023-11-21T23:34:08Z</dcterms:modified>
</cp:coreProperties>
</file>