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D028 KJD\2 February\"/>
    </mc:Choice>
  </mc:AlternateContent>
  <xr:revisionPtr revIDLastSave="0" documentId="13_ncr:1_{0E1047B0-4B02-4302-8BB4-2761FB488DF2}" xr6:coauthVersionLast="47" xr6:coauthVersionMax="47" xr10:uidLastSave="{00000000-0000-0000-0000-000000000000}"/>
  <bookViews>
    <workbookView xWindow="-110" yWindow="-110" windowWidth="25820" windowHeight="13900" firstSheet="2" activeTab="2" xr2:uid="{6B3CBDCE-F346-4927-BB7F-04B3EAB905F9}"/>
  </bookViews>
  <sheets>
    <sheet name="Cover" sheetId="4" state="hidden" r:id="rId1"/>
    <sheet name="Summary" sheetId="5" state="hidden" r:id="rId2"/>
    <sheet name="Summary (2)" sheetId="13" r:id="rId3"/>
    <sheet name="Headboard &amp; Wall paneling" sheetId="1" r:id="rId4"/>
    <sheet name="Misc. Joinery" sheetId="9" r:id="rId5"/>
    <sheet name="Timber doors " sheetId="7" r:id="rId6"/>
    <sheet name="Daybed" sheetId="10" r:id="rId7"/>
    <sheet name="Additional Joinery works " sheetId="11" r:id="rId8"/>
    <sheet name="M12" sheetId="12" r:id="rId9"/>
  </sheets>
  <externalReferences>
    <externalReference r:id="rId10"/>
  </externalReferences>
  <definedNames>
    <definedName name="_xlnm._FilterDatabase" localSheetId="7" hidden="1">'Additional Joinery works '!$A$1:$L$135</definedName>
    <definedName name="_xlnm._FilterDatabase" localSheetId="3" hidden="1">'Headboard &amp; Wall paneling'!$A$1:$M$202</definedName>
    <definedName name="_xlnm._FilterDatabase" localSheetId="4" hidden="1">'Misc. Joinery'!$A$1:$L$287</definedName>
    <definedName name="_xlnm._FilterDatabase" localSheetId="5" hidden="1">'Timber doors '!$A$1:$AZ$229</definedName>
    <definedName name="_xlnm.Print_Area" localSheetId="7">'Additional Joinery works '!$A$2:$L$135</definedName>
    <definedName name="_xlnm.Print_Area" localSheetId="0">Cover!$A$1:$F$45</definedName>
    <definedName name="_xlnm.Print_Area" localSheetId="6">Daybed!$A$1:$L$10</definedName>
    <definedName name="_xlnm.Print_Area" localSheetId="3">'Headboard &amp; Wall paneling'!$A$2:$L$204</definedName>
    <definedName name="_xlnm.Print_Area" localSheetId="8">'M12'!$A$1:$R$39</definedName>
    <definedName name="_xlnm.Print_Area" localSheetId="4">'Misc. Joinery'!$A$2:$L$287</definedName>
    <definedName name="_xlnm.Print_Area" localSheetId="1">Summary!$A$1:$I$44</definedName>
    <definedName name="_xlnm.Print_Area" localSheetId="2">'Summary (2)'!$A$1:$I$44</definedName>
    <definedName name="_xlnm.Print_Area" localSheetId="5">'Timber doors '!$A$2:$O$229</definedName>
    <definedName name="_xlnm.Print_Titles" localSheetId="7">'Additional Joinery works '!$2:$2</definedName>
    <definedName name="_xlnm.Print_Titles" localSheetId="3">'Headboard &amp; Wall paneling'!$2:$2</definedName>
    <definedName name="_xlnm.Print_Titles" localSheetId="8">'M12'!$1:$3</definedName>
    <definedName name="_xlnm.Print_Titles" localSheetId="4">'Misc. Joinery'!$2:$2</definedName>
    <definedName name="_xlnm.Print_Titles" localSheetId="5">'Timber doors '!$2:$2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8" i="13" l="1"/>
  <c r="H48" i="13"/>
  <c r="G48" i="13"/>
  <c r="P17" i="12"/>
  <c r="P14" i="12"/>
  <c r="P12" i="12"/>
  <c r="J5" i="1"/>
  <c r="L5" i="1"/>
  <c r="L8" i="9"/>
  <c r="I48" i="11"/>
  <c r="I49" i="11"/>
  <c r="I50" i="11"/>
  <c r="I47" i="11"/>
  <c r="I151" i="1"/>
  <c r="I147" i="1"/>
  <c r="I82" i="1"/>
  <c r="I78" i="1"/>
  <c r="I72" i="1"/>
  <c r="I68" i="1"/>
  <c r="I54" i="1"/>
  <c r="I47" i="1"/>
  <c r="I41" i="1"/>
  <c r="H29" i="13"/>
  <c r="H36" i="13" s="1"/>
  <c r="D19" i="13"/>
  <c r="D18" i="13"/>
  <c r="D15" i="13"/>
  <c r="G31" i="13" s="1"/>
  <c r="I31" i="13" s="1"/>
  <c r="D20" i="13" l="1"/>
  <c r="O39" i="12" l="1"/>
  <c r="O14" i="12"/>
  <c r="O12" i="12"/>
  <c r="I20" i="5" l="1"/>
  <c r="M26" i="12" l="1"/>
  <c r="N10" i="7"/>
  <c r="N8" i="7" s="1"/>
  <c r="K8" i="9"/>
  <c r="N222" i="7"/>
  <c r="K222" i="7"/>
  <c r="N205" i="7"/>
  <c r="K205" i="7"/>
  <c r="N193" i="7"/>
  <c r="K193" i="7"/>
  <c r="N161" i="7"/>
  <c r="K161" i="7"/>
  <c r="N142" i="7"/>
  <c r="K142" i="7"/>
  <c r="N112" i="7"/>
  <c r="K112" i="7"/>
  <c r="N93" i="7"/>
  <c r="K93" i="7"/>
  <c r="L69" i="7"/>
  <c r="L63" i="7"/>
  <c r="L59" i="7"/>
  <c r="L55" i="7"/>
  <c r="L57" i="7"/>
  <c r="L34" i="7"/>
  <c r="L28" i="7"/>
  <c r="I45" i="9"/>
  <c r="I37" i="9"/>
  <c r="I186" i="1"/>
  <c r="I182" i="1"/>
  <c r="I178" i="1"/>
  <c r="I176" i="1"/>
  <c r="I162" i="1"/>
  <c r="I160" i="1"/>
  <c r="K191" i="7" l="1"/>
  <c r="N191" i="7"/>
  <c r="K91" i="7"/>
  <c r="N91" i="7"/>
  <c r="I137" i="1" l="1"/>
  <c r="I119" i="1"/>
  <c r="I192" i="1"/>
  <c r="I190" i="1"/>
  <c r="P26" i="12" l="1"/>
  <c r="Q26" i="12" s="1"/>
  <c r="L26" i="12"/>
  <c r="J3" i="1" l="1"/>
  <c r="M35" i="12" l="1"/>
  <c r="M25" i="12"/>
  <c r="M15" i="12"/>
  <c r="M14" i="12"/>
  <c r="M22" i="12"/>
  <c r="M21" i="12"/>
  <c r="M20" i="12"/>
  <c r="M19" i="12"/>
  <c r="Q17" i="12"/>
  <c r="L17" i="12"/>
  <c r="M12" i="12"/>
  <c r="Q12" i="12" l="1"/>
  <c r="I129" i="1"/>
  <c r="I100" i="9"/>
  <c r="I29" i="9"/>
  <c r="I33" i="9"/>
  <c r="I143" i="1"/>
  <c r="I141" i="1"/>
  <c r="I70" i="9"/>
  <c r="I72" i="9"/>
  <c r="I53" i="9"/>
  <c r="I49" i="9"/>
  <c r="I108" i="9"/>
  <c r="I106" i="9"/>
  <c r="I104" i="9"/>
  <c r="I133" i="1"/>
  <c r="I131" i="1"/>
  <c r="I92" i="9"/>
  <c r="H58" i="11"/>
  <c r="H56" i="11"/>
  <c r="H35" i="5"/>
  <c r="H82" i="1"/>
  <c r="H72" i="1"/>
  <c r="I56" i="1"/>
  <c r="G54" i="1"/>
  <c r="G47" i="1"/>
  <c r="G41" i="1"/>
  <c r="G35" i="1"/>
  <c r="G29" i="1"/>
  <c r="G23" i="1"/>
  <c r="G17" i="1"/>
  <c r="G11" i="1"/>
  <c r="K10" i="10"/>
  <c r="H10" i="10"/>
  <c r="K229" i="7"/>
  <c r="H279" i="9"/>
  <c r="H187" i="9"/>
  <c r="H185" i="9" s="1"/>
  <c r="H144" i="9"/>
  <c r="H125" i="9"/>
  <c r="H6" i="9"/>
  <c r="K5" i="1"/>
  <c r="H194" i="1"/>
  <c r="H168" i="1"/>
  <c r="H156" i="1"/>
  <c r="H93" i="1"/>
  <c r="H86" i="1"/>
  <c r="H78" i="1" s="1"/>
  <c r="H76" i="1" s="1"/>
  <c r="H45" i="1"/>
  <c r="H43" i="1" s="1"/>
  <c r="H3" i="1"/>
  <c r="H54" i="11" l="1"/>
  <c r="H123" i="9"/>
  <c r="H68" i="1"/>
  <c r="I35" i="1"/>
  <c r="I29" i="1"/>
  <c r="I23" i="1"/>
  <c r="I17" i="1"/>
  <c r="I11" i="1"/>
  <c r="J125" i="9"/>
  <c r="K125" i="9" s="1"/>
  <c r="J279" i="9"/>
  <c r="K279" i="9" s="1"/>
  <c r="J187" i="9"/>
  <c r="J144" i="9"/>
  <c r="K144" i="9" s="1"/>
  <c r="J6" i="9"/>
  <c r="K6" i="9" s="1"/>
  <c r="H64" i="1" l="1"/>
  <c r="H56" i="1" s="1"/>
  <c r="H66" i="1"/>
  <c r="J185" i="9"/>
  <c r="K185" i="9" s="1"/>
  <c r="K187" i="9"/>
  <c r="J123" i="9"/>
  <c r="K123" i="9" s="1"/>
  <c r="Q14" i="12"/>
  <c r="A5" i="12" l="1"/>
  <c r="A6" i="12" s="1"/>
  <c r="A7" i="12" s="1"/>
  <c r="A8" i="12" s="1"/>
  <c r="A9" i="12" s="1"/>
  <c r="A10" i="12" s="1"/>
  <c r="A11" i="12" s="1"/>
  <c r="A12" i="12" s="1"/>
  <c r="A13" i="12" s="1"/>
  <c r="A14" i="12" s="1"/>
  <c r="A15" i="12" s="1"/>
  <c r="R1" i="12"/>
  <c r="L39" i="12"/>
  <c r="D19" i="5" s="1"/>
  <c r="J39" i="12"/>
  <c r="F133" i="11" l="1"/>
  <c r="J133" i="11" s="1"/>
  <c r="F131" i="11"/>
  <c r="J131" i="11" s="1"/>
  <c r="F129" i="11"/>
  <c r="J129" i="11" s="1"/>
  <c r="F127" i="11"/>
  <c r="J127" i="11" s="1"/>
  <c r="F121" i="11"/>
  <c r="F119" i="11" s="1"/>
  <c r="F117" i="11" s="1"/>
  <c r="K10" i="12" s="1"/>
  <c r="F113" i="11"/>
  <c r="J113" i="11" s="1"/>
  <c r="F111" i="11"/>
  <c r="J111" i="11" s="1"/>
  <c r="F109" i="11"/>
  <c r="J109" i="11" s="1"/>
  <c r="F107" i="11"/>
  <c r="J107" i="11" s="1"/>
  <c r="F105" i="11"/>
  <c r="J105" i="11" s="1"/>
  <c r="F99" i="11"/>
  <c r="J99" i="11" s="1"/>
  <c r="F97" i="11"/>
  <c r="J97" i="11" s="1"/>
  <c r="F95" i="11"/>
  <c r="J95" i="11" s="1"/>
  <c r="F91" i="11"/>
  <c r="J91" i="11" s="1"/>
  <c r="F89" i="11"/>
  <c r="J89" i="11" s="1"/>
  <c r="F85" i="11"/>
  <c r="J85" i="11" s="1"/>
  <c r="F83" i="11"/>
  <c r="F77" i="11"/>
  <c r="J77" i="11" s="1"/>
  <c r="F75" i="11"/>
  <c r="J75" i="11" s="1"/>
  <c r="F69" i="11"/>
  <c r="J69" i="11" s="1"/>
  <c r="F67" i="11"/>
  <c r="J58" i="11"/>
  <c r="K58" i="11" s="1"/>
  <c r="J56" i="11"/>
  <c r="K56" i="11" s="1"/>
  <c r="K54" i="11" s="1"/>
  <c r="F54" i="11"/>
  <c r="F50" i="11"/>
  <c r="F49" i="11"/>
  <c r="F48" i="11"/>
  <c r="F47" i="11"/>
  <c r="F40" i="11"/>
  <c r="J40" i="11" s="1"/>
  <c r="F38" i="11"/>
  <c r="J38" i="11" s="1"/>
  <c r="F26" i="11"/>
  <c r="J26" i="11" s="1"/>
  <c r="F24" i="11"/>
  <c r="J24" i="11" s="1"/>
  <c r="F22" i="11"/>
  <c r="J22" i="11" s="1"/>
  <c r="F20" i="11"/>
  <c r="J20" i="11" s="1"/>
  <c r="F18" i="11"/>
  <c r="J18" i="11" s="1"/>
  <c r="F14" i="11"/>
  <c r="J14" i="11" s="1"/>
  <c r="F12" i="11"/>
  <c r="J12" i="11" s="1"/>
  <c r="F10" i="11"/>
  <c r="J10" i="11" s="1"/>
  <c r="F32" i="11"/>
  <c r="J32" i="11" s="1"/>
  <c r="J30" i="11" s="1"/>
  <c r="J47" i="11" l="1"/>
  <c r="H47" i="11"/>
  <c r="J48" i="11"/>
  <c r="H48" i="11"/>
  <c r="J49" i="11"/>
  <c r="K49" i="11" s="1"/>
  <c r="H49" i="11"/>
  <c r="J50" i="11"/>
  <c r="H50" i="11"/>
  <c r="F65" i="11"/>
  <c r="F63" i="11" s="1"/>
  <c r="F79" i="11"/>
  <c r="J93" i="11"/>
  <c r="F73" i="11"/>
  <c r="F103" i="11"/>
  <c r="F101" i="11" s="1"/>
  <c r="J103" i="11"/>
  <c r="J101" i="11" s="1"/>
  <c r="J123" i="11"/>
  <c r="J73" i="11"/>
  <c r="J83" i="11"/>
  <c r="J79" i="11" s="1"/>
  <c r="J121" i="11"/>
  <c r="J119" i="11" s="1"/>
  <c r="F93" i="11"/>
  <c r="J67" i="11"/>
  <c r="J65" i="11" s="1"/>
  <c r="J63" i="11" s="1"/>
  <c r="F123" i="11"/>
  <c r="K7" i="12" s="1"/>
  <c r="M7" i="12" s="1"/>
  <c r="F30" i="11"/>
  <c r="K8" i="12" s="1"/>
  <c r="M8" i="12" s="1"/>
  <c r="J36" i="11"/>
  <c r="J54" i="11"/>
  <c r="F6" i="11"/>
  <c r="K5" i="12" s="1"/>
  <c r="M5" i="12" s="1"/>
  <c r="F36" i="11"/>
  <c r="F44" i="11"/>
  <c r="K9" i="12" s="1"/>
  <c r="M9" i="12" s="1"/>
  <c r="J6" i="11"/>
  <c r="K48" i="11" l="1"/>
  <c r="K50" i="11"/>
  <c r="H44" i="11"/>
  <c r="O9" i="12" s="1"/>
  <c r="J44" i="11"/>
  <c r="K44" i="11" s="1"/>
  <c r="Q9" i="12" s="1"/>
  <c r="Q39" i="12" s="1"/>
  <c r="K47" i="11"/>
  <c r="P9" i="12"/>
  <c r="P39" i="12" s="1"/>
  <c r="G27" i="13" s="1"/>
  <c r="I27" i="13" s="1"/>
  <c r="F71" i="11"/>
  <c r="F61" i="11" s="1"/>
  <c r="K11" i="12" s="1"/>
  <c r="M11" i="12" s="1"/>
  <c r="J117" i="11"/>
  <c r="J71" i="11"/>
  <c r="J61" i="11" s="1"/>
  <c r="F8" i="10"/>
  <c r="F6" i="10" s="1"/>
  <c r="F10" i="10" s="1"/>
  <c r="K6" i="12" s="1"/>
  <c r="M6" i="12" s="1"/>
  <c r="J8" i="10" l="1"/>
  <c r="J6" i="10" s="1"/>
  <c r="J10" i="10" s="1"/>
  <c r="K3" i="1" l="1"/>
  <c r="F283" i="9" l="1"/>
  <c r="F281" i="9"/>
  <c r="F263" i="9"/>
  <c r="F261" i="9"/>
  <c r="F257" i="9"/>
  <c r="F255" i="9"/>
  <c r="F239" i="9"/>
  <c r="F237" i="9"/>
  <c r="F235" i="9"/>
  <c r="F233" i="9"/>
  <c r="F227" i="9"/>
  <c r="F225" i="9"/>
  <c r="F223" i="9"/>
  <c r="F221" i="9"/>
  <c r="F219" i="9"/>
  <c r="F217" i="9"/>
  <c r="F215" i="9"/>
  <c r="F213" i="9"/>
  <c r="F211" i="9"/>
  <c r="F209" i="9"/>
  <c r="F207" i="9"/>
  <c r="F199" i="9"/>
  <c r="F197" i="9"/>
  <c r="F195" i="9"/>
  <c r="F193" i="9"/>
  <c r="F182" i="9"/>
  <c r="F178" i="9"/>
  <c r="F176" i="9"/>
  <c r="F166" i="9"/>
  <c r="F164" i="9"/>
  <c r="F162" i="9"/>
  <c r="F160" i="9"/>
  <c r="F158" i="9"/>
  <c r="F156" i="9"/>
  <c r="F154" i="9"/>
  <c r="F150" i="9"/>
  <c r="F137" i="9"/>
  <c r="F135" i="9"/>
  <c r="F133" i="9"/>
  <c r="F131" i="9"/>
  <c r="F120" i="9"/>
  <c r="F118" i="9"/>
  <c r="F114" i="9"/>
  <c r="F112" i="9"/>
  <c r="F108" i="9"/>
  <c r="F106" i="9"/>
  <c r="F104" i="9"/>
  <c r="F100" i="9"/>
  <c r="F98" i="9"/>
  <c r="F94" i="9"/>
  <c r="F92" i="9"/>
  <c r="F88" i="9"/>
  <c r="F86" i="9"/>
  <c r="F84" i="9"/>
  <c r="F80" i="9"/>
  <c r="F72" i="9"/>
  <c r="J72" i="9" s="1"/>
  <c r="K72" i="9" s="1"/>
  <c r="F70" i="9"/>
  <c r="J70" i="9" s="1"/>
  <c r="K70" i="9" s="1"/>
  <c r="F65" i="9"/>
  <c r="F63" i="9"/>
  <c r="F61" i="9"/>
  <c r="F59" i="9"/>
  <c r="F57" i="9"/>
  <c r="F55" i="9"/>
  <c r="F53" i="9"/>
  <c r="J53" i="9" s="1"/>
  <c r="K53" i="9" s="1"/>
  <c r="F49" i="9"/>
  <c r="F47" i="9"/>
  <c r="F45" i="9"/>
  <c r="J45" i="9" s="1"/>
  <c r="K45" i="9" s="1"/>
  <c r="F41" i="9"/>
  <c r="F37" i="9"/>
  <c r="J37" i="9" s="1"/>
  <c r="F33" i="9"/>
  <c r="J33" i="9" s="1"/>
  <c r="F29" i="9"/>
  <c r="F25" i="9"/>
  <c r="F23" i="9"/>
  <c r="F8" i="9"/>
  <c r="H226" i="7"/>
  <c r="I226" i="7" s="1"/>
  <c r="I222" i="7" s="1"/>
  <c r="H220" i="7"/>
  <c r="I220" i="7" s="1"/>
  <c r="M220" i="7" s="1"/>
  <c r="H216" i="7"/>
  <c r="I216" i="7" s="1"/>
  <c r="M216" i="7" s="1"/>
  <c r="H214" i="7"/>
  <c r="I214" i="7" s="1"/>
  <c r="M214" i="7" s="1"/>
  <c r="H212" i="7"/>
  <c r="I212" i="7" s="1"/>
  <c r="M212" i="7" s="1"/>
  <c r="H210" i="7"/>
  <c r="I210" i="7" s="1"/>
  <c r="M210" i="7" s="1"/>
  <c r="H203" i="7"/>
  <c r="I203" i="7" s="1"/>
  <c r="M203" i="7" s="1"/>
  <c r="H201" i="7"/>
  <c r="I201" i="7" s="1"/>
  <c r="M201" i="7" s="1"/>
  <c r="H199" i="7"/>
  <c r="I199" i="7" s="1"/>
  <c r="H189" i="7"/>
  <c r="I189" i="7" s="1"/>
  <c r="M189" i="7" s="1"/>
  <c r="H187" i="7"/>
  <c r="I187" i="7" s="1"/>
  <c r="M187" i="7" s="1"/>
  <c r="H185" i="7"/>
  <c r="I185" i="7" s="1"/>
  <c r="M185" i="7" s="1"/>
  <c r="H183" i="7"/>
  <c r="I183" i="7" s="1"/>
  <c r="M183" i="7" s="1"/>
  <c r="H181" i="7"/>
  <c r="I181" i="7" s="1"/>
  <c r="M181" i="7" s="1"/>
  <c r="H179" i="7"/>
  <c r="I179" i="7" s="1"/>
  <c r="M179" i="7" s="1"/>
  <c r="H177" i="7"/>
  <c r="I177" i="7" s="1"/>
  <c r="M177" i="7" s="1"/>
  <c r="H175" i="7"/>
  <c r="I175" i="7" s="1"/>
  <c r="H171" i="7"/>
  <c r="I171" i="7" s="1"/>
  <c r="M171" i="7" s="1"/>
  <c r="H169" i="7"/>
  <c r="I169" i="7" s="1"/>
  <c r="M169" i="7" s="1"/>
  <c r="H167" i="7"/>
  <c r="I167" i="7" s="1"/>
  <c r="M167" i="7" s="1"/>
  <c r="H159" i="7"/>
  <c r="I159" i="7" s="1"/>
  <c r="M159" i="7" s="1"/>
  <c r="H157" i="7"/>
  <c r="I157" i="7" s="1"/>
  <c r="M157" i="7" s="1"/>
  <c r="H154" i="7"/>
  <c r="I154" i="7" s="1"/>
  <c r="M154" i="7" s="1"/>
  <c r="H152" i="7"/>
  <c r="I152" i="7" s="1"/>
  <c r="M152" i="7" s="1"/>
  <c r="H150" i="7"/>
  <c r="I150" i="7" s="1"/>
  <c r="M150" i="7" s="1"/>
  <c r="H148" i="7"/>
  <c r="I148" i="7" s="1"/>
  <c r="H140" i="7"/>
  <c r="I140" i="7" s="1"/>
  <c r="M140" i="7" s="1"/>
  <c r="H138" i="7"/>
  <c r="I138" i="7" s="1"/>
  <c r="M138" i="7" s="1"/>
  <c r="H134" i="7"/>
  <c r="I134" i="7" s="1"/>
  <c r="M134" i="7" s="1"/>
  <c r="H132" i="7"/>
  <c r="I132" i="7" s="1"/>
  <c r="M132" i="7" s="1"/>
  <c r="H128" i="7"/>
  <c r="I128" i="7" s="1"/>
  <c r="M128" i="7" s="1"/>
  <c r="H126" i="7"/>
  <c r="I126" i="7" s="1"/>
  <c r="M126" i="7" s="1"/>
  <c r="H124" i="7"/>
  <c r="I124" i="7" s="1"/>
  <c r="M124" i="7" s="1"/>
  <c r="H120" i="7"/>
  <c r="I120" i="7" s="1"/>
  <c r="M120" i="7" s="1"/>
  <c r="H118" i="7"/>
  <c r="I118" i="7" s="1"/>
  <c r="H110" i="7"/>
  <c r="I110" i="7" s="1"/>
  <c r="M110" i="7" s="1"/>
  <c r="H106" i="7"/>
  <c r="I106" i="7" s="1"/>
  <c r="M106" i="7" s="1"/>
  <c r="H103" i="7"/>
  <c r="I103" i="7" s="1"/>
  <c r="M103" i="7" s="1"/>
  <c r="H101" i="7"/>
  <c r="I101" i="7" s="1"/>
  <c r="H83" i="7"/>
  <c r="I83" i="7" s="1"/>
  <c r="M83" i="7" s="1"/>
  <c r="H75" i="7"/>
  <c r="I75" i="7" s="1"/>
  <c r="H69" i="7"/>
  <c r="I69" i="7" s="1"/>
  <c r="H63" i="7"/>
  <c r="I63" i="7" s="1"/>
  <c r="H59" i="7"/>
  <c r="I59" i="7" s="1"/>
  <c r="H57" i="7"/>
  <c r="I57" i="7" s="1"/>
  <c r="H55" i="7"/>
  <c r="I55" i="7" s="1"/>
  <c r="H46" i="7"/>
  <c r="I46" i="7" s="1"/>
  <c r="I44" i="7" s="1"/>
  <c r="H36" i="7"/>
  <c r="I36" i="7" s="1"/>
  <c r="M36" i="7" s="1"/>
  <c r="H34" i="7"/>
  <c r="I34" i="7" s="1"/>
  <c r="H30" i="7"/>
  <c r="I30" i="7" s="1"/>
  <c r="M30" i="7" s="1"/>
  <c r="H28" i="7"/>
  <c r="I28" i="7" s="1"/>
  <c r="K28" i="7" s="1"/>
  <c r="H24" i="7"/>
  <c r="I24" i="7" s="1"/>
  <c r="M24" i="7" s="1"/>
  <c r="H22" i="7"/>
  <c r="I22" i="7" s="1"/>
  <c r="M22" i="7" s="1"/>
  <c r="H20" i="7"/>
  <c r="I20" i="7" s="1"/>
  <c r="M20" i="7" s="1"/>
  <c r="H18" i="7"/>
  <c r="I18" i="7" s="1"/>
  <c r="M18" i="7" s="1"/>
  <c r="H16" i="7"/>
  <c r="I16" i="7" s="1"/>
  <c r="M16" i="7" s="1"/>
  <c r="H10" i="7"/>
  <c r="I10" i="7" s="1"/>
  <c r="F226" i="7"/>
  <c r="F222" i="7" s="1"/>
  <c r="F220" i="7"/>
  <c r="F216" i="7"/>
  <c r="F214" i="7"/>
  <c r="F212" i="7"/>
  <c r="F210" i="7"/>
  <c r="F203" i="7"/>
  <c r="F201" i="7"/>
  <c r="F199" i="7"/>
  <c r="F189" i="7"/>
  <c r="F187" i="7"/>
  <c r="F185" i="7"/>
  <c r="F183" i="7"/>
  <c r="F181" i="7"/>
  <c r="F179" i="7"/>
  <c r="F177" i="7"/>
  <c r="F175" i="7"/>
  <c r="F171" i="7"/>
  <c r="F169" i="7"/>
  <c r="F167" i="7"/>
  <c r="F159" i="7"/>
  <c r="F157" i="7"/>
  <c r="F154" i="7"/>
  <c r="F152" i="7"/>
  <c r="F150" i="7"/>
  <c r="F148" i="7"/>
  <c r="F140" i="7"/>
  <c r="F138" i="7"/>
  <c r="F134" i="7"/>
  <c r="F132" i="7"/>
  <c r="F128" i="7"/>
  <c r="F126" i="7"/>
  <c r="F124" i="7"/>
  <c r="F120" i="7"/>
  <c r="F118" i="7"/>
  <c r="F110" i="7"/>
  <c r="F106" i="7"/>
  <c r="F103" i="7"/>
  <c r="F101" i="7"/>
  <c r="F83" i="7"/>
  <c r="F75" i="7"/>
  <c r="F69" i="7"/>
  <c r="F63" i="7"/>
  <c r="F59" i="7"/>
  <c r="F57" i="7"/>
  <c r="F55" i="7"/>
  <c r="F46" i="7"/>
  <c r="F44" i="7" s="1"/>
  <c r="F36" i="7"/>
  <c r="F34" i="7"/>
  <c r="F30" i="7"/>
  <c r="F28" i="7"/>
  <c r="F24" i="7"/>
  <c r="F22" i="7"/>
  <c r="F20" i="7"/>
  <c r="F18" i="7"/>
  <c r="F16" i="7"/>
  <c r="F10" i="7"/>
  <c r="F8" i="7" s="1"/>
  <c r="K69" i="7" l="1"/>
  <c r="M69" i="7"/>
  <c r="N69" i="7" s="1"/>
  <c r="M55" i="7"/>
  <c r="K55" i="7"/>
  <c r="K52" i="7" s="1"/>
  <c r="M57" i="7"/>
  <c r="N57" i="7" s="1"/>
  <c r="K57" i="7"/>
  <c r="M63" i="7"/>
  <c r="K63" i="7"/>
  <c r="I8" i="7"/>
  <c r="K34" i="7"/>
  <c r="K32" i="7" s="1"/>
  <c r="M34" i="7"/>
  <c r="N34" i="7" s="1"/>
  <c r="N32" i="7" s="1"/>
  <c r="M75" i="7"/>
  <c r="K75" i="7"/>
  <c r="K59" i="7"/>
  <c r="M59" i="7"/>
  <c r="N59" i="7" s="1"/>
  <c r="K26" i="7"/>
  <c r="J29" i="9"/>
  <c r="H29" i="9"/>
  <c r="H104" i="9"/>
  <c r="J104" i="9"/>
  <c r="K104" i="9" s="1"/>
  <c r="H106" i="9"/>
  <c r="J106" i="9"/>
  <c r="K106" i="9" s="1"/>
  <c r="H92" i="9"/>
  <c r="J92" i="9"/>
  <c r="H100" i="9"/>
  <c r="J100" i="9"/>
  <c r="K100" i="9" s="1"/>
  <c r="F6" i="9"/>
  <c r="J25" i="9"/>
  <c r="H25" i="9"/>
  <c r="H108" i="9"/>
  <c r="J108" i="9"/>
  <c r="J257" i="9"/>
  <c r="H257" i="9"/>
  <c r="J261" i="9"/>
  <c r="H261" i="9"/>
  <c r="J255" i="9"/>
  <c r="H255" i="9"/>
  <c r="H241" i="9" s="1"/>
  <c r="H37" i="9"/>
  <c r="K37" i="9" s="1"/>
  <c r="J263" i="9"/>
  <c r="H263" i="9"/>
  <c r="J49" i="9"/>
  <c r="H49" i="9"/>
  <c r="H33" i="9"/>
  <c r="K33" i="9" s="1"/>
  <c r="F279" i="9"/>
  <c r="F125" i="9"/>
  <c r="F241" i="9"/>
  <c r="F13" i="9"/>
  <c r="F11" i="9" s="1"/>
  <c r="F144" i="9"/>
  <c r="F187" i="9"/>
  <c r="F185" i="9" s="1"/>
  <c r="I52" i="7"/>
  <c r="I93" i="7"/>
  <c r="I32" i="7"/>
  <c r="I26" i="7"/>
  <c r="I112" i="7"/>
  <c r="M14" i="7"/>
  <c r="I142" i="7"/>
  <c r="M46" i="7"/>
  <c r="M44" i="7" s="1"/>
  <c r="I61" i="7"/>
  <c r="I161" i="7"/>
  <c r="I193" i="7"/>
  <c r="M101" i="7"/>
  <c r="M93" i="7" s="1"/>
  <c r="I205" i="7"/>
  <c r="M28" i="7"/>
  <c r="M26" i="7" s="1"/>
  <c r="M118" i="7"/>
  <c r="M112" i="7" s="1"/>
  <c r="M148" i="7"/>
  <c r="M142" i="7" s="1"/>
  <c r="M32" i="7"/>
  <c r="M175" i="7"/>
  <c r="M161" i="7" s="1"/>
  <c r="M199" i="7"/>
  <c r="M193" i="7" s="1"/>
  <c r="M226" i="7"/>
  <c r="M222" i="7" s="1"/>
  <c r="M205" i="7"/>
  <c r="I14" i="7"/>
  <c r="M8" i="7"/>
  <c r="F205" i="7"/>
  <c r="F52" i="7"/>
  <c r="F161" i="7"/>
  <c r="F112" i="7"/>
  <c r="F193" i="7"/>
  <c r="F32" i="7"/>
  <c r="F61" i="7"/>
  <c r="F93" i="7"/>
  <c r="F14" i="7"/>
  <c r="F142" i="7"/>
  <c r="F26" i="7"/>
  <c r="K61" i="7" l="1"/>
  <c r="N75" i="7"/>
  <c r="M52" i="7"/>
  <c r="N63" i="7"/>
  <c r="N61" i="7" s="1"/>
  <c r="M61" i="7"/>
  <c r="M6" i="7" s="1"/>
  <c r="N55" i="7"/>
  <c r="N52" i="7" s="1"/>
  <c r="N28" i="7"/>
  <c r="N26" i="7" s="1"/>
  <c r="N6" i="7" s="1"/>
  <c r="N229" i="7" s="1"/>
  <c r="K261" i="9"/>
  <c r="K108" i="9"/>
  <c r="K25" i="9"/>
  <c r="K49" i="9"/>
  <c r="K257" i="9"/>
  <c r="K263" i="9"/>
  <c r="K92" i="9"/>
  <c r="K29" i="9"/>
  <c r="J13" i="9"/>
  <c r="J11" i="9" s="1"/>
  <c r="H13" i="9"/>
  <c r="H11" i="9" s="1"/>
  <c r="H287" i="9" s="1"/>
  <c r="J241" i="9"/>
  <c r="K241" i="9" s="1"/>
  <c r="K255" i="9"/>
  <c r="F123" i="9"/>
  <c r="F287" i="9" s="1"/>
  <c r="M191" i="7"/>
  <c r="I6" i="7"/>
  <c r="I191" i="7"/>
  <c r="I91" i="7"/>
  <c r="M91" i="7"/>
  <c r="F6" i="7"/>
  <c r="F91" i="7"/>
  <c r="F191" i="7"/>
  <c r="A31" i="4"/>
  <c r="J287" i="9" l="1"/>
  <c r="P4" i="12" s="1"/>
  <c r="G27" i="5" s="1"/>
  <c r="K13" i="9"/>
  <c r="K11" i="9"/>
  <c r="K287" i="9"/>
  <c r="M229" i="7"/>
  <c r="I229" i="7"/>
  <c r="F229" i="7"/>
  <c r="H29" i="5"/>
  <c r="H36" i="5" s="1"/>
  <c r="M4" i="12" l="1"/>
  <c r="M39" i="12" s="1"/>
  <c r="Q4" i="12"/>
  <c r="K4" i="12"/>
  <c r="K39" i="12" s="1"/>
  <c r="D18" i="5" s="1"/>
  <c r="I27" i="5"/>
  <c r="J194" i="1"/>
  <c r="K194" i="1" s="1"/>
  <c r="J156" i="1"/>
  <c r="K156" i="1" s="1"/>
  <c r="J93" i="1"/>
  <c r="K93" i="1" s="1"/>
  <c r="J86" i="1"/>
  <c r="K86" i="1" s="1"/>
  <c r="F202" i="1"/>
  <c r="F198" i="1"/>
  <c r="F192" i="1"/>
  <c r="F190" i="1"/>
  <c r="F186" i="1"/>
  <c r="J186" i="1" s="1"/>
  <c r="K186" i="1" s="1"/>
  <c r="F182" i="1"/>
  <c r="J182" i="1" s="1"/>
  <c r="K182" i="1" s="1"/>
  <c r="F178" i="1"/>
  <c r="J178" i="1" s="1"/>
  <c r="K178" i="1" s="1"/>
  <c r="F176" i="1"/>
  <c r="J176" i="1" s="1"/>
  <c r="K176" i="1" s="1"/>
  <c r="F166" i="1"/>
  <c r="F162" i="1"/>
  <c r="J162" i="1" s="1"/>
  <c r="K162" i="1" s="1"/>
  <c r="F160" i="1"/>
  <c r="J160" i="1" s="1"/>
  <c r="K160" i="1" s="1"/>
  <c r="F151" i="1"/>
  <c r="F147" i="1"/>
  <c r="F143" i="1"/>
  <c r="F141" i="1"/>
  <c r="F137" i="1"/>
  <c r="F133" i="1"/>
  <c r="F131" i="1"/>
  <c r="F129" i="1"/>
  <c r="F119" i="1"/>
  <c r="F113" i="1"/>
  <c r="F111" i="1"/>
  <c r="F105" i="1"/>
  <c r="F101" i="1"/>
  <c r="F88" i="1"/>
  <c r="F86" i="1" s="1"/>
  <c r="F82" i="1"/>
  <c r="J82" i="1" s="1"/>
  <c r="K82" i="1" s="1"/>
  <c r="F78" i="1"/>
  <c r="J78" i="1" s="1"/>
  <c r="K78" i="1" s="1"/>
  <c r="F72" i="1"/>
  <c r="J72" i="1" s="1"/>
  <c r="K72" i="1" s="1"/>
  <c r="F68" i="1"/>
  <c r="J68" i="1" s="1"/>
  <c r="K68" i="1" s="1"/>
  <c r="F64" i="1"/>
  <c r="F62" i="1"/>
  <c r="F58" i="1"/>
  <c r="F56" i="1"/>
  <c r="J56" i="1" s="1"/>
  <c r="K56" i="1" s="1"/>
  <c r="F54" i="1"/>
  <c r="F47" i="1"/>
  <c r="F41" i="1"/>
  <c r="F37" i="1"/>
  <c r="F35" i="1"/>
  <c r="F31" i="1"/>
  <c r="F29" i="1"/>
  <c r="F25" i="1"/>
  <c r="F23" i="1"/>
  <c r="F19" i="1"/>
  <c r="F17" i="1"/>
  <c r="F13" i="1"/>
  <c r="F11" i="1"/>
  <c r="H11" i="1" s="1"/>
  <c r="H9" i="1" s="1"/>
  <c r="F5" i="1"/>
  <c r="F3" i="1" s="1"/>
  <c r="J76" i="1" l="1"/>
  <c r="K76" i="1" s="1"/>
  <c r="J141" i="1"/>
  <c r="H141" i="1"/>
  <c r="H143" i="1"/>
  <c r="J143" i="1"/>
  <c r="K143" i="1" s="1"/>
  <c r="J62" i="1"/>
  <c r="K62" i="1" s="1"/>
  <c r="H62" i="1"/>
  <c r="H60" i="1" s="1"/>
  <c r="J147" i="1"/>
  <c r="H147" i="1"/>
  <c r="F115" i="1"/>
  <c r="H119" i="1"/>
  <c r="H115" i="1" s="1"/>
  <c r="J119" i="1"/>
  <c r="J129" i="1"/>
  <c r="H129" i="1"/>
  <c r="J192" i="1"/>
  <c r="H192" i="1"/>
  <c r="J168" i="1"/>
  <c r="K168" i="1" s="1"/>
  <c r="J151" i="1"/>
  <c r="H151" i="1"/>
  <c r="J190" i="1"/>
  <c r="J188" i="1" s="1"/>
  <c r="H190" i="1"/>
  <c r="H133" i="1"/>
  <c r="J133" i="1"/>
  <c r="J131" i="1"/>
  <c r="H131" i="1"/>
  <c r="H137" i="1"/>
  <c r="J137" i="1"/>
  <c r="K190" i="1"/>
  <c r="J35" i="1"/>
  <c r="H35" i="1"/>
  <c r="J41" i="1"/>
  <c r="H41" i="1"/>
  <c r="J17" i="1"/>
  <c r="H17" i="1"/>
  <c r="H15" i="1" s="1"/>
  <c r="J54" i="1"/>
  <c r="H54" i="1"/>
  <c r="J47" i="1"/>
  <c r="H47" i="1"/>
  <c r="J23" i="1"/>
  <c r="H23" i="1"/>
  <c r="J29" i="1"/>
  <c r="H29" i="1"/>
  <c r="K29" i="1" s="1"/>
  <c r="F39" i="1"/>
  <c r="F45" i="1"/>
  <c r="F9" i="1"/>
  <c r="J11" i="1"/>
  <c r="F66" i="1"/>
  <c r="J64" i="1"/>
  <c r="F27" i="1"/>
  <c r="J45" i="1"/>
  <c r="F33" i="1"/>
  <c r="F52" i="1"/>
  <c r="F156" i="1"/>
  <c r="F60" i="1"/>
  <c r="F76" i="1"/>
  <c r="F188" i="1"/>
  <c r="F194" i="1"/>
  <c r="F21" i="1"/>
  <c r="F93" i="1"/>
  <c r="F168" i="1"/>
  <c r="F121" i="1"/>
  <c r="F15" i="1"/>
  <c r="K131" i="1" l="1"/>
  <c r="K147" i="1"/>
  <c r="K133" i="1"/>
  <c r="K192" i="1"/>
  <c r="H188" i="1"/>
  <c r="H154" i="1" s="1"/>
  <c r="J43" i="1"/>
  <c r="K43" i="1" s="1"/>
  <c r="K45" i="1"/>
  <c r="J154" i="1"/>
  <c r="K129" i="1"/>
  <c r="K137" i="1"/>
  <c r="K119" i="1"/>
  <c r="J115" i="1"/>
  <c r="K115" i="1" s="1"/>
  <c r="H121" i="1"/>
  <c r="H91" i="1" s="1"/>
  <c r="J121" i="1"/>
  <c r="K151" i="1"/>
  <c r="K141" i="1"/>
  <c r="J60" i="1"/>
  <c r="K60" i="1" s="1"/>
  <c r="K64" i="1"/>
  <c r="K47" i="1"/>
  <c r="J39" i="1"/>
  <c r="J31" i="1" s="1"/>
  <c r="J27" i="1" s="1"/>
  <c r="K23" i="1"/>
  <c r="H39" i="1"/>
  <c r="K41" i="1"/>
  <c r="H31" i="1"/>
  <c r="H27" i="1" s="1"/>
  <c r="H25" i="1" s="1"/>
  <c r="H21" i="1" s="1"/>
  <c r="K35" i="1"/>
  <c r="H52" i="1"/>
  <c r="K54" i="1"/>
  <c r="J15" i="1"/>
  <c r="K15" i="1" s="1"/>
  <c r="K17" i="1"/>
  <c r="J9" i="1"/>
  <c r="K9" i="1" s="1"/>
  <c r="K11" i="1"/>
  <c r="J66" i="1"/>
  <c r="K66" i="1" s="1"/>
  <c r="J52" i="1"/>
  <c r="F7" i="1"/>
  <c r="F91" i="1"/>
  <c r="F154" i="1"/>
  <c r="K121" i="1" l="1"/>
  <c r="K154" i="1"/>
  <c r="K188" i="1"/>
  <c r="K52" i="1"/>
  <c r="K31" i="1"/>
  <c r="J91" i="1"/>
  <c r="K91" i="1" s="1"/>
  <c r="J33" i="1"/>
  <c r="H33" i="1"/>
  <c r="K39" i="1"/>
  <c r="J25" i="1"/>
  <c r="K27" i="1"/>
  <c r="F204" i="1"/>
  <c r="D15" i="5" s="1"/>
  <c r="K33" i="1" l="1"/>
  <c r="H7" i="1"/>
  <c r="H204" i="1" s="1"/>
  <c r="J21" i="1"/>
  <c r="K25" i="1"/>
  <c r="D20" i="5"/>
  <c r="G31" i="5"/>
  <c r="I31" i="5" s="1"/>
  <c r="K21" i="1" l="1"/>
  <c r="J7" i="1"/>
  <c r="J204" i="1" l="1"/>
  <c r="K7" i="1"/>
  <c r="A16" i="12"/>
  <c r="A17" i="12" s="1"/>
  <c r="A18" i="12" s="1"/>
  <c r="A19" i="12" s="1"/>
  <c r="A20" i="12" s="1"/>
  <c r="A21" i="12" s="1"/>
  <c r="A22" i="12" s="1"/>
  <c r="A23" i="12" s="1"/>
  <c r="A24" i="12" s="1"/>
  <c r="A25" i="12" s="1"/>
  <c r="A26" i="12" s="1"/>
  <c r="A27" i="12" s="1"/>
  <c r="A28" i="12" s="1"/>
  <c r="A29" i="12" s="1"/>
  <c r="A30" i="12" s="1"/>
  <c r="A31" i="12" s="1"/>
  <c r="A32" i="12" s="1"/>
  <c r="A33" i="12" s="1"/>
  <c r="A34" i="12" s="1"/>
  <c r="A35" i="12" s="1"/>
  <c r="G25" i="13" l="1"/>
  <c r="L204" i="1"/>
  <c r="I25" i="13"/>
  <c r="I29" i="13" s="1"/>
  <c r="G29" i="13"/>
  <c r="G25" i="5"/>
  <c r="G29" i="5" s="1"/>
  <c r="K204" i="1"/>
  <c r="G35" i="13" l="1"/>
  <c r="I35" i="13" s="1"/>
  <c r="I36" i="13" s="1"/>
  <c r="G37" i="13" s="1"/>
  <c r="I25" i="5"/>
  <c r="I29" i="5" s="1"/>
  <c r="G35" i="5"/>
  <c r="I35" i="5" s="1"/>
  <c r="G36" i="13" l="1"/>
  <c r="I36" i="5"/>
  <c r="G37" i="5" s="1"/>
  <c r="F28" i="4" s="1"/>
  <c r="F30" i="4" s="1"/>
  <c r="G36" i="5"/>
</calcChain>
</file>

<file path=xl/sharedStrings.xml><?xml version="1.0" encoding="utf-8"?>
<sst xmlns="http://schemas.openxmlformats.org/spreadsheetml/2006/main" count="1617" uniqueCount="883">
  <si>
    <t/>
  </si>
  <si>
    <t>Bill description</t>
  </si>
  <si>
    <t>Remarks</t>
  </si>
  <si>
    <t>Unit</t>
  </si>
  <si>
    <t>Rate</t>
  </si>
  <si>
    <t>Amount</t>
  </si>
  <si>
    <t>1</t>
  </si>
  <si>
    <t>PRELIMINARIES</t>
  </si>
  <si>
    <t>A</t>
  </si>
  <si>
    <t>1/A</t>
  </si>
  <si>
    <t>Supervision,Transportation, Drafting,</t>
  </si>
  <si>
    <t>No</t>
  </si>
  <si>
    <t>HEADBOARD</t>
  </si>
  <si>
    <t>KING ROOM</t>
  </si>
  <si>
    <t>J</t>
  </si>
  <si>
    <t>B</t>
  </si>
  <si>
    <t>1/B</t>
  </si>
  <si>
    <t>STANDARD KING ROOM 703 SCHEME BLUE Size: 2900mm W x  100mm D x 1200mm H HEADBOARD DRG. GB-OMN-HTL-FFE-HEADBOARD-703-BE-02 (EXCLUDED LIGHTS &amp; METAL FIXING)</t>
  </si>
  <si>
    <t>Each</t>
  </si>
  <si>
    <t>F</t>
  </si>
  <si>
    <t>C</t>
  </si>
  <si>
    <t>1/C</t>
  </si>
  <si>
    <t>Fabric FA-14 Futura Leathers</t>
  </si>
  <si>
    <t>m2</t>
  </si>
  <si>
    <t>TWIN ROOM</t>
  </si>
  <si>
    <t>D</t>
  </si>
  <si>
    <t>1/D</t>
  </si>
  <si>
    <t>STANDARD TWIN ROOM 703 SCHEME - BLUE Size: 2900mm W x  100mm D x 1200mm H HEADBOARD DRG. GB-OMN-HTL-FFE-HEADBOARD-703-BE-02 (EXCLUDED LIGHTS &amp; METAL FIXING)</t>
  </si>
  <si>
    <t>E</t>
  </si>
  <si>
    <t>1/E</t>
  </si>
  <si>
    <t>STD KING ROOM</t>
  </si>
  <si>
    <t>1/F</t>
  </si>
  <si>
    <t>STANDARD KING ROOM 704 SCHEME - PINK Size: 2900mm W x  100mm D x 1200mm H HEADBOARD DRG. GB-OMN-HTL-FFE-HEADBOARD-704-BE-02 (EXCLUDED LIGHTS &amp; METAL FIXING)</t>
  </si>
  <si>
    <t>G</t>
  </si>
  <si>
    <t>1/G</t>
  </si>
  <si>
    <t>Fabric FA-19 Futura Leathers</t>
  </si>
  <si>
    <t>JUNIOR ROOM</t>
  </si>
  <si>
    <t>1/H</t>
  </si>
  <si>
    <t>JUNIOR SUITE KING ROOM - 704 SCHEME - PINK
Size: 2900mm W x  100mm D x 1200mm H HEADBOARD DRG. GB-OMN-HTL-FFE-HEADBOARD-JUNIOR SUITE (EXCLUDED LIGHTS &amp; METAL FIXING)</t>
  </si>
  <si>
    <t>1/I</t>
  </si>
  <si>
    <t>1/J</t>
  </si>
  <si>
    <t>JUNIOR SUITE TWIN ROOM - 704 SCHEME - PINK
Size: 2900mm W x  100mm D x 1200mm H HEADBOARD DRG. GB-OMN-HTL-FFE-HEADBOARD-JUNIOR SUITE (EXCLUDED LIGHTS &amp; METAL FIXING)</t>
  </si>
  <si>
    <t>1/K</t>
  </si>
  <si>
    <t>1 BED SUITE KING ROOM</t>
  </si>
  <si>
    <t>1/L</t>
  </si>
  <si>
    <t>1 BED SUITE KING - NEW SCHEME (CREAM) WITH DINING
Size: 2900mm W x  100mm D x 1200mm H HEADBOARD DRG. GB-OMN-HTL-FFE-HEADBOARD-1 BEDROOM SUITE (EXCLUDED LIGHTS &amp; METAL FIXING)</t>
  </si>
  <si>
    <t>1/M</t>
  </si>
  <si>
    <t>Fabric FA-39 Naturtex</t>
  </si>
  <si>
    <t>Lm</t>
  </si>
  <si>
    <t>EXCLUDED</t>
  </si>
  <si>
    <t>1 BED SUITE TWIN ROOM</t>
  </si>
  <si>
    <t>1/N</t>
  </si>
  <si>
    <t>1 BED SUITE TWIN - NEW SCHEME (CREAM) WITH DINING
Size: 2900mm W x  100mm D x 1200mm H HEADBOARD DRG. GB-OMN-HTL-FFE-HEADBOARD-1 BEDROOM SUITE (EXCLUDED LIGHTS &amp; METAL FIXING)</t>
  </si>
  <si>
    <t>1/O</t>
  </si>
  <si>
    <t>2</t>
  </si>
  <si>
    <t>SENIOR 1 BED SUITE KING ROOM</t>
  </si>
  <si>
    <t>2/A</t>
  </si>
  <si>
    <t>SENIOR 1 BED SUITE KING /1 BED DELUXE Size: (3950mm + 1000mm + 300mm) W x 50mm D x 1300mm H HEADBOARD. DRG. GB-OMN-HTL-ONE BED SUITE DELUXE (EXCLUDED LIGHTS)</t>
  </si>
  <si>
    <t>2/B</t>
  </si>
  <si>
    <t>Fabric FA-23 Fabrics (Bisson Bruneel)</t>
  </si>
  <si>
    <t>2/C</t>
  </si>
  <si>
    <t>GL-04 Glass panel for above headboard</t>
  </si>
  <si>
    <t>FEATUER SUITE KING ROOM</t>
  </si>
  <si>
    <t>2/D</t>
  </si>
  <si>
    <t>FEATURE SUITES KING/1 BED DUPLEX
Size: 3710mm H x 95mm D x 1340mm H HEADBOARD DRG. GB-OMN-HTL-ONE BED SUITE DELUXE (EXCLUDED LIGHTS &amp; METAL FIXING)</t>
  </si>
  <si>
    <t>2/E</t>
  </si>
  <si>
    <t>Fabric HTL-FA-09 Fabrics</t>
  </si>
  <si>
    <t>Check Fabric</t>
  </si>
  <si>
    <t>ROYAL SUITE</t>
  </si>
  <si>
    <t>2/F</t>
  </si>
  <si>
    <t>ROYAL SUITE
Headboard on Master Bedroom as detailed shown on DET. 01 - RS-2608-321 HEADBOARD. DRG. DET. 01 - RS-2608-321 (EXCLUDED METAL &amp; WALL PAPER)
(EXCLUDED LIGHTS)</t>
  </si>
  <si>
    <t>2/G</t>
  </si>
  <si>
    <t>Fabric FA-20 Fabrics (Dedar)</t>
  </si>
  <si>
    <t>2/H</t>
  </si>
  <si>
    <t>ROYAL SUITE
Twin Headboard on Secondary Bedroom as detailed shown on Dwg. No. - RS-2608-330, DET. 01 HEADBOARD (EXCLUDED LIGHTS)</t>
  </si>
  <si>
    <t>2/I</t>
  </si>
  <si>
    <t>Fabric FA-21 Fabrics (Dedar)</t>
  </si>
  <si>
    <t>PRESIDENTIAL SUITE</t>
  </si>
  <si>
    <t>2/J</t>
  </si>
  <si>
    <t>PRESIDENTIAL SUITE
Upholstered headboard on Master Bedroom as detailed shown on Dwg. No. - PRES-1902-200 SEC. AA,BB, 1902-204 SEC. MM,NN HEADBOARD  (EXCLUDED LIGHTS)</t>
  </si>
  <si>
    <t>2/K</t>
  </si>
  <si>
    <t>Fabric FA-22 Fabrics (Nobilis)</t>
  </si>
  <si>
    <t>2/L</t>
  </si>
  <si>
    <t>PRESIDENTIAL SUITE
Upholstered headboard on Twin Bedroom as detailed shown on Dwg. No. - PRES-1902-208 HEADBOARD  (EXCLUDED LIGHTS)</t>
  </si>
  <si>
    <t>2/M</t>
  </si>
  <si>
    <t>Fabric FA-23 Fabrics (Nobilis)</t>
  </si>
  <si>
    <t>Description</t>
  </si>
  <si>
    <t>4</t>
  </si>
  <si>
    <t>5</t>
  </si>
  <si>
    <t>3</t>
  </si>
  <si>
    <t>3/A</t>
  </si>
  <si>
    <t>WALL FINISHES</t>
  </si>
  <si>
    <t>PACKAGE -3 - ROYAL SUITE FIT-OUT</t>
  </si>
  <si>
    <t>WALL FINISHES - LEFT WING</t>
  </si>
  <si>
    <t>Timber Wall Panel including all necessary framing, fitting, fixing, backing framing support, decoration, etc and the like  all in accordance with drawings and specifications.</t>
  </si>
  <si>
    <t>Supply and fixing of Timber Cladding; Type HTL-WD-01</t>
  </si>
  <si>
    <t>4/A</t>
  </si>
  <si>
    <t>Living Room</t>
  </si>
  <si>
    <t>Supply and fixing of Timber Cladding; Type HTL-WD-19</t>
  </si>
  <si>
    <t>4/B</t>
  </si>
  <si>
    <t>Wood panel with frame at Entry Vestibule</t>
  </si>
  <si>
    <t>Skirting</t>
  </si>
  <si>
    <t>Timber Skirting including all necessary timber support, framing, fittings, fixing accessories, shadow gaps, etc and the like  all in accordance with drawings and specifications.</t>
  </si>
  <si>
    <t>4/C</t>
  </si>
  <si>
    <t>Supply and fixing of Timber Skirting; Type Baseboard HTL-WD-01; Walnut, 150mm high</t>
  </si>
  <si>
    <t>m</t>
  </si>
  <si>
    <t>4/D</t>
  </si>
  <si>
    <t>Supply and fixing of Timber Skirting; Type Baseboard HTL-WD-19; US Walnut, 150mm high</t>
  </si>
  <si>
    <t>PACKAGE -4 - HOTEL GF LOBBY AND L1 CORRIDOR</t>
  </si>
  <si>
    <t>4/E</t>
  </si>
  <si>
    <t>PACKAGE -2 - LEVEL 01 BALL ROOM</t>
  </si>
  <si>
    <t>Wall Finishes Wall finish including preparation of substrate,  render, filler, primer, undercoat(s), finish coats, all necessary fittings, fixings accessories to complete all in accordance with the drawings and specifications</t>
  </si>
  <si>
    <t>Level 1</t>
  </si>
  <si>
    <t>Ball room</t>
  </si>
  <si>
    <t>4/F</t>
  </si>
  <si>
    <t>wall panel ; type HTL-WD-19</t>
  </si>
  <si>
    <t>4/G</t>
  </si>
  <si>
    <t>Wall  panelling  ; type HTL-WD-19 Meeting Room -02</t>
  </si>
  <si>
    <t>4/H</t>
  </si>
  <si>
    <t>Wall panelling; type HTL-WD-19</t>
  </si>
  <si>
    <t>Corridor</t>
  </si>
  <si>
    <t>4/I</t>
  </si>
  <si>
    <t>Wall  panelling; type HTL-WD-19</t>
  </si>
  <si>
    <t>Hall</t>
  </si>
  <si>
    <t>4/J</t>
  </si>
  <si>
    <t>Wall  panelling ; type HTL-WD-19</t>
  </si>
  <si>
    <t>4/K</t>
  </si>
  <si>
    <t>Wall  panelling  ; type HTL-WD-19</t>
  </si>
  <si>
    <t>Storage</t>
  </si>
  <si>
    <t>4/L</t>
  </si>
  <si>
    <t>Break out space</t>
  </si>
  <si>
    <t>4/M</t>
  </si>
  <si>
    <t>CEILING FINISHES</t>
  </si>
  <si>
    <t>PACKAGE -3 - PRESIDENTIAL SUITE FIT-OUT - RIGHT WING</t>
  </si>
  <si>
    <t>5/A</t>
  </si>
  <si>
    <t>Vestibule</t>
  </si>
  <si>
    <t>5/B</t>
  </si>
  <si>
    <t>Vanity</t>
  </si>
  <si>
    <t>5/C</t>
  </si>
  <si>
    <t>Twin Bathroom</t>
  </si>
  <si>
    <t>PACKAGE -3 - PRESIDENTIAL SUITE FIT-OUT - LEFT WING</t>
  </si>
  <si>
    <t>Suspended Ceiling System and Finishes</t>
  </si>
  <si>
    <t>Suspended Ceiling System including finishes, all necessary framing, fittings, fixing, corner bead, Cornice, accessories, shadow gaps, etc and the like  all in accordance with drawings and specifications.</t>
  </si>
  <si>
    <t>5/D</t>
  </si>
  <si>
    <t>Entry Vestibule</t>
  </si>
  <si>
    <t>5/E</t>
  </si>
  <si>
    <t>Study</t>
  </si>
  <si>
    <t>5/F</t>
  </si>
  <si>
    <t>Master Bathroom</t>
  </si>
  <si>
    <t>Supply and fixing of Timber Ceiling Type HTL-WD-19 incl. light cove, cornice, bulkhead and etc; US Walnut, Satin brushed</t>
  </si>
  <si>
    <t>5/G</t>
  </si>
  <si>
    <t>Master Suite Vestibule</t>
  </si>
  <si>
    <t>PACKAGE -5 - Timber Ceiling to Hotel guest Rooms</t>
  </si>
  <si>
    <t>5/H</t>
  </si>
  <si>
    <t>Timber Ceiling  (WD-07)</t>
  </si>
  <si>
    <t>5/I</t>
  </si>
  <si>
    <t>Timber Ceiling  (WD-09)</t>
  </si>
  <si>
    <t>ROYAL SUITE FIT-OUT - LEFT WING</t>
  </si>
  <si>
    <t>5/J</t>
  </si>
  <si>
    <t>5/K</t>
  </si>
  <si>
    <t>Tax Registration Number : 100240059400003</t>
  </si>
  <si>
    <t>Invoice Address:</t>
  </si>
  <si>
    <t>P.O.Box 2716</t>
  </si>
  <si>
    <t>Dubai, UAE</t>
  </si>
  <si>
    <t>To</t>
  </si>
  <si>
    <t>Invoice No.</t>
  </si>
  <si>
    <t>Invoice Date</t>
  </si>
  <si>
    <t>Job No.</t>
  </si>
  <si>
    <t xml:space="preserve"> </t>
  </si>
  <si>
    <t>S. No.</t>
  </si>
  <si>
    <t>Amount  (Dhs.)</t>
  </si>
  <si>
    <t>Amount of this invoice (before VAT)..Dhs.</t>
  </si>
  <si>
    <t>THIS IS NOT A TAX INVOICE</t>
  </si>
  <si>
    <t>for Khansaheb Civil Engineering L.L.C.</t>
  </si>
  <si>
    <t>Archie Clift</t>
  </si>
  <si>
    <t>Divisional Manager - Joinery Division</t>
  </si>
  <si>
    <t>CONTRACTOR'S PAYMENT APPLICATION</t>
  </si>
  <si>
    <t>Project No:</t>
  </si>
  <si>
    <t>Project:</t>
  </si>
  <si>
    <t>Contract Type:</t>
  </si>
  <si>
    <t>Lumpsum</t>
  </si>
  <si>
    <t>CONTRACT DETAILS</t>
  </si>
  <si>
    <t>Payment Application No.</t>
  </si>
  <si>
    <t>Grand Summary</t>
  </si>
  <si>
    <t>Interim / Final:</t>
  </si>
  <si>
    <t>Employer</t>
  </si>
  <si>
    <t>Architect</t>
  </si>
  <si>
    <t xml:space="preserve">For Period Ending: </t>
  </si>
  <si>
    <t xml:space="preserve">Consultant </t>
  </si>
  <si>
    <t>Issue Date:</t>
  </si>
  <si>
    <t>Main Contractor</t>
  </si>
  <si>
    <t>Contract Value</t>
  </si>
  <si>
    <t>AED</t>
  </si>
  <si>
    <t>Commencement Date</t>
  </si>
  <si>
    <t>Day Works</t>
  </si>
  <si>
    <t>Completion Date</t>
  </si>
  <si>
    <t>Original Contract value</t>
  </si>
  <si>
    <t>EoT Awarded</t>
  </si>
  <si>
    <t>Days</t>
  </si>
  <si>
    <t>Variation Orders Issued</t>
  </si>
  <si>
    <t>Revised Completion Date</t>
  </si>
  <si>
    <t>Variations Submitted/ Agreed/Anticipated</t>
  </si>
  <si>
    <t>Payment Due Date</t>
  </si>
  <si>
    <t>PAYMENT DETAILS</t>
  </si>
  <si>
    <t>This Application for payment is issued under the terms of the above mentioned Contract</t>
  </si>
  <si>
    <t>Cumulative (AED)</t>
  </si>
  <si>
    <t xml:space="preserve">Previous claim </t>
  </si>
  <si>
    <t>Interim (AED)</t>
  </si>
  <si>
    <t>Gross Valuation of the Work</t>
  </si>
  <si>
    <t>Cumulative Value of Work Done</t>
  </si>
  <si>
    <t>Preliminaries</t>
  </si>
  <si>
    <t>Variation Works</t>
  </si>
  <si>
    <t>Claims</t>
  </si>
  <si>
    <t>Sub-total ( E )</t>
  </si>
  <si>
    <t>Less</t>
  </si>
  <si>
    <t>Retention</t>
  </si>
  <si>
    <t>Sub-total ( H )</t>
  </si>
  <si>
    <t>AMOUNT FOR PAYMENT ON THIS CERTIFICATE (AED)</t>
  </si>
  <si>
    <t>Position</t>
  </si>
  <si>
    <t>Name</t>
  </si>
  <si>
    <t>Date</t>
  </si>
  <si>
    <t>Signature</t>
  </si>
  <si>
    <t>Contractor - Khansaheb - Joinery</t>
  </si>
  <si>
    <t>Quantity Surveyor</t>
  </si>
  <si>
    <t>Renjini Andrews</t>
  </si>
  <si>
    <t>Divisional Manager</t>
  </si>
  <si>
    <t>Tax Invoice will be issued after the receipt of the corresponding payment certificate</t>
  </si>
  <si>
    <t>Dorchester - KCE</t>
  </si>
  <si>
    <t xml:space="preserve">Total </t>
  </si>
  <si>
    <t>Add</t>
  </si>
  <si>
    <t xml:space="preserve">Advance payment </t>
  </si>
  <si>
    <t>Amount in words :</t>
  </si>
  <si>
    <t>BOQ Ref</t>
  </si>
  <si>
    <t>Qty</t>
  </si>
  <si>
    <t>Khansaheb Civil Engineering (KCE)</t>
  </si>
  <si>
    <t xml:space="preserve">Project : Dorchester Hotel &amp; residances </t>
  </si>
  <si>
    <t>Recovery of Advance Payment @ 20% of Sub-total ( E )</t>
  </si>
  <si>
    <t>Item</t>
  </si>
  <si>
    <t>Bill quantity</t>
  </si>
  <si>
    <t>20</t>
  </si>
  <si>
    <t>PACKAGE 2 - BALL ROOMS - DOORS AND WINDOWS</t>
  </si>
  <si>
    <t>20/A</t>
  </si>
  <si>
    <t>Timber doors complete with frames, sub frames,  transoms, stops, ironmongeries, insulation, protective and decorative coatings all in accordance with the drawings and specifications .</t>
  </si>
  <si>
    <t>Level 1 Ballroom</t>
  </si>
  <si>
    <t>20/B</t>
  </si>
  <si>
    <t>Wood door ;overall size 4115 mm x 5000 mm ; type HTL-WD-19+HTL-WD-20 - Drg 924 &amp; 925  (25) - Non Fire Rated (EXCLUDED HTL-ME-03)</t>
  </si>
  <si>
    <t>SHOP DRAWING CHANGED TO BEECH WOOD STAINED TO WALNUT FINISHED</t>
  </si>
  <si>
    <t>Nr</t>
  </si>
  <si>
    <t>20/C</t>
  </si>
  <si>
    <t>Wood door ;overall size 4115 mm x 5000 mm ; type HTL-WD-19+HTL-WD-20  - Drg 924 &amp; 925 (36) - Non Fire Rated (EXCLUDED HTL-ME-03)</t>
  </si>
  <si>
    <t>20/D</t>
  </si>
  <si>
    <t>Wood door ;overall size 2000 mm x 5000 mm ; type HTL-WD-19+HTL-WD-20 - Drg 920 &amp; 921  (26, 27, 28 &amp; 29) - Non Fire Rated (EXCLUDED HTL-ME-03)</t>
  </si>
  <si>
    <t>20/E</t>
  </si>
  <si>
    <t>Wood door ;overall size 2000 mm x 5000 mm ; type HTL-WD-19+HTL-WD-20  - Drg 920 &amp; 921 - (35, 34, 33 &amp; 32) - Non Fire Rated -(EXCLUDED HTL-ME-03)</t>
  </si>
  <si>
    <t>20/F</t>
  </si>
  <si>
    <t>Wood door; overall size 1800 mm x 5000 mm; type HTL-WD-19+HTL-WD-20 - Drg 920 &amp; 921 (30 &amp; 31) - Non Fire Rated - (EXCLUDED HTL-ME-03)</t>
  </si>
  <si>
    <t>Meeting room 1</t>
  </si>
  <si>
    <t>20/G</t>
  </si>
  <si>
    <t>Jib door ;overall size 955 mm x 2200 mm; type HTL-WD-19 (EXCLUDED STONE &amp; IRONMONGERY) - Drg 918 &amp; 919 (3 &amp; 10) - 1 HR Fire Rated - 35DB</t>
  </si>
  <si>
    <t>20/H</t>
  </si>
  <si>
    <t>Jib door ;overall size 620 mm x 2200 mm; type HTL-WD-19. (EXCLUDED STONE &amp; IRONMONGERY) - Drg 916 &amp; 917 (4 &amp; 9) - 1HR Fire Rated - 35DB</t>
  </si>
  <si>
    <t>Meeting room 2</t>
  </si>
  <si>
    <t>20/I</t>
  </si>
  <si>
    <t>Jib door ;overall size 955 mm x 2200 mm; type HTL-WD-19 -  Drg 918 &amp; 919 (12 &amp; 18) - 1HR Fire Rated - 35DB</t>
  </si>
  <si>
    <t>20/J</t>
  </si>
  <si>
    <t>Jib door ;overall size 620 mm x 2200 mm; type HTL-WD-19 - Drg 916 &amp; 917 (17 &amp; 21) - 1 HR Fire Rated - 35DB</t>
  </si>
  <si>
    <t>20/K</t>
  </si>
  <si>
    <t>Entrance door; overall size 3750 mm x 2400 mm - (EXCLUDED NO DETAILS AVAILABLE)</t>
  </si>
  <si>
    <t>20/L</t>
  </si>
  <si>
    <t>Wood door; overall size 900 mm x 2400 mm; type HTL-WD-19 &amp; HTL-ST-36 (EXCLUDED NO DETAILS AVAILABLE)</t>
  </si>
  <si>
    <t>20/M</t>
  </si>
  <si>
    <t>Jib door ;overall size 620 mm x 2200 mm ; type HTL-WD-19  - Drg 916 &amp; 917 (23 &amp; 19) - 1 Hr Fire Rated - 35DB</t>
  </si>
  <si>
    <t>Pre-function space</t>
  </si>
  <si>
    <t>20/N</t>
  </si>
  <si>
    <t>Jiib door; overall size 900 mm x 2200 mm; type HTL-WC-21 including base board in HTL-PT-08 - (EXCLUDED NO DETAILS AVAILABLE)</t>
  </si>
  <si>
    <t>Ballroom male toilet</t>
  </si>
  <si>
    <t>21</t>
  </si>
  <si>
    <t>21/A</t>
  </si>
  <si>
    <t>Wooden door;  overall size(900 mm x 2400 mm); type HTL-WD-19; finish type HTL-PT-12 -  Drg 928 &amp; 929 (39 &amp; Urinal Door) - Non Fire Rated</t>
  </si>
  <si>
    <t>21/B</t>
  </si>
  <si>
    <t>Wooden door ;overall size (775 mm x 2400 mm); type HTL-WD-19; finish type HTL-PT-12  -  Drg 928 &amp; 929 (40, 41, 42, 43, 44 &amp; 46) - Non Fire Rated</t>
  </si>
  <si>
    <t>21/C</t>
  </si>
  <si>
    <t>Door ;overall size (1020 mm x 2400 mm); type HTL-WD-19  -  Drg 930  (45) - Non Fire Rated</t>
  </si>
  <si>
    <t>Ballroom female toilet</t>
  </si>
  <si>
    <t>21/D</t>
  </si>
  <si>
    <t>Wooden door; overall size(900 mm x 2400 mm); type HTL-WD-19; type HTL-PT-12  - Drg 928 &amp; 929 (51 &amp; 54) - Non Fire Rated</t>
  </si>
  <si>
    <t>Timber doors complete with frames, sub frames (Cont'd)</t>
  </si>
  <si>
    <t>Ballroom female toilet (Cont'd)</t>
  </si>
  <si>
    <t>21/E</t>
  </si>
  <si>
    <t>Wooden door ;overall size (780 mm x 2400 mm); type HTL-WD-19; finish type HTL-PT-11  -  Drg 928 &amp; 929 (49, 50, 54 &amp; 53) - Non Fire Rated</t>
  </si>
  <si>
    <t>ADDITIONAL ITEMS</t>
  </si>
  <si>
    <t>21/F</t>
  </si>
  <si>
    <t>Wooden door ;overall size (780 mm x 2400 mm); type HTL-WD-19; finish type HTL-PT-11 -  Drg 930 (48) - Non Fire Rated</t>
  </si>
  <si>
    <t>21/G</t>
  </si>
  <si>
    <t>Wood door; overall size 1800 mm x 2400 mm; type HTL-WD-19  (EXCLUDED, NO DRAWINGS AVAILABLE)</t>
  </si>
  <si>
    <t>Near toilet</t>
  </si>
  <si>
    <t>21/H</t>
  </si>
  <si>
    <t>Wooden door; overall size(1000 mm x 2400 mm); type HTL-WD-19 - Drg. 914 &amp; 915 (38 &amp; 47) - Non Fire Rated</t>
  </si>
  <si>
    <t>Near ballroom area</t>
  </si>
  <si>
    <t>21/I</t>
  </si>
  <si>
    <t>Wooden door; overall size(1000 mm x 2400 mm); type HTL-WD-19 (EXCLUDED, NO DRAWINGS AVAILABLE)</t>
  </si>
  <si>
    <t>21/J</t>
  </si>
  <si>
    <t>Wooden door; overall size(1200 mm x 2400 mm); type HTL-WD-19 (EXCLUDED, NO DRAWINGS AVAILABLE)</t>
  </si>
  <si>
    <t>PACKAGE -3 - HOTEL LEVEL 19</t>
  </si>
  <si>
    <t>PRESIDENTIAL SUITE FIT-OUT - RIGHT WING</t>
  </si>
  <si>
    <t>DOORS, DOOR FRAMES AND IRONMONGERIES -</t>
  </si>
  <si>
    <t>Doors complete with frames, sub frames, transoms, stops, ironmongeries, insulation, protective and decorative coatings all in accordance with the drawings and specifications.</t>
  </si>
  <si>
    <t>Wood Double Door w/ metal door lever in HTL-WD-19</t>
  </si>
  <si>
    <t>21/K</t>
  </si>
  <si>
    <t>Corridor . Drg.342 (RA-1) - Non Fire Rated</t>
  </si>
  <si>
    <t>21/L</t>
  </si>
  <si>
    <t>Twin Bedroom - Drg. 342 (RA-2) Non Fire Rated</t>
  </si>
  <si>
    <t>22</t>
  </si>
  <si>
    <t>22/A</t>
  </si>
  <si>
    <t>Vestibule - Drg. 342 (RA-3) - Non Fire Rated</t>
  </si>
  <si>
    <t>Additional</t>
  </si>
  <si>
    <t>22/B</t>
  </si>
  <si>
    <t>Sliding Door with Mirror - Drg. 344  - Non Fire Rated</t>
  </si>
  <si>
    <t>ADDITIONAL</t>
  </si>
  <si>
    <t>PRESIDENTIAL SUITE FIT-OUT - LEFT WING</t>
  </si>
  <si>
    <t>22/C</t>
  </si>
  <si>
    <t>Entry Vestibule - Drg. 340 (LA-1) - 60 Minutes 40 db</t>
  </si>
  <si>
    <t>22/D</t>
  </si>
  <si>
    <t>Corridor - Drg.342 (LA-2) - Non Fire Rated</t>
  </si>
  <si>
    <t>Wood Door w/ invisible hinges in HTL-WD-19</t>
  </si>
  <si>
    <t>22/E</t>
  </si>
  <si>
    <t>Master Bathroom - Drg. 343 (LB1) - Non Fire Rated</t>
  </si>
  <si>
    <t>22/F</t>
  </si>
  <si>
    <t>Dressing Room - Drg.343 (LB2) - Non Fire Rated</t>
  </si>
  <si>
    <t>22/G</t>
  </si>
  <si>
    <t>Powder Room - Drg.341 (LB3) - Non Fire Rated</t>
  </si>
  <si>
    <t>Concealed Door w/ invisible hinges</t>
  </si>
  <si>
    <t>22/H</t>
  </si>
  <si>
    <t>Powder Room - Drg.345 (LE1) - Non Fire Rated</t>
  </si>
  <si>
    <t>22/I</t>
  </si>
  <si>
    <t>Valet Box - Drg.348 - 60 Minutes - 40 DB</t>
  </si>
  <si>
    <t>FR ISSUE STONE FRAME</t>
  </si>
  <si>
    <t>Concealed wood door with wood molding and metal base board in HTL-WD-02 and HTL-ME-01</t>
  </si>
  <si>
    <t>22/J</t>
  </si>
  <si>
    <t>Powder Room - Drg.345 (LC1) - Non Fire Rated</t>
  </si>
  <si>
    <t>22/K</t>
  </si>
  <si>
    <t>ROYAL SUITE - RIGHT WING</t>
  </si>
  <si>
    <t>DOORS, DOOR FRAMES AND IRONMONGERIES</t>
  </si>
  <si>
    <t>22/L</t>
  </si>
  <si>
    <t>Door and finishes as per ref dwg;- RS-2608-132 &amp; RS-2608-311, Detail 01 - (EXCLUDED FABRIC PANELS) - Non Fire Rated</t>
  </si>
  <si>
    <t>22/M</t>
  </si>
  <si>
    <t>Door and finishes as per ref dwg;- RS-2608-132 &amp; RS-2608-311, Detail 05 (EXCLUDED FABRIC PANELS) - Non Fire Rated</t>
  </si>
  <si>
    <t>22/N</t>
  </si>
  <si>
    <t>Door and finishes as per ref dwg;- RS-2608-132 &amp; RS-2608-312, Detail 01 (EXCLUDED FABRIC PANELS) - Non Fire Rated</t>
  </si>
  <si>
    <t>22/O</t>
  </si>
  <si>
    <t>Door and finishes as per ref dwg;- RS-2608-132 &amp; RS-2608-312, Detail 06 (EXCLUDED FABRIC PANELS) - Non Fire Rated</t>
  </si>
  <si>
    <t>23</t>
  </si>
  <si>
    <t>23/A</t>
  </si>
  <si>
    <t>Door and finishes as per ref dwg;- RS-2608-132 &amp; RS-2608-313, Detail 01  - Non Fire Rated</t>
  </si>
  <si>
    <t>23/B</t>
  </si>
  <si>
    <t>Door and finishes as per ref dwg;- RS-2608-132 &amp; RS-2608-313, Detail 04  - 60 Minutes - 40 DB</t>
  </si>
  <si>
    <t>DK TO CHANGE IN DOOR BOQ</t>
  </si>
  <si>
    <t>ROYAL SUITE - LEFT WING</t>
  </si>
  <si>
    <t>23/C</t>
  </si>
  <si>
    <t>Door and finishes as per ref dwg;- RS-2608-122 &amp; RS-2608-303, Detail 01
60 min FR, 39 STC Rating</t>
  </si>
  <si>
    <t>FR ISSUE MIRROR &amp; METAL FRAME</t>
  </si>
  <si>
    <t>23/D</t>
  </si>
  <si>
    <t>Door and finishes as per ref dwg;- RS-2608-122 &amp; RS-2608-304, Detail 01  - Non Fire Rated</t>
  </si>
  <si>
    <t>23/E</t>
  </si>
  <si>
    <t>Door and finishes as per ref dwg;- RS-2608-122 &amp; RS-2608-304, Detail 07  - Non Fire Rated</t>
  </si>
  <si>
    <t>23/F</t>
  </si>
  <si>
    <t>Door and finishes as per ref dwg;- RS-2608-122 &amp; RS-2608-305, Detail 01  - Non Fire Rated</t>
  </si>
  <si>
    <t>THIS IS METAL &amp; GLASS DOOR</t>
  </si>
  <si>
    <t>23/G</t>
  </si>
  <si>
    <t>Door and finishes as per ref dwg;- RS-2608-122 &amp; RS-2608-305, Detail 07  - Non Fire Rated</t>
  </si>
  <si>
    <t>23/H</t>
  </si>
  <si>
    <t>Door and finishes as per ref dwg;- RS-2608-122 &amp; RS-2608-306, Detail 01  - Non Fire Rated</t>
  </si>
  <si>
    <t>23/I</t>
  </si>
  <si>
    <t>Door and finishes as per ref dwg;- RS-2608-122 &amp; RS-2608-307, Detail 01  - Non Fire Rated</t>
  </si>
  <si>
    <t>23/J</t>
  </si>
  <si>
    <t>Door and finishes as per ref dwg;- RS-2608-122 &amp; RS-2608-308, Detail 01 - Non Fire Rated</t>
  </si>
  <si>
    <t>23/K</t>
  </si>
  <si>
    <t>Door and finishes as per ref dwg;- RS-2608-122 &amp; RS-2608-309, Detail 01 - Non Fire Rated</t>
  </si>
  <si>
    <t>23/L</t>
  </si>
  <si>
    <t>Door and finishes as per ref dwg;- RS-2608-122 &amp; RS-2608-310, Detail 01  - Non Fire Rated (EXCLUDED WALL COVERING &amp; IRONMONGERY)</t>
  </si>
  <si>
    <t>23/M</t>
  </si>
  <si>
    <t>Door and finishes as per ref dwg;- RS-2608-122 &amp; RS-2608-310, Detail 05
60 min FR, 40DB</t>
  </si>
  <si>
    <t>23/N</t>
  </si>
  <si>
    <t>Door and finishes as per ref dwg;- RS-2608-122 &amp; RS-2608-310, Detail 05  - 60 min FR</t>
  </si>
  <si>
    <t>PACKAGE -4 - HOTEL LEVEL 01</t>
  </si>
  <si>
    <t>PRAYER ROOM &amp; ABLUTION</t>
  </si>
  <si>
    <t>TIMBER DOORS Timber doors complete with frames, sub frames, transoms, stops, ironmongeries, insulation, protective and decorative coatings all in accordance with the drawings and specifications.</t>
  </si>
  <si>
    <t>23/O</t>
  </si>
  <si>
    <t>Timber door and finishes as per ref dwg;- IDR-H-L1-101A-124 -  Non FR, 35 STC rating</t>
  </si>
  <si>
    <t>NON FR, 35 RATING BUT DOOR FRAME STONE</t>
  </si>
  <si>
    <t>23/P</t>
  </si>
  <si>
    <t>Timber door and finishes as per ref dwg;- IDR-H-L1-101A-125 -  Non FR, 35 STC rating</t>
  </si>
  <si>
    <t>23/Q</t>
  </si>
  <si>
    <t>Door and finishes as per ref dwg;- IDR-H-L1-101A-126 - Non FR</t>
  </si>
  <si>
    <t>PACKAGE - 4 - HOTEL GF LOBBY AND L1 CORRIDOR DOORS</t>
  </si>
  <si>
    <t>24</t>
  </si>
  <si>
    <t>TIMBER DOORS Supply and installation of Timber doors complete with frames, sub frames, transoms, stops, ironmongeries, insulation, protective and decorative coatings all in accordance with the drawings and specifications.</t>
  </si>
  <si>
    <t>24/A</t>
  </si>
  <si>
    <t>Fluted hidden door with push-catch release to GF Lobby including the finishes type HTL-PT-04, White Paint, color All white N° 2005 - Matte finish (Drg. P18-IDR-H-L0-101C-001 &amp; 011 - Non Fire Rated</t>
  </si>
  <si>
    <t>nr</t>
  </si>
  <si>
    <t>24/B</t>
  </si>
  <si>
    <t>Double leaf doors including finishes to L1 Corridor; refer section 4 in drawing P18-IDR-H-L1-101B-015, 001.1 &amp; 126 -
60 min FR, 35 STC Rating - 1944x2510</t>
  </si>
  <si>
    <t>24/C</t>
  </si>
  <si>
    <t>Double leaf doors including finishes to Lift Lobby in L1 Corridor - 60 min FR, 35 STC Rating - AHK-ID-SD-L1-01555 &amp; 01522</t>
  </si>
  <si>
    <t>24/D</t>
  </si>
  <si>
    <t>Single leaf doors including finishes to L1 Corridor; refer section 2 in drawing P18-IDR-H-L1-101B-013 - 40db Rating - 90 Minutes - Door Type HO-TB-23 - Drg. P18-IDR-H-AL-BDR-127, A-1504 &amp; 013 (EXCLUDED WALL COVERING)</t>
  </si>
  <si>
    <t>DB RATING FOR 90 MINUTE REQURIRE 40DB NOT POSSIBLE. ALSO STONE FRAME ISSUE</t>
  </si>
  <si>
    <t>24/E</t>
  </si>
  <si>
    <t>Single leaf doors including finishes to L1 Corridor; refer section 5 in drawing P18-IDR-H-L1-101B-015 - 60 min FR (CANCELLED)</t>
  </si>
  <si>
    <t>24/F</t>
  </si>
  <si>
    <t>Single leaf doors including finishes to L1 Corridor; refer section 6 in drawing P18-IDR-H-L1-101B-015 -  90 Minutes - Door Type HO-TB-23 - Drg. P18-IDR-H-AL-BDR-127, A-1504 &amp; 013 (EXCLUDED WALL COVERING)</t>
  </si>
  <si>
    <t>PACKAGE -4 - HOTEL-GYM-L28</t>
  </si>
  <si>
    <t>TIMBER DOORS HOTEL - GYM - L28 Note: The Contractor is referred to the Specifications and Drawings for all details related to this Section of the Works and he is to include for complying with all the requirements contained therein, whether or not they are specifically mentioned within the item description. DOORS Supply and installation of timber doors complete with frames, sub frames,  transoms, stops, insulation, sealant, protective and decorative coatings all in accordance with the drawings and specifications (ironmongeries included elsewhere)</t>
  </si>
  <si>
    <t>24/G</t>
  </si>
  <si>
    <t>Jib Door ; 970mm x 2470mmH, refer to RFI 008 response of client drg. No. AHK-ID-SD-L28-01430, 01445 - Non Fire Rated</t>
  </si>
  <si>
    <t xml:space="preserve">Revised rate </t>
  </si>
  <si>
    <t xml:space="preserve">Revised Amount </t>
  </si>
  <si>
    <t xml:space="preserve">Discount % </t>
  </si>
  <si>
    <t>6</t>
  </si>
  <si>
    <t>6/A</t>
  </si>
  <si>
    <t>7</t>
  </si>
  <si>
    <t>BILL No. 3 - JOINERY</t>
  </si>
  <si>
    <t>Built-in structures</t>
  </si>
  <si>
    <t>Supply and installation of Joinery Items as per the detail drawings &amp; specifications.</t>
  </si>
  <si>
    <t>Ballroom</t>
  </si>
  <si>
    <t>7/A</t>
  </si>
  <si>
    <t>Wood cupboard;overall size 2050 mm x 530 mm x 2300 mm ; type HTL-WD-19 including all necessary fittings, fixings and accessories in accordarce with the drawing and specifications, Detail drawing ref. L1-BALL-325 (EXCLUDED STONE)</t>
  </si>
  <si>
    <t>7/B</t>
  </si>
  <si>
    <r>
      <t xml:space="preserve">Backlit glass;overall size 2255 mm x 5000 mm; type  HTL-GL-10 with metal frame in HTL-ME-03,  including all necessary fittings, fixings and accessories in accordarce with the drawing and specifications, Detail drawing ref. L1-BALL-220 &amp; </t>
    </r>
    <r>
      <rPr>
        <sz val="11"/>
        <color rgb="FFFF0000"/>
        <rFont val="Calibri"/>
        <family val="2"/>
        <scheme val="minor"/>
      </rPr>
      <t>L1-BALL-320</t>
    </r>
    <r>
      <rPr>
        <sz val="11"/>
        <color theme="1"/>
        <rFont val="Calibri"/>
        <family val="2"/>
        <scheme val="minor"/>
      </rPr>
      <t xml:space="preserve"> (Note: LED Folio system and Glass System is excluded). (INCLUDED GLASS &amp; METAL. GLASS PANEL WILL HAVE JOINTS. EXCLUDED LIGHTING)</t>
    </r>
  </si>
  <si>
    <t>DOUG TO CHECK MIRROR</t>
  </si>
  <si>
    <t>7/C</t>
  </si>
  <si>
    <t>Soffit of architrave; type HTL-WD-19</t>
  </si>
  <si>
    <t>7/D</t>
  </si>
  <si>
    <t>7/E</t>
  </si>
  <si>
    <t>Lift lobby</t>
  </si>
  <si>
    <t>7/F</t>
  </si>
  <si>
    <t>Backlit mirror ; size 1200 mm x 2100 mm , including all necessary fittings, fixings and accessories in accordarce with the drawing and specifications, Detail drawing ref. L1-BALL-230 (Note: LED Folio system and Glass System is excluded). (INCLUDED GLASS &amp; METAL EXCLUDED LIGHTING)</t>
  </si>
  <si>
    <t>Breakout space</t>
  </si>
  <si>
    <t>7/G</t>
  </si>
  <si>
    <t>Bar counter ; top in HTL-ST-36, sides in HTL-WD-19 , frame in HTL-ME-04,including all necessary fittings, fixings and accessories in accordarce with the drawing and specifications, Detail drawing ref. L1-BALL-309B (EXCLUDED STONE &amp; INCLUDED METAL)</t>
  </si>
  <si>
    <t>7/H</t>
  </si>
  <si>
    <t>Back bar ; type HTL-WD-19 , bar top in HTL-ST-36 ,overall size 3035 mm x 685 mm x 2850 mm ;with mirror in HTL-GL-01 and size 1540mm x 1900mm; including all necessary fittings, fixings and accessories in accordarce with the drawing and specifications, Detail drawing ref. L1-BALL-204 (EXCLUDED STONE)</t>
  </si>
  <si>
    <t>7/I</t>
  </si>
  <si>
    <t>8</t>
  </si>
  <si>
    <t>8/A</t>
  </si>
  <si>
    <r>
      <t>Vanity (curve), type in HTL-ST-38 top and front, size 9000 L x 580mm W x 680mm H, 100mm H recessed stone baseboard in HTL-ST-38, including all necessary fittings, fixings and accessories in accordarce with the drawing and specifications, Detail drawing ref. L1-BALL-204 7 (</t>
    </r>
    <r>
      <rPr>
        <sz val="11"/>
        <color rgb="FFFF0000"/>
        <rFont val="Calibri"/>
        <family val="2"/>
        <scheme val="minor"/>
      </rPr>
      <t>BALL-WC-D-100 &amp; 200</t>
    </r>
    <r>
      <rPr>
        <sz val="11"/>
        <color theme="1"/>
        <rFont val="Calibri"/>
        <family val="2"/>
        <scheme val="minor"/>
      </rPr>
      <t>)(EXCLUDED STONE. INCLUDED METAL RING &amp; METAL FRAME)</t>
    </r>
  </si>
  <si>
    <t>8/B</t>
  </si>
  <si>
    <t>Mirror, type HTL-GL-01, size 1720mm H x 1260mm W including metal frame in HTL-ME-04, including all necessary fittings, fixings and accessories in accordarce with the drawing and specifications, Detail drawing ref. L1-BALL-204 (INCLUDED MIRROR &amp; METAL FRAME)</t>
  </si>
  <si>
    <t>8/C</t>
  </si>
  <si>
    <t>Mirror strips, type in HTL-GL-01, 1720mm H x 1600mm W including metal frame in HTL-ME-04, including all necessary fittings, fixings and accessories in accordarce with the drawing and specifications, Detail drawing ref. L1-BALL-204 (INCLUDED MIRROR &amp; METAL FRAME)</t>
  </si>
  <si>
    <t>8/D</t>
  </si>
  <si>
    <t>Mirror, type in HTL-GL-01, 2450mm H x 240mm W including metal frame in HTL-ME-04, including all necessary fittings, fixings and accessories in accordarce with the drawing and specifications, Detail drawing ref. L1-BALL-204 (INCLUDED MIRROR &amp; METAL FRAME)</t>
  </si>
  <si>
    <t>8/E</t>
  </si>
  <si>
    <t>Cupboard, jib doors type in HTL-WC-17 &amp; baseboard in HTL-ST-38, push pull system with lock, size 2440mm L x 735mm W x 2400mm H, inside type in HTL-WD-09, including all necessary fittings, fixings and accessories in accordarce with the drawing and specifications, Detail drawing ref. L1-BALL-WC-D-309 (EXCLUDED STONE SKIRTING &amp; SPECIAL PLASTER WC-17)</t>
  </si>
  <si>
    <t>8/F</t>
  </si>
  <si>
    <r>
      <t xml:space="preserve">Infinity mirror, normal mirror 1180 mm L x 3045 mm H, two way mirror 1180 mm L x 3045 mm H, two back painted walls 435 mm L x 3045 mm H, back painted floor &amp; ceiling 1180 mm L x 435 mm W, 150 mm H baseboard in HTL-ST-38,  including all necessary fittings, fixings and accessories in accordance with the drawing and specifications, Detail drawing ref. L1-BALL-WC-D-312 &amp; </t>
    </r>
    <r>
      <rPr>
        <sz val="11"/>
        <color rgb="FFFF0000"/>
        <rFont val="Calibri"/>
        <family val="2"/>
        <scheme val="minor"/>
      </rPr>
      <t xml:space="preserve">311 </t>
    </r>
    <r>
      <rPr>
        <sz val="11"/>
        <color theme="1"/>
        <rFont val="Calibri"/>
        <family val="2"/>
        <scheme val="minor"/>
      </rPr>
      <t>(INCLUDED MIRROR. EXCLUDED STONE &amp; LIGHTING)</t>
    </r>
  </si>
  <si>
    <t>8/G</t>
  </si>
  <si>
    <t>Stone Shelf, type in HTL-ST-38, 1000 mm L x 100 mm W  including all necessary fittings, fixings and accessories in accordance with the drawing and specifications, Detail drawing ref. L1-BALL-WC-D-307  (EXCLUDED STONE WORKS)</t>
  </si>
  <si>
    <t>Nos</t>
  </si>
  <si>
    <t>9</t>
  </si>
  <si>
    <t>9/A</t>
  </si>
  <si>
    <r>
      <t xml:space="preserve">Vanity, type in size 430 mm x 1930 mm x 740 mm, 150 mm H recessed metal baseboard in HTL-ME-04, backlit screen with mirror in HTL-GL-01 &amp; metal frame in HTL-ME-04, including all necessary fittings, fixings and accessories in accordance with the drawing and specifications, Detail drawing ref. L1-BALL-WC-D-301 &amp; </t>
    </r>
    <r>
      <rPr>
        <sz val="11"/>
        <color rgb="FFFF0000"/>
        <rFont val="Calibri"/>
        <family val="2"/>
        <scheme val="minor"/>
      </rPr>
      <t>WC-D-306</t>
    </r>
    <r>
      <rPr>
        <sz val="11"/>
        <color theme="1"/>
        <rFont val="Calibri"/>
        <family val="2"/>
        <scheme val="minor"/>
      </rPr>
      <t xml:space="preserve"> (INCLUDED METAL &amp; SCREEN)</t>
    </r>
  </si>
  <si>
    <t>9/B</t>
  </si>
  <si>
    <t>Vanity (curve) , type in HTL-ST-38 top and front, size xx L x 580 mm W x 780 mm H, 100 mm H recessed stone baseboard in HTL-ST-38, including all necessary fittings, fixings and accessories in accordance with the drawing and specifications, Detail drawing ref. L1-BALL-WC-D-305 &amp; 306  (INCLUDED METAL &amp; EXCLUDED STONE)</t>
  </si>
  <si>
    <t>The tenderer is to detail below any additional items with quantities and rates not previously included to complete the build up of the lump sum tender price for this section of the works. Should the Subcontractor fail to insert any items hereunder, it will be deemed that his lump sum price for the tender includes all works as required by the tender drawings and specification and no subsequent claim for any additional item will be entertained.</t>
  </si>
  <si>
    <t>9/C</t>
  </si>
  <si>
    <t>10</t>
  </si>
  <si>
    <t>10/A</t>
  </si>
  <si>
    <t>1490mm L x 915mm high x 820mm W Built-in banquette seat  in HTL-FA-WW including metal frame HTL-ME-04 - Detail drawing ref. L1-BALL-WC-D-300 (EXCLUDED WALL PAPER)</t>
  </si>
  <si>
    <t>no.</t>
  </si>
  <si>
    <t>10/B</t>
  </si>
  <si>
    <t>6970mm L x 900mm H Backlit banquette in HTL-WD-19 + HTL-FA-XX (Detail drawing ref. L1-BALL-318)</t>
  </si>
  <si>
    <t>10/C</t>
  </si>
  <si>
    <t>Timber "L" beam HLT-WD-19</t>
  </si>
  <si>
    <t>10/D</t>
  </si>
  <si>
    <t>Fluted wood panels; type HTL-WD-20</t>
  </si>
  <si>
    <t>10/E</t>
  </si>
  <si>
    <t>200 mm high Decorative lit beam; type HTL-WD-19</t>
  </si>
  <si>
    <t>10/F</t>
  </si>
  <si>
    <t>200 mm high Decorative lit beam ; type HTL-WD-19</t>
  </si>
  <si>
    <t>10/G</t>
  </si>
  <si>
    <t>Fluted wood panels ; type HTL-WD-20</t>
  </si>
  <si>
    <t>10/H</t>
  </si>
  <si>
    <t>10/I</t>
  </si>
  <si>
    <t>Lit skirting 100 mm high; type HTL-ME-03</t>
  </si>
  <si>
    <t>10/J</t>
  </si>
  <si>
    <t>Wood  beams ; type HTL-WD-19</t>
  </si>
  <si>
    <t>Supply and fixing of Wooden Trim/Wooden Door Frame-Architrave; Type HTL-WD-02; Smoked Oak</t>
  </si>
  <si>
    <t>10/K</t>
  </si>
  <si>
    <t>Valet Box - (2.40+0.975+2.40) - 205mm wide</t>
  </si>
  <si>
    <t>NO DRG</t>
  </si>
  <si>
    <t>10/L</t>
  </si>
  <si>
    <t>Valet Box - (2.40+0.975+2.40) - 260mm wide</t>
  </si>
  <si>
    <t>Supply and fixing of Wooden Trim/Wooden Door Frame-Architrave; Type HTL-WD-19; US Walnut, Satin Brushed</t>
  </si>
  <si>
    <t>10/M</t>
  </si>
  <si>
    <t>Powder Room - (2.40+0.860+2.40) - 185mm wide</t>
  </si>
  <si>
    <t>10/N</t>
  </si>
  <si>
    <t>Powder Room - (2.40+0.860+2.40) - 190mm wide</t>
  </si>
  <si>
    <t>11</t>
  </si>
  <si>
    <t>PACKAGE -3 - HOTEL LEVEL 19:- PRESIDENTIAL SUITE FIT-OUT</t>
  </si>
  <si>
    <t>CARPENTRY/JOINERY/STONE WORKS - RIGHT WING</t>
  </si>
  <si>
    <t>Wardrobe, Cabinet, Headboard, Vanity, Ledge</t>
  </si>
  <si>
    <t>Supply and Installation of Wardrobe, cabinets, etc. including supports, fixings, fittings, accessories,fabric panels at back, finishes, Doors, Ironmongeries, Metal Handle, Metal Frame, Metal Trim etc. and all like complete all in accordance with drawings and specifications.</t>
  </si>
  <si>
    <t>11/A</t>
  </si>
  <si>
    <r>
      <t xml:space="preserve">Wood Wardrobe; Size 2220mm+2370mm (L) x 700mm (W) x 2650mm (H), Dressing Room 2 as detailed shown on Dwg. No. 1902-210, DET. II,JJ &amp; 1902-212, SEC. 09,10 - </t>
    </r>
    <r>
      <rPr>
        <sz val="11"/>
        <color rgb="FFFF0000"/>
        <rFont val="Calibri"/>
        <family val="2"/>
        <scheme val="minor"/>
      </rPr>
      <t>Drg. L1-PRES-1902-314/315</t>
    </r>
    <r>
      <rPr>
        <sz val="11"/>
        <color theme="1"/>
        <rFont val="Calibri"/>
        <family val="2"/>
        <scheme val="minor"/>
      </rPr>
      <t xml:space="preserve"> (EXCLUDED STONE SKIRTING)</t>
    </r>
  </si>
  <si>
    <t>11/B</t>
  </si>
  <si>
    <r>
      <t xml:space="preserve">Wood Valet Closet; Size 1100mm (L) x 650mm (W) x 2650mm (H), Valet Box as detailed shown on Dwg. No. 1902-210, DET. II,JJ &amp; 1902-212, SEC. 09,10 - </t>
    </r>
    <r>
      <rPr>
        <sz val="11"/>
        <color rgb="FFFF0000"/>
        <rFont val="Calibri"/>
        <family val="2"/>
        <scheme val="minor"/>
      </rPr>
      <t>Drg. L1-PRES-1902-316</t>
    </r>
    <r>
      <rPr>
        <sz val="11"/>
        <color theme="1"/>
        <rFont val="Calibri"/>
        <family val="2"/>
        <scheme val="minor"/>
      </rPr>
      <t xml:space="preserve"> (EXCLUDED STONE SKIRTING)</t>
    </r>
  </si>
  <si>
    <t>11/C</t>
  </si>
  <si>
    <r>
      <t xml:space="preserve">Wood drawers with stone top in HTL WD-09 &amp; HTL-ST-35, Media Room as detailed shown on 1902-212, SEC. 09,10 1902-208 SEC. 01 &amp; 02 &amp; </t>
    </r>
    <r>
      <rPr>
        <sz val="11"/>
        <color rgb="FFFF0000"/>
        <rFont val="Calibri"/>
        <family val="2"/>
        <scheme val="minor"/>
      </rPr>
      <t>PRESI-1902-323</t>
    </r>
    <r>
      <rPr>
        <sz val="11"/>
        <color theme="1"/>
        <rFont val="Calibri"/>
        <family val="2"/>
        <scheme val="minor"/>
      </rPr>
      <t xml:space="preserve"> (EXCLUDED FABRIC PANELLING)</t>
    </r>
  </si>
  <si>
    <t>11/D</t>
  </si>
  <si>
    <t>Wood Cabinet incl. upper &amp; lower cabinet, stone slab backsplash countertop, shelf &amp; built-in wooden WD-07, Pantry as detailed shown on 1902-210 SEC II,JJ &amp; 1902-213, SEC. 14 (Drg. L1-PRES-1902-130/213) (EXCLUDED STONE SKIRTING, TOP &amp; SPLASHBACK)</t>
  </si>
  <si>
    <t>11/E</t>
  </si>
  <si>
    <t>Stone Dresser HTL ST-21 &amp; wooden drawers in HTL-WD-02 incl. wood screen and baseboard HTL-ME-01, Vanity as detailed shown on 1902-214 SEC. 15 &amp; 16</t>
  </si>
  <si>
    <t>PLEASE PROVIDE DETAILED DRAWING</t>
  </si>
  <si>
    <t>12</t>
  </si>
  <si>
    <t>CARPENTRY WORKS (CONT'D)</t>
  </si>
  <si>
    <t>CARPENTRY/JOINERY/STONE WORKS - LEFT WING</t>
  </si>
  <si>
    <t>Supply and Installation of Wardrobe, Cabinets, etc. including supports, fixings, fittings, accessories, fabric panels at back, finishes, Doors, Ironmongeries, Metal Handle, Metal Frame, Metal Trim etc. and all like complete all in accordance with drawings and specifications.</t>
  </si>
  <si>
    <t>12/A</t>
  </si>
  <si>
    <r>
      <t xml:space="preserve">Upholstered banquette on Master Bedroom as detailed shown on Dwg. No. - PRES-1902-204 SEC. MM,NN - </t>
    </r>
    <r>
      <rPr>
        <sz val="11"/>
        <color rgb="FFFF0000"/>
        <rFont val="Calibri"/>
        <family val="2"/>
        <scheme val="minor"/>
      </rPr>
      <t>Drg. L1-PRES-1902-320</t>
    </r>
    <r>
      <rPr>
        <sz val="11"/>
        <color theme="1"/>
        <rFont val="Calibri"/>
        <family val="2"/>
        <scheme val="minor"/>
      </rPr>
      <t xml:space="preserve"> (EXCLUDED STONE SKIRTING &amp; WALL PANEL ABOVE BANQUET UNIT FABRIC HTL-WC-31. INCLUDED PC RATE OF DHS 300/-LM FOR FABRIC DUE TO THE SPECIFICATION NOT AVAILABLE)</t>
    </r>
  </si>
  <si>
    <t>12/B</t>
  </si>
  <si>
    <r>
      <t xml:space="preserve">Built-in desk / sideboard in HTL-ST-35 w/ metal feet HTL-ME-07 on Master Bedroom detailed shown on Dwg. No. - </t>
    </r>
    <r>
      <rPr>
        <sz val="11"/>
        <color rgb="FFFF0000"/>
        <rFont val="Calibri"/>
        <family val="2"/>
        <scheme val="minor"/>
      </rPr>
      <t>PRES-1902-200 SEC. AA,BB</t>
    </r>
  </si>
  <si>
    <t>12/C</t>
  </si>
  <si>
    <r>
      <t xml:space="preserve">Displays shelving unit w/ drawers on Master Bedroom detailed shown on Dwg. No. - PRES-1902-203 SEC. AA,BB </t>
    </r>
    <r>
      <rPr>
        <sz val="11"/>
        <color rgb="FFFF0000"/>
        <rFont val="Calibri"/>
        <family val="2"/>
        <scheme val="minor"/>
      </rPr>
      <t xml:space="preserve">Drg. L1-PRES-1902-321 </t>
    </r>
    <r>
      <rPr>
        <sz val="11"/>
        <color theme="1"/>
        <rFont val="Calibri"/>
        <family val="2"/>
        <scheme val="minor"/>
      </rPr>
      <t>(INCL. METAL &amp; EXCLUDED UPHOLSTERY WALL PANEL)</t>
    </r>
  </si>
  <si>
    <t>12/D</t>
  </si>
  <si>
    <r>
      <t xml:space="preserve">Wood Wardrobe (575+1095+755)x(690) + (930x755) on Dressing Room 1 as detailed shown on Dwg. No. 1902-203, SEC. KK,LL &amp; 1902-212, SEC. 09,10 &amp; 1902-205 SEC. OO,PP (SIZE CONSIDERED 875+1667mm Long - Drg. </t>
    </r>
    <r>
      <rPr>
        <sz val="11"/>
        <color rgb="FFFF0000"/>
        <rFont val="Calibri"/>
        <family val="2"/>
        <scheme val="minor"/>
      </rPr>
      <t>L1-PRES-1902-310</t>
    </r>
    <r>
      <rPr>
        <sz val="11"/>
        <color theme="1"/>
        <rFont val="Calibri"/>
        <family val="2"/>
        <scheme val="minor"/>
      </rPr>
      <t>)</t>
    </r>
  </si>
  <si>
    <t>12/E</t>
  </si>
  <si>
    <r>
      <t xml:space="preserve">Wood Wardrobe (705+1735)x(755) on Dressing Room 1 as detailed shown on Dwg. No. 1902-203, SEC. KK,LL &amp; 1902-212, SEC. 09,10 (SIZE CONSIDERED 2517mm Long - </t>
    </r>
    <r>
      <rPr>
        <sz val="11"/>
        <color rgb="FFFF0000"/>
        <rFont val="Calibri"/>
        <family val="2"/>
        <scheme val="minor"/>
      </rPr>
      <t>Drg. L1-PRES-1902-311)</t>
    </r>
  </si>
  <si>
    <t>12/F</t>
  </si>
  <si>
    <r>
      <t xml:space="preserve">Wood Wardrobe (1095+575)x(690) on Dressing Room 1 as detailed shown on Dwg. No. 1902-203, SEC. KK,LL &amp; 1902-212, SEC. 09,10 (SIZE CONSIDERED 2397mm Long - </t>
    </r>
    <r>
      <rPr>
        <sz val="11"/>
        <color rgb="FFFF0000"/>
        <rFont val="Calibri"/>
        <family val="2"/>
        <scheme val="minor"/>
      </rPr>
      <t>Drg. L1-PRES-1902-312)</t>
    </r>
  </si>
  <si>
    <t>12/G</t>
  </si>
  <si>
    <r>
      <t xml:space="preserve">Wood Valet Closet; Size 950x690, Valet Box 1 as detailed shown on Dwg. No. 1902-205 SEC. RR - (Drg. L1-PRES-1902-312. EXCLUDED STONE SKIRTING) </t>
    </r>
    <r>
      <rPr>
        <sz val="11"/>
        <color rgb="FFFF0000"/>
        <rFont val="Calibri"/>
        <family val="2"/>
        <scheme val="minor"/>
      </rPr>
      <t>L1-PRES-1902-313</t>
    </r>
  </si>
  <si>
    <t>12/H</t>
  </si>
  <si>
    <r>
      <t>Wood Wardrobe w/ wood shelves (1620)x(645) on Corridor as detailed shown on</t>
    </r>
    <r>
      <rPr>
        <sz val="11"/>
        <color rgb="FFFF0000"/>
        <rFont val="Calibri"/>
        <family val="2"/>
        <scheme val="minor"/>
      </rPr>
      <t xml:space="preserve"> Drg. L1-PRES-1902-317 </t>
    </r>
    <r>
      <rPr>
        <sz val="11"/>
        <color theme="1"/>
        <rFont val="Calibri"/>
        <family val="2"/>
        <scheme val="minor"/>
      </rPr>
      <t>(WE HAVE CONSIDERED SIZE 2175MM LONG. INCL. GLASS &amp; EXCLUDED STONE)</t>
    </r>
  </si>
  <si>
    <t>12/I</t>
  </si>
  <si>
    <t>Wood shelf &amp; wood drawers (700)x(570)x(2445) on Powder Room as detailed shown on Dwg. No. 1902-207, SEC. YY,ZZ (WE HAVE PRICED BASED ON DRG. Drg. L1-PRES-1902-335. EXCLUDED STONE &amp; WOODEN DRAWER. INCLUDED METAL FRAME WORKS)</t>
  </si>
  <si>
    <t>13</t>
  </si>
  <si>
    <t>CARPENTRY WORKS - LEFT WING (CONT'D)</t>
  </si>
  <si>
    <t>Wood Shelf, Wooden Panelling/Frame, Vanity, Ledge</t>
  </si>
  <si>
    <t>13/A</t>
  </si>
  <si>
    <t>Make-up station with stone top and wood shelf, legs and wood panels on Dressing Room 1 as detailed shown on Dwg. No. 1902-203, SEC. LL</t>
  </si>
  <si>
    <t>NO FINISHES MENTIONED ON DRG. PLEASE PROVIDE</t>
  </si>
  <si>
    <t>Supply and Installation of Wooden Panelling w/ wood molding incl supports, fixings, fittings, accessories, finishes, etc. and all like complete all in accordance with drawings and specifications.</t>
  </si>
  <si>
    <t>13/B</t>
  </si>
  <si>
    <r>
      <t>Study, HTL-WD-02 (Dwg. No. 1902-207 SEC. WW,XX &amp; 1902-203 SEC. KK,LL) (WE HAVE PRICED BASED ON DRG.</t>
    </r>
    <r>
      <rPr>
        <sz val="11"/>
        <color rgb="FFFF0000"/>
        <rFont val="Calibri"/>
        <family val="2"/>
        <scheme val="minor"/>
      </rPr>
      <t xml:space="preserve"> Drg. L1-PRES-1902-322.</t>
    </r>
    <r>
      <rPr>
        <sz val="11"/>
        <color theme="1"/>
        <rFont val="Calibri"/>
        <family val="2"/>
        <scheme val="minor"/>
      </rPr>
      <t xml:space="preserve"> INCLUDED CABINET &amp; EXCLUDED WALL PANELLING ALL AROUND STUDY ROOM)</t>
    </r>
  </si>
  <si>
    <t>13/C</t>
  </si>
  <si>
    <t>Entry Vestibule, HTL-WD-19 (Dwg. No. 1902-206 SEC. UU,VV &amp; 1902-203 SEC. LL)</t>
  </si>
  <si>
    <t>Supply and Installation of Wood frame (WD-19) with mirror panel (GL-14) incl. supports, fixings, fittings, accessories, finishes, etc. and all like complete all in accordance with drawings and specifications as shown in Dwg. No. 1902-202 SEC. II,JJ</t>
  </si>
  <si>
    <t>13/D</t>
  </si>
  <si>
    <t>Master Suite Vestibule (EXCLUDED STONE KICKER)</t>
  </si>
  <si>
    <t>14</t>
  </si>
  <si>
    <t>Built-in Cupboard, Lockers and Storage</t>
  </si>
  <si>
    <t>Supply and Installation of Built-in Cupboard, Lockers and Storage including supports, fixings, fittings, accessories, finishes, Doors, Ironmongeries, Stone Skirting, Metal Handle, Metal Frame, Metal Trim etc. and all like complete all in accordance with drawings and specifications.</t>
  </si>
  <si>
    <t>14/A</t>
  </si>
  <si>
    <t>Twin Desk on Secondary Bedroom as detailed shown on Dwg. No.- RS-2608-331, DET. 01 (DRG.RS-2608-331) - (EXCLUDED STONE)</t>
  </si>
  <si>
    <t>14/B</t>
  </si>
  <si>
    <t>Cupboard; Size 4010mm (L) x 710mm (W) x 2490mm (H), Dressing 2 as detailed shown on Dwg. No. RS-2608-332, DET. 01 (HTL-WC-30) (EXCLUDED FABRIC)</t>
  </si>
  <si>
    <t>14/C</t>
  </si>
  <si>
    <t>Cupboard on Dressing 2 as detailed shown on Dwg. No. - RS-2608-333, DET. 01 (HTL-WC-30) (EXCLUDED FABRIC)</t>
  </si>
  <si>
    <t>14/D</t>
  </si>
  <si>
    <t>Cupboard; Size 620mm (L) x 540mm (W) x 2490/2690mm (H), Valet Box 2 as detailed shown on RS-2608-338 (HTL-WC-28) (EXCLUDED FABRIC)</t>
  </si>
  <si>
    <t>15</t>
  </si>
  <si>
    <t>15/A</t>
  </si>
  <si>
    <t>Headboard on Master Bedroom Sofa as detailed shown on DET. 01 - RS-2608-322 (EXCLUDED METAL TRIM, STONE SKIRTING/CLADDING &amp; WALL COVERING HTL-WC-25)</t>
  </si>
  <si>
    <t>15/B</t>
  </si>
  <si>
    <t>Shelf / Desk on Master Bedroom as detailed shown on DET. 01 - RS-2608-323 (INCLUDED METAL TRIM. EXCLUDED WALL PANEL &amp; STONE SKIRTING)</t>
  </si>
  <si>
    <t>15/C</t>
  </si>
  <si>
    <t>Cupboard on Master Dressing 1 as detailed shown on DET. 01 - RS-2608-314 (EXCLUDED STONE SKIRTING)</t>
  </si>
  <si>
    <t>15/D</t>
  </si>
  <si>
    <t>Cupboard on Master Dressing 1 as detailed shown on DET. 02 - RS-2608-314 (EXCLUDED STONE SKIRTING)</t>
  </si>
  <si>
    <t>15/E</t>
  </si>
  <si>
    <t>Cupboard on Master Dressing 1 as detailed shown on DET. 01 - RS-2608-315 (EXCLUDED STONE SKIRTING)</t>
  </si>
  <si>
    <t>15/F</t>
  </si>
  <si>
    <t>Shelf on Master Dressing 1 as detailed shown on DET. 01 - RS-2608-316 (EXCLUDED STONE SKIRTING &amp; TOP)</t>
  </si>
  <si>
    <t>15/G</t>
  </si>
  <si>
    <t>Cupboard on Master Dressing 1 as detailed shown on DET. 01 - RS-2608-317 (HTL-WC-28) (EXCLUDED STONE SKIRTING) &amp; TOP</t>
  </si>
  <si>
    <t>15/H</t>
  </si>
  <si>
    <t>Cupboard; Size 620mm (L) x 540mm (W) x 2490/2690mm (H), Valet Box 1 as detailed shown on RS-2608-338 (EXCLUDED STONE SKIRTING)</t>
  </si>
  <si>
    <t>15/I</t>
  </si>
  <si>
    <t>Pantry Cabinet as detailed shown on DET. 01 - RS-2608-324 (EXCLUDED STONE)</t>
  </si>
  <si>
    <t>15/J</t>
  </si>
  <si>
    <t>Entrance Display as detailed shown on DET. 01 - RS-2608-325 (INCLUDED METAL &amp; MIRROR. EXCLUDED STONE)</t>
  </si>
  <si>
    <t>15/K</t>
  </si>
  <si>
    <t>Entrance Display as detailed shown on DET. 02 - RS-2608-325 (INCLUDED METAL &amp; MIRROR. EXCLUDED STONE)</t>
  </si>
  <si>
    <t>16</t>
  </si>
  <si>
    <t>16/A</t>
  </si>
  <si>
    <t>Dining Sideboard as detailed shown on DET. 01 - RS-2608-326 (STONE SKIRTING EXCLUDED)</t>
  </si>
  <si>
    <t>16/B</t>
  </si>
  <si>
    <t>Mini Bar as detailed shown on DET. 01 - RS-2608-327 (INCLUDED GLASS WITH METAL SHELF. EXCLUDED ALL STONE WORKS)</t>
  </si>
  <si>
    <t>16/C</t>
  </si>
  <si>
    <t>Living Room Desk Niche as detailed shown on DET. 01 - RS-2608-328 (EXCLUDED STONE)</t>
  </si>
  <si>
    <t>16/D</t>
  </si>
  <si>
    <t>Living Room Library Shelves as detailed shown on DET. 01 - RS-2608-329 (EXCLUDED STONE)</t>
  </si>
  <si>
    <t>17</t>
  </si>
  <si>
    <t>PACKAGE -4 - HOTEL LEVEL 01:- PRAYER ROOM &amp; ABLUTION</t>
  </si>
  <si>
    <t>TIMBER WORKS</t>
  </si>
  <si>
    <t>Prayer Room Recess, Shoe Bench, Shelf</t>
  </si>
  <si>
    <t>Supply and Installation of Prayer Room Recess, including necessary framing, fittings, backing support, fixing board, PT-03 frame, ST-12 recess etc and the like all in accordance with drawings and specifications. As detailed shown on Dwg. IDR-HL1-101A-120</t>
  </si>
  <si>
    <t>17/A</t>
  </si>
  <si>
    <t>Male Prayer Room</t>
  </si>
  <si>
    <t>17/B</t>
  </si>
  <si>
    <t>Female Prayer Room</t>
  </si>
  <si>
    <t>Supply and Installation of Prayer Room Shoe Bench, including necessary framing, fittings, backing support, fixing board, upholstered cushion, wooden structure, metal strip if any, etc and the like all in accordance with drawings and specifications. As detailed shown on Dwg. IDR-HL1-101A-121</t>
  </si>
  <si>
    <t>17/C</t>
  </si>
  <si>
    <t>Male Ablution</t>
  </si>
  <si>
    <t>17/D</t>
  </si>
  <si>
    <t>Female Ablution</t>
  </si>
  <si>
    <t>Supply and Installation of Prayer Room Shelf, including necessary framing, fittings, backing support, fixing board, wooden structure, etc and the like all in accordance with drawings and specifications. As detailed shown on Dwg. IDR-HL1-101A-122</t>
  </si>
  <si>
    <t>17/E</t>
  </si>
  <si>
    <t>17/F</t>
  </si>
  <si>
    <t>18</t>
  </si>
  <si>
    <t>PACKAGE -4 - HOTEL - GYM - L28</t>
  </si>
  <si>
    <t>JOINERY WORKS</t>
  </si>
  <si>
    <t>HOTEL - GYM - L28</t>
  </si>
  <si>
    <t>Note: The Sub-contractor is referred to the Specifications and Drawings for all details related to this Section of the Works and he is to include for complying with all the requirements contained therein, whether or not they are specifically mentioned within the item description.</t>
  </si>
  <si>
    <t>Built-in Closets including fixings, fittings, accessories, finishes, etc. supplied and installed complete (supply and installation of timber skirting and stone finishes by others)</t>
  </si>
  <si>
    <t>18/A</t>
  </si>
  <si>
    <t>Storage Closet interior in HTL-PT-04, including removable shelves in HTL-PT-04, jib doors in HTL-WC-14 (wall covering measured elseware) invisible hinges SOSS type, discreet door nob in HTL-MT-05, door stopper in HTL-PT-04 overall size 1044mmL x 580mmW x 2667mmH, (ref drawing L28-GYM-DD-302)</t>
  </si>
  <si>
    <t>19</t>
  </si>
  <si>
    <t>PACKAGE -5 - Cupboard and Side Table</t>
  </si>
  <si>
    <t>19/A</t>
  </si>
  <si>
    <t>Supply and Installation of Side Table Size : 1826 X650X 445mm Material MDF with Oak Veneered Finish in High
Gloss/ Matte Finish with Stone Top of Viola Marble - Drg. D1BS-707-335 (EXCLUDED STONE)</t>
  </si>
  <si>
    <t>DOUG TO CHECK STONE TOP</t>
  </si>
  <si>
    <t>19/B</t>
  </si>
  <si>
    <t>Supply and Installation of Cupboard with overhead Niche Size : 933 X 530 X 2505mm Material MDF with Oak Veneered Finish in High  Gloss/ Tulle Print</t>
  </si>
  <si>
    <t>19/C</t>
  </si>
  <si>
    <t>Supply and Installation of Side Table Size : 700 X 670X 445 mm Material MDF with Oak Veneered Finish in High
Gloss/ Matte Finish with Stone Top of ST-21</t>
  </si>
  <si>
    <t>201D22009</t>
  </si>
  <si>
    <t>25</t>
  </si>
  <si>
    <t>Level 4 Residential Pool</t>
  </si>
  <si>
    <t>25/A</t>
  </si>
  <si>
    <t>Daybed Booth Size 2250x2250x1200mm</t>
  </si>
  <si>
    <t>E11-K158-KD-SR-372</t>
  </si>
  <si>
    <t>E11-K158-KD-SR-336</t>
  </si>
  <si>
    <t>E11-K158-KD-SR-348</t>
  </si>
  <si>
    <t>Room Type-07A</t>
  </si>
  <si>
    <t>26/A</t>
  </si>
  <si>
    <t xml:space="preserve">Supply &amp; installation of 18mm MR MDF backing for HTL-WC-11 above the vanity counter with 40x40m mm Meranti wood framing including opening for Mirror cabinets. Overall size 4566x300x1370mm. Excluding HTL-WC-11. </t>
  </si>
  <si>
    <t xml:space="preserve">Nos </t>
  </si>
  <si>
    <t>26/B</t>
  </si>
  <si>
    <t xml:space="preserve">Supply &amp; installation of 18mm MR MDF backing for HTL-WC-11 below the vanity counter with 40x40m mm Meranti wood framing. Overall size 4566x300x600mm. Excluding HTL-WC-11. </t>
  </si>
  <si>
    <t>26/C</t>
  </si>
  <si>
    <t xml:space="preserve">Mirror cabinet with 18mm MR MDF in veneer finish. Size 800x327x1245mm. Excluding metal HTL-ME-04, Backlighted mirror, LED &amp; MEP works. </t>
  </si>
  <si>
    <t>Room Type-15A</t>
  </si>
  <si>
    <t>27/A</t>
  </si>
  <si>
    <t xml:space="preserve">Supply &amp; installation of 18mm MR MDF backing for HTL-WC-11 above the vanity counter with 40x40m mm Meranti wood framing including opening for Mirror cabinets. Overall size 3650x300x1370mm. Excluding HTL-WC-11. </t>
  </si>
  <si>
    <t>27/B</t>
  </si>
  <si>
    <t xml:space="preserve">Supply &amp; installation of 18mm MR MDF backing for HTL-WC-11 below the vanity counter with 40x40m mm Meranti wood framing. Overall size 3650x300x600mm. Excluding HTL-WC-11. </t>
  </si>
  <si>
    <t>27/C</t>
  </si>
  <si>
    <t>Mirror cabinet with 18mm MR MDF in veneer finish. Size 600x327x1245mm. Excluding HTL-ME-04, Backlighted mirror, LED &amp; MEP works.</t>
  </si>
  <si>
    <t>27/D</t>
  </si>
  <si>
    <t>HTL-WD-02 shelf with 18mm MR MDF in veneer finish. Size 285x1958mm. Excluding HTL-ME-04 frames.</t>
  </si>
  <si>
    <t>27/E</t>
  </si>
  <si>
    <t xml:space="preserve">Vanity base metal unit with 20mm SS tube in HTL-ME-04 finish. Size 2000x328x600mm </t>
  </si>
  <si>
    <t xml:space="preserve">Backing frame &amp; Shelves </t>
  </si>
  <si>
    <t>E11-K158-SK-SR-411</t>
  </si>
  <si>
    <t>Supply &amp; installation GF Lift lobby mirror panel</t>
  </si>
  <si>
    <t>28/A</t>
  </si>
  <si>
    <t xml:space="preserve">Supply &amp; installation 6mm (HTL-GL-01) mirror with 12mm ply backing &amp; require timber supports. </t>
  </si>
  <si>
    <t xml:space="preserve">Item </t>
  </si>
  <si>
    <t xml:space="preserve">Supply &amp; installation of FHC doors </t>
  </si>
  <si>
    <t>29/A</t>
  </si>
  <si>
    <t>FHC type-15 with 18mm FR MDF excluding wall covering HTL-WC-20 finish. Size 800x1600mm</t>
  </si>
  <si>
    <t>29/B</t>
  </si>
  <si>
    <t>FHC type-04 with 18mm FR MDF shutter in HTL-WD-20 finish. Size 800x1600mm</t>
  </si>
  <si>
    <t>E11-K158-SK-mv-415</t>
  </si>
  <si>
    <t>Supply &amp; installation of Shelves in the Janitor room with 18mm MR MDF in veneer finish with hidden metal sleeves(GI). Size 1280x350x60mm</t>
  </si>
  <si>
    <t>30/A</t>
  </si>
  <si>
    <t>Level 10</t>
  </si>
  <si>
    <t>30/B</t>
  </si>
  <si>
    <t>Level 16</t>
  </si>
  <si>
    <t>30/C</t>
  </si>
  <si>
    <t>Level 22</t>
  </si>
  <si>
    <t>30/D</t>
  </si>
  <si>
    <t>Level 25</t>
  </si>
  <si>
    <t>Shelves in the Janitor room at Hotel Level 10, 16, 22 &amp; 25</t>
  </si>
  <si>
    <t xml:space="preserve">Supply &amp; installation of Pantry cabinet </t>
  </si>
  <si>
    <t>31/A</t>
  </si>
  <si>
    <t xml:space="preserve">Pantry base cabinet with 18mm white MF MDF (MR) with 20mm stone top including 40mm Fascia &amp; 100mm high metal legs. Excluding sinks, taps &amp; all other sanitary fittings. Size (1590+580)x600x900mm </t>
  </si>
  <si>
    <t xml:space="preserve">No </t>
  </si>
  <si>
    <t>31/B</t>
  </si>
  <si>
    <t>Overhead cabinet with 18mm white MF MDF (MR). Size 2190x450x900mm</t>
  </si>
  <si>
    <t>Secret Garden</t>
  </si>
  <si>
    <t>32</t>
  </si>
  <si>
    <t>Small Room</t>
  </si>
  <si>
    <t>Joinery</t>
  </si>
  <si>
    <t>32/A</t>
  </si>
  <si>
    <t>Upper Wall Cabinet - Size 1610x400x1100mm (EXCLUDING LIGHTS). Dwg OMN-HTL-TB-205</t>
  </si>
  <si>
    <t>32/B</t>
  </si>
  <si>
    <t>Base Cabinet - Size 1610x600x900mm (EXCLUDING STONE). Dwg OMN-HTL-TB-205</t>
  </si>
  <si>
    <t>Large Room</t>
  </si>
  <si>
    <t>Wall</t>
  </si>
  <si>
    <t>32/C</t>
  </si>
  <si>
    <t>Wall Trim - Drawing TB-300 - Detail-02</t>
  </si>
  <si>
    <t>32/D</t>
  </si>
  <si>
    <t>Timber and Mirror Back Wall Finish. Dwg OMN-HTL-TB-203</t>
  </si>
  <si>
    <t>Back Bar</t>
  </si>
  <si>
    <t>32/E</t>
  </si>
  <si>
    <t>Back Bar - Size 6030x600x900mm h (EXCLUDING STONE &amp; LIGHTS). Dwg OMN-HTL-TB-203 &amp; 304</t>
  </si>
  <si>
    <t>32/F</t>
  </si>
  <si>
    <t>Back Bar Bottles Display - Size 6030x600x900mm h (EXCLUDING STONE &amp; LIGHTS). Dwg OMN-HTL-TB-203 &amp; 304</t>
  </si>
  <si>
    <t>Front Bar</t>
  </si>
  <si>
    <t>32/G</t>
  </si>
  <si>
    <t>Front Bar - Size 6030x730x900mm h (EXCLUDING STONE). Dwg OMN-HTL-TB-200, 204 &amp; 205</t>
  </si>
  <si>
    <t>32/H</t>
  </si>
  <si>
    <t>Folding doors - Size 6030x1615mm (EXCLUDING POWDER COATING METAL TRELLIS). Dwg OMN-HTL-TB-200</t>
  </si>
  <si>
    <t>Set</t>
  </si>
  <si>
    <t>Doors</t>
  </si>
  <si>
    <t>32/I</t>
  </si>
  <si>
    <t>Entry Door - Size 900x2580x310mm (EXCLUDING IRONMONGERY &amp; METAL TRELLIS). Dwg OMN-HTL-TB-301</t>
  </si>
  <si>
    <t>32/J</t>
  </si>
  <si>
    <t>Arch - Size 900x2160x250mm. Dwg OMN-HTL-TB-301</t>
  </si>
  <si>
    <t>32/K</t>
  </si>
  <si>
    <t>Back Door - Size 900x2160x250mm (EXCLUDING IRONMONGERY). Dwg OMN-HTL-TB-301</t>
  </si>
  <si>
    <t>EXTERNAL</t>
  </si>
  <si>
    <t>32/L</t>
  </si>
  <si>
    <t>25mm Painted wood panels. Dwg OMN-HTL-TB-202</t>
  </si>
  <si>
    <t>32/M</t>
  </si>
  <si>
    <t>Timber Trims 50mm. Dwg OMN-HTL-TB-202</t>
  </si>
  <si>
    <t>lm</t>
  </si>
  <si>
    <t>32/N</t>
  </si>
  <si>
    <t>Timber Trim  150mm. Dwg OMN-HTL-TB-202</t>
  </si>
  <si>
    <t>32/O</t>
  </si>
  <si>
    <t>Painted Ply &amp; Timber Trim Column Panel 455x3600mm</t>
  </si>
  <si>
    <t>32/P</t>
  </si>
  <si>
    <t>Mirror - Size 900x2500mm Shape. Dwg OMN-HTL-TB-200</t>
  </si>
  <si>
    <t>32/Q</t>
  </si>
  <si>
    <t>Ply Framing Rate</t>
  </si>
  <si>
    <t>Rate only</t>
  </si>
  <si>
    <t>E11-K158-KD-mv-464</t>
  </si>
  <si>
    <t>33/A</t>
  </si>
  <si>
    <t>Supply &amp; installation of Gym cabinet with 18mm MDF in the ash olive finish including 6mm clear mirror, open shelving, drawers, and bins with flap doors. Size 2065x780x2560mm</t>
  </si>
  <si>
    <t xml:space="preserve">Gym Cabinet </t>
  </si>
  <si>
    <t>Supply &amp; installation of MFD louver shutter</t>
  </si>
  <si>
    <t xml:space="preserve">Supply &amp; installation of MDF louvers in wallpaper finish including necessary fittings. Size 770x720mm. Excluding wallpaper finish &amp; edge trim. </t>
  </si>
  <si>
    <t>34/A</t>
  </si>
  <si>
    <t xml:space="preserve">Level 7 to 11 </t>
  </si>
  <si>
    <t>34/B</t>
  </si>
  <si>
    <t>Level 12 to 16</t>
  </si>
  <si>
    <t>34/C</t>
  </si>
  <si>
    <t>Level 19 to 23</t>
  </si>
  <si>
    <t>34/D</t>
  </si>
  <si>
    <t>Level 24 to 27</t>
  </si>
  <si>
    <t>201A22002 - DORCHESTER HOTEL &amp; RESIDENCES (COMPLETION WORKS)</t>
  </si>
  <si>
    <t>Sl No</t>
  </si>
  <si>
    <t>VO. NO</t>
  </si>
  <si>
    <t>Date Issued</t>
  </si>
  <si>
    <t>E11 Ref No.</t>
  </si>
  <si>
    <t>KCE Ref No.</t>
  </si>
  <si>
    <t>Subcontractors</t>
  </si>
  <si>
    <t>Package</t>
  </si>
  <si>
    <t>Instruction Description</t>
  </si>
  <si>
    <t xml:space="preserve">Budget </t>
  </si>
  <si>
    <t>Submitted</t>
  </si>
  <si>
    <t xml:space="preserve">KJD submission </t>
  </si>
  <si>
    <t>Final Amount (AED)</t>
  </si>
  <si>
    <t>K158</t>
  </si>
  <si>
    <t>KJD</t>
  </si>
  <si>
    <t>Timber Works</t>
  </si>
  <si>
    <t>Timber Doors &amp; Misc Joinery Work - ballroom, Royal , Pres, Gym, Prayer, GF &amp;l1</t>
  </si>
  <si>
    <t>PS-23  R2</t>
  </si>
  <si>
    <t>Additional Joinery Works to vanity Counter Type 7A &amp; 15A (Scope Gap in ASI)</t>
  </si>
  <si>
    <t>C0-82</t>
  </si>
  <si>
    <t>Supply &amp; Installation of Daybed Booth</t>
  </si>
  <si>
    <t xml:space="preserve">CO-77 </t>
  </si>
  <si>
    <t>Fabrication, supply &amp; installation of removable mdf louver panels to Hotel Corridors L7-27 as per below OME confirmation and details on RFI</t>
  </si>
  <si>
    <t>GF Lift Mirror Panel &amp; FHC Doors</t>
  </si>
  <si>
    <t>PS-023 Rev 03</t>
  </si>
  <si>
    <t>Supply &amp; installation of Shelves in Janitor room at Hotel Level 10, 16, 22 &amp; 25
Supply &amp; installation of Pantry cabinet at Hotel Level 3</t>
  </si>
  <si>
    <t xml:space="preserve">Gym cabinet </t>
  </si>
  <si>
    <t>L23 - Lift lobbies - Washroom Mirror</t>
  </si>
  <si>
    <t>Total Amount [AED]</t>
  </si>
  <si>
    <t>Pocket Doors for Movable Partitions (KJD-201D22009-AC-QS-vf-QTN-22-197)</t>
  </si>
  <si>
    <t>L23 Pantry (KJD-201D22009-AC-QS-vf-QTN-22-182-R01)</t>
  </si>
  <si>
    <t>Temporary doors for electrical room (KJD-201D22009-AC-QS-vf-QTN-22-178)</t>
  </si>
  <si>
    <t>BOH Lobby Cupboards Level 7 to 27 (KJD-201D22009-AC-QS-vf-QTN-22-183 &amp; 184)</t>
  </si>
  <si>
    <t xml:space="preserve">Additional mirrors </t>
  </si>
  <si>
    <t>Additional timber door based on KCE-AX-RFI-GF-00150_B</t>
  </si>
  <si>
    <t>Door frame thickness change based on KJD-ID-RFI-GF-00003_00_R</t>
  </si>
  <si>
    <t>Ballroom Bar Bi fold door</t>
  </si>
  <si>
    <t xml:space="preserve">ELV box </t>
  </si>
  <si>
    <t>OME confirmation &amp; details on attached RFI ref KCE-ID-RFI-ML-000262 Rev1 &amp; sketch KCE-SK-024</t>
  </si>
  <si>
    <t>Saman Kulasooriya</t>
  </si>
  <si>
    <t>M12</t>
  </si>
  <si>
    <t>Supervision, Transportation, Drafting,</t>
  </si>
  <si>
    <t>Wall Panelling Works Supply and installation of Fluted Wall Panelling including all necessary framing, fitting, fixing, backing framing support, finishes, decoration, provision of the Niche etc and the like all in accordance with drawings and specifications.</t>
  </si>
  <si>
    <t>Fluted Wall Panelling to GF Lobby including the finishes type; HTL-PT-04, White Paint, color All white N° 2005 - Matte finish</t>
  </si>
  <si>
    <t>Supply and fixing of Timber Ceiling; Type cove light HTL-WD-02 incl. cornice; Smoked Oak, Smoked oak open grain - brushed - matte finish, 200mm wide</t>
  </si>
  <si>
    <t>Supply and fixing of Timber Ceiling; Type cove light HTL-WD-19 incl. cornice; US Walnut, Satin brushed, 250mm wide</t>
  </si>
  <si>
    <t>Supply and fixing of Timber Ceiling; Type cove light HTL-WD-02 incl. cornice, bulkhead; Smoked Oak, Smoked oak open grain - brushed - matte finish, 250mm wide</t>
  </si>
  <si>
    <t>Supply and fixing of Timber Ceiling; Type cove light HTL-WD-19 incl. cornice, bulkhead; US Walnut, Satin brushed, 300mm wide</t>
  </si>
  <si>
    <t>KJD VO</t>
  </si>
  <si>
    <t>1V</t>
  </si>
  <si>
    <t>9V</t>
  </si>
  <si>
    <t>10V</t>
  </si>
  <si>
    <t>2V</t>
  </si>
  <si>
    <t>3V</t>
  </si>
  <si>
    <t>4V</t>
  </si>
  <si>
    <t>5V</t>
  </si>
  <si>
    <t>6V</t>
  </si>
  <si>
    <t>7V</t>
  </si>
  <si>
    <t>8V</t>
  </si>
  <si>
    <t>11V</t>
  </si>
  <si>
    <t>12V</t>
  </si>
  <si>
    <t>KJD Ref - KJD-201D22009-AC-QS-vf-QTN-22-204</t>
  </si>
  <si>
    <t>KJD Ref -  KJD-201D22009-AC-QS-vf-QTN-22-174 dated 11/11/2022</t>
  </si>
  <si>
    <t>KJD Ref - KJD-201D22009-AC-QS-vf-QTN-23-001</t>
  </si>
  <si>
    <t>KJD Ref - KJD-201D22007-AC-QS-vf-QTN-22-163</t>
  </si>
  <si>
    <t>KJD Ref - KJD-201D22007-AC-QS-vf-QTN-22-161 &amp; KJD-201D22009-AC-QS-vf-QTN-22-167</t>
  </si>
  <si>
    <t xml:space="preserve">VO balance to submit </t>
  </si>
  <si>
    <t xml:space="preserve">Additional Qty of guest room ceiling </t>
  </si>
  <si>
    <t>VO Balance to submit, awaiting details from Mr. Sukesh</t>
  </si>
  <si>
    <t>Sliding Doors @ Level 23 GYM Disable Toilet</t>
  </si>
  <si>
    <r>
      <rPr>
        <sz val="11"/>
        <rFont val="Trebuchet MS"/>
        <family val="2"/>
      </rPr>
      <t>VO submitted</t>
    </r>
    <r>
      <rPr>
        <sz val="11"/>
        <color rgb="FFFF0000"/>
        <rFont val="Trebuchet MS"/>
        <family val="2"/>
      </rPr>
      <t>, awaiting confirmation from KCE</t>
    </r>
  </si>
  <si>
    <t xml:space="preserve">Additional Qty of ceiling, issues with tender Qty. H26a ssued to production </t>
  </si>
  <si>
    <t>VO Submitted, Ref KJD/201D22009/AC/QS-vf/QTN/23/006/R01</t>
  </si>
  <si>
    <t xml:space="preserve">First fix framing completed, activity % - framing-35%, Upholstery-45%(15%+30%) &amp; site installation 20%. </t>
  </si>
  <si>
    <t xml:space="preserve">Cutting list issued, machining under progress. </t>
  </si>
  <si>
    <t>Cutting list under progress</t>
  </si>
  <si>
    <r>
      <t xml:space="preserve">Variation balance to submit, Final Qty need to be agreed with KCE, </t>
    </r>
    <r>
      <rPr>
        <sz val="11"/>
        <rFont val="Trebuchet MS"/>
        <family val="2"/>
      </rPr>
      <t xml:space="preserve">H26a for 220 Rm issued to production </t>
    </r>
  </si>
  <si>
    <t>Completed</t>
  </si>
  <si>
    <t>Under Progress</t>
  </si>
  <si>
    <t>13V</t>
  </si>
  <si>
    <t>16V</t>
  </si>
  <si>
    <t>17V</t>
  </si>
  <si>
    <t>18V</t>
  </si>
  <si>
    <t>14V</t>
  </si>
  <si>
    <t>15V</t>
  </si>
  <si>
    <t>19V</t>
  </si>
  <si>
    <t>20V</t>
  </si>
  <si>
    <t>21V</t>
  </si>
  <si>
    <t xml:space="preserve">Payment Application </t>
  </si>
  <si>
    <t>Previous Work done %</t>
  </si>
  <si>
    <t xml:space="preserve">Previous Work done value </t>
  </si>
  <si>
    <t>Current Work done %</t>
  </si>
  <si>
    <t xml:space="preserve">Current Work done value </t>
  </si>
  <si>
    <t>Current Claim</t>
  </si>
  <si>
    <t>201D22009/04/Feb/2023</t>
  </si>
  <si>
    <t>We herewith invoicing you for the works carried out for the period ending February 2023 for the above-mentioned project as per the attached list.</t>
  </si>
  <si>
    <t xml:space="preserve">123.80 Rm fabric received </t>
  </si>
  <si>
    <t>Fabrication 80% (30%+20%+30%)+ Installation 20% (10%+10%)</t>
  </si>
  <si>
    <t>22V</t>
  </si>
  <si>
    <t xml:space="preserve">Lift car panels </t>
  </si>
  <si>
    <t>23V</t>
  </si>
  <si>
    <t xml:space="preserve">Additional fabrics order on behalf of KCE (Dedar) </t>
  </si>
  <si>
    <t>24V</t>
  </si>
  <si>
    <t xml:space="preserve">Additional 1No access door &amp; 2 Nos FHC door </t>
  </si>
  <si>
    <t>25V</t>
  </si>
  <si>
    <t xml:space="preserve">Ground floor ADA lift access door </t>
  </si>
  <si>
    <t>26V</t>
  </si>
  <si>
    <t xml:space="preserve">Additional FHC door in paint finish </t>
  </si>
  <si>
    <t>27V</t>
  </si>
  <si>
    <t xml:space="preserve">MDF wall cladding in PU paint finish backing for WC-21 @ BOH area  </t>
  </si>
  <si>
    <t>28V</t>
  </si>
  <si>
    <t xml:space="preserve">MR MDF backing for ME-06 metal cladding </t>
  </si>
  <si>
    <t>29V</t>
  </si>
  <si>
    <t xml:space="preserve">MDF backing for ballroom metal ceiling </t>
  </si>
  <si>
    <t>30V</t>
  </si>
  <si>
    <t>Access panels on stone walls with ball catchers (Male 7 Nos &amp; Female 6Nos)</t>
  </si>
  <si>
    <t>31V</t>
  </si>
  <si>
    <t>23.02.23</t>
  </si>
  <si>
    <t xml:space="preserve">Prefuction area additional timber panelling above door </t>
  </si>
  <si>
    <t>32V</t>
  </si>
  <si>
    <t xml:space="preserve">Ballroom, Meeting room 1 &amp; 2 additional doors &amp; windows </t>
  </si>
  <si>
    <t>KJD-201D22009-AC-QS-vf-QTN-23-031 Provisional proposal submitted, revised proposal under progress</t>
  </si>
  <si>
    <r>
      <t xml:space="preserve">KJD VO - KJD/201D22009/AC/QS-vf/QTN/23/026. </t>
    </r>
    <r>
      <rPr>
        <sz val="11"/>
        <color rgb="FFFF0000"/>
        <rFont val="Trebuchet MS"/>
        <family val="2"/>
      </rPr>
      <t>Awaiting confirmation from KCE</t>
    </r>
  </si>
  <si>
    <t>Awaiting confirmation from KCE</t>
  </si>
  <si>
    <t>Supply &amp; installation of beach wood skirting in white PU paint finish.</t>
  </si>
  <si>
    <r>
      <t xml:space="preserve">VO Submitted, Option-1 for 79,093.93 &amp; Option-2 for AED110,009.17, </t>
    </r>
    <r>
      <rPr>
        <sz val="11"/>
        <color rgb="FFFF0000"/>
        <rFont val="Trebuchet MS"/>
        <family val="2"/>
      </rPr>
      <t xml:space="preserve">Confirmation received from KCE for 5 Nos 90Mins doors </t>
    </r>
  </si>
  <si>
    <t>Budget of AED 555,754 for VE option, AED 642,334.12 for original Laminate option,  Awaiting confirmation from KCE</t>
  </si>
  <si>
    <t>VO Submitted (KJD-201D22009-AC-QS-vf-QTN-22-197)</t>
  </si>
  <si>
    <t>VO submitted (KJD-201D22009-AC-QS-vf-QTN-22-182-R01)</t>
  </si>
  <si>
    <t xml:space="preserve">Cumulative Work done </t>
  </si>
  <si>
    <t>Work Approval %</t>
  </si>
  <si>
    <t>Iterim</t>
  </si>
  <si>
    <t>UAE Six Hundred Sixty-three Thousand Two Hundred Eighteen and Fils (46/100) Only</t>
  </si>
  <si>
    <t>90% only until Variation approved by OME</t>
  </si>
  <si>
    <t>Advance</t>
  </si>
  <si>
    <t>UAE Two Hundred Sixty-eight Thousand Five Hundred Thirty-seven and Fils (54/100) Only</t>
  </si>
  <si>
    <t>Only 90% approved until submit the WIR</t>
  </si>
  <si>
    <t>Please submit the supportings (supplier's quotations or other)</t>
  </si>
  <si>
    <t>KCE Claim</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</si>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</sst>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409]d\-mmm\-yy;@"/>
    <numFmt numFmtId="166" formatCode="dd/mm/yy;@"/>
  </numFmts>
  <fonts count="32"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sz val="10"/>
      <name val="Arial"/>
      <family val="2"/>
    </font>
    <font>
      <b/>
      <sz val="24"/>
      <color theme="1"/>
      <name val="Calibri"/>
      <family val="2"/>
      <scheme val="minor"/>
    </font>
    <font>
      <b/>
      <sz val="12"/>
      <color theme="1"/>
      <name val="Calibri"/>
      <family val="2"/>
      <scheme val="minor"/>
    </font>
    <font>
      <b/>
      <sz val="12"/>
      <color rgb="FFFF0000"/>
      <name val="Calibri"/>
      <family val="2"/>
      <scheme val="minor"/>
    </font>
    <font>
      <b/>
      <u/>
      <sz val="12"/>
      <color theme="1"/>
      <name val="Calibri"/>
      <family val="2"/>
      <scheme val="minor"/>
    </font>
    <font>
      <b/>
      <sz val="12"/>
      <name val="Calibri"/>
      <family val="2"/>
      <scheme val="minor"/>
    </font>
    <font>
      <sz val="10"/>
      <name val="Trebuchet MS"/>
      <family val="2"/>
    </font>
    <font>
      <sz val="11"/>
      <color theme="1"/>
      <name val="Trebuchet MS"/>
      <family val="2"/>
    </font>
    <font>
      <b/>
      <sz val="12"/>
      <name val="Trebuchet MS"/>
      <family val="2"/>
    </font>
    <font>
      <sz val="12"/>
      <name val="Trebuchet MS"/>
      <family val="2"/>
    </font>
    <font>
      <b/>
      <sz val="11"/>
      <name val="Trebuchet MS"/>
      <family val="2"/>
    </font>
    <font>
      <u/>
      <sz val="11"/>
      <name val="Trebuchet MS"/>
      <family val="2"/>
    </font>
    <font>
      <sz val="11"/>
      <name val="Trebuchet MS"/>
      <family val="2"/>
    </font>
    <font>
      <sz val="10"/>
      <color indexed="8"/>
      <name val="Trebuchet MS"/>
      <family val="2"/>
    </font>
    <font>
      <b/>
      <sz val="9"/>
      <color indexed="8"/>
      <name val="Trebuchet MS"/>
      <family val="2"/>
    </font>
    <font>
      <sz val="9"/>
      <name val="Trebuchet MS"/>
      <family val="2"/>
    </font>
    <font>
      <i/>
      <sz val="11"/>
      <name val="Trebuchet MS"/>
      <family val="2"/>
    </font>
    <font>
      <b/>
      <u/>
      <sz val="12"/>
      <name val="Trebuchet MS"/>
      <family val="2"/>
    </font>
    <font>
      <b/>
      <i/>
      <u/>
      <sz val="11"/>
      <name val="Trebuchet MS"/>
      <family val="2"/>
    </font>
    <font>
      <b/>
      <i/>
      <sz val="11"/>
      <name val="Trebuchet MS"/>
      <family val="2"/>
    </font>
    <font>
      <b/>
      <u/>
      <sz val="11"/>
      <name val="Trebuchet MS"/>
      <family val="2"/>
    </font>
    <font>
      <sz val="11"/>
      <color rgb="FFFF0000"/>
      <name val="Calibri"/>
      <family val="2"/>
      <scheme val="minor"/>
    </font>
    <font>
      <b/>
      <u val="singleAccounting"/>
      <sz val="11"/>
      <color theme="1"/>
      <name val="Calibri"/>
      <family val="2"/>
      <scheme val="minor"/>
    </font>
    <font>
      <sz val="11"/>
      <color rgb="FF0000FF"/>
      <name val="Trebuchet MS"/>
      <family val="2"/>
    </font>
    <font>
      <sz val="11"/>
      <color rgb="FF000000"/>
      <name val="Trebuchet MS"/>
      <family val="2"/>
    </font>
    <font>
      <sz val="11"/>
      <color rgb="FFFF0000"/>
      <name val="Trebuchet MS"/>
      <family val="2"/>
    </font>
    <font>
      <b/>
      <sz val="11"/>
      <color rgb="FF000000"/>
      <name val="Trebuchet MS"/>
      <family val="2"/>
    </font>
    <font>
      <b/>
      <sz val="11"/>
      <color rgb="FFFF0000"/>
      <name val="Trebuchet MS"/>
      <family val="2"/>
    </font>
  </fonts>
  <fills count="1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0C0C0"/>
        <bgColor rgb="FF000000"/>
      </patternFill>
    </fill>
    <fill>
      <patternFill patternType="solid">
        <fgColor rgb="FFFFFFFF"/>
        <bgColor rgb="FF000000"/>
      </patternFill>
    </fill>
    <fill>
      <patternFill patternType="solid">
        <fgColor rgb="FFFF5050"/>
        <bgColor rgb="FF000000"/>
      </patternFill>
    </fill>
    <fill>
      <patternFill patternType="solid">
        <fgColor rgb="FFFF5050"/>
        <bgColor indexed="64"/>
      </patternFill>
    </fill>
    <fill>
      <patternFill patternType="solid">
        <fgColor rgb="FF66FF66"/>
        <bgColor indexed="64"/>
      </patternFill>
    </fill>
    <fill>
      <patternFill patternType="solid">
        <fgColor rgb="FF92D050"/>
        <bgColor indexed="64"/>
      </patternFill>
    </fill>
  </fills>
  <borders count="6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diagonal/>
    </border>
    <border>
      <left/>
      <right style="medium">
        <color auto="1"/>
      </right>
      <top/>
      <bottom/>
      <diagonal/>
    </border>
    <border>
      <left/>
      <right style="medium">
        <color auto="1"/>
      </right>
      <top/>
      <bottom style="medium">
        <color auto="1"/>
      </bottom>
      <diagonal/>
    </border>
    <border>
      <left/>
      <right/>
      <top style="thin">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auto="1"/>
      </left>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right/>
      <top style="hair">
        <color auto="1"/>
      </top>
      <bottom style="hair">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s>
  <cellStyleXfs count="19">
    <xf numFmtId="0" fontId="0"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4"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0" fontId="11" fillId="0" borderId="0"/>
    <xf numFmtId="0" fontId="4" fillId="0" borderId="0"/>
    <xf numFmtId="0" fontId="3" fillId="0" borderId="0"/>
    <xf numFmtId="0" fontId="3" fillId="0" borderId="0"/>
    <xf numFmtId="0" fontId="3" fillId="0" borderId="0"/>
    <xf numFmtId="43" fontId="3" fillId="0" borderId="0" applyFont="0" applyFill="0" applyBorder="0" applyAlignment="0" applyProtection="0"/>
    <xf numFmtId="0" fontId="11" fillId="0" borderId="0"/>
    <xf numFmtId="9" fontId="11" fillId="0" borderId="0" applyFont="0" applyFill="0" applyBorder="0" applyAlignment="0" applyProtection="0"/>
    <xf numFmtId="0" fontId="3" fillId="0" borderId="0"/>
    <xf numFmtId="43" fontId="3" fillId="0" borderId="0" applyFont="0" applyFill="0" applyBorder="0" applyAlignment="0" applyProtection="0"/>
  </cellStyleXfs>
  <cellXfs count="594">
    <xf numFmtId="0" fontId="0" fillId="0" borderId="0" xfId="0"/>
    <xf numFmtId="0" fontId="0" fillId="0" borderId="0" xfId="0" applyAlignment="1">
      <alignment vertical="top" wrapText="1"/>
    </xf>
    <xf numFmtId="0" fontId="2" fillId="0" borderId="0" xfId="0" applyFont="1" applyAlignment="1">
      <alignment horizontal="center" vertical="center"/>
    </xf>
    <xf numFmtId="0" fontId="1" fillId="0" borderId="0" xfId="0" applyFont="1" applyAlignment="1">
      <alignment vertical="top" wrapText="1"/>
    </xf>
    <xf numFmtId="49" fontId="2" fillId="0" borderId="0" xfId="0" applyNumberFormat="1" applyFont="1" applyAlignment="1">
      <alignment horizontal="center" vertical="center"/>
    </xf>
    <xf numFmtId="0" fontId="6" fillId="0" borderId="1" xfId="4" applyFont="1" applyBorder="1" applyAlignment="1">
      <alignment vertical="center"/>
    </xf>
    <xf numFmtId="0" fontId="6" fillId="0" borderId="10" xfId="4" applyFont="1" applyBorder="1" applyAlignment="1">
      <alignment vertical="center"/>
    </xf>
    <xf numFmtId="0" fontId="6" fillId="0" borderId="2" xfId="4" applyFont="1" applyBorder="1" applyAlignment="1">
      <alignment vertical="center"/>
    </xf>
    <xf numFmtId="0" fontId="3" fillId="0" borderId="0" xfId="4" applyFont="1" applyAlignment="1">
      <alignment vertical="center"/>
    </xf>
    <xf numFmtId="0" fontId="6" fillId="0" borderId="5" xfId="4" applyFont="1" applyBorder="1" applyAlignment="1">
      <alignment vertical="center"/>
    </xf>
    <xf numFmtId="0" fontId="6" fillId="0" borderId="0" xfId="4" applyFont="1" applyAlignment="1">
      <alignment vertical="center"/>
    </xf>
    <xf numFmtId="0" fontId="6" fillId="0" borderId="11" xfId="4" applyFont="1" applyBorder="1" applyAlignment="1">
      <alignment vertical="center"/>
    </xf>
    <xf numFmtId="0" fontId="6" fillId="0" borderId="3" xfId="4" applyFont="1" applyBorder="1" applyAlignment="1">
      <alignment vertical="center"/>
    </xf>
    <xf numFmtId="0" fontId="6" fillId="0" borderId="4" xfId="4" applyFont="1" applyBorder="1" applyAlignment="1">
      <alignment vertical="center"/>
    </xf>
    <xf numFmtId="0" fontId="6" fillId="0" borderId="12" xfId="4" applyFont="1" applyBorder="1" applyAlignment="1">
      <alignment vertical="center"/>
    </xf>
    <xf numFmtId="0" fontId="6" fillId="0" borderId="10" xfId="4" quotePrefix="1" applyFont="1" applyBorder="1" applyAlignment="1">
      <alignment horizontal="center" vertical="center"/>
    </xf>
    <xf numFmtId="0" fontId="6" fillId="0" borderId="11" xfId="4" applyFont="1" applyBorder="1" applyAlignment="1">
      <alignment horizontal="center" vertical="center"/>
    </xf>
    <xf numFmtId="165" fontId="6" fillId="0" borderId="11" xfId="4" applyNumberFormat="1" applyFont="1" applyBorder="1" applyAlignment="1">
      <alignment horizontal="center" vertical="center"/>
    </xf>
    <xf numFmtId="0" fontId="6" fillId="0" borderId="0" xfId="4" applyFont="1" applyAlignment="1">
      <alignment horizontal="right" vertical="center"/>
    </xf>
    <xf numFmtId="43" fontId="6" fillId="0" borderId="0" xfId="5" applyFont="1" applyFill="1" applyBorder="1" applyAlignment="1">
      <alignment vertical="center"/>
    </xf>
    <xf numFmtId="43" fontId="6" fillId="0" borderId="0" xfId="5" applyFont="1" applyBorder="1" applyAlignment="1">
      <alignment vertical="center"/>
    </xf>
    <xf numFmtId="0" fontId="3" fillId="0" borderId="0" xfId="4" applyFont="1" applyAlignment="1">
      <alignment horizontal="right" vertical="center"/>
    </xf>
    <xf numFmtId="0" fontId="6" fillId="0" borderId="5" xfId="4" applyFont="1" applyBorder="1" applyAlignment="1">
      <alignment horizontal="left" vertical="center"/>
    </xf>
    <xf numFmtId="43" fontId="6" fillId="0" borderId="13" xfId="5" applyFont="1" applyBorder="1" applyAlignment="1">
      <alignment vertical="center"/>
    </xf>
    <xf numFmtId="165" fontId="7" fillId="0" borderId="11" xfId="4" applyNumberFormat="1" applyFont="1" applyBorder="1" applyAlignment="1">
      <alignment horizontal="center" vertical="center"/>
    </xf>
    <xf numFmtId="0" fontId="6" fillId="0" borderId="12" xfId="4" applyFont="1" applyBorder="1" applyAlignment="1">
      <alignment horizontal="center" vertical="center"/>
    </xf>
    <xf numFmtId="43" fontId="6" fillId="0" borderId="18" xfId="5" applyFont="1" applyBorder="1" applyAlignment="1">
      <alignment horizontal="center" vertical="center" wrapText="1"/>
    </xf>
    <xf numFmtId="0" fontId="8" fillId="0" borderId="0" xfId="4" applyFont="1" applyAlignment="1">
      <alignment vertical="center"/>
    </xf>
    <xf numFmtId="43" fontId="6" fillId="0" borderId="8" xfId="5" applyFont="1" applyBorder="1" applyAlignment="1">
      <alignment vertical="center"/>
    </xf>
    <xf numFmtId="43" fontId="6" fillId="0" borderId="20" xfId="5" applyFont="1" applyBorder="1" applyAlignment="1">
      <alignment vertical="center"/>
    </xf>
    <xf numFmtId="43" fontId="6" fillId="0" borderId="9" xfId="5" applyFont="1" applyBorder="1" applyAlignment="1">
      <alignment vertical="center"/>
    </xf>
    <xf numFmtId="0" fontId="6" fillId="0" borderId="5" xfId="4" applyFont="1" applyBorder="1" applyAlignment="1">
      <alignment horizontal="center" vertical="center"/>
    </xf>
    <xf numFmtId="10" fontId="6" fillId="0" borderId="0" xfId="6" applyNumberFormat="1" applyFont="1" applyBorder="1" applyAlignment="1">
      <alignment vertical="center"/>
    </xf>
    <xf numFmtId="43" fontId="6" fillId="0" borderId="8" xfId="5" applyFont="1" applyBorder="1" applyAlignment="1">
      <alignment horizontal="right" vertical="center"/>
    </xf>
    <xf numFmtId="0" fontId="6" fillId="0" borderId="21" xfId="4" applyFont="1" applyBorder="1" applyAlignment="1">
      <alignment horizontal="center" vertical="center"/>
    </xf>
    <xf numFmtId="0" fontId="6" fillId="0" borderId="22" xfId="4" applyFont="1" applyBorder="1" applyAlignment="1">
      <alignment vertical="center"/>
    </xf>
    <xf numFmtId="43" fontId="6" fillId="0" borderId="23" xfId="5" applyFont="1" applyBorder="1" applyAlignment="1">
      <alignment vertical="center"/>
    </xf>
    <xf numFmtId="43" fontId="6" fillId="0" borderId="24" xfId="5" applyFont="1" applyBorder="1" applyAlignment="1">
      <alignment vertical="center"/>
    </xf>
    <xf numFmtId="43" fontId="6" fillId="0" borderId="25" xfId="5" applyFont="1" applyBorder="1" applyAlignment="1">
      <alignment vertical="center"/>
    </xf>
    <xf numFmtId="9" fontId="9" fillId="0" borderId="0" xfId="4" applyNumberFormat="1" applyFont="1" applyAlignment="1">
      <alignment horizontal="center" vertical="center"/>
    </xf>
    <xf numFmtId="9" fontId="9" fillId="0" borderId="26" xfId="4" applyNumberFormat="1" applyFont="1" applyBorder="1" applyAlignment="1">
      <alignment horizontal="center" vertical="center"/>
    </xf>
    <xf numFmtId="43" fontId="6" fillId="0" borderId="27" xfId="5" applyFont="1" applyBorder="1" applyAlignment="1">
      <alignment vertical="center"/>
    </xf>
    <xf numFmtId="0" fontId="6" fillId="0" borderId="36" xfId="4" applyFont="1" applyBorder="1" applyAlignment="1">
      <alignment horizontal="center" vertical="center"/>
    </xf>
    <xf numFmtId="49" fontId="0" fillId="0" borderId="0" xfId="0" applyNumberFormat="1" applyAlignment="1">
      <alignment horizontal="center" vertical="top"/>
    </xf>
    <xf numFmtId="43" fontId="6" fillId="0" borderId="50" xfId="5" applyFont="1" applyBorder="1" applyAlignment="1">
      <alignment vertical="center"/>
    </xf>
    <xf numFmtId="43" fontId="6" fillId="0" borderId="17" xfId="5" applyFont="1" applyBorder="1" applyAlignment="1">
      <alignment horizontal="center" vertical="center" wrapText="1"/>
    </xf>
    <xf numFmtId="43" fontId="6" fillId="0" borderId="19" xfId="5" applyFont="1" applyBorder="1" applyAlignment="1">
      <alignment horizontal="center" vertical="center" wrapText="1"/>
    </xf>
    <xf numFmtId="0" fontId="6" fillId="0" borderId="17" xfId="4" applyFont="1" applyBorder="1" applyAlignment="1">
      <alignment horizontal="center" vertical="center" wrapText="1"/>
    </xf>
    <xf numFmtId="9" fontId="6" fillId="0" borderId="0" xfId="2" applyFont="1" applyBorder="1" applyAlignment="1">
      <alignment horizontal="center" vertical="center"/>
    </xf>
    <xf numFmtId="49" fontId="2" fillId="0" borderId="42" xfId="0" applyNumberFormat="1" applyFont="1" applyBorder="1" applyAlignment="1">
      <alignment horizontal="center" vertical="center" wrapText="1"/>
    </xf>
    <xf numFmtId="0" fontId="2" fillId="0" borderId="42" xfId="0" applyFont="1" applyBorder="1" applyAlignment="1">
      <alignment horizontal="center" vertical="center" wrapText="1"/>
    </xf>
    <xf numFmtId="0" fontId="2" fillId="0" borderId="0" xfId="0" applyFont="1" applyAlignment="1">
      <alignment horizontal="center" vertical="center" wrapText="1"/>
    </xf>
    <xf numFmtId="0" fontId="11" fillId="0" borderId="0" xfId="0" applyFont="1"/>
    <xf numFmtId="0" fontId="13" fillId="0" borderId="0" xfId="0" applyFont="1" applyAlignment="1">
      <alignment vertical="center"/>
    </xf>
    <xf numFmtId="0" fontId="14" fillId="0" borderId="42" xfId="0" applyFont="1" applyBorder="1" applyAlignment="1">
      <alignment horizontal="center" vertical="center"/>
    </xf>
    <xf numFmtId="0" fontId="14" fillId="0" borderId="1" xfId="0" applyFont="1" applyBorder="1" applyAlignment="1">
      <alignment horizontal="center" vertical="center"/>
    </xf>
    <xf numFmtId="0" fontId="15" fillId="0" borderId="47" xfId="0" applyFont="1" applyBorder="1" applyAlignment="1">
      <alignment horizontal="left" vertical="center" wrapText="1"/>
    </xf>
    <xf numFmtId="43" fontId="11" fillId="0" borderId="0" xfId="7" applyFont="1" applyAlignment="1">
      <alignment vertical="center"/>
    </xf>
    <xf numFmtId="164" fontId="10" fillId="0" borderId="48" xfId="5" applyNumberFormat="1" applyFont="1" applyBorder="1" applyAlignment="1">
      <alignment vertical="center"/>
    </xf>
    <xf numFmtId="43" fontId="11" fillId="0" borderId="0" xfId="0" applyNumberFormat="1" applyFont="1" applyAlignment="1">
      <alignment vertical="center"/>
    </xf>
    <xf numFmtId="0" fontId="14" fillId="0" borderId="3" xfId="0" applyFont="1" applyBorder="1" applyAlignment="1">
      <alignment horizontal="center" vertical="center"/>
    </xf>
    <xf numFmtId="0" fontId="18" fillId="0" borderId="3" xfId="0" applyFont="1" applyBorder="1" applyAlignment="1">
      <alignment vertical="center"/>
    </xf>
    <xf numFmtId="0" fontId="18" fillId="0" borderId="4" xfId="0" applyFont="1" applyBorder="1" applyAlignment="1">
      <alignment vertical="center"/>
    </xf>
    <xf numFmtId="0" fontId="19" fillId="0" borderId="12" xfId="0" applyFont="1" applyBorder="1" applyAlignment="1">
      <alignment vertical="center"/>
    </xf>
    <xf numFmtId="39" fontId="14" fillId="0" borderId="49" xfId="5" applyNumberFormat="1" applyFont="1" applyBorder="1" applyAlignment="1">
      <alignment vertical="center"/>
    </xf>
    <xf numFmtId="39" fontId="11" fillId="0" borderId="0" xfId="0" applyNumberFormat="1" applyFont="1" applyAlignment="1">
      <alignment vertical="center"/>
    </xf>
    <xf numFmtId="0" fontId="12" fillId="0" borderId="0" xfId="0" applyFont="1" applyAlignment="1">
      <alignment vertical="center"/>
    </xf>
    <xf numFmtId="0" fontId="12" fillId="0" borderId="0" xfId="0" applyFont="1" applyAlignment="1">
      <alignment horizontal="center" vertical="center"/>
    </xf>
    <xf numFmtId="0" fontId="21" fillId="0" borderId="0" xfId="0" applyFont="1" applyAlignment="1">
      <alignment vertical="center"/>
    </xf>
    <xf numFmtId="0" fontId="16" fillId="0" borderId="0" xfId="0" applyFont="1" applyAlignment="1">
      <alignment vertical="center"/>
    </xf>
    <xf numFmtId="0" fontId="14" fillId="0" borderId="0" xfId="0" applyFont="1" applyAlignment="1">
      <alignment horizontal="right" wrapText="1"/>
    </xf>
    <xf numFmtId="0" fontId="16" fillId="0" borderId="0" xfId="0" applyFont="1" applyAlignment="1">
      <alignment horizontal="right" wrapText="1"/>
    </xf>
    <xf numFmtId="0" fontId="14" fillId="0" borderId="0" xfId="0" applyFont="1" applyAlignment="1">
      <alignment horizontal="left" vertical="center"/>
    </xf>
    <xf numFmtId="0" fontId="14" fillId="0" borderId="0" xfId="0" applyFont="1" applyAlignment="1">
      <alignment horizontal="centerContinuous" vertical="center"/>
    </xf>
    <xf numFmtId="0" fontId="14" fillId="0" borderId="39" xfId="0" applyFont="1" applyBorder="1" applyAlignment="1">
      <alignment horizontal="left" vertical="center"/>
    </xf>
    <xf numFmtId="0" fontId="16" fillId="0" borderId="40" xfId="0" applyFont="1" applyBorder="1" applyAlignment="1">
      <alignment horizontal="left" vertical="center"/>
    </xf>
    <xf numFmtId="0" fontId="14" fillId="0" borderId="41" xfId="0" applyFont="1" applyBorder="1" applyAlignment="1">
      <alignment horizontal="left" vertical="center"/>
    </xf>
    <xf numFmtId="0" fontId="16" fillId="0" borderId="0" xfId="0" applyFont="1" applyAlignment="1">
      <alignment horizontal="left" vertical="center"/>
    </xf>
    <xf numFmtId="0" fontId="22" fillId="0" borderId="0" xfId="0" applyFont="1" applyAlignment="1">
      <alignment vertical="center"/>
    </xf>
    <xf numFmtId="0" fontId="15" fillId="0" borderId="0" xfId="0" applyFont="1" applyAlignment="1">
      <alignment vertical="center"/>
    </xf>
    <xf numFmtId="0" fontId="14" fillId="0" borderId="43" xfId="0" applyFont="1" applyBorder="1" applyAlignment="1">
      <alignment vertical="center"/>
    </xf>
    <xf numFmtId="0" fontId="14" fillId="0" borderId="46" xfId="0" applyFont="1" applyBorder="1" applyAlignment="1">
      <alignment horizontal="center" vertical="center"/>
    </xf>
    <xf numFmtId="0" fontId="14" fillId="0" borderId="43" xfId="0" applyFont="1" applyBorder="1" applyAlignment="1">
      <alignment horizontal="center" vertical="center"/>
    </xf>
    <xf numFmtId="0" fontId="16" fillId="0" borderId="49" xfId="0" applyFont="1" applyBorder="1" applyAlignment="1">
      <alignment vertical="center"/>
    </xf>
    <xf numFmtId="39" fontId="14" fillId="0" borderId="49" xfId="0" applyNumberFormat="1" applyFont="1" applyBorder="1" applyAlignment="1">
      <alignment vertical="center"/>
    </xf>
    <xf numFmtId="0" fontId="23" fillId="0" borderId="0" xfId="0" applyFont="1" applyAlignment="1">
      <alignment vertical="center"/>
    </xf>
    <xf numFmtId="0" fontId="14" fillId="0" borderId="0" xfId="0" applyFont="1" applyAlignment="1">
      <alignment vertical="center"/>
    </xf>
    <xf numFmtId="0" fontId="24" fillId="0" borderId="0" xfId="0" applyFont="1" applyAlignment="1">
      <alignment vertical="center"/>
    </xf>
    <xf numFmtId="49" fontId="0" fillId="0" borderId="0" xfId="0" applyNumberFormat="1" applyAlignment="1">
      <alignment vertical="top"/>
    </xf>
    <xf numFmtId="0" fontId="1" fillId="6" borderId="0" xfId="0" applyFont="1" applyFill="1" applyAlignment="1">
      <alignment vertical="top" wrapText="1"/>
    </xf>
    <xf numFmtId="0" fontId="1" fillId="5" borderId="0" xfId="0" applyFont="1" applyFill="1" applyAlignment="1">
      <alignment vertical="top" wrapText="1"/>
    </xf>
    <xf numFmtId="0" fontId="0" fillId="5" borderId="0" xfId="0" applyFill="1"/>
    <xf numFmtId="0" fontId="0" fillId="4" borderId="0" xfId="0" applyFill="1"/>
    <xf numFmtId="9" fontId="2" fillId="0" borderId="0" xfId="2" applyFont="1" applyAlignment="1">
      <alignment horizontal="center" vertical="center"/>
    </xf>
    <xf numFmtId="9" fontId="2" fillId="0" borderId="42" xfId="2" applyFont="1" applyBorder="1" applyAlignment="1">
      <alignment horizontal="center" vertical="center" wrapText="1"/>
    </xf>
    <xf numFmtId="43" fontId="2" fillId="0" borderId="0" xfId="1" applyFont="1" applyAlignment="1">
      <alignment horizontal="center" vertical="center"/>
    </xf>
    <xf numFmtId="43" fontId="2" fillId="0" borderId="42" xfId="1" applyFont="1" applyBorder="1" applyAlignment="1">
      <alignment horizontal="center" vertical="center" wrapText="1"/>
    </xf>
    <xf numFmtId="4" fontId="1" fillId="5" borderId="52" xfId="0" applyNumberFormat="1" applyFont="1" applyFill="1" applyBorder="1" applyAlignment="1">
      <alignment vertical="top" wrapText="1"/>
    </xf>
    <xf numFmtId="49" fontId="0" fillId="0" borderId="53" xfId="0" applyNumberFormat="1" applyBorder="1" applyAlignment="1">
      <alignment vertical="top"/>
    </xf>
    <xf numFmtId="0" fontId="0" fillId="0" borderId="53" xfId="0" applyBorder="1" applyAlignment="1">
      <alignment vertical="top" wrapText="1"/>
    </xf>
    <xf numFmtId="49" fontId="1" fillId="6" borderId="53" xfId="0" applyNumberFormat="1" applyFont="1" applyFill="1" applyBorder="1" applyAlignment="1">
      <alignment vertical="top" wrapText="1"/>
    </xf>
    <xf numFmtId="0" fontId="1" fillId="6" borderId="53" xfId="0" applyFont="1" applyFill="1" applyBorder="1" applyAlignment="1">
      <alignment vertical="top" wrapText="1"/>
    </xf>
    <xf numFmtId="4" fontId="1" fillId="6" borderId="53" xfId="0" applyNumberFormat="1" applyFont="1" applyFill="1" applyBorder="1" applyAlignment="1">
      <alignment vertical="top" wrapText="1"/>
    </xf>
    <xf numFmtId="4" fontId="0" fillId="0" borderId="53" xfId="0" applyNumberFormat="1" applyBorder="1" applyAlignment="1">
      <alignment vertical="top"/>
    </xf>
    <xf numFmtId="49" fontId="1" fillId="0" borderId="53" xfId="0" applyNumberFormat="1" applyFont="1" applyBorder="1" applyAlignment="1">
      <alignment vertical="top" wrapText="1"/>
    </xf>
    <xf numFmtId="0" fontId="1" fillId="0" borderId="53" xfId="0" applyFont="1" applyBorder="1" applyAlignment="1">
      <alignment vertical="top" wrapText="1"/>
    </xf>
    <xf numFmtId="49" fontId="0" fillId="5" borderId="53" xfId="0" applyNumberFormat="1" applyFill="1" applyBorder="1" applyAlignment="1">
      <alignment vertical="top"/>
    </xf>
    <xf numFmtId="0" fontId="0" fillId="5" borderId="53" xfId="0" applyFill="1" applyBorder="1" applyAlignment="1">
      <alignment vertical="top" wrapText="1"/>
    </xf>
    <xf numFmtId="49" fontId="1" fillId="5" borderId="53" xfId="0" applyNumberFormat="1" applyFont="1" applyFill="1" applyBorder="1" applyAlignment="1">
      <alignment vertical="top" wrapText="1"/>
    </xf>
    <xf numFmtId="0" fontId="1" fillId="5" borderId="53" xfId="0" applyFont="1" applyFill="1" applyBorder="1" applyAlignment="1">
      <alignment vertical="top" wrapText="1"/>
    </xf>
    <xf numFmtId="4" fontId="1" fillId="5" borderId="53" xfId="0" applyNumberFormat="1" applyFont="1" applyFill="1" applyBorder="1" applyAlignment="1">
      <alignment vertical="top" wrapText="1"/>
    </xf>
    <xf numFmtId="0" fontId="1" fillId="4" borderId="0" xfId="0" applyFont="1" applyFill="1" applyAlignment="1">
      <alignment vertical="top" wrapText="1"/>
    </xf>
    <xf numFmtId="49" fontId="1" fillId="4" borderId="53" xfId="0" applyNumberFormat="1" applyFont="1" applyFill="1" applyBorder="1" applyAlignment="1">
      <alignment vertical="top" wrapText="1"/>
    </xf>
    <xf numFmtId="0" fontId="1" fillId="4" borderId="53" xfId="0" applyFont="1" applyFill="1" applyBorder="1" applyAlignment="1">
      <alignment vertical="top" wrapText="1"/>
    </xf>
    <xf numFmtId="49" fontId="2" fillId="0" borderId="42" xfId="0" applyNumberFormat="1" applyFont="1" applyBorder="1" applyAlignment="1">
      <alignment horizontal="center" vertical="center"/>
    </xf>
    <xf numFmtId="0" fontId="2" fillId="0" borderId="42" xfId="0" applyFont="1" applyBorder="1" applyAlignment="1">
      <alignment horizontal="center" vertical="center"/>
    </xf>
    <xf numFmtId="49" fontId="1" fillId="5" borderId="55" xfId="0" applyNumberFormat="1" applyFont="1" applyFill="1" applyBorder="1" applyAlignment="1">
      <alignment vertical="top" wrapText="1"/>
    </xf>
    <xf numFmtId="0" fontId="1" fillId="5" borderId="55" xfId="0" applyFont="1" applyFill="1" applyBorder="1" applyAlignment="1">
      <alignment vertical="top" wrapText="1"/>
    </xf>
    <xf numFmtId="49" fontId="1" fillId="7" borderId="53" xfId="0" applyNumberFormat="1" applyFont="1" applyFill="1" applyBorder="1" applyAlignment="1">
      <alignment vertical="top" wrapText="1"/>
    </xf>
    <xf numFmtId="0" fontId="1" fillId="7" borderId="53" xfId="0" applyFont="1" applyFill="1" applyBorder="1" applyAlignment="1">
      <alignment vertical="top" wrapText="1"/>
    </xf>
    <xf numFmtId="49" fontId="0" fillId="7" borderId="54" xfId="0" applyNumberFormat="1" applyFill="1" applyBorder="1" applyAlignment="1">
      <alignment vertical="top"/>
    </xf>
    <xf numFmtId="0" fontId="1" fillId="7" borderId="54" xfId="0" applyFont="1" applyFill="1" applyBorder="1" applyAlignment="1">
      <alignment vertical="top" wrapText="1"/>
    </xf>
    <xf numFmtId="0" fontId="0" fillId="7" borderId="54" xfId="0" applyFill="1" applyBorder="1" applyAlignment="1">
      <alignment vertical="top" wrapText="1"/>
    </xf>
    <xf numFmtId="49" fontId="0" fillId="0" borderId="56" xfId="0" applyNumberFormat="1" applyBorder="1" applyAlignment="1">
      <alignment vertical="top"/>
    </xf>
    <xf numFmtId="0" fontId="0" fillId="0" borderId="56" xfId="0" applyBorder="1" applyAlignment="1">
      <alignment vertical="top" wrapText="1"/>
    </xf>
    <xf numFmtId="49" fontId="0" fillId="5" borderId="42" xfId="0" applyNumberFormat="1" applyFill="1" applyBorder="1" applyAlignment="1">
      <alignment vertical="top"/>
    </xf>
    <xf numFmtId="0" fontId="0" fillId="5" borderId="42" xfId="0" applyFill="1" applyBorder="1" applyAlignment="1">
      <alignment vertical="top" wrapText="1"/>
    </xf>
    <xf numFmtId="0" fontId="0" fillId="0" borderId="0" xfId="0" applyAlignment="1">
      <alignment horizontal="center" vertical="center"/>
    </xf>
    <xf numFmtId="49" fontId="0" fillId="0" borderId="0" xfId="0" applyNumberFormat="1" applyAlignment="1">
      <alignment horizontal="center" vertical="center"/>
    </xf>
    <xf numFmtId="43" fontId="0" fillId="0" borderId="0" xfId="1" applyFont="1" applyAlignment="1">
      <alignment horizontal="center" vertical="center"/>
    </xf>
    <xf numFmtId="9" fontId="0" fillId="0" borderId="0" xfId="2" applyFont="1" applyAlignment="1">
      <alignment horizontal="center" vertical="center"/>
    </xf>
    <xf numFmtId="0" fontId="0" fillId="0" borderId="53" xfId="0" applyBorder="1"/>
    <xf numFmtId="0" fontId="0" fillId="0" borderId="53" xfId="0" applyBorder="1" applyAlignment="1">
      <alignment vertical="top"/>
    </xf>
    <xf numFmtId="0" fontId="0" fillId="0" borderId="54" xfId="0" applyBorder="1"/>
    <xf numFmtId="0" fontId="0" fillId="0" borderId="0" xfId="0" applyAlignment="1">
      <alignment wrapText="1"/>
    </xf>
    <xf numFmtId="49" fontId="2" fillId="0" borderId="52" xfId="0" applyNumberFormat="1" applyFont="1" applyBorder="1" applyAlignment="1">
      <alignment horizontal="center" vertical="center" wrapText="1"/>
    </xf>
    <xf numFmtId="0" fontId="2" fillId="0" borderId="52" xfId="0" applyFont="1" applyBorder="1" applyAlignment="1">
      <alignment horizontal="center" vertical="center" wrapText="1"/>
    </xf>
    <xf numFmtId="9" fontId="2" fillId="0" borderId="52" xfId="2" applyFont="1" applyBorder="1" applyAlignment="1">
      <alignment horizontal="center" vertical="center" wrapText="1"/>
    </xf>
    <xf numFmtId="0" fontId="0" fillId="6" borderId="53" xfId="0" applyFill="1" applyBorder="1"/>
    <xf numFmtId="0" fontId="2" fillId="6" borderId="53" xfId="0" applyFont="1" applyFill="1" applyBorder="1"/>
    <xf numFmtId="0" fontId="2" fillId="0" borderId="53" xfId="0" applyFont="1" applyBorder="1"/>
    <xf numFmtId="49" fontId="2" fillId="0" borderId="52" xfId="0" applyNumberFormat="1" applyFont="1" applyBorder="1" applyAlignment="1">
      <alignment horizontal="center" vertical="center"/>
    </xf>
    <xf numFmtId="0" fontId="2" fillId="0" borderId="52" xfId="0" applyFont="1" applyBorder="1" applyAlignment="1">
      <alignment horizontal="center" vertical="center"/>
    </xf>
    <xf numFmtId="49" fontId="2" fillId="0" borderId="53" xfId="0" applyNumberFormat="1" applyFont="1" applyBorder="1" applyAlignment="1">
      <alignment horizontal="center" vertical="center"/>
    </xf>
    <xf numFmtId="0" fontId="2" fillId="0" borderId="53" xfId="0" applyFont="1" applyBorder="1" applyAlignment="1">
      <alignment horizontal="center" vertical="center"/>
    </xf>
    <xf numFmtId="0" fontId="2" fillId="0" borderId="53" xfId="0" applyFont="1" applyBorder="1" applyAlignment="1">
      <alignment horizontal="center" vertical="center" wrapText="1"/>
    </xf>
    <xf numFmtId="49" fontId="2" fillId="6" borderId="53" xfId="0" applyNumberFormat="1" applyFont="1" applyFill="1" applyBorder="1" applyAlignment="1">
      <alignment horizontal="center" vertical="center"/>
    </xf>
    <xf numFmtId="0" fontId="2" fillId="6" borderId="53" xfId="0" applyFont="1" applyFill="1" applyBorder="1" applyAlignment="1">
      <alignment horizontal="center" vertical="center"/>
    </xf>
    <xf numFmtId="0" fontId="2" fillId="6" borderId="53" xfId="0" applyFont="1" applyFill="1" applyBorder="1" applyAlignment="1">
      <alignment horizontal="center" vertical="center" wrapText="1"/>
    </xf>
    <xf numFmtId="49" fontId="2" fillId="0" borderId="53" xfId="0" applyNumberFormat="1" applyFont="1" applyBorder="1" applyAlignment="1">
      <alignment horizontal="center" vertical="center" wrapText="1"/>
    </xf>
    <xf numFmtId="0" fontId="1" fillId="5" borderId="42" xfId="0" applyFont="1" applyFill="1" applyBorder="1" applyAlignment="1">
      <alignment horizontal="right" vertical="top" wrapText="1"/>
    </xf>
    <xf numFmtId="0" fontId="0" fillId="5" borderId="42" xfId="0" applyFill="1" applyBorder="1"/>
    <xf numFmtId="4" fontId="2" fillId="5" borderId="42" xfId="0" applyNumberFormat="1" applyFont="1" applyFill="1" applyBorder="1"/>
    <xf numFmtId="0" fontId="1" fillId="5" borderId="42" xfId="0" applyFont="1" applyFill="1" applyBorder="1" applyAlignment="1">
      <alignment horizontal="right"/>
    </xf>
    <xf numFmtId="49" fontId="0" fillId="5" borderId="42" xfId="0" applyNumberFormat="1" applyFill="1" applyBorder="1" applyAlignment="1">
      <alignment horizontal="center" vertical="top"/>
    </xf>
    <xf numFmtId="0" fontId="0" fillId="5" borderId="42" xfId="0" applyFill="1" applyBorder="1" applyAlignment="1">
      <alignment horizontal="center" vertical="center"/>
    </xf>
    <xf numFmtId="49" fontId="0" fillId="5" borderId="42" xfId="0" applyNumberFormat="1" applyFill="1" applyBorder="1" applyAlignment="1">
      <alignment horizontal="center" vertical="center"/>
    </xf>
    <xf numFmtId="4" fontId="2" fillId="5" borderId="42" xfId="0" applyNumberFormat="1" applyFont="1" applyFill="1" applyBorder="1" applyAlignment="1">
      <alignment horizontal="center" vertical="center"/>
    </xf>
    <xf numFmtId="9" fontId="0" fillId="5" borderId="42" xfId="2" applyFont="1" applyFill="1" applyBorder="1" applyAlignment="1">
      <alignment horizontal="center" vertical="center"/>
    </xf>
    <xf numFmtId="0" fontId="2" fillId="6" borderId="53" xfId="0" applyFont="1" applyFill="1" applyBorder="1" applyAlignment="1">
      <alignment horizontal="left" vertical="center"/>
    </xf>
    <xf numFmtId="0" fontId="0" fillId="0" borderId="52" xfId="0" applyBorder="1" applyAlignment="1">
      <alignment horizontal="center" vertical="center"/>
    </xf>
    <xf numFmtId="0" fontId="0" fillId="6" borderId="53" xfId="0" applyFill="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1" fillId="0" borderId="53" xfId="0" applyFont="1" applyBorder="1" applyAlignment="1">
      <alignment horizontal="center" vertical="center"/>
    </xf>
    <xf numFmtId="43" fontId="0" fillId="0" borderId="55" xfId="1" applyFont="1" applyBorder="1" applyAlignment="1">
      <alignment horizontal="center" vertical="center"/>
    </xf>
    <xf numFmtId="0" fontId="0" fillId="0" borderId="55" xfId="0" applyBorder="1" applyAlignment="1">
      <alignment horizontal="center" vertical="center"/>
    </xf>
    <xf numFmtId="43" fontId="0" fillId="6" borderId="53" xfId="1" applyFont="1" applyFill="1" applyBorder="1" applyAlignment="1">
      <alignment horizontal="center" vertical="center"/>
    </xf>
    <xf numFmtId="43" fontId="0" fillId="0" borderId="53" xfId="1" applyFont="1" applyFill="1" applyBorder="1" applyAlignment="1">
      <alignment horizontal="center" vertical="center"/>
    </xf>
    <xf numFmtId="43" fontId="0" fillId="0" borderId="54" xfId="1" applyFont="1" applyBorder="1" applyAlignment="1">
      <alignment horizontal="center" vertical="center"/>
    </xf>
    <xf numFmtId="0" fontId="1" fillId="6" borderId="53" xfId="0" applyFont="1" applyFill="1" applyBorder="1" applyAlignment="1">
      <alignment horizontal="center" vertical="center"/>
    </xf>
    <xf numFmtId="43" fontId="0" fillId="0" borderId="53" xfId="1" applyFont="1" applyBorder="1" applyAlignment="1">
      <alignment horizontal="center" vertical="center"/>
    </xf>
    <xf numFmtId="43" fontId="0" fillId="0" borderId="52" xfId="1" applyFont="1" applyBorder="1" applyAlignment="1">
      <alignment horizontal="center" vertical="center"/>
    </xf>
    <xf numFmtId="43" fontId="1" fillId="0" borderId="55" xfId="1" applyFont="1" applyBorder="1" applyAlignment="1">
      <alignment horizontal="center" vertical="center"/>
    </xf>
    <xf numFmtId="0" fontId="1" fillId="0" borderId="55" xfId="0" applyFont="1" applyBorder="1" applyAlignment="1">
      <alignment horizontal="center" vertical="center"/>
    </xf>
    <xf numFmtId="0" fontId="0" fillId="0" borderId="55" xfId="0" applyBorder="1" applyAlignment="1">
      <alignment horizontal="left" vertical="center" wrapText="1"/>
    </xf>
    <xf numFmtId="43" fontId="3" fillId="0" borderId="55" xfId="1" applyFont="1" applyBorder="1" applyAlignment="1">
      <alignment horizontal="center" vertical="center"/>
    </xf>
    <xf numFmtId="9" fontId="0" fillId="0" borderId="52" xfId="2" applyFont="1" applyBorder="1" applyAlignment="1">
      <alignment horizontal="center" vertical="center"/>
    </xf>
    <xf numFmtId="9" fontId="0" fillId="6" borderId="53" xfId="2" applyFont="1" applyFill="1" applyBorder="1" applyAlignment="1">
      <alignment horizontal="center" vertical="center"/>
    </xf>
    <xf numFmtId="9" fontId="0" fillId="0" borderId="53" xfId="2" applyFont="1" applyFill="1" applyBorder="1" applyAlignment="1">
      <alignment horizontal="center" vertical="center"/>
    </xf>
    <xf numFmtId="9" fontId="0" fillId="0" borderId="53" xfId="2" applyFont="1" applyBorder="1" applyAlignment="1">
      <alignment horizontal="center" vertical="center"/>
    </xf>
    <xf numFmtId="9" fontId="0" fillId="0" borderId="55" xfId="2" applyFont="1" applyBorder="1" applyAlignment="1">
      <alignment horizontal="center" vertical="center"/>
    </xf>
    <xf numFmtId="9" fontId="0" fillId="0" borderId="54" xfId="2" applyFont="1" applyBorder="1" applyAlignment="1">
      <alignment horizontal="center" vertical="center"/>
    </xf>
    <xf numFmtId="0" fontId="0" fillId="5" borderId="53" xfId="0" applyFill="1" applyBorder="1" applyAlignment="1">
      <alignment horizontal="center" vertical="center"/>
    </xf>
    <xf numFmtId="9" fontId="0" fillId="5" borderId="53" xfId="2" applyFont="1" applyFill="1" applyBorder="1" applyAlignment="1">
      <alignment horizontal="center" vertical="center"/>
    </xf>
    <xf numFmtId="43" fontId="0" fillId="5" borderId="53" xfId="1" applyFont="1" applyFill="1" applyBorder="1" applyAlignment="1">
      <alignment horizontal="center" vertical="center"/>
    </xf>
    <xf numFmtId="0" fontId="1" fillId="5" borderId="53" xfId="0" applyFont="1" applyFill="1" applyBorder="1" applyAlignment="1">
      <alignment horizontal="center" vertical="center"/>
    </xf>
    <xf numFmtId="43" fontId="2" fillId="5" borderId="53" xfId="1" applyFont="1" applyFill="1" applyBorder="1" applyAlignment="1">
      <alignment horizontal="center" vertical="center"/>
    </xf>
    <xf numFmtId="0" fontId="0" fillId="0" borderId="53" xfId="0" applyBorder="1" applyAlignment="1">
      <alignment wrapText="1"/>
    </xf>
    <xf numFmtId="43" fontId="2" fillId="0" borderId="42" xfId="1" applyFont="1" applyBorder="1" applyAlignment="1">
      <alignment horizontal="center" vertical="center"/>
    </xf>
    <xf numFmtId="43" fontId="26" fillId="5" borderId="53" xfId="1" applyFont="1" applyFill="1" applyBorder="1" applyAlignment="1">
      <alignment horizontal="center" vertical="center"/>
    </xf>
    <xf numFmtId="0" fontId="0" fillId="8" borderId="53" xfId="0" applyFill="1" applyBorder="1" applyAlignment="1">
      <alignment horizontal="center" vertical="center"/>
    </xf>
    <xf numFmtId="0" fontId="0" fillId="8" borderId="53" xfId="0" applyFill="1" applyBorder="1" applyAlignment="1">
      <alignment wrapText="1"/>
    </xf>
    <xf numFmtId="43" fontId="0" fillId="8" borderId="53" xfId="1" applyFont="1" applyFill="1" applyBorder="1" applyAlignment="1">
      <alignment horizontal="center" vertical="center"/>
    </xf>
    <xf numFmtId="9" fontId="0" fillId="8" borderId="53" xfId="2" applyFont="1" applyFill="1" applyBorder="1" applyAlignment="1">
      <alignment horizontal="center" vertical="center"/>
    </xf>
    <xf numFmtId="0" fontId="1" fillId="8" borderId="53" xfId="0" applyFont="1" applyFill="1" applyBorder="1" applyAlignment="1">
      <alignment horizontal="center" vertical="center"/>
    </xf>
    <xf numFmtId="0" fontId="1" fillId="8" borderId="53" xfId="0" applyFont="1" applyFill="1" applyBorder="1" applyAlignment="1">
      <alignment wrapText="1"/>
    </xf>
    <xf numFmtId="43" fontId="1" fillId="8" borderId="53" xfId="1" applyFont="1" applyFill="1" applyBorder="1" applyAlignment="1">
      <alignment horizontal="center" vertical="center"/>
    </xf>
    <xf numFmtId="43" fontId="1" fillId="0" borderId="53" xfId="1" applyFont="1" applyBorder="1" applyAlignment="1">
      <alignment horizontal="center" vertical="center"/>
    </xf>
    <xf numFmtId="0" fontId="1" fillId="4" borderId="53" xfId="0" applyFont="1" applyFill="1" applyBorder="1" applyAlignment="1">
      <alignment horizontal="center" vertical="center"/>
    </xf>
    <xf numFmtId="0" fontId="1" fillId="4" borderId="53" xfId="0" applyFont="1" applyFill="1" applyBorder="1" applyAlignment="1">
      <alignment wrapText="1"/>
    </xf>
    <xf numFmtId="43" fontId="0" fillId="4" borderId="53" xfId="1" applyFont="1" applyFill="1" applyBorder="1" applyAlignment="1">
      <alignment horizontal="center" vertical="center"/>
    </xf>
    <xf numFmtId="0" fontId="0" fillId="4" borderId="53" xfId="0" applyFill="1" applyBorder="1" applyAlignment="1">
      <alignment horizontal="center" vertical="center"/>
    </xf>
    <xf numFmtId="43" fontId="1" fillId="4" borderId="53" xfId="1" applyFont="1" applyFill="1" applyBorder="1" applyAlignment="1">
      <alignment horizontal="center" vertical="center"/>
    </xf>
    <xf numFmtId="9" fontId="0" fillId="4" borderId="53" xfId="2" applyFont="1" applyFill="1" applyBorder="1" applyAlignment="1">
      <alignment horizontal="center" vertical="center"/>
    </xf>
    <xf numFmtId="0" fontId="0" fillId="4" borderId="53" xfId="0" applyFill="1" applyBorder="1" applyAlignment="1">
      <alignment wrapText="1"/>
    </xf>
    <xf numFmtId="43" fontId="1" fillId="5" borderId="53" xfId="1" applyFont="1" applyFill="1" applyBorder="1" applyAlignment="1">
      <alignment horizontal="center" vertical="center"/>
    </xf>
    <xf numFmtId="43" fontId="26" fillId="4" borderId="53" xfId="1" applyFont="1" applyFill="1" applyBorder="1" applyAlignment="1">
      <alignment horizontal="center" vertical="center"/>
    </xf>
    <xf numFmtId="43" fontId="26" fillId="6" borderId="53" xfId="1" applyFont="1" applyFill="1" applyBorder="1" applyAlignment="1">
      <alignment horizontal="center" vertical="center"/>
    </xf>
    <xf numFmtId="0" fontId="2" fillId="6" borderId="53" xfId="0" applyFont="1" applyFill="1" applyBorder="1" applyAlignment="1">
      <alignment wrapText="1"/>
    </xf>
    <xf numFmtId="43" fontId="1" fillId="5" borderId="55" xfId="1" applyFont="1" applyFill="1" applyBorder="1" applyAlignment="1">
      <alignment horizontal="center" vertical="center"/>
    </xf>
    <xf numFmtId="43" fontId="0" fillId="0" borderId="55" xfId="1" applyFont="1" applyBorder="1" applyAlignment="1">
      <alignment horizontal="left" vertical="center" wrapText="1"/>
    </xf>
    <xf numFmtId="43" fontId="0" fillId="5" borderId="55" xfId="1" applyFont="1" applyFill="1" applyBorder="1" applyAlignment="1">
      <alignment horizontal="center" vertical="center"/>
    </xf>
    <xf numFmtId="43" fontId="16" fillId="0" borderId="0" xfId="1" applyFont="1" applyFill="1" applyBorder="1" applyAlignment="1">
      <alignment horizontal="center" vertical="center"/>
    </xf>
    <xf numFmtId="0" fontId="27" fillId="0" borderId="0" xfId="0" applyFont="1" applyAlignment="1">
      <alignment horizontal="center" vertical="center"/>
    </xf>
    <xf numFmtId="0" fontId="0" fillId="5" borderId="55" xfId="0" applyFill="1" applyBorder="1" applyAlignment="1">
      <alignment horizontal="center" vertical="center"/>
    </xf>
    <xf numFmtId="9" fontId="0" fillId="5" borderId="55" xfId="2" applyFont="1" applyFill="1" applyBorder="1" applyAlignment="1">
      <alignment horizontal="center" vertical="center"/>
    </xf>
    <xf numFmtId="0" fontId="1" fillId="5" borderId="53" xfId="0" applyFont="1" applyFill="1" applyBorder="1" applyAlignment="1">
      <alignment wrapText="1"/>
    </xf>
    <xf numFmtId="1" fontId="16" fillId="0" borderId="0" xfId="0" applyNumberFormat="1" applyFont="1" applyAlignment="1">
      <alignment horizontal="center" vertical="center"/>
    </xf>
    <xf numFmtId="0" fontId="0" fillId="5" borderId="0" xfId="0" applyFill="1" applyAlignment="1">
      <alignment vertical="center" wrapText="1"/>
    </xf>
    <xf numFmtId="0" fontId="0" fillId="0" borderId="57" xfId="0" applyBorder="1" applyAlignment="1">
      <alignment wrapText="1"/>
    </xf>
    <xf numFmtId="43" fontId="26" fillId="5" borderId="55" xfId="1" applyFont="1" applyFill="1" applyBorder="1" applyAlignment="1">
      <alignment horizontal="center" vertical="center"/>
    </xf>
    <xf numFmtId="166" fontId="16" fillId="0" borderId="0" xfId="0" applyNumberFormat="1" applyFont="1" applyAlignment="1">
      <alignment horizontal="center" vertical="center"/>
    </xf>
    <xf numFmtId="1" fontId="14" fillId="0" borderId="0" xfId="0" applyNumberFormat="1" applyFont="1" applyAlignment="1">
      <alignment vertical="center"/>
    </xf>
    <xf numFmtId="1" fontId="23" fillId="0" borderId="0" xfId="0" applyNumberFormat="1" applyFont="1" applyAlignment="1">
      <alignment horizontal="center" vertical="center"/>
    </xf>
    <xf numFmtId="0" fontId="0" fillId="0" borderId="53" xfId="0" applyBorder="1" applyAlignment="1">
      <alignment horizontal="left" vertical="center" wrapText="1"/>
    </xf>
    <xf numFmtId="22" fontId="14" fillId="0" borderId="0" xfId="0" applyNumberFormat="1" applyFont="1" applyAlignment="1">
      <alignment vertical="center"/>
    </xf>
    <xf numFmtId="1" fontId="16" fillId="0" borderId="0" xfId="0" applyNumberFormat="1" applyFont="1" applyAlignment="1">
      <alignment horizontal="left" vertical="center"/>
    </xf>
    <xf numFmtId="43" fontId="16" fillId="0" borderId="0" xfId="1" applyFont="1" applyFill="1" applyBorder="1" applyAlignment="1">
      <alignment horizontal="left" vertical="center"/>
    </xf>
    <xf numFmtId="0" fontId="14" fillId="9" borderId="42" xfId="0" applyFont="1" applyFill="1" applyBorder="1" applyAlignment="1">
      <alignment horizontal="center" vertical="center"/>
    </xf>
    <xf numFmtId="166" fontId="14" fillId="9" borderId="42" xfId="0" applyNumberFormat="1" applyFont="1" applyFill="1" applyBorder="1" applyAlignment="1">
      <alignment horizontal="center" vertical="center" wrapText="1"/>
    </xf>
    <xf numFmtId="1" fontId="14" fillId="9" borderId="58" xfId="0" applyNumberFormat="1" applyFont="1" applyFill="1" applyBorder="1" applyAlignment="1">
      <alignment horizontal="center" vertical="center" wrapText="1"/>
    </xf>
    <xf numFmtId="1" fontId="14" fillId="9" borderId="42" xfId="0" applyNumberFormat="1" applyFont="1" applyFill="1" applyBorder="1" applyAlignment="1">
      <alignment horizontal="center" vertical="center" wrapText="1"/>
    </xf>
    <xf numFmtId="1" fontId="14" fillId="9" borderId="59" xfId="0" applyNumberFormat="1" applyFont="1" applyFill="1" applyBorder="1" applyAlignment="1">
      <alignment horizontal="center" vertical="center" wrapText="1"/>
    </xf>
    <xf numFmtId="14" fontId="14" fillId="9" borderId="42" xfId="0" applyNumberFormat="1" applyFont="1" applyFill="1" applyBorder="1" applyAlignment="1">
      <alignment horizontal="center" vertical="center" wrapText="1"/>
    </xf>
    <xf numFmtId="43" fontId="14" fillId="9" borderId="59" xfId="1" applyFont="1" applyFill="1" applyBorder="1" applyAlignment="1">
      <alignment horizontal="center" vertical="center" wrapText="1"/>
    </xf>
    <xf numFmtId="0" fontId="14" fillId="9" borderId="59" xfId="0" applyFont="1" applyFill="1" applyBorder="1" applyAlignment="1">
      <alignment horizontal="center" vertical="center" wrapText="1"/>
    </xf>
    <xf numFmtId="0" fontId="14" fillId="9" borderId="42" xfId="0" applyFont="1" applyFill="1" applyBorder="1" applyAlignment="1">
      <alignment horizontal="center" vertical="center" wrapText="1"/>
    </xf>
    <xf numFmtId="0" fontId="16" fillId="10" borderId="56" xfId="0" applyFont="1" applyFill="1" applyBorder="1" applyAlignment="1">
      <alignment horizontal="center" vertical="center"/>
    </xf>
    <xf numFmtId="166" fontId="28" fillId="0" borderId="56" xfId="0" applyNumberFormat="1" applyFont="1" applyBorder="1" applyAlignment="1">
      <alignment horizontal="center" vertical="center"/>
    </xf>
    <xf numFmtId="1" fontId="28" fillId="0" borderId="60" xfId="0" applyNumberFormat="1" applyFont="1" applyBorder="1" applyAlignment="1">
      <alignment horizontal="center" vertical="center"/>
    </xf>
    <xf numFmtId="1" fontId="28" fillId="0" borderId="61" xfId="0" applyNumberFormat="1" applyFont="1" applyBorder="1" applyAlignment="1">
      <alignment horizontal="center" vertical="center"/>
    </xf>
    <xf numFmtId="14" fontId="28" fillId="0" borderId="56" xfId="0" applyNumberFormat="1" applyFont="1" applyBorder="1" applyAlignment="1">
      <alignment vertical="center" wrapText="1"/>
    </xf>
    <xf numFmtId="43" fontId="28" fillId="0" borderId="56" xfId="1" applyFont="1" applyFill="1" applyBorder="1" applyAlignment="1">
      <alignment vertical="center" wrapText="1"/>
    </xf>
    <xf numFmtId="43" fontId="29" fillId="0" borderId="56" xfId="1" applyFont="1" applyFill="1" applyBorder="1" applyAlignment="1">
      <alignment vertical="center" wrapText="1"/>
    </xf>
    <xf numFmtId="43" fontId="28" fillId="0" borderId="53" xfId="1" applyFont="1" applyFill="1" applyBorder="1" applyAlignment="1">
      <alignment horizontal="center" vertical="center"/>
    </xf>
    <xf numFmtId="43" fontId="28" fillId="0" borderId="56" xfId="1" applyFont="1" applyFill="1" applyBorder="1" applyAlignment="1">
      <alignment horizontal="center" vertical="center"/>
    </xf>
    <xf numFmtId="14" fontId="16" fillId="0" borderId="56" xfId="0" applyNumberFormat="1" applyFont="1" applyBorder="1" applyAlignment="1">
      <alignment vertical="center" wrapText="1"/>
    </xf>
    <xf numFmtId="0" fontId="16" fillId="0" borderId="56" xfId="0" applyFont="1" applyBorder="1" applyAlignment="1">
      <alignment horizontal="center" vertical="center"/>
    </xf>
    <xf numFmtId="14" fontId="16" fillId="0" borderId="56" xfId="0" applyNumberFormat="1" applyFont="1" applyBorder="1" applyAlignment="1">
      <alignment vertical="center"/>
    </xf>
    <xf numFmtId="0" fontId="16" fillId="0" borderId="56" xfId="0" quotePrefix="1" applyFont="1" applyBorder="1" applyAlignment="1">
      <alignment horizontal="center" vertical="center"/>
    </xf>
    <xf numFmtId="1" fontId="28" fillId="0" borderId="60" xfId="0" quotePrefix="1" applyNumberFormat="1" applyFont="1" applyBorder="1" applyAlignment="1">
      <alignment horizontal="center" vertical="center"/>
    </xf>
    <xf numFmtId="14" fontId="29" fillId="0" borderId="56" xfId="0" applyNumberFormat="1" applyFont="1" applyBorder="1" applyAlignment="1">
      <alignment vertical="center" wrapText="1"/>
    </xf>
    <xf numFmtId="43" fontId="16" fillId="0" borderId="56" xfId="1" applyFont="1" applyFill="1" applyBorder="1" applyAlignment="1">
      <alignment vertical="center" wrapText="1"/>
    </xf>
    <xf numFmtId="43" fontId="16" fillId="0" borderId="56" xfId="1" applyFont="1" applyFill="1" applyBorder="1" applyAlignment="1">
      <alignment horizontal="center" vertical="center"/>
    </xf>
    <xf numFmtId="43" fontId="29" fillId="0" borderId="56" xfId="1" applyFont="1" applyFill="1" applyBorder="1" applyAlignment="1">
      <alignment horizontal="center" vertical="center" wrapText="1"/>
    </xf>
    <xf numFmtId="0" fontId="14" fillId="10" borderId="62" xfId="0" applyFont="1" applyFill="1" applyBorder="1" applyAlignment="1">
      <alignment horizontal="center" vertical="center"/>
    </xf>
    <xf numFmtId="166" fontId="30" fillId="0" borderId="62" xfId="0" applyNumberFormat="1" applyFont="1" applyBorder="1" applyAlignment="1">
      <alignment horizontal="center" vertical="center"/>
    </xf>
    <xf numFmtId="1" fontId="30" fillId="0" borderId="63" xfId="0" applyNumberFormat="1" applyFont="1" applyBorder="1" applyAlignment="1">
      <alignment horizontal="center" vertical="center"/>
    </xf>
    <xf numFmtId="1" fontId="30" fillId="0" borderId="64" xfId="0" applyNumberFormat="1" applyFont="1" applyBorder="1" applyAlignment="1">
      <alignment horizontal="center" vertical="center"/>
    </xf>
    <xf numFmtId="14" fontId="30" fillId="0" borderId="62" xfId="0" applyNumberFormat="1" applyFont="1" applyBorder="1" applyAlignment="1">
      <alignment vertical="center" wrapText="1"/>
    </xf>
    <xf numFmtId="43" fontId="30" fillId="0" borderId="62" xfId="1" applyFont="1" applyFill="1" applyBorder="1" applyAlignment="1">
      <alignment vertical="center" wrapText="1"/>
    </xf>
    <xf numFmtId="43" fontId="31" fillId="0" borderId="62" xfId="1" applyFont="1" applyFill="1" applyBorder="1" applyAlignment="1">
      <alignment vertical="center" wrapText="1"/>
    </xf>
    <xf numFmtId="14" fontId="14" fillId="0" borderId="62" xfId="0" applyNumberFormat="1" applyFont="1" applyBorder="1" applyAlignment="1">
      <alignment vertical="center" wrapText="1"/>
    </xf>
    <xf numFmtId="43" fontId="1" fillId="0" borderId="0" xfId="1" applyFont="1"/>
    <xf numFmtId="43" fontId="26" fillId="0" borderId="0" xfId="0" applyNumberFormat="1" applyFont="1"/>
    <xf numFmtId="43" fontId="16" fillId="0" borderId="56" xfId="0" applyNumberFormat="1" applyFont="1" applyBorder="1" applyAlignment="1">
      <alignment vertical="center" wrapText="1"/>
    </xf>
    <xf numFmtId="43" fontId="16" fillId="0" borderId="53" xfId="1" applyFont="1" applyFill="1" applyBorder="1" applyAlignment="1">
      <alignment horizontal="center" vertical="center"/>
    </xf>
    <xf numFmtId="0" fontId="1" fillId="5" borderId="53" xfId="0" applyFont="1" applyFill="1" applyBorder="1" applyAlignment="1">
      <alignment horizontal="center" vertical="center" wrapText="1"/>
    </xf>
    <xf numFmtId="14" fontId="16" fillId="0" borderId="53" xfId="0" applyNumberFormat="1" applyFont="1" applyBorder="1" applyAlignment="1">
      <alignment vertical="center" wrapText="1"/>
    </xf>
    <xf numFmtId="4" fontId="0" fillId="0" borderId="53" xfId="0" applyNumberFormat="1" applyBorder="1" applyAlignment="1">
      <alignment horizontal="center" vertical="center"/>
    </xf>
    <xf numFmtId="49" fontId="0" fillId="0" borderId="53" xfId="0" applyNumberFormat="1" applyBorder="1" applyAlignment="1">
      <alignment horizontal="center" vertical="center"/>
    </xf>
    <xf numFmtId="49" fontId="1" fillId="5" borderId="53" xfId="0" applyNumberFormat="1" applyFont="1" applyFill="1" applyBorder="1" applyAlignment="1">
      <alignment horizontal="center" vertical="top" wrapText="1"/>
    </xf>
    <xf numFmtId="4" fontId="1" fillId="5" borderId="52" xfId="0" applyNumberFormat="1" applyFont="1" applyFill="1" applyBorder="1" applyAlignment="1">
      <alignment horizontal="center" vertical="center" wrapText="1"/>
    </xf>
    <xf numFmtId="43" fontId="16" fillId="0" borderId="56" xfId="1" applyFont="1" applyFill="1" applyBorder="1" applyAlignment="1">
      <alignment horizontal="center" vertical="center" wrapText="1"/>
    </xf>
    <xf numFmtId="0" fontId="1" fillId="5" borderId="52" xfId="0" applyFont="1" applyFill="1" applyBorder="1" applyAlignment="1">
      <alignment horizontal="center" vertical="center" wrapText="1"/>
    </xf>
    <xf numFmtId="9" fontId="1" fillId="5" borderId="52" xfId="2" applyFont="1" applyFill="1" applyBorder="1" applyAlignment="1">
      <alignment horizontal="center" vertical="center" wrapText="1"/>
    </xf>
    <xf numFmtId="0" fontId="1" fillId="5" borderId="52" xfId="0" applyFont="1" applyFill="1" applyBorder="1" applyAlignment="1">
      <alignment vertical="top" wrapText="1"/>
    </xf>
    <xf numFmtId="49" fontId="1" fillId="5" borderId="52" xfId="0" applyNumberFormat="1" applyFont="1" applyFill="1" applyBorder="1" applyAlignment="1">
      <alignment horizontal="center" vertical="top" wrapText="1"/>
    </xf>
    <xf numFmtId="49" fontId="1" fillId="5" borderId="53" xfId="0" applyNumberFormat="1" applyFont="1" applyFill="1" applyBorder="1" applyAlignment="1">
      <alignment horizontal="center" vertical="center" wrapText="1"/>
    </xf>
    <xf numFmtId="49" fontId="1" fillId="5" borderId="52" xfId="0" applyNumberFormat="1" applyFont="1" applyFill="1" applyBorder="1" applyAlignment="1">
      <alignment horizontal="center" vertical="center" wrapText="1"/>
    </xf>
    <xf numFmtId="49" fontId="0" fillId="0" borderId="53" xfId="0" applyNumberFormat="1" applyBorder="1" applyAlignment="1">
      <alignment horizontal="center" vertical="top"/>
    </xf>
    <xf numFmtId="4" fontId="1" fillId="5" borderId="53" xfId="0" applyNumberFormat="1" applyFont="1" applyFill="1" applyBorder="1" applyAlignment="1">
      <alignment horizontal="center" vertical="center" wrapText="1"/>
    </xf>
    <xf numFmtId="9" fontId="1" fillId="5" borderId="53" xfId="2" applyFont="1" applyFill="1" applyBorder="1" applyAlignment="1">
      <alignment horizontal="center" vertical="center" wrapText="1"/>
    </xf>
    <xf numFmtId="49" fontId="1" fillId="6" borderId="53" xfId="0" applyNumberFormat="1" applyFont="1" applyFill="1" applyBorder="1" applyAlignment="1">
      <alignment horizontal="center" vertical="top" wrapText="1"/>
    </xf>
    <xf numFmtId="0" fontId="1" fillId="6" borderId="53" xfId="0" applyFont="1" applyFill="1" applyBorder="1" applyAlignment="1">
      <alignment horizontal="center" vertical="center" wrapText="1"/>
    </xf>
    <xf numFmtId="49" fontId="1" fillId="6" borderId="53" xfId="0" applyNumberFormat="1" applyFont="1" applyFill="1" applyBorder="1" applyAlignment="1">
      <alignment horizontal="center" vertical="center" wrapText="1"/>
    </xf>
    <xf numFmtId="4" fontId="1" fillId="6" borderId="53" xfId="0" applyNumberFormat="1" applyFont="1" applyFill="1" applyBorder="1" applyAlignment="1">
      <alignment horizontal="center" vertical="center" wrapText="1"/>
    </xf>
    <xf numFmtId="9" fontId="1" fillId="6" borderId="53" xfId="2" applyFont="1" applyFill="1" applyBorder="1" applyAlignment="1">
      <alignment horizontal="center" vertical="center" wrapText="1"/>
    </xf>
    <xf numFmtId="0" fontId="0" fillId="0" borderId="53" xfId="0" applyBorder="1" applyAlignment="1">
      <alignment horizontal="center" vertical="center" wrapText="1"/>
    </xf>
    <xf numFmtId="49" fontId="0" fillId="4" borderId="53" xfId="0" applyNumberFormat="1" applyFill="1" applyBorder="1" applyAlignment="1">
      <alignment horizontal="center" vertical="top"/>
    </xf>
    <xf numFmtId="0" fontId="0" fillId="4" borderId="53" xfId="0" applyFill="1" applyBorder="1" applyAlignment="1">
      <alignment vertical="top" wrapText="1"/>
    </xf>
    <xf numFmtId="49" fontId="0" fillId="4" borderId="53" xfId="0" applyNumberFormat="1" applyFill="1" applyBorder="1" applyAlignment="1">
      <alignment horizontal="center" vertical="center"/>
    </xf>
    <xf numFmtId="0" fontId="0" fillId="4" borderId="53" xfId="0" applyFill="1" applyBorder="1" applyAlignment="1">
      <alignment vertical="top"/>
    </xf>
    <xf numFmtId="49" fontId="1" fillId="0" borderId="53" xfId="0" applyNumberFormat="1" applyFont="1" applyBorder="1" applyAlignment="1">
      <alignment horizontal="center" vertical="top" wrapText="1"/>
    </xf>
    <xf numFmtId="0" fontId="1" fillId="0" borderId="53" xfId="0" applyFont="1" applyBorder="1" applyAlignment="1">
      <alignment horizontal="center" vertical="center" wrapText="1"/>
    </xf>
    <xf numFmtId="49" fontId="1" fillId="0" borderId="53" xfId="0" applyNumberFormat="1" applyFont="1" applyBorder="1" applyAlignment="1">
      <alignment horizontal="center" vertical="center" wrapText="1"/>
    </xf>
    <xf numFmtId="9" fontId="1" fillId="0" borderId="53" xfId="2" applyFont="1" applyBorder="1" applyAlignment="1">
      <alignment horizontal="center" vertical="center" wrapText="1"/>
    </xf>
    <xf numFmtId="49" fontId="0" fillId="0" borderId="54" xfId="0" applyNumberFormat="1" applyBorder="1" applyAlignment="1">
      <alignment horizontal="center" vertical="top"/>
    </xf>
    <xf numFmtId="0" fontId="0" fillId="0" borderId="54" xfId="0" applyBorder="1" applyAlignment="1">
      <alignment vertical="top" wrapText="1"/>
    </xf>
    <xf numFmtId="49" fontId="0" fillId="0" borderId="54" xfId="0" applyNumberFormat="1" applyBorder="1" applyAlignment="1">
      <alignment horizontal="center" vertical="center"/>
    </xf>
    <xf numFmtId="49" fontId="0" fillId="0" borderId="55" xfId="0" applyNumberFormat="1" applyBorder="1" applyAlignment="1">
      <alignment horizontal="center" vertical="top"/>
    </xf>
    <xf numFmtId="0" fontId="0" fillId="0" borderId="55" xfId="0" applyBorder="1" applyAlignment="1">
      <alignment vertical="top" wrapText="1"/>
    </xf>
    <xf numFmtId="49" fontId="0" fillId="0" borderId="55" xfId="0" applyNumberFormat="1" applyBorder="1" applyAlignment="1">
      <alignment horizontal="center" vertical="center"/>
    </xf>
    <xf numFmtId="4" fontId="0" fillId="0" borderId="55" xfId="0" applyNumberFormat="1" applyBorder="1" applyAlignment="1">
      <alignment horizontal="center" vertical="center"/>
    </xf>
    <xf numFmtId="49" fontId="0" fillId="4" borderId="55" xfId="0" applyNumberFormat="1" applyFill="1" applyBorder="1" applyAlignment="1">
      <alignment horizontal="center" vertical="top"/>
    </xf>
    <xf numFmtId="0" fontId="0" fillId="4" borderId="55" xfId="0" applyFill="1" applyBorder="1" applyAlignment="1">
      <alignment vertical="top" wrapText="1"/>
    </xf>
    <xf numFmtId="0" fontId="0" fillId="4" borderId="55" xfId="0" applyFill="1" applyBorder="1" applyAlignment="1">
      <alignment horizontal="center" vertical="center"/>
    </xf>
    <xf numFmtId="49" fontId="0" fillId="4" borderId="55" xfId="0" applyNumberFormat="1" applyFill="1" applyBorder="1" applyAlignment="1">
      <alignment horizontal="center" vertical="center"/>
    </xf>
    <xf numFmtId="9" fontId="0" fillId="4" borderId="55" xfId="2" applyFont="1" applyFill="1" applyBorder="1" applyAlignment="1">
      <alignment horizontal="center" vertical="center"/>
    </xf>
    <xf numFmtId="0" fontId="0" fillId="4" borderId="55" xfId="0" applyFill="1" applyBorder="1" applyAlignment="1">
      <alignment vertical="top"/>
    </xf>
    <xf numFmtId="49" fontId="1" fillId="0" borderId="55" xfId="0" applyNumberFormat="1" applyFont="1" applyBorder="1" applyAlignment="1">
      <alignment horizontal="center" vertical="top" wrapText="1"/>
    </xf>
    <xf numFmtId="0" fontId="1" fillId="0" borderId="55" xfId="0" applyFont="1" applyBorder="1" applyAlignment="1">
      <alignment vertical="top" wrapText="1"/>
    </xf>
    <xf numFmtId="0" fontId="1" fillId="0" borderId="55" xfId="0" applyFont="1" applyBorder="1" applyAlignment="1">
      <alignment horizontal="center" vertical="center" wrapText="1"/>
    </xf>
    <xf numFmtId="49" fontId="1" fillId="0" borderId="55" xfId="0" applyNumberFormat="1" applyFont="1" applyBorder="1" applyAlignment="1">
      <alignment horizontal="center" vertical="center" wrapText="1"/>
    </xf>
    <xf numFmtId="9" fontId="1" fillId="0" borderId="55" xfId="2" applyFont="1" applyBorder="1" applyAlignment="1">
      <alignment horizontal="center" vertical="center" wrapText="1"/>
    </xf>
    <xf numFmtId="49" fontId="1" fillId="0" borderId="54" xfId="0" applyNumberFormat="1" applyFont="1" applyBorder="1" applyAlignment="1">
      <alignment horizontal="center" vertical="top" wrapText="1"/>
    </xf>
    <xf numFmtId="0" fontId="1" fillId="0" borderId="54" xfId="0" applyFont="1" applyBorder="1" applyAlignment="1">
      <alignment vertical="top" wrapText="1"/>
    </xf>
    <xf numFmtId="0" fontId="1" fillId="0" borderId="54" xfId="0" applyFont="1" applyBorder="1" applyAlignment="1">
      <alignment horizontal="center" vertical="center" wrapText="1"/>
    </xf>
    <xf numFmtId="49" fontId="1" fillId="0" borderId="54" xfId="0" applyNumberFormat="1" applyFont="1" applyBorder="1" applyAlignment="1">
      <alignment horizontal="center" vertical="center" wrapText="1"/>
    </xf>
    <xf numFmtId="9" fontId="1" fillId="0" borderId="54" xfId="2" applyFont="1" applyBorder="1" applyAlignment="1">
      <alignment horizontal="center" vertical="center" wrapText="1"/>
    </xf>
    <xf numFmtId="49" fontId="0" fillId="0" borderId="55" xfId="0" applyNumberFormat="1" applyBorder="1" applyAlignment="1">
      <alignment vertical="top"/>
    </xf>
    <xf numFmtId="49" fontId="0" fillId="0" borderId="54" xfId="0" applyNumberFormat="1" applyBorder="1" applyAlignment="1">
      <alignment vertical="top"/>
    </xf>
    <xf numFmtId="49" fontId="1" fillId="0" borderId="55" xfId="0" applyNumberFormat="1" applyFont="1" applyBorder="1" applyAlignment="1">
      <alignment vertical="top" wrapText="1"/>
    </xf>
    <xf numFmtId="49" fontId="1" fillId="0" borderId="54" xfId="0" applyNumberFormat="1" applyFont="1" applyBorder="1" applyAlignment="1">
      <alignment vertical="top" wrapText="1"/>
    </xf>
    <xf numFmtId="0" fontId="0" fillId="0" borderId="55" xfId="0" applyBorder="1" applyAlignment="1">
      <alignment wrapText="1"/>
    </xf>
    <xf numFmtId="0" fontId="1" fillId="8" borderId="54" xfId="0" applyFont="1" applyFill="1" applyBorder="1" applyAlignment="1">
      <alignment horizontal="center" vertical="center"/>
    </xf>
    <xf numFmtId="0" fontId="1" fillId="8" borderId="54" xfId="0" applyFont="1" applyFill="1" applyBorder="1" applyAlignment="1">
      <alignment wrapText="1"/>
    </xf>
    <xf numFmtId="43" fontId="0" fillId="8" borderId="54" xfId="1" applyFont="1" applyFill="1" applyBorder="1" applyAlignment="1">
      <alignment horizontal="center" vertical="center"/>
    </xf>
    <xf numFmtId="0" fontId="0" fillId="8" borderId="54" xfId="0" applyFill="1" applyBorder="1" applyAlignment="1">
      <alignment horizontal="center" vertical="center"/>
    </xf>
    <xf numFmtId="43" fontId="1" fillId="8" borderId="54" xfId="1" applyFont="1" applyFill="1" applyBorder="1" applyAlignment="1">
      <alignment horizontal="center" vertical="center"/>
    </xf>
    <xf numFmtId="9" fontId="0" fillId="8" borderId="54" xfId="2" applyFont="1" applyFill="1" applyBorder="1" applyAlignment="1">
      <alignment horizontal="center" vertical="center"/>
    </xf>
    <xf numFmtId="0" fontId="0" fillId="0" borderId="54" xfId="0" applyBorder="1" applyAlignment="1">
      <alignment wrapText="1"/>
    </xf>
    <xf numFmtId="49" fontId="1" fillId="0" borderId="52" xfId="0" applyNumberFormat="1" applyFont="1" applyBorder="1" applyAlignment="1">
      <alignment vertical="top" wrapText="1"/>
    </xf>
    <xf numFmtId="0" fontId="1" fillId="0" borderId="52" xfId="0" applyFont="1" applyBorder="1" applyAlignment="1">
      <alignment vertical="top" wrapText="1"/>
    </xf>
    <xf numFmtId="49" fontId="0" fillId="0" borderId="52" xfId="0" applyNumberFormat="1" applyBorder="1" applyAlignment="1">
      <alignment vertical="top"/>
    </xf>
    <xf numFmtId="0" fontId="0" fillId="0" borderId="52" xfId="0" applyBorder="1" applyAlignment="1">
      <alignment vertical="top" wrapText="1"/>
    </xf>
    <xf numFmtId="49" fontId="1" fillId="0" borderId="56" xfId="0" applyNumberFormat="1" applyFont="1" applyBorder="1" applyAlignment="1">
      <alignment vertical="top" wrapText="1"/>
    </xf>
    <xf numFmtId="0" fontId="1" fillId="0" borderId="56" xfId="0" applyFont="1" applyBorder="1" applyAlignment="1">
      <alignment vertical="top" wrapText="1"/>
    </xf>
    <xf numFmtId="49" fontId="1" fillId="7" borderId="54" xfId="0" applyNumberFormat="1" applyFont="1" applyFill="1" applyBorder="1" applyAlignment="1">
      <alignment vertical="top" wrapText="1"/>
    </xf>
    <xf numFmtId="0" fontId="0" fillId="0" borderId="52" xfId="0" applyBorder="1" applyAlignment="1">
      <alignment wrapText="1"/>
    </xf>
    <xf numFmtId="0" fontId="2" fillId="6" borderId="53" xfId="0" applyFont="1" applyFill="1" applyBorder="1" applyAlignment="1">
      <alignment horizontal="left" wrapText="1"/>
    </xf>
    <xf numFmtId="0" fontId="2" fillId="0" borderId="53" xfId="0" applyFont="1" applyBorder="1" applyAlignment="1">
      <alignment horizontal="left" wrapText="1"/>
    </xf>
    <xf numFmtId="0" fontId="2" fillId="5" borderId="53" xfId="0" applyFont="1" applyFill="1" applyBorder="1" applyAlignment="1">
      <alignment horizontal="left" wrapText="1"/>
    </xf>
    <xf numFmtId="0" fontId="1" fillId="0" borderId="53" xfId="0" applyFont="1" applyBorder="1" applyAlignment="1">
      <alignment wrapText="1"/>
    </xf>
    <xf numFmtId="0" fontId="2" fillId="5" borderId="0" xfId="0" applyFont="1" applyFill="1" applyAlignment="1">
      <alignment wrapText="1"/>
    </xf>
    <xf numFmtId="0" fontId="1" fillId="5" borderId="0" xfId="0" applyFont="1" applyFill="1" applyAlignment="1">
      <alignment wrapText="1"/>
    </xf>
    <xf numFmtId="0" fontId="0" fillId="6" borderId="55" xfId="0" applyFill="1" applyBorder="1" applyAlignment="1">
      <alignment horizontal="center" vertical="center"/>
    </xf>
    <xf numFmtId="0" fontId="2" fillId="6" borderId="55" xfId="0" applyFont="1" applyFill="1" applyBorder="1" applyAlignment="1">
      <alignment wrapText="1"/>
    </xf>
    <xf numFmtId="43" fontId="0" fillId="6" borderId="55" xfId="1" applyFont="1" applyFill="1" applyBorder="1" applyAlignment="1">
      <alignment horizontal="center" vertical="center"/>
    </xf>
    <xf numFmtId="9" fontId="0" fillId="6" borderId="55" xfId="2" applyFont="1" applyFill="1" applyBorder="1" applyAlignment="1">
      <alignment horizontal="center" vertical="center"/>
    </xf>
    <xf numFmtId="0" fontId="0" fillId="0" borderId="56" xfId="0" applyBorder="1" applyAlignment="1">
      <alignment horizontal="center" vertical="center"/>
    </xf>
    <xf numFmtId="0" fontId="0" fillId="0" borderId="56" xfId="0" applyBorder="1" applyAlignment="1">
      <alignment wrapText="1"/>
    </xf>
    <xf numFmtId="43" fontId="0" fillId="0" borderId="56" xfId="1" applyFont="1" applyBorder="1" applyAlignment="1">
      <alignment horizontal="center" vertical="center"/>
    </xf>
    <xf numFmtId="9" fontId="0" fillId="0" borderId="56" xfId="2" applyFont="1" applyBorder="1" applyAlignment="1">
      <alignment horizontal="center" vertical="center"/>
    </xf>
    <xf numFmtId="0" fontId="0" fillId="6" borderId="54" xfId="0" applyFill="1" applyBorder="1" applyAlignment="1">
      <alignment horizontal="center" vertical="center"/>
    </xf>
    <xf numFmtId="0" fontId="2" fillId="6" borderId="54" xfId="0" applyFont="1" applyFill="1" applyBorder="1" applyAlignment="1">
      <alignment wrapText="1"/>
    </xf>
    <xf numFmtId="43" fontId="0" fillId="6" borderId="54" xfId="1" applyFont="1" applyFill="1" applyBorder="1" applyAlignment="1">
      <alignment horizontal="center" vertical="center"/>
    </xf>
    <xf numFmtId="43" fontId="26" fillId="6" borderId="54" xfId="1" applyFont="1" applyFill="1" applyBorder="1" applyAlignment="1">
      <alignment horizontal="center" vertical="center"/>
    </xf>
    <xf numFmtId="9" fontId="0" fillId="6" borderId="54" xfId="2" applyFont="1" applyFill="1" applyBorder="1" applyAlignment="1">
      <alignment horizontal="center" vertical="center"/>
    </xf>
    <xf numFmtId="0" fontId="16" fillId="11" borderId="56" xfId="0" applyFont="1" applyFill="1" applyBorder="1" applyAlignment="1">
      <alignment horizontal="center" vertical="center"/>
    </xf>
    <xf numFmtId="0" fontId="16" fillId="12" borderId="56" xfId="0" quotePrefix="1" applyFont="1" applyFill="1" applyBorder="1" applyAlignment="1">
      <alignment horizontal="center" vertical="center"/>
    </xf>
    <xf numFmtId="166" fontId="28" fillId="12" borderId="56" xfId="0" applyNumberFormat="1" applyFont="1" applyFill="1" applyBorder="1" applyAlignment="1">
      <alignment horizontal="center" vertical="center"/>
    </xf>
    <xf numFmtId="1" fontId="28" fillId="12" borderId="60" xfId="0" quotePrefix="1" applyNumberFormat="1" applyFont="1" applyFill="1" applyBorder="1" applyAlignment="1">
      <alignment horizontal="center" vertical="center"/>
    </xf>
    <xf numFmtId="1" fontId="28" fillId="12" borderId="61" xfId="0" applyNumberFormat="1" applyFont="1" applyFill="1" applyBorder="1" applyAlignment="1">
      <alignment horizontal="center" vertical="center"/>
    </xf>
    <xf numFmtId="14" fontId="28" fillId="12" borderId="56" xfId="0" applyNumberFormat="1" applyFont="1" applyFill="1" applyBorder="1" applyAlignment="1">
      <alignment vertical="center" wrapText="1"/>
    </xf>
    <xf numFmtId="14" fontId="16" fillId="12" borderId="56" xfId="0" applyNumberFormat="1" applyFont="1" applyFill="1" applyBorder="1" applyAlignment="1">
      <alignment vertical="center" wrapText="1"/>
    </xf>
    <xf numFmtId="43" fontId="28" fillId="12" borderId="56" xfId="1" applyFont="1" applyFill="1" applyBorder="1" applyAlignment="1">
      <alignment vertical="center" wrapText="1"/>
    </xf>
    <xf numFmtId="43" fontId="28" fillId="12" borderId="56" xfId="1" applyFont="1" applyFill="1" applyBorder="1" applyAlignment="1">
      <alignment horizontal="center" vertical="center"/>
    </xf>
    <xf numFmtId="43" fontId="29" fillId="12" borderId="56" xfId="1" applyFont="1" applyFill="1" applyBorder="1" applyAlignment="1">
      <alignment vertical="center" wrapText="1"/>
    </xf>
    <xf numFmtId="0" fontId="0" fillId="0" borderId="52" xfId="0" applyBorder="1" applyAlignment="1">
      <alignment horizontal="center" vertical="center" wrapText="1"/>
    </xf>
    <xf numFmtId="0" fontId="0" fillId="6" borderId="53" xfId="0" applyFill="1" applyBorder="1" applyAlignment="1">
      <alignment horizontal="center" vertical="center" wrapText="1"/>
    </xf>
    <xf numFmtId="0" fontId="0" fillId="5" borderId="53" xfId="0" applyFill="1"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6" borderId="55" xfId="0" applyFill="1" applyBorder="1" applyAlignment="1">
      <alignment horizontal="center" vertical="center" wrapText="1"/>
    </xf>
    <xf numFmtId="0" fontId="0" fillId="4" borderId="53" xfId="0" applyFill="1" applyBorder="1" applyAlignment="1">
      <alignment horizontal="center" vertical="center" wrapText="1"/>
    </xf>
    <xf numFmtId="0" fontId="0" fillId="8" borderId="53" xfId="0" applyFill="1" applyBorder="1" applyAlignment="1">
      <alignment horizontal="center" vertical="center" wrapText="1"/>
    </xf>
    <xf numFmtId="0" fontId="0" fillId="8" borderId="54" xfId="0" applyFill="1" applyBorder="1" applyAlignment="1">
      <alignment horizontal="center" vertical="center" wrapText="1"/>
    </xf>
    <xf numFmtId="0" fontId="0" fillId="0" borderId="56" xfId="0" applyBorder="1" applyAlignment="1">
      <alignment horizontal="center" vertical="center" wrapText="1"/>
    </xf>
    <xf numFmtId="0" fontId="0" fillId="6" borderId="54" xfId="0" applyFill="1" applyBorder="1" applyAlignment="1">
      <alignment horizontal="center" vertical="center" wrapText="1"/>
    </xf>
    <xf numFmtId="0" fontId="0" fillId="5" borderId="55" xfId="0" applyFill="1" applyBorder="1" applyAlignment="1">
      <alignment horizontal="center" vertical="center" wrapText="1"/>
    </xf>
    <xf numFmtId="0" fontId="0" fillId="0" borderId="0" xfId="0" applyAlignment="1">
      <alignment horizontal="center" vertical="center" wrapText="1"/>
    </xf>
    <xf numFmtId="43" fontId="0" fillId="0" borderId="0" xfId="0" applyNumberFormat="1"/>
    <xf numFmtId="9" fontId="1" fillId="5" borderId="53" xfId="2" applyFont="1" applyFill="1" applyBorder="1" applyAlignment="1">
      <alignment horizontal="center" vertical="center"/>
    </xf>
    <xf numFmtId="9" fontId="3" fillId="0" borderId="55" xfId="2" applyFont="1" applyBorder="1" applyAlignment="1">
      <alignment horizontal="center" vertical="center"/>
    </xf>
    <xf numFmtId="9" fontId="1" fillId="8" borderId="53" xfId="2" applyFont="1" applyFill="1" applyBorder="1" applyAlignment="1">
      <alignment horizontal="center" vertical="center"/>
    </xf>
    <xf numFmtId="9" fontId="2" fillId="5" borderId="53" xfId="2" applyFont="1" applyFill="1" applyBorder="1" applyAlignment="1">
      <alignment horizontal="center" vertical="center"/>
    </xf>
    <xf numFmtId="9" fontId="26" fillId="4" borderId="53" xfId="2" applyFont="1" applyFill="1" applyBorder="1" applyAlignment="1">
      <alignment horizontal="center" vertical="center"/>
    </xf>
    <xf numFmtId="9" fontId="26" fillId="6" borderId="54" xfId="2" applyFont="1" applyFill="1" applyBorder="1" applyAlignment="1">
      <alignment horizontal="center" vertical="center"/>
    </xf>
    <xf numFmtId="9" fontId="1" fillId="8" borderId="54" xfId="2" applyFont="1" applyFill="1" applyBorder="1" applyAlignment="1">
      <alignment horizontal="center" vertical="center"/>
    </xf>
    <xf numFmtId="9" fontId="1" fillId="4" borderId="53" xfId="2" applyFont="1" applyFill="1" applyBorder="1" applyAlignment="1">
      <alignment horizontal="center" vertical="center"/>
    </xf>
    <xf numFmtId="9" fontId="26" fillId="6" borderId="53" xfId="2" applyFont="1" applyFill="1" applyBorder="1" applyAlignment="1">
      <alignment horizontal="center" vertical="center"/>
    </xf>
    <xf numFmtId="9" fontId="1" fillId="0" borderId="53" xfId="2" applyFont="1" applyBorder="1" applyAlignment="1">
      <alignment horizontal="center" vertical="center"/>
    </xf>
    <xf numFmtId="9" fontId="26" fillId="5" borderId="53" xfId="2" applyFont="1" applyFill="1" applyBorder="1" applyAlignment="1">
      <alignment horizontal="center" vertical="center"/>
    </xf>
    <xf numFmtId="9" fontId="1" fillId="0" borderId="55" xfId="2" applyFont="1" applyBorder="1" applyAlignment="1">
      <alignment horizontal="center" vertical="center"/>
    </xf>
    <xf numFmtId="9" fontId="26" fillId="5" borderId="55" xfId="2" applyFont="1" applyFill="1" applyBorder="1" applyAlignment="1">
      <alignment horizontal="center" vertical="center"/>
    </xf>
    <xf numFmtId="9" fontId="0" fillId="0" borderId="0" xfId="2" applyFont="1"/>
    <xf numFmtId="9" fontId="2" fillId="0" borderId="53" xfId="2" applyFont="1" applyBorder="1" applyAlignment="1">
      <alignment horizontal="center" vertical="center" wrapText="1"/>
    </xf>
    <xf numFmtId="9" fontId="2" fillId="6" borderId="53" xfId="2" applyFont="1" applyFill="1" applyBorder="1" applyAlignment="1">
      <alignment horizontal="center" vertical="center" wrapText="1"/>
    </xf>
    <xf numFmtId="43" fontId="2" fillId="0" borderId="52" xfId="1" applyFont="1" applyBorder="1" applyAlignment="1">
      <alignment horizontal="center" vertical="center" wrapText="1"/>
    </xf>
    <xf numFmtId="43" fontId="2" fillId="0" borderId="53" xfId="1" applyFont="1" applyBorder="1" applyAlignment="1">
      <alignment horizontal="center" vertical="center" wrapText="1"/>
    </xf>
    <xf numFmtId="43" fontId="2" fillId="6" borderId="53" xfId="1" applyFont="1" applyFill="1" applyBorder="1" applyAlignment="1">
      <alignment horizontal="center" vertical="center" wrapText="1"/>
    </xf>
    <xf numFmtId="0" fontId="1" fillId="5" borderId="55" xfId="0" applyFont="1" applyFill="1" applyBorder="1" applyAlignment="1">
      <alignment vertical="center" wrapText="1"/>
    </xf>
    <xf numFmtId="49" fontId="1" fillId="5" borderId="55" xfId="0" applyNumberFormat="1" applyFont="1" applyFill="1" applyBorder="1" applyAlignment="1">
      <alignment vertical="center" wrapText="1"/>
    </xf>
    <xf numFmtId="4" fontId="1" fillId="5" borderId="55" xfId="0" applyNumberFormat="1" applyFont="1" applyFill="1" applyBorder="1" applyAlignment="1">
      <alignment vertical="center" wrapText="1"/>
    </xf>
    <xf numFmtId="9" fontId="1" fillId="5" borderId="55" xfId="2" applyFont="1" applyFill="1" applyBorder="1" applyAlignment="1">
      <alignment vertical="center" wrapText="1"/>
    </xf>
    <xf numFmtId="43" fontId="1" fillId="5" borderId="55" xfId="1" applyFont="1" applyFill="1" applyBorder="1" applyAlignment="1">
      <alignment vertical="center" wrapText="1"/>
    </xf>
    <xf numFmtId="0" fontId="0" fillId="0" borderId="53" xfId="0" applyBorder="1" applyAlignment="1">
      <alignment vertical="center"/>
    </xf>
    <xf numFmtId="49" fontId="0" fillId="0" borderId="53" xfId="0" applyNumberFormat="1" applyBorder="1" applyAlignment="1">
      <alignment vertical="center"/>
    </xf>
    <xf numFmtId="9" fontId="0" fillId="0" borderId="53" xfId="2" applyFont="1" applyBorder="1" applyAlignment="1">
      <alignment vertical="center"/>
    </xf>
    <xf numFmtId="43" fontId="0" fillId="0" borderId="53" xfId="1" applyFont="1" applyBorder="1" applyAlignment="1">
      <alignment vertical="center"/>
    </xf>
    <xf numFmtId="0" fontId="1" fillId="6" borderId="53" xfId="0" applyFont="1" applyFill="1" applyBorder="1" applyAlignment="1">
      <alignment vertical="center" wrapText="1"/>
    </xf>
    <xf numFmtId="49" fontId="1" fillId="6" borderId="53" xfId="0" applyNumberFormat="1" applyFont="1" applyFill="1" applyBorder="1" applyAlignment="1">
      <alignment vertical="center" wrapText="1"/>
    </xf>
    <xf numFmtId="4" fontId="1" fillId="6" borderId="53" xfId="0" applyNumberFormat="1" applyFont="1" applyFill="1" applyBorder="1" applyAlignment="1">
      <alignment vertical="center" wrapText="1"/>
    </xf>
    <xf numFmtId="9" fontId="1" fillId="6" borderId="53" xfId="2" applyFont="1" applyFill="1" applyBorder="1" applyAlignment="1">
      <alignment vertical="center" wrapText="1"/>
    </xf>
    <xf numFmtId="43" fontId="1" fillId="6" borderId="53" xfId="1" applyFont="1" applyFill="1" applyBorder="1" applyAlignment="1">
      <alignment vertical="center" wrapText="1"/>
    </xf>
    <xf numFmtId="4" fontId="0" fillId="0" borderId="53" xfId="0" applyNumberFormat="1" applyBorder="1" applyAlignment="1">
      <alignment vertical="center"/>
    </xf>
    <xf numFmtId="0" fontId="1" fillId="0" borderId="53" xfId="0" applyFont="1" applyBorder="1" applyAlignment="1">
      <alignment vertical="center" wrapText="1"/>
    </xf>
    <xf numFmtId="49" fontId="1" fillId="0" borderId="53" xfId="0" applyNumberFormat="1" applyFont="1" applyBorder="1" applyAlignment="1">
      <alignment vertical="center" wrapText="1"/>
    </xf>
    <xf numFmtId="9" fontId="1" fillId="0" borderId="53" xfId="2" applyFont="1" applyBorder="1" applyAlignment="1">
      <alignment vertical="center" wrapText="1"/>
    </xf>
    <xf numFmtId="43" fontId="1" fillId="0" borderId="53" xfId="1" applyFont="1" applyBorder="1" applyAlignment="1">
      <alignment vertical="center" wrapText="1"/>
    </xf>
    <xf numFmtId="4" fontId="0" fillId="4" borderId="53" xfId="0" applyNumberFormat="1" applyFill="1" applyBorder="1" applyAlignment="1">
      <alignment vertical="center"/>
    </xf>
    <xf numFmtId="9" fontId="0" fillId="4" borderId="53" xfId="2" applyFont="1" applyFill="1" applyBorder="1" applyAlignment="1">
      <alignment vertical="center"/>
    </xf>
    <xf numFmtId="9" fontId="0" fillId="0" borderId="53" xfId="2" applyFont="1" applyFill="1" applyBorder="1" applyAlignment="1">
      <alignment vertical="center"/>
    </xf>
    <xf numFmtId="43" fontId="0" fillId="0" borderId="53" xfId="1" applyFont="1" applyFill="1" applyBorder="1" applyAlignment="1">
      <alignment vertical="center"/>
    </xf>
    <xf numFmtId="0" fontId="0" fillId="5" borderId="53" xfId="0" applyFill="1" applyBorder="1" applyAlignment="1">
      <alignment vertical="center"/>
    </xf>
    <xf numFmtId="49" fontId="0" fillId="5" borderId="53" xfId="0" applyNumberFormat="1" applyFill="1" applyBorder="1" applyAlignment="1">
      <alignment vertical="center"/>
    </xf>
    <xf numFmtId="4" fontId="0" fillId="5" borderId="53" xfId="0" applyNumberFormat="1" applyFill="1" applyBorder="1" applyAlignment="1">
      <alignment vertical="center"/>
    </xf>
    <xf numFmtId="9" fontId="0" fillId="5" borderId="53" xfId="2" applyFont="1" applyFill="1" applyBorder="1" applyAlignment="1">
      <alignment vertical="center"/>
    </xf>
    <xf numFmtId="43" fontId="0" fillId="5" borderId="53" xfId="1" applyFont="1" applyFill="1" applyBorder="1" applyAlignment="1">
      <alignment vertical="center"/>
    </xf>
    <xf numFmtId="0" fontId="0" fillId="0" borderId="54" xfId="0" applyBorder="1" applyAlignment="1">
      <alignment vertical="center"/>
    </xf>
    <xf numFmtId="49" fontId="0" fillId="0" borderId="54" xfId="0" applyNumberFormat="1" applyBorder="1" applyAlignment="1">
      <alignment vertical="center"/>
    </xf>
    <xf numFmtId="9" fontId="0" fillId="0" borderId="54" xfId="2" applyFont="1" applyBorder="1" applyAlignment="1">
      <alignment vertical="center"/>
    </xf>
    <xf numFmtId="43" fontId="0" fillId="0" borderId="54" xfId="1" applyFont="1" applyBorder="1" applyAlignment="1">
      <alignment vertical="center"/>
    </xf>
    <xf numFmtId="4" fontId="0" fillId="13" borderId="55" xfId="0" applyNumberFormat="1" applyFill="1" applyBorder="1" applyAlignment="1">
      <alignment vertical="center"/>
    </xf>
    <xf numFmtId="9" fontId="0" fillId="13" borderId="55" xfId="2" applyFont="1" applyFill="1" applyBorder="1" applyAlignment="1">
      <alignment vertical="center"/>
    </xf>
    <xf numFmtId="4" fontId="0" fillId="0" borderId="54" xfId="0" applyNumberFormat="1" applyBorder="1" applyAlignment="1">
      <alignment vertical="center"/>
    </xf>
    <xf numFmtId="0" fontId="0" fillId="0" borderId="55" xfId="0" applyBorder="1" applyAlignment="1">
      <alignment vertical="center"/>
    </xf>
    <xf numFmtId="49" fontId="0" fillId="0" borderId="55" xfId="0" applyNumberFormat="1" applyBorder="1" applyAlignment="1">
      <alignment vertical="center"/>
    </xf>
    <xf numFmtId="9" fontId="0" fillId="0" borderId="55" xfId="2" applyFont="1" applyBorder="1" applyAlignment="1">
      <alignment vertical="center"/>
    </xf>
    <xf numFmtId="43" fontId="0" fillId="0" borderId="55" xfId="1" applyFont="1" applyBorder="1" applyAlignment="1">
      <alignment vertical="center"/>
    </xf>
    <xf numFmtId="0" fontId="1" fillId="5" borderId="53" xfId="0" applyFont="1" applyFill="1" applyBorder="1" applyAlignment="1">
      <alignment vertical="center" wrapText="1"/>
    </xf>
    <xf numFmtId="49" fontId="1" fillId="5" borderId="53" xfId="0" applyNumberFormat="1" applyFont="1" applyFill="1" applyBorder="1" applyAlignment="1">
      <alignment vertical="center" wrapText="1"/>
    </xf>
    <xf numFmtId="4" fontId="1" fillId="5" borderId="53" xfId="0" applyNumberFormat="1" applyFont="1" applyFill="1" applyBorder="1" applyAlignment="1">
      <alignment vertical="center" wrapText="1"/>
    </xf>
    <xf numFmtId="9" fontId="1" fillId="5" borderId="53" xfId="2" applyFont="1" applyFill="1" applyBorder="1" applyAlignment="1">
      <alignment vertical="center" wrapText="1"/>
    </xf>
    <xf numFmtId="43" fontId="1" fillId="5" borderId="53" xfId="1" applyFont="1" applyFill="1" applyBorder="1" applyAlignment="1">
      <alignment vertical="center" wrapText="1"/>
    </xf>
    <xf numFmtId="0" fontId="1" fillId="0" borderId="55" xfId="0" applyFont="1" applyBorder="1" applyAlignment="1">
      <alignment vertical="center" wrapText="1"/>
    </xf>
    <xf numFmtId="49" fontId="1" fillId="0" borderId="55" xfId="0" applyNumberFormat="1" applyFont="1" applyBorder="1" applyAlignment="1">
      <alignment vertical="center" wrapText="1"/>
    </xf>
    <xf numFmtId="9" fontId="1" fillId="0" borderId="55" xfId="2" applyFont="1" applyBorder="1" applyAlignment="1">
      <alignment vertical="center" wrapText="1"/>
    </xf>
    <xf numFmtId="43" fontId="1" fillId="0" borderId="55" xfId="1" applyFont="1" applyBorder="1" applyAlignment="1">
      <alignment vertical="center" wrapText="1"/>
    </xf>
    <xf numFmtId="4" fontId="0" fillId="0" borderId="55" xfId="0" applyNumberFormat="1" applyBorder="1" applyAlignment="1">
      <alignment vertical="center"/>
    </xf>
    <xf numFmtId="43" fontId="0" fillId="0" borderId="0" xfId="1" applyFont="1" applyBorder="1" applyAlignment="1">
      <alignment vertical="center"/>
    </xf>
    <xf numFmtId="0" fontId="1" fillId="0" borderId="54" xfId="0" applyFont="1" applyBorder="1" applyAlignment="1">
      <alignment vertical="center" wrapText="1"/>
    </xf>
    <xf numFmtId="49" fontId="1" fillId="0" borderId="54" xfId="0" applyNumberFormat="1" applyFont="1" applyBorder="1" applyAlignment="1">
      <alignment vertical="center" wrapText="1"/>
    </xf>
    <xf numFmtId="9" fontId="1" fillId="0" borderId="54" xfId="2" applyFont="1" applyBorder="1" applyAlignment="1">
      <alignment vertical="center" wrapText="1"/>
    </xf>
    <xf numFmtId="43" fontId="1" fillId="0" borderId="54" xfId="1" applyFont="1" applyBorder="1" applyAlignment="1">
      <alignment vertical="center" wrapText="1"/>
    </xf>
    <xf numFmtId="0" fontId="0" fillId="0" borderId="56" xfId="0" applyBorder="1" applyAlignment="1">
      <alignment vertical="center"/>
    </xf>
    <xf numFmtId="49" fontId="0" fillId="0" borderId="56" xfId="0" applyNumberFormat="1" applyBorder="1" applyAlignment="1">
      <alignment vertical="center"/>
    </xf>
    <xf numFmtId="9" fontId="0" fillId="0" borderId="56" xfId="2" applyFont="1" applyBorder="1" applyAlignment="1">
      <alignment vertical="center"/>
    </xf>
    <xf numFmtId="43" fontId="0" fillId="0" borderId="56" xfId="1" applyFont="1" applyBorder="1" applyAlignment="1">
      <alignment vertical="center"/>
    </xf>
    <xf numFmtId="0" fontId="0" fillId="5" borderId="42" xfId="0" applyFill="1" applyBorder="1" applyAlignment="1">
      <alignment vertical="center"/>
    </xf>
    <xf numFmtId="49" fontId="0" fillId="5" borderId="42" xfId="0" applyNumberFormat="1" applyFill="1" applyBorder="1" applyAlignment="1">
      <alignment vertical="center"/>
    </xf>
    <xf numFmtId="4" fontId="0" fillId="5" borderId="42" xfId="0" applyNumberFormat="1" applyFill="1" applyBorder="1" applyAlignment="1">
      <alignment vertical="center"/>
    </xf>
    <xf numFmtId="9" fontId="0" fillId="5" borderId="42" xfId="2" applyFont="1" applyFill="1" applyBorder="1" applyAlignment="1">
      <alignment vertical="center"/>
    </xf>
    <xf numFmtId="4" fontId="2" fillId="5" borderId="42" xfId="0" applyNumberFormat="1" applyFont="1" applyFill="1" applyBorder="1" applyAlignment="1">
      <alignment vertical="center"/>
    </xf>
    <xf numFmtId="0" fontId="0" fillId="0" borderId="0" xfId="0" applyAlignment="1">
      <alignment vertical="center"/>
    </xf>
    <xf numFmtId="49" fontId="0" fillId="0" borderId="0" xfId="0" applyNumberFormat="1" applyAlignment="1">
      <alignment vertical="center"/>
    </xf>
    <xf numFmtId="9" fontId="0" fillId="0" borderId="0" xfId="2" applyFont="1" applyAlignment="1">
      <alignment vertical="center"/>
    </xf>
    <xf numFmtId="43" fontId="0" fillId="0" borderId="0" xfId="1" applyFont="1" applyAlignment="1">
      <alignment vertical="center"/>
    </xf>
    <xf numFmtId="0" fontId="1" fillId="0" borderId="52" xfId="0" applyFont="1" applyBorder="1" applyAlignment="1">
      <alignment vertical="center" wrapText="1"/>
    </xf>
    <xf numFmtId="49" fontId="1" fillId="0" borderId="52" xfId="0" applyNumberFormat="1" applyFont="1" applyBorder="1" applyAlignment="1">
      <alignment vertical="center" wrapText="1"/>
    </xf>
    <xf numFmtId="9" fontId="1" fillId="0" borderId="52" xfId="2" applyFont="1" applyBorder="1" applyAlignment="1">
      <alignment vertical="center" wrapText="1"/>
    </xf>
    <xf numFmtId="0" fontId="0" fillId="0" borderId="52" xfId="0" applyBorder="1" applyAlignment="1">
      <alignment vertical="center"/>
    </xf>
    <xf numFmtId="49" fontId="0" fillId="0" borderId="52" xfId="0" applyNumberFormat="1" applyBorder="1" applyAlignment="1">
      <alignment vertical="center"/>
    </xf>
    <xf numFmtId="4" fontId="0" fillId="0" borderId="52" xfId="0" applyNumberFormat="1" applyBorder="1" applyAlignment="1">
      <alignment vertical="center"/>
    </xf>
    <xf numFmtId="9" fontId="0" fillId="0" borderId="52" xfId="2" applyFont="1" applyBorder="1" applyAlignment="1">
      <alignment vertical="center"/>
    </xf>
    <xf numFmtId="0" fontId="1" fillId="7" borderId="53" xfId="0" applyFont="1" applyFill="1" applyBorder="1" applyAlignment="1">
      <alignment vertical="center" wrapText="1"/>
    </xf>
    <xf numFmtId="49" fontId="1" fillId="7" borderId="53" xfId="0" applyNumberFormat="1" applyFont="1" applyFill="1" applyBorder="1" applyAlignment="1">
      <alignment vertical="center" wrapText="1"/>
    </xf>
    <xf numFmtId="4" fontId="1" fillId="7" borderId="53" xfId="0" applyNumberFormat="1" applyFont="1" applyFill="1" applyBorder="1" applyAlignment="1">
      <alignment vertical="center" wrapText="1"/>
    </xf>
    <xf numFmtId="9" fontId="1" fillId="7" borderId="53" xfId="2" applyFont="1" applyFill="1" applyBorder="1" applyAlignment="1">
      <alignment vertical="center" wrapText="1"/>
    </xf>
    <xf numFmtId="0" fontId="1" fillId="0" borderId="56" xfId="0" applyFont="1" applyBorder="1" applyAlignment="1">
      <alignment vertical="center" wrapText="1"/>
    </xf>
    <xf numFmtId="49" fontId="1" fillId="0" borderId="56" xfId="0" applyNumberFormat="1" applyFont="1" applyBorder="1" applyAlignment="1">
      <alignment vertical="center" wrapText="1"/>
    </xf>
    <xf numFmtId="9" fontId="1" fillId="0" borderId="56" xfId="2" applyFont="1" applyBorder="1" applyAlignment="1">
      <alignment vertical="center" wrapText="1"/>
    </xf>
    <xf numFmtId="0" fontId="1" fillId="7" borderId="54" xfId="0" applyFont="1" applyFill="1" applyBorder="1" applyAlignment="1">
      <alignment vertical="center" wrapText="1"/>
    </xf>
    <xf numFmtId="49" fontId="1" fillId="7" borderId="54" xfId="0" applyNumberFormat="1" applyFont="1" applyFill="1" applyBorder="1" applyAlignment="1">
      <alignment vertical="center" wrapText="1"/>
    </xf>
    <xf numFmtId="4" fontId="1" fillId="7" borderId="54" xfId="0" applyNumberFormat="1" applyFont="1" applyFill="1" applyBorder="1" applyAlignment="1">
      <alignment vertical="center" wrapText="1"/>
    </xf>
    <xf numFmtId="9" fontId="1" fillId="7" borderId="54" xfId="2" applyFont="1" applyFill="1" applyBorder="1" applyAlignment="1">
      <alignment vertical="center" wrapText="1"/>
    </xf>
    <xf numFmtId="0" fontId="1" fillId="4" borderId="53" xfId="0" applyFont="1" applyFill="1" applyBorder="1" applyAlignment="1">
      <alignment vertical="center" wrapText="1"/>
    </xf>
    <xf numFmtId="49" fontId="1" fillId="4" borderId="53" xfId="0" applyNumberFormat="1" applyFont="1" applyFill="1" applyBorder="1" applyAlignment="1">
      <alignment vertical="center" wrapText="1"/>
    </xf>
    <xf numFmtId="9" fontId="1" fillId="4" borderId="53" xfId="2" applyFont="1" applyFill="1" applyBorder="1" applyAlignment="1">
      <alignment vertical="center" wrapText="1"/>
    </xf>
    <xf numFmtId="0" fontId="0" fillId="7" borderId="54" xfId="0" applyFill="1" applyBorder="1" applyAlignment="1">
      <alignment vertical="center"/>
    </xf>
    <xf numFmtId="49" fontId="0" fillId="7" borderId="54" xfId="0" applyNumberFormat="1" applyFill="1" applyBorder="1" applyAlignment="1">
      <alignment vertical="center"/>
    </xf>
    <xf numFmtId="4" fontId="2" fillId="7" borderId="54" xfId="0" applyNumberFormat="1" applyFont="1" applyFill="1" applyBorder="1" applyAlignment="1">
      <alignment vertical="center" wrapText="1"/>
    </xf>
    <xf numFmtId="4" fontId="0" fillId="0" borderId="0" xfId="0" applyNumberFormat="1" applyAlignment="1">
      <alignment vertical="center"/>
    </xf>
    <xf numFmtId="4" fontId="0" fillId="13" borderId="53" xfId="0" applyNumberFormat="1" applyFill="1" applyBorder="1" applyAlignment="1">
      <alignment vertical="center"/>
    </xf>
    <xf numFmtId="9" fontId="0" fillId="13" borderId="53" xfId="2" applyFont="1" applyFill="1" applyBorder="1" applyAlignment="1">
      <alignment vertical="center"/>
    </xf>
    <xf numFmtId="9" fontId="2" fillId="6" borderId="53" xfId="2" applyFont="1" applyFill="1" applyBorder="1" applyAlignment="1">
      <alignment horizontal="center" vertical="center"/>
    </xf>
    <xf numFmtId="9" fontId="2" fillId="5" borderId="42" xfId="2" applyFont="1" applyFill="1" applyBorder="1" applyAlignment="1">
      <alignment vertical="center"/>
    </xf>
    <xf numFmtId="4" fontId="0" fillId="13" borderId="54" xfId="0" applyNumberFormat="1" applyFill="1" applyBorder="1" applyAlignment="1">
      <alignment vertical="center"/>
    </xf>
    <xf numFmtId="9" fontId="0" fillId="13" borderId="54" xfId="2" applyFont="1" applyFill="1" applyBorder="1" applyAlignment="1">
      <alignment vertical="center"/>
    </xf>
    <xf numFmtId="9" fontId="27" fillId="0" borderId="0" xfId="2" applyFont="1" applyAlignment="1">
      <alignment horizontal="center" vertical="center"/>
    </xf>
    <xf numFmtId="9" fontId="14" fillId="9" borderId="59" xfId="2" applyFont="1" applyFill="1" applyBorder="1" applyAlignment="1">
      <alignment horizontal="center" vertical="center" wrapText="1"/>
    </xf>
    <xf numFmtId="9" fontId="28" fillId="0" borderId="56" xfId="2" applyFont="1" applyFill="1" applyBorder="1" applyAlignment="1">
      <alignment horizontal="center" vertical="center"/>
    </xf>
    <xf numFmtId="9" fontId="28" fillId="12" borderId="56" xfId="2" applyFont="1" applyFill="1" applyBorder="1" applyAlignment="1">
      <alignment horizontal="center" vertical="center"/>
    </xf>
    <xf numFmtId="9" fontId="16" fillId="0" borderId="56" xfId="2" applyFont="1" applyFill="1" applyBorder="1" applyAlignment="1">
      <alignment horizontal="center" vertical="center"/>
    </xf>
    <xf numFmtId="9" fontId="30" fillId="0" borderId="62" xfId="2" applyFont="1" applyFill="1" applyBorder="1" applyAlignment="1">
      <alignment horizontal="center" vertical="center"/>
    </xf>
    <xf numFmtId="0" fontId="29" fillId="10" borderId="56" xfId="0" applyFont="1" applyFill="1" applyBorder="1" applyAlignment="1">
      <alignment horizontal="center" vertical="center"/>
    </xf>
    <xf numFmtId="0" fontId="29" fillId="0" borderId="56" xfId="0" quotePrefix="1" applyFont="1" applyBorder="1" applyAlignment="1">
      <alignment horizontal="center" vertical="center"/>
    </xf>
    <xf numFmtId="166" fontId="29" fillId="0" borderId="56" xfId="0" applyNumberFormat="1" applyFont="1" applyBorder="1" applyAlignment="1">
      <alignment horizontal="center" vertical="center"/>
    </xf>
    <xf numFmtId="1" fontId="29" fillId="0" borderId="60" xfId="0" quotePrefix="1" applyNumberFormat="1" applyFont="1" applyBorder="1" applyAlignment="1">
      <alignment horizontal="center" vertical="center"/>
    </xf>
    <xf numFmtId="1" fontId="29" fillId="0" borderId="61" xfId="0" applyNumberFormat="1" applyFont="1" applyBorder="1" applyAlignment="1">
      <alignment horizontal="center" vertical="center"/>
    </xf>
    <xf numFmtId="43" fontId="29" fillId="0" borderId="56" xfId="1" applyFont="1" applyFill="1" applyBorder="1" applyAlignment="1">
      <alignment horizontal="center" vertical="center"/>
    </xf>
    <xf numFmtId="9" fontId="29" fillId="0" borderId="56" xfId="2" applyFont="1" applyFill="1" applyBorder="1" applyAlignment="1">
      <alignment horizontal="center" vertical="center"/>
    </xf>
    <xf numFmtId="0" fontId="0" fillId="0" borderId="55" xfId="0" applyBorder="1" applyAlignment="1">
      <alignment vertical="center" wrapText="1"/>
    </xf>
    <xf numFmtId="43" fontId="0" fillId="0" borderId="55" xfId="1" applyFont="1" applyFill="1" applyBorder="1" applyAlignment="1">
      <alignment vertical="center"/>
    </xf>
    <xf numFmtId="43" fontId="10" fillId="0" borderId="5" xfId="1" applyFont="1" applyBorder="1" applyAlignment="1">
      <alignment horizontal="center" vertical="center"/>
    </xf>
    <xf numFmtId="9" fontId="0" fillId="14" borderId="53" xfId="2" applyFont="1" applyFill="1" applyBorder="1" applyAlignment="1">
      <alignment horizontal="center" vertical="center"/>
    </xf>
    <xf numFmtId="9" fontId="0" fillId="14" borderId="55" xfId="2" applyFont="1" applyFill="1" applyBorder="1" applyAlignment="1">
      <alignment vertical="center"/>
    </xf>
    <xf numFmtId="9" fontId="0" fillId="14" borderId="53" xfId="2" applyFont="1" applyFill="1" applyBorder="1" applyAlignment="1">
      <alignment vertical="center"/>
    </xf>
    <xf numFmtId="9" fontId="0" fillId="0" borderId="53" xfId="2" applyFont="1" applyBorder="1" applyAlignment="1">
      <alignment vertical="top" wrapText="1"/>
    </xf>
    <xf numFmtId="9" fontId="0" fillId="5" borderId="42" xfId="2" applyFont="1" applyFill="1" applyBorder="1" applyAlignment="1">
      <alignment vertical="top" wrapText="1"/>
    </xf>
    <xf numFmtId="4" fontId="0" fillId="4" borderId="53" xfId="0" applyNumberFormat="1" applyFill="1" applyBorder="1" applyAlignment="1">
      <alignment horizontal="center" vertical="center"/>
    </xf>
    <xf numFmtId="0" fontId="14" fillId="0" borderId="0" xfId="0" applyFont="1" applyAlignment="1">
      <alignment horizontal="center" vertical="center"/>
    </xf>
    <xf numFmtId="0" fontId="14" fillId="0" borderId="0" xfId="0" applyFont="1" applyAlignment="1">
      <alignment horizontal="right" wrapText="1"/>
    </xf>
    <xf numFmtId="0" fontId="16" fillId="0" borderId="0" xfId="0" applyFont="1" applyAlignment="1">
      <alignment horizontal="right" wrapText="1"/>
    </xf>
    <xf numFmtId="0" fontId="14" fillId="0" borderId="42" xfId="0" applyFont="1" applyBorder="1" applyAlignment="1">
      <alignment horizontal="center" vertical="center"/>
    </xf>
    <xf numFmtId="16" fontId="14" fillId="0" borderId="42" xfId="0" applyNumberFormat="1" applyFont="1" applyBorder="1" applyAlignment="1">
      <alignment horizontal="center" vertical="center"/>
    </xf>
    <xf numFmtId="14" fontId="14" fillId="0" borderId="42" xfId="0" quotePrefix="1" applyNumberFormat="1" applyFont="1" applyBorder="1" applyAlignment="1">
      <alignment horizontal="center" vertical="center"/>
    </xf>
    <xf numFmtId="14" fontId="14" fillId="0" borderId="42" xfId="0" applyNumberFormat="1" applyFont="1" applyBorder="1" applyAlignment="1">
      <alignment horizontal="center" vertical="center"/>
    </xf>
    <xf numFmtId="0" fontId="14" fillId="0" borderId="44" xfId="0" applyFont="1" applyBorder="1" applyAlignment="1">
      <alignment horizontal="center" vertical="center"/>
    </xf>
    <xf numFmtId="0" fontId="14" fillId="0" borderId="45" xfId="0" applyFont="1" applyBorder="1" applyAlignment="1">
      <alignment horizontal="center" vertical="center"/>
    </xf>
    <xf numFmtId="0" fontId="15" fillId="0" borderId="1" xfId="0" applyFont="1" applyBorder="1" applyAlignment="1">
      <alignment horizontal="left" vertical="center" wrapText="1"/>
    </xf>
    <xf numFmtId="0" fontId="15" fillId="0" borderId="2" xfId="0" applyFont="1" applyBorder="1" applyAlignment="1">
      <alignment horizontal="left" vertical="center" wrapText="1"/>
    </xf>
    <xf numFmtId="0" fontId="15" fillId="0" borderId="10" xfId="0" applyFont="1" applyBorder="1" applyAlignment="1">
      <alignment horizontal="left" vertical="center" wrapText="1"/>
    </xf>
    <xf numFmtId="49" fontId="17" fillId="0" borderId="5" xfId="0" applyNumberFormat="1" applyFont="1" applyBorder="1" applyAlignment="1">
      <alignment horizontal="left" vertical="center" wrapText="1"/>
    </xf>
    <xf numFmtId="49" fontId="10" fillId="0" borderId="0" xfId="0" applyNumberFormat="1" applyFont="1" applyAlignment="1">
      <alignment horizontal="left" vertical="center" wrapText="1"/>
    </xf>
    <xf numFmtId="49" fontId="10" fillId="0" borderId="11" xfId="0" applyNumberFormat="1" applyFont="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20" fillId="3" borderId="0" xfId="0" applyFont="1" applyFill="1" applyAlignment="1">
      <alignment horizontal="center" vertical="center"/>
    </xf>
    <xf numFmtId="0" fontId="5" fillId="2" borderId="1" xfId="4" applyFont="1" applyFill="1" applyBorder="1" applyAlignment="1">
      <alignment horizontal="center" vertical="center"/>
    </xf>
    <xf numFmtId="0" fontId="5" fillId="2" borderId="2" xfId="4" applyFont="1" applyFill="1" applyBorder="1" applyAlignment="1">
      <alignment horizontal="center" vertical="center"/>
    </xf>
    <xf numFmtId="0" fontId="5" fillId="2" borderId="10" xfId="4" applyFont="1" applyFill="1" applyBorder="1" applyAlignment="1">
      <alignment horizontal="center" vertical="center"/>
    </xf>
    <xf numFmtId="0" fontId="5" fillId="2" borderId="5" xfId="4" applyFont="1" applyFill="1" applyBorder="1" applyAlignment="1">
      <alignment horizontal="center" vertical="center"/>
    </xf>
    <xf numFmtId="0" fontId="5" fillId="2" borderId="0" xfId="4" applyFont="1" applyFill="1" applyAlignment="1">
      <alignment horizontal="center" vertical="center"/>
    </xf>
    <xf numFmtId="0" fontId="5" fillId="2" borderId="11" xfId="4" applyFont="1" applyFill="1" applyBorder="1" applyAlignment="1">
      <alignment horizontal="center" vertical="center"/>
    </xf>
    <xf numFmtId="0" fontId="5" fillId="2" borderId="3" xfId="4" applyFont="1" applyFill="1" applyBorder="1" applyAlignment="1">
      <alignment horizontal="center" vertical="center"/>
    </xf>
    <xf numFmtId="0" fontId="5" fillId="2" borderId="4" xfId="4" applyFont="1" applyFill="1" applyBorder="1" applyAlignment="1">
      <alignment horizontal="center" vertical="center"/>
    </xf>
    <xf numFmtId="0" fontId="5" fillId="2" borderId="12" xfId="4" applyFont="1" applyFill="1" applyBorder="1" applyAlignment="1">
      <alignment horizontal="center" vertical="center"/>
    </xf>
    <xf numFmtId="0" fontId="6" fillId="0" borderId="1" xfId="4" applyFont="1" applyBorder="1" applyAlignment="1">
      <alignment horizontal="left" vertical="center"/>
    </xf>
    <xf numFmtId="0" fontId="6" fillId="0" borderId="2" xfId="4" applyFont="1" applyBorder="1" applyAlignment="1">
      <alignment horizontal="left" vertical="center"/>
    </xf>
    <xf numFmtId="0" fontId="6" fillId="0" borderId="10" xfId="4" applyFont="1" applyBorder="1" applyAlignment="1">
      <alignment horizontal="left" vertical="center"/>
    </xf>
    <xf numFmtId="0" fontId="6" fillId="0" borderId="5" xfId="4" applyFont="1" applyBorder="1" applyAlignment="1">
      <alignment horizontal="center" vertical="center"/>
    </xf>
    <xf numFmtId="0" fontId="6" fillId="0" borderId="11" xfId="4" applyFont="1" applyBorder="1" applyAlignment="1">
      <alignment horizontal="center" vertical="center"/>
    </xf>
    <xf numFmtId="0" fontId="6" fillId="0" borderId="3" xfId="4" applyFont="1" applyBorder="1" applyAlignment="1">
      <alignment horizontal="center" vertical="center"/>
    </xf>
    <xf numFmtId="0" fontId="6" fillId="0" borderId="12" xfId="4" applyFont="1" applyBorder="1" applyAlignment="1">
      <alignment horizontal="center" vertical="center"/>
    </xf>
    <xf numFmtId="0" fontId="6" fillId="0" borderId="0" xfId="4" applyFont="1" applyAlignment="1">
      <alignment horizontal="center" vertical="center"/>
    </xf>
    <xf numFmtId="0" fontId="6" fillId="0" borderId="4" xfId="4" applyFont="1" applyBorder="1" applyAlignment="1">
      <alignment horizontal="center" vertical="center"/>
    </xf>
    <xf numFmtId="0" fontId="6" fillId="0" borderId="14" xfId="4" applyFont="1" applyBorder="1" applyAlignment="1">
      <alignment horizontal="center" vertical="center" wrapText="1"/>
    </xf>
    <xf numFmtId="0" fontId="6" fillId="0" borderId="15" xfId="4" applyFont="1" applyBorder="1" applyAlignment="1">
      <alignment horizontal="center" vertical="center" wrapText="1"/>
    </xf>
    <xf numFmtId="0" fontId="6" fillId="0" borderId="16" xfId="4" applyFont="1" applyBorder="1" applyAlignment="1">
      <alignment horizontal="center" vertical="center" wrapText="1"/>
    </xf>
    <xf numFmtId="43" fontId="6" fillId="0" borderId="28" xfId="5" applyFont="1" applyBorder="1" applyAlignment="1">
      <alignment vertical="center"/>
    </xf>
    <xf numFmtId="43" fontId="6" fillId="0" borderId="29" xfId="5" applyFont="1" applyBorder="1" applyAlignment="1">
      <alignment vertical="center"/>
    </xf>
    <xf numFmtId="43" fontId="6" fillId="0" borderId="30" xfId="5" applyFont="1" applyBorder="1" applyAlignment="1">
      <alignment vertical="center"/>
    </xf>
    <xf numFmtId="0" fontId="6" fillId="0" borderId="3" xfId="4" applyFont="1" applyBorder="1" applyAlignment="1">
      <alignment horizontal="left" vertical="center"/>
    </xf>
    <xf numFmtId="0" fontId="6" fillId="0" borderId="4" xfId="4" applyFont="1" applyBorder="1" applyAlignment="1">
      <alignment horizontal="left" vertical="center"/>
    </xf>
    <xf numFmtId="0" fontId="6" fillId="0" borderId="6" xfId="4" applyFont="1" applyBorder="1" applyAlignment="1">
      <alignment horizontal="center" vertical="center"/>
    </xf>
    <xf numFmtId="0" fontId="6" fillId="0" borderId="7" xfId="4" applyFont="1" applyBorder="1" applyAlignment="1">
      <alignment horizontal="center" vertical="center"/>
    </xf>
    <xf numFmtId="0" fontId="6" fillId="0" borderId="31" xfId="4" applyFont="1" applyBorder="1" applyAlignment="1">
      <alignment horizontal="center" vertical="center"/>
    </xf>
    <xf numFmtId="0" fontId="6" fillId="0" borderId="32" xfId="4" applyFont="1" applyBorder="1" applyAlignment="1">
      <alignment horizontal="center" vertical="center"/>
    </xf>
    <xf numFmtId="0" fontId="6" fillId="0" borderId="33" xfId="4" applyFont="1" applyBorder="1" applyAlignment="1">
      <alignment horizontal="center" vertical="center"/>
    </xf>
    <xf numFmtId="0" fontId="6" fillId="0" borderId="34" xfId="4" applyFont="1" applyBorder="1" applyAlignment="1">
      <alignment horizontal="center" vertical="center"/>
    </xf>
    <xf numFmtId="0" fontId="6" fillId="0" borderId="2" xfId="4" applyFont="1" applyBorder="1" applyAlignment="1">
      <alignment horizontal="center" vertical="center"/>
    </xf>
    <xf numFmtId="0" fontId="6" fillId="0" borderId="10" xfId="4" applyFont="1" applyBorder="1" applyAlignment="1">
      <alignment horizontal="center" vertical="center"/>
    </xf>
    <xf numFmtId="0" fontId="6" fillId="0" borderId="3" xfId="4" applyFont="1" applyBorder="1" applyAlignment="1">
      <alignment vertical="center"/>
    </xf>
    <xf numFmtId="0" fontId="6" fillId="0" borderId="4" xfId="4" applyFont="1" applyBorder="1" applyAlignment="1">
      <alignment vertical="center"/>
    </xf>
    <xf numFmtId="0" fontId="6" fillId="0" borderId="2" xfId="4" applyFont="1" applyBorder="1" applyAlignment="1">
      <alignment horizontal="center" vertical="center" wrapText="1"/>
    </xf>
    <xf numFmtId="0" fontId="6" fillId="0" borderId="10" xfId="4" applyFont="1" applyBorder="1" applyAlignment="1">
      <alignment horizontal="center" vertical="center" wrapText="1"/>
    </xf>
    <xf numFmtId="0" fontId="6" fillId="0" borderId="4" xfId="4" applyFont="1" applyBorder="1" applyAlignment="1">
      <alignment horizontal="center" vertical="center" wrapText="1"/>
    </xf>
    <xf numFmtId="0" fontId="6" fillId="0" borderId="12" xfId="4" applyFont="1" applyBorder="1" applyAlignment="1">
      <alignment horizontal="center" vertical="center" wrapText="1"/>
    </xf>
    <xf numFmtId="0" fontId="6" fillId="0" borderId="51" xfId="4" applyFont="1" applyBorder="1" applyAlignment="1">
      <alignment vertical="center"/>
    </xf>
    <xf numFmtId="0" fontId="6" fillId="0" borderId="17" xfId="4" applyFont="1" applyBorder="1" applyAlignment="1">
      <alignment vertical="center"/>
    </xf>
    <xf numFmtId="14" fontId="6" fillId="0" borderId="17" xfId="4" applyNumberFormat="1" applyFont="1" applyBorder="1" applyAlignment="1">
      <alignment horizontal="center" vertical="center"/>
    </xf>
    <xf numFmtId="0" fontId="6" fillId="0" borderId="17" xfId="4" applyFont="1" applyBorder="1" applyAlignment="1">
      <alignment horizontal="center" vertical="center"/>
    </xf>
    <xf numFmtId="0" fontId="6" fillId="0" borderId="35" xfId="4" applyFont="1" applyBorder="1" applyAlignment="1">
      <alignment vertical="center"/>
    </xf>
    <xf numFmtId="0" fontId="6" fillId="0" borderId="36" xfId="4" applyFont="1" applyBorder="1" applyAlignment="1">
      <alignment vertical="center"/>
    </xf>
    <xf numFmtId="14" fontId="6" fillId="0" borderId="36" xfId="4" applyNumberFormat="1" applyFont="1" applyBorder="1" applyAlignment="1">
      <alignment horizontal="center" vertical="center"/>
    </xf>
    <xf numFmtId="0" fontId="6" fillId="0" borderId="36" xfId="4" applyFont="1" applyBorder="1" applyAlignment="1">
      <alignment horizontal="center" vertical="center"/>
    </xf>
    <xf numFmtId="0" fontId="6" fillId="0" borderId="18" xfId="4" applyFont="1" applyBorder="1" applyAlignment="1">
      <alignment vertical="center"/>
    </xf>
    <xf numFmtId="0" fontId="6" fillId="0" borderId="19" xfId="4" applyFont="1" applyBorder="1" applyAlignment="1">
      <alignment vertical="center"/>
    </xf>
    <xf numFmtId="0" fontId="6" fillId="0" borderId="37" xfId="4" applyFont="1" applyBorder="1" applyAlignment="1">
      <alignment vertical="center"/>
    </xf>
    <xf numFmtId="0" fontId="6" fillId="0" borderId="38" xfId="4" applyFont="1" applyBorder="1" applyAlignment="1">
      <alignment vertical="center"/>
    </xf>
    <xf numFmtId="43" fontId="0" fillId="0" borderId="0" xfId="1" applyFont="1"/>
  </cellXfs>
  <cellStyles count="19">
    <cellStyle name="Comma" xfId="1" builtinId="3"/>
    <cellStyle name="Comma 2" xfId="3" xr:uid="{D3A02B43-3526-4E23-B6F5-99881DDD7E4A}"/>
    <cellStyle name="Comma 2 2" xfId="8" xr:uid="{9B862CFD-2116-4897-BB0B-BFBBBABC065E}"/>
    <cellStyle name="Comma 2 2 2" xfId="7" xr:uid="{BAEC2975-E492-430F-B823-583BE2A7E4FA}"/>
    <cellStyle name="Comma 2 3" xfId="5" xr:uid="{6FED404C-CA62-46C5-98CB-AB7772DAC180}"/>
    <cellStyle name="Comma 3" xfId="14" xr:uid="{B1973562-C9ED-4973-A04F-1E3538801F6B}"/>
    <cellStyle name="Comma 4" xfId="18" xr:uid="{1566DB46-5ED7-431F-8C97-5029D3FB9621}"/>
    <cellStyle name="Normal" xfId="0" builtinId="0"/>
    <cellStyle name="Normal 11 2" xfId="10" xr:uid="{764DD42B-5651-4B6D-A657-75829A0473C1}"/>
    <cellStyle name="Normal 2" xfId="9" xr:uid="{1644403C-9CF1-4016-AD0C-D432F3199D08}"/>
    <cellStyle name="Normal 2 2" xfId="15" xr:uid="{BD9EE5EC-B6F5-48AC-95B5-0E78FCF79119}"/>
    <cellStyle name="Normal 2 3" xfId="11" xr:uid="{5FF75EEB-90F4-41CE-8C8C-71CB8B38168A}"/>
    <cellStyle name="Normal 2 4" xfId="4" xr:uid="{6813FC88-13DB-4B08-8952-24B6D6C42287}"/>
    <cellStyle name="Normal 3" xfId="12" xr:uid="{9C474AE8-570E-4530-8116-06155774F2F6}"/>
    <cellStyle name="Normal 4" xfId="13" xr:uid="{05D97741-D2E5-4C01-8F5D-ED9954B99993}"/>
    <cellStyle name="Normal 5" xfId="17" xr:uid="{83D2D01A-FEF4-4F84-92F9-A63AD054A21A}"/>
    <cellStyle name="Percent" xfId="2" builtinId="5"/>
    <cellStyle name="Percent 2" xfId="16" xr:uid="{9B0A75CF-5A1F-4808-996F-9A90D4E8E9ED}"/>
    <cellStyle name="Percent 2 2" xfId="6" xr:uid="{515065D6-F13B-415F-82C3-520A1D11E4F6}"/>
  </cellStyles>
  <dxfs count="0"/>
  <tableStyles count="0" defaultTableStyle="TableStyleMedium2" defaultPivotStyle="PivotStyleLight16"/>
  <colors>
    <mruColors>
      <color rgb="FF66FF66"/>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imal\OneDrive\Documents\Work\ECON\Omniyat\Payments\Contractor%20Payment%20Cerfificates\KCE\Sub%20Contractor%20Payment\D028%20KJD\1%20January\KJD%20Progress%20Assessment%20-%20January%202023.xlsx" TargetMode="External"/><Relationship Id="rId1" Type="http://schemas.openxmlformats.org/officeDocument/2006/relationships/externalLinkPath" Target="/Users/himal/OneDrive/Documents/Work/ECON/Omniyat/Payments/Contractor%20Payment%20Cerfificates/KCE/Sub%20Contractor%20Payment/D028%20KJD/1%20January/KJD%20Progress%20Assessment%20-%20January%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Summary"/>
      <sheetName val="Headboard &amp; Wall paneling"/>
      <sheetName val="Misc. Joinery"/>
      <sheetName val="Timber doors "/>
      <sheetName val="Daybed"/>
      <sheetName val="Additional Joinery works "/>
      <sheetName val="M12"/>
    </sheetNames>
    <sheetDataSet>
      <sheetData sheetId="0" refreshError="1"/>
      <sheetData sheetId="1"/>
      <sheetData sheetId="2">
        <row r="204">
          <cell r="F204">
            <v>2105729.8665</v>
          </cell>
        </row>
      </sheetData>
      <sheetData sheetId="3" refreshError="1"/>
      <sheetData sheetId="4" refreshError="1"/>
      <sheetData sheetId="5" refreshError="1"/>
      <sheetData sheetId="6" refreshError="1"/>
      <sheetData sheetId="7">
        <row r="27">
          <cell r="K27">
            <v>2719104.0624563126</v>
          </cell>
          <cell r="L27">
            <v>253979.47294778127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2E65-52C4-41FE-9B57-E75B9B970189}">
  <dimension ref="A10:J45"/>
  <sheetViews>
    <sheetView view="pageBreakPreview" topLeftCell="A7" zoomScaleNormal="100" zoomScaleSheetLayoutView="100" workbookViewId="0">
      <selection activeCell="C15" sqref="C15"/>
    </sheetView>
  </sheetViews>
  <sheetFormatPr defaultColWidth="9.1796875" defaultRowHeight="14.5" x14ac:dyDescent="0.35"/>
  <cols>
    <col min="1" max="1" width="7.453125" style="52" customWidth="1"/>
    <col min="2" max="2" width="27.7265625" style="52" customWidth="1"/>
    <col min="3" max="5" width="14.453125" style="52" customWidth="1"/>
    <col min="6" max="6" width="18.26953125" style="52" customWidth="1"/>
    <col min="7" max="7" width="9.1796875" style="52"/>
    <col min="8" max="8" width="12.7265625" style="52" bestFit="1" customWidth="1"/>
    <col min="9" max="16384" width="9.1796875" style="52"/>
  </cols>
  <sheetData>
    <row r="10" spans="1:6" x14ac:dyDescent="0.35">
      <c r="A10" s="523" t="s">
        <v>831</v>
      </c>
      <c r="B10" s="523"/>
      <c r="C10" s="523"/>
      <c r="D10" s="523"/>
      <c r="E10" s="523"/>
      <c r="F10" s="523"/>
    </row>
    <row r="11" spans="1:6" x14ac:dyDescent="0.35">
      <c r="A11" s="69"/>
      <c r="B11" s="524" t="s">
        <v>160</v>
      </c>
      <c r="C11" s="525"/>
      <c r="D11" s="525"/>
      <c r="E11" s="525"/>
      <c r="F11" s="525"/>
    </row>
    <row r="12" spans="1:6" x14ac:dyDescent="0.35">
      <c r="A12" s="69"/>
      <c r="B12" s="70"/>
      <c r="C12" s="71"/>
      <c r="D12" s="71"/>
      <c r="E12" s="71"/>
      <c r="F12" s="71"/>
    </row>
    <row r="13" spans="1:6" ht="15" thickBot="1" x14ac:dyDescent="0.4">
      <c r="A13" s="69"/>
      <c r="B13" s="72" t="s">
        <v>161</v>
      </c>
      <c r="C13" s="73"/>
      <c r="D13" s="73"/>
      <c r="E13" s="69"/>
      <c r="F13" s="69"/>
    </row>
    <row r="14" spans="1:6" ht="15" thickTop="1" x14ac:dyDescent="0.35">
      <c r="A14" s="69"/>
      <c r="B14" s="74" t="s">
        <v>234</v>
      </c>
      <c r="C14" s="75"/>
      <c r="D14" s="75"/>
      <c r="E14" s="69"/>
      <c r="F14" s="69"/>
    </row>
    <row r="15" spans="1:6" x14ac:dyDescent="0.35">
      <c r="A15" s="69"/>
      <c r="B15" s="76" t="s">
        <v>162</v>
      </c>
      <c r="C15" s="72"/>
      <c r="D15" s="77"/>
      <c r="E15" s="69"/>
      <c r="F15" s="69"/>
    </row>
    <row r="16" spans="1:6" x14ac:dyDescent="0.35">
      <c r="A16" s="69"/>
      <c r="B16" s="76" t="s">
        <v>163</v>
      </c>
      <c r="C16" s="72"/>
      <c r="D16" s="77"/>
      <c r="E16" s="69"/>
      <c r="F16" s="77"/>
    </row>
    <row r="17" spans="1:10" x14ac:dyDescent="0.35">
      <c r="A17" s="69"/>
      <c r="B17" s="76"/>
      <c r="C17" s="72"/>
      <c r="D17" s="77"/>
      <c r="E17" s="69"/>
      <c r="F17" s="77"/>
    </row>
    <row r="18" spans="1:10" ht="15.5" x14ac:dyDescent="0.35">
      <c r="A18" s="69" t="s">
        <v>164</v>
      </c>
      <c r="B18" s="69"/>
      <c r="C18" s="53"/>
      <c r="D18" s="53"/>
      <c r="E18" s="53"/>
      <c r="F18" s="53"/>
    </row>
    <row r="19" spans="1:10" ht="15.5" x14ac:dyDescent="0.35">
      <c r="A19" s="69"/>
      <c r="B19" s="69" t="s">
        <v>782</v>
      </c>
      <c r="C19" s="53"/>
      <c r="D19" s="53"/>
      <c r="E19" s="53"/>
      <c r="F19" s="53"/>
    </row>
    <row r="20" spans="1:10" ht="15.5" x14ac:dyDescent="0.35">
      <c r="A20" s="53"/>
      <c r="B20" s="53"/>
      <c r="C20" s="53"/>
      <c r="D20" s="53"/>
      <c r="E20" s="53"/>
      <c r="F20" s="53"/>
    </row>
    <row r="21" spans="1:10" x14ac:dyDescent="0.35">
      <c r="A21" s="526" t="s">
        <v>165</v>
      </c>
      <c r="B21" s="526"/>
      <c r="C21" s="526" t="s">
        <v>166</v>
      </c>
      <c r="D21" s="526"/>
      <c r="E21" s="526"/>
      <c r="F21" s="54" t="s">
        <v>167</v>
      </c>
    </row>
    <row r="22" spans="1:10" x14ac:dyDescent="0.35">
      <c r="A22" s="527" t="s">
        <v>837</v>
      </c>
      <c r="B22" s="526"/>
      <c r="C22" s="528">
        <v>44984</v>
      </c>
      <c r="D22" s="529"/>
      <c r="E22" s="529"/>
      <c r="F22" s="54" t="s">
        <v>627</v>
      </c>
    </row>
    <row r="23" spans="1:10" ht="15.5" x14ac:dyDescent="0.35">
      <c r="A23" s="53"/>
      <c r="B23" s="53"/>
      <c r="C23" s="53"/>
      <c r="D23" s="53" t="s">
        <v>168</v>
      </c>
      <c r="E23" s="53"/>
      <c r="F23" s="53"/>
    </row>
    <row r="24" spans="1:10" x14ac:dyDescent="0.35">
      <c r="A24" s="78" t="s">
        <v>235</v>
      </c>
      <c r="B24" s="79"/>
      <c r="C24" s="79"/>
      <c r="D24" s="79"/>
      <c r="E24" s="79"/>
      <c r="F24" s="69"/>
    </row>
    <row r="25" spans="1:10" ht="15" thickBot="1" x14ac:dyDescent="0.4">
      <c r="A25" s="79"/>
      <c r="B25" s="79"/>
      <c r="C25" s="79"/>
      <c r="D25" s="79"/>
      <c r="E25" s="79"/>
      <c r="F25" s="69"/>
    </row>
    <row r="26" spans="1:10" ht="15" thickBot="1" x14ac:dyDescent="0.4">
      <c r="A26" s="80" t="s">
        <v>169</v>
      </c>
      <c r="B26" s="530" t="s">
        <v>86</v>
      </c>
      <c r="C26" s="531"/>
      <c r="D26" s="531"/>
      <c r="E26" s="81"/>
      <c r="F26" s="82" t="s">
        <v>170</v>
      </c>
    </row>
    <row r="27" spans="1:10" x14ac:dyDescent="0.35">
      <c r="A27" s="55"/>
      <c r="B27" s="532"/>
      <c r="C27" s="533"/>
      <c r="D27" s="533"/>
      <c r="E27" s="534"/>
      <c r="F27" s="56"/>
      <c r="I27" s="57"/>
      <c r="J27" s="57"/>
    </row>
    <row r="28" spans="1:10" ht="45" customHeight="1" x14ac:dyDescent="0.35">
      <c r="A28" s="516">
        <v>1</v>
      </c>
      <c r="B28" s="535" t="s">
        <v>838</v>
      </c>
      <c r="C28" s="536"/>
      <c r="D28" s="536"/>
      <c r="E28" s="537"/>
      <c r="F28" s="58">
        <f>+Summary!G37</f>
        <v>545760.9640392469</v>
      </c>
      <c r="H28" s="59"/>
      <c r="I28" s="57"/>
      <c r="J28" s="57"/>
    </row>
    <row r="29" spans="1:10" ht="15" thickBot="1" x14ac:dyDescent="0.4">
      <c r="A29" s="60"/>
      <c r="B29" s="61"/>
      <c r="C29" s="62"/>
      <c r="D29" s="62"/>
      <c r="E29" s="63"/>
      <c r="F29" s="64"/>
    </row>
    <row r="30" spans="1:10" ht="15" thickBot="1" x14ac:dyDescent="0.4">
      <c r="A30" s="83"/>
      <c r="B30" s="538" t="s">
        <v>171</v>
      </c>
      <c r="C30" s="539"/>
      <c r="D30" s="539"/>
      <c r="E30" s="539"/>
      <c r="F30" s="84">
        <f>+F28</f>
        <v>545760.9640392469</v>
      </c>
      <c r="H30" s="65"/>
    </row>
    <row r="31" spans="1:10" x14ac:dyDescent="0.35">
      <c r="A31" s="540" t="str">
        <f>+Summary!C38</f>
        <v>UAE Six Hundred Sixty-three Thousand Two Hundred Eighteen and Fils (46/100) Only</v>
      </c>
      <c r="B31" s="540"/>
      <c r="C31" s="540"/>
      <c r="D31" s="540"/>
      <c r="E31" s="540"/>
      <c r="F31" s="540"/>
    </row>
    <row r="32" spans="1:10" ht="15.5" x14ac:dyDescent="0.35">
      <c r="A32" s="53"/>
      <c r="B32" s="53"/>
      <c r="C32" s="53"/>
      <c r="D32" s="53"/>
      <c r="E32" s="53"/>
      <c r="F32" s="53"/>
    </row>
    <row r="33" spans="1:6" ht="15.5" x14ac:dyDescent="0.35">
      <c r="A33" s="85" t="s">
        <v>172</v>
      </c>
      <c r="B33" s="69"/>
      <c r="C33" s="53"/>
      <c r="D33" s="53"/>
      <c r="E33" s="53"/>
      <c r="F33" s="53"/>
    </row>
    <row r="34" spans="1:6" ht="15.5" x14ac:dyDescent="0.35">
      <c r="A34" s="85" t="s">
        <v>226</v>
      </c>
      <c r="B34" s="69"/>
      <c r="C34" s="53"/>
      <c r="D34" s="53"/>
      <c r="E34" s="53"/>
      <c r="F34" s="53"/>
    </row>
    <row r="35" spans="1:6" ht="15.5" x14ac:dyDescent="0.35">
      <c r="A35" s="69"/>
      <c r="B35" s="69"/>
      <c r="C35" s="53"/>
      <c r="D35" s="53"/>
      <c r="E35" s="53"/>
      <c r="F35" s="53"/>
    </row>
    <row r="36" spans="1:6" ht="15.5" x14ac:dyDescent="0.35">
      <c r="A36" s="86" t="s">
        <v>173</v>
      </c>
      <c r="B36" s="86"/>
      <c r="C36" s="53"/>
      <c r="D36" s="53"/>
      <c r="E36" s="53"/>
      <c r="F36" s="53"/>
    </row>
    <row r="37" spans="1:6" ht="15.5" x14ac:dyDescent="0.35">
      <c r="A37" s="53"/>
      <c r="B37" s="53"/>
      <c r="C37" s="53"/>
      <c r="D37" s="53"/>
      <c r="E37" s="53"/>
      <c r="F37" s="53"/>
    </row>
    <row r="38" spans="1:6" ht="15.5" x14ac:dyDescent="0.35">
      <c r="A38" s="53"/>
      <c r="B38" s="53"/>
      <c r="C38" s="53"/>
      <c r="D38" s="53"/>
      <c r="E38" s="53"/>
      <c r="F38" s="53"/>
    </row>
    <row r="39" spans="1:6" ht="15.5" x14ac:dyDescent="0.35">
      <c r="A39" s="53"/>
      <c r="B39" s="53"/>
      <c r="C39" s="53"/>
      <c r="D39" s="53"/>
      <c r="F39" s="53"/>
    </row>
    <row r="40" spans="1:6" ht="15.5" x14ac:dyDescent="0.35">
      <c r="A40" s="86" t="s">
        <v>174</v>
      </c>
      <c r="B40" s="66"/>
      <c r="C40" s="53"/>
      <c r="D40" s="53"/>
      <c r="E40" s="53"/>
      <c r="F40" s="67"/>
    </row>
    <row r="41" spans="1:6" ht="15.5" x14ac:dyDescent="0.35">
      <c r="A41" s="87" t="s">
        <v>175</v>
      </c>
      <c r="B41" s="68"/>
      <c r="C41" s="53"/>
      <c r="D41" s="53"/>
      <c r="E41" s="53"/>
      <c r="F41" s="53"/>
    </row>
    <row r="42" spans="1:6" ht="15.5" x14ac:dyDescent="0.35">
      <c r="A42" s="87"/>
      <c r="B42" s="68"/>
      <c r="C42" s="53"/>
      <c r="D42" s="53"/>
      <c r="E42" s="53"/>
      <c r="F42" s="53"/>
    </row>
    <row r="43" spans="1:6" ht="15.5" x14ac:dyDescent="0.35">
      <c r="A43" s="68"/>
      <c r="B43" s="68"/>
      <c r="C43" s="53"/>
      <c r="D43" s="53"/>
      <c r="E43" s="53"/>
      <c r="F43" s="53"/>
    </row>
    <row r="44" spans="1:6" ht="15.5" x14ac:dyDescent="0.35">
      <c r="A44" s="68"/>
      <c r="B44" s="68"/>
      <c r="C44" s="53"/>
      <c r="D44" s="53"/>
      <c r="E44" s="53"/>
      <c r="F44" s="53"/>
    </row>
    <row r="45" spans="1:6" ht="15.5" x14ac:dyDescent="0.35">
      <c r="A45" s="68"/>
      <c r="B45" s="68"/>
      <c r="C45" s="53"/>
      <c r="D45" s="53"/>
      <c r="E45" s="53"/>
      <c r="F45" s="53"/>
    </row>
  </sheetData>
  <mergeCells count="11">
    <mergeCell ref="B26:D26"/>
    <mergeCell ref="B27:E27"/>
    <mergeCell ref="B28:E28"/>
    <mergeCell ref="B30:E30"/>
    <mergeCell ref="A31:F31"/>
    <mergeCell ref="A10:F10"/>
    <mergeCell ref="B11:F11"/>
    <mergeCell ref="A21:B21"/>
    <mergeCell ref="C21:E21"/>
    <mergeCell ref="A22:B22"/>
    <mergeCell ref="C22:E22"/>
  </mergeCells>
  <printOptions horizontalCentered="1"/>
  <pageMargins left="0.25" right="0.25" top="0.25" bottom="0.2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2E67-7E26-49CC-A081-325147B8CE79}">
  <dimension ref="A1:K44"/>
  <sheetViews>
    <sheetView view="pageBreakPreview" topLeftCell="C16" zoomScaleNormal="100" zoomScaleSheetLayoutView="100" workbookViewId="0">
      <selection activeCell="H36" sqref="H36"/>
    </sheetView>
  </sheetViews>
  <sheetFormatPr defaultRowHeight="14.5" x14ac:dyDescent="0.35"/>
  <cols>
    <col min="1" max="1" width="6" customWidth="1"/>
    <col min="2" max="2" width="38.1796875" customWidth="1"/>
    <col min="3" max="3" width="5" bestFit="1" customWidth="1"/>
    <col min="4" max="4" width="14.7265625" customWidth="1"/>
    <col min="5" max="5" width="5.54296875" customWidth="1"/>
    <col min="6" max="6" width="14.81640625" bestFit="1" customWidth="1"/>
    <col min="7" max="7" width="16.26953125" customWidth="1"/>
    <col min="8" max="8" width="14.7265625" customWidth="1"/>
    <col min="9" max="9" width="16.453125" customWidth="1"/>
    <col min="11" max="11" width="11.54296875" bestFit="1" customWidth="1"/>
  </cols>
  <sheetData>
    <row r="1" spans="1:9" ht="15" thickBot="1" x14ac:dyDescent="0.4"/>
    <row r="2" spans="1:9" x14ac:dyDescent="0.35">
      <c r="A2" s="541" t="s">
        <v>176</v>
      </c>
      <c r="B2" s="542"/>
      <c r="C2" s="542"/>
      <c r="D2" s="542"/>
      <c r="E2" s="542"/>
      <c r="F2" s="542"/>
      <c r="G2" s="542"/>
      <c r="H2" s="542"/>
      <c r="I2" s="543"/>
    </row>
    <row r="3" spans="1:9" x14ac:dyDescent="0.35">
      <c r="A3" s="544"/>
      <c r="B3" s="545"/>
      <c r="C3" s="545"/>
      <c r="D3" s="545"/>
      <c r="E3" s="545"/>
      <c r="F3" s="545"/>
      <c r="G3" s="545"/>
      <c r="H3" s="545"/>
      <c r="I3" s="546"/>
    </row>
    <row r="4" spans="1:9" ht="15" thickBot="1" x14ac:dyDescent="0.4">
      <c r="A4" s="547"/>
      <c r="B4" s="548"/>
      <c r="C4" s="548"/>
      <c r="D4" s="548"/>
      <c r="E4" s="548"/>
      <c r="F4" s="548"/>
      <c r="G4" s="548"/>
      <c r="H4" s="548"/>
      <c r="I4" s="549"/>
    </row>
    <row r="5" spans="1:9" ht="15.5" x14ac:dyDescent="0.35">
      <c r="A5" s="5" t="s">
        <v>177</v>
      </c>
      <c r="B5" s="6"/>
      <c r="C5" s="550" t="s">
        <v>178</v>
      </c>
      <c r="D5" s="551"/>
      <c r="E5" s="551"/>
      <c r="F5" s="552"/>
      <c r="G5" s="5"/>
      <c r="H5" s="7"/>
      <c r="I5" s="6"/>
    </row>
    <row r="6" spans="1:9" ht="15.5" x14ac:dyDescent="0.35">
      <c r="A6" s="553" t="s">
        <v>627</v>
      </c>
      <c r="B6" s="554"/>
      <c r="C6" s="553" t="s">
        <v>227</v>
      </c>
      <c r="D6" s="557"/>
      <c r="E6" s="557"/>
      <c r="F6" s="554"/>
      <c r="G6" s="9" t="s">
        <v>179</v>
      </c>
      <c r="H6" s="10" t="s">
        <v>180</v>
      </c>
      <c r="I6" s="11"/>
    </row>
    <row r="7" spans="1:9" ht="16" thickBot="1" x14ac:dyDescent="0.4">
      <c r="A7" s="555"/>
      <c r="B7" s="556"/>
      <c r="C7" s="555"/>
      <c r="D7" s="558"/>
      <c r="E7" s="558"/>
      <c r="F7" s="556"/>
      <c r="G7" s="12"/>
      <c r="H7" s="13"/>
      <c r="I7" s="14"/>
    </row>
    <row r="8" spans="1:9" ht="16" thickBot="1" x14ac:dyDescent="0.4">
      <c r="A8" s="10"/>
      <c r="B8" s="10"/>
      <c r="C8" s="10"/>
      <c r="D8" s="10"/>
      <c r="E8" s="10"/>
      <c r="F8" s="10"/>
      <c r="G8" s="10"/>
      <c r="H8" s="10"/>
      <c r="I8" s="10"/>
    </row>
    <row r="9" spans="1:9" ht="15.5" x14ac:dyDescent="0.35">
      <c r="A9" s="5" t="s">
        <v>181</v>
      </c>
      <c r="B9" s="7"/>
      <c r="C9" s="7"/>
      <c r="D9" s="7"/>
      <c r="E9" s="7"/>
      <c r="F9" s="7"/>
      <c r="G9" s="7" t="s">
        <v>182</v>
      </c>
      <c r="H9" s="7"/>
      <c r="I9" s="15">
        <v>4</v>
      </c>
    </row>
    <row r="10" spans="1:9" ht="15.5" x14ac:dyDescent="0.35">
      <c r="A10" s="9" t="s">
        <v>183</v>
      </c>
      <c r="B10" s="10"/>
      <c r="C10" s="10"/>
      <c r="D10" s="10"/>
      <c r="E10" s="10"/>
      <c r="F10" s="10"/>
      <c r="G10" s="10" t="s">
        <v>184</v>
      </c>
      <c r="H10" s="10"/>
      <c r="I10" s="16" t="s">
        <v>874</v>
      </c>
    </row>
    <row r="11" spans="1:9" ht="15.5" x14ac:dyDescent="0.35">
      <c r="A11" s="9" t="s">
        <v>185</v>
      </c>
      <c r="B11" s="10"/>
      <c r="C11" s="10"/>
      <c r="D11" s="10"/>
      <c r="E11" s="10"/>
      <c r="F11" s="10"/>
      <c r="G11" s="10"/>
      <c r="H11" s="10"/>
      <c r="I11" s="16"/>
    </row>
    <row r="12" spans="1:9" ht="15.5" x14ac:dyDescent="0.35">
      <c r="A12" s="9" t="s">
        <v>186</v>
      </c>
      <c r="B12" s="10"/>
      <c r="C12" s="10"/>
      <c r="D12" s="10"/>
      <c r="E12" s="10"/>
      <c r="F12" s="10"/>
      <c r="G12" s="10" t="s">
        <v>187</v>
      </c>
      <c r="H12" s="10"/>
      <c r="I12" s="17">
        <v>44985</v>
      </c>
    </row>
    <row r="13" spans="1:9" ht="15.5" x14ac:dyDescent="0.35">
      <c r="A13" s="9" t="s">
        <v>188</v>
      </c>
      <c r="B13" s="10"/>
      <c r="C13" s="10"/>
      <c r="D13" s="10"/>
      <c r="E13" s="10"/>
      <c r="F13" s="10"/>
      <c r="G13" s="10" t="s">
        <v>189</v>
      </c>
      <c r="H13" s="10"/>
      <c r="I13" s="17">
        <v>44984</v>
      </c>
    </row>
    <row r="14" spans="1:9" ht="15.5" x14ac:dyDescent="0.35">
      <c r="A14" s="9" t="s">
        <v>190</v>
      </c>
      <c r="B14" s="10"/>
      <c r="C14" s="10"/>
      <c r="D14" s="10"/>
      <c r="E14" s="10"/>
      <c r="F14" s="10"/>
      <c r="G14" s="10"/>
      <c r="H14" s="10"/>
      <c r="I14" s="17"/>
    </row>
    <row r="15" spans="1:9" ht="15.5" x14ac:dyDescent="0.35">
      <c r="A15" s="9" t="s">
        <v>191</v>
      </c>
      <c r="B15" s="10"/>
      <c r="C15" s="18" t="s">
        <v>192</v>
      </c>
      <c r="D15" s="19">
        <f>+'Headboard &amp; Wall paneling'!F204</f>
        <v>2105729.8665</v>
      </c>
      <c r="E15" s="10"/>
      <c r="F15" s="10"/>
      <c r="G15" s="10" t="s">
        <v>193</v>
      </c>
      <c r="H15" s="10"/>
      <c r="I15" s="17">
        <v>44848</v>
      </c>
    </row>
    <row r="16" spans="1:9" ht="15.5" x14ac:dyDescent="0.35">
      <c r="A16" s="9" t="s">
        <v>194</v>
      </c>
      <c r="B16" s="10"/>
      <c r="C16" s="18" t="s">
        <v>192</v>
      </c>
      <c r="D16" s="20"/>
      <c r="E16" s="10"/>
      <c r="F16" s="10"/>
      <c r="G16" s="10" t="s">
        <v>195</v>
      </c>
      <c r="H16" s="10"/>
      <c r="I16" s="17">
        <v>45016</v>
      </c>
    </row>
    <row r="17" spans="1:11" ht="15.5" x14ac:dyDescent="0.35">
      <c r="A17" s="9" t="s">
        <v>196</v>
      </c>
      <c r="B17" s="10"/>
      <c r="C17" s="18" t="s">
        <v>192</v>
      </c>
      <c r="D17" s="20"/>
      <c r="E17" s="10"/>
      <c r="F17" s="10"/>
      <c r="G17" s="10" t="s">
        <v>197</v>
      </c>
      <c r="H17" s="21" t="s">
        <v>198</v>
      </c>
      <c r="I17" s="17"/>
    </row>
    <row r="18" spans="1:11" ht="15.5" x14ac:dyDescent="0.35">
      <c r="A18" s="9" t="s">
        <v>199</v>
      </c>
      <c r="B18" s="10"/>
      <c r="C18" s="18" t="s">
        <v>192</v>
      </c>
      <c r="D18" s="20">
        <f>+'M12'!K39</f>
        <v>2983196.2754040943</v>
      </c>
      <c r="E18" s="10"/>
      <c r="F18" s="10"/>
      <c r="G18" s="10" t="s">
        <v>200</v>
      </c>
      <c r="H18" s="10"/>
      <c r="I18" s="17"/>
    </row>
    <row r="19" spans="1:11" ht="15.5" x14ac:dyDescent="0.35">
      <c r="A19" s="22" t="s">
        <v>201</v>
      </c>
      <c r="B19" s="10"/>
      <c r="C19" s="18" t="s">
        <v>192</v>
      </c>
      <c r="D19" s="20">
        <f>+'M12'!L39</f>
        <v>610447.59403503418</v>
      </c>
      <c r="E19" s="10"/>
      <c r="F19" s="10"/>
      <c r="G19" s="8"/>
      <c r="H19" s="8"/>
      <c r="I19" s="17"/>
    </row>
    <row r="20" spans="1:11" ht="16" thickBot="1" x14ac:dyDescent="0.4">
      <c r="A20" s="9"/>
      <c r="B20" s="10"/>
      <c r="C20" s="18" t="s">
        <v>192</v>
      </c>
      <c r="D20" s="23">
        <f>+D15+D16+D17+D18+D19</f>
        <v>5699373.7359391283</v>
      </c>
      <c r="E20" s="10"/>
      <c r="F20" s="10"/>
      <c r="G20" s="10" t="s">
        <v>202</v>
      </c>
      <c r="H20" s="10"/>
      <c r="I20" s="24">
        <f>+I13+60</f>
        <v>45044</v>
      </c>
    </row>
    <row r="21" spans="1:11" ht="16.5" thickTop="1" thickBot="1" x14ac:dyDescent="0.4">
      <c r="A21" s="12"/>
      <c r="B21" s="13"/>
      <c r="C21" s="13"/>
      <c r="D21" s="13"/>
      <c r="E21" s="13"/>
      <c r="F21" s="13"/>
      <c r="G21" s="13"/>
      <c r="H21" s="13"/>
      <c r="I21" s="25"/>
    </row>
    <row r="22" spans="1:11" ht="16" thickBot="1" x14ac:dyDescent="0.4">
      <c r="A22" s="10" t="s">
        <v>203</v>
      </c>
      <c r="B22" s="10"/>
      <c r="C22" s="10"/>
      <c r="D22" s="10"/>
      <c r="E22" s="10"/>
      <c r="F22" s="10"/>
      <c r="G22" s="10"/>
      <c r="H22" s="10"/>
      <c r="I22" s="10"/>
    </row>
    <row r="23" spans="1:11" ht="31" x14ac:dyDescent="0.35">
      <c r="A23" s="559" t="s">
        <v>204</v>
      </c>
      <c r="B23" s="560"/>
      <c r="C23" s="560"/>
      <c r="D23" s="560"/>
      <c r="E23" s="560"/>
      <c r="F23" s="561"/>
      <c r="G23" s="45" t="s">
        <v>205</v>
      </c>
      <c r="H23" s="26" t="s">
        <v>206</v>
      </c>
      <c r="I23" s="46" t="s">
        <v>207</v>
      </c>
    </row>
    <row r="24" spans="1:11" ht="15.5" x14ac:dyDescent="0.35">
      <c r="A24" s="9"/>
      <c r="B24" s="27" t="s">
        <v>208</v>
      </c>
      <c r="C24" s="10"/>
      <c r="D24" s="10"/>
      <c r="E24" s="10"/>
      <c r="F24" s="10"/>
      <c r="G24" s="28"/>
      <c r="H24" s="29"/>
      <c r="I24" s="30"/>
    </row>
    <row r="25" spans="1:11" ht="15.5" x14ac:dyDescent="0.35">
      <c r="A25" s="31" t="s">
        <v>8</v>
      </c>
      <c r="B25" s="10" t="s">
        <v>209</v>
      </c>
      <c r="C25" s="10"/>
      <c r="D25" s="10"/>
      <c r="E25" s="10"/>
      <c r="F25" s="10"/>
      <c r="G25" s="28">
        <f>+'Headboard &amp; Wall paneling'!J204</f>
        <v>810993.59558000008</v>
      </c>
      <c r="H25" s="28">
        <v>574609.58232836542</v>
      </c>
      <c r="I25" s="30">
        <f>+G25-H25</f>
        <v>236384.01325163466</v>
      </c>
    </row>
    <row r="26" spans="1:11" ht="15.5" x14ac:dyDescent="0.35">
      <c r="A26" s="31" t="s">
        <v>15</v>
      </c>
      <c r="B26" s="10" t="s">
        <v>210</v>
      </c>
      <c r="C26" s="10"/>
      <c r="D26" s="10"/>
      <c r="E26" s="10"/>
      <c r="F26" s="32"/>
      <c r="G26" s="33"/>
      <c r="H26" s="33"/>
      <c r="I26" s="30"/>
    </row>
    <row r="27" spans="1:11" ht="15.5" x14ac:dyDescent="0.35">
      <c r="A27" s="31" t="s">
        <v>20</v>
      </c>
      <c r="B27" s="10" t="s">
        <v>211</v>
      </c>
      <c r="C27" s="10"/>
      <c r="D27" s="10"/>
      <c r="E27" s="10"/>
      <c r="F27" s="10"/>
      <c r="G27" s="28">
        <f>+'M12'!P39</f>
        <v>527631.63260655012</v>
      </c>
      <c r="H27" s="28">
        <v>81814.44080912623</v>
      </c>
      <c r="I27" s="30">
        <f>+G27-H27</f>
        <v>445817.19179742387</v>
      </c>
    </row>
    <row r="28" spans="1:11" ht="15.5" x14ac:dyDescent="0.35">
      <c r="A28" s="34" t="s">
        <v>25</v>
      </c>
      <c r="B28" s="35" t="s">
        <v>212</v>
      </c>
      <c r="C28" s="35"/>
      <c r="D28" s="35"/>
      <c r="E28" s="35"/>
      <c r="F28" s="35"/>
      <c r="G28" s="36"/>
      <c r="H28" s="37"/>
      <c r="I28" s="30"/>
    </row>
    <row r="29" spans="1:11" ht="15.5" x14ac:dyDescent="0.35">
      <c r="A29" s="31"/>
      <c r="B29" s="10"/>
      <c r="C29" s="10"/>
      <c r="D29" s="10"/>
      <c r="E29" s="10"/>
      <c r="F29" s="10" t="s">
        <v>213</v>
      </c>
      <c r="G29" s="28">
        <f>+G25+G27</f>
        <v>1338625.2281865501</v>
      </c>
      <c r="H29" s="28">
        <f>+H25+H27</f>
        <v>656424.02313749166</v>
      </c>
      <c r="I29" s="38">
        <f>+I25+I27</f>
        <v>682201.20504905854</v>
      </c>
      <c r="K29" s="383"/>
    </row>
    <row r="30" spans="1:11" ht="15.5" x14ac:dyDescent="0.35">
      <c r="A30" s="31"/>
      <c r="B30" s="27" t="s">
        <v>229</v>
      </c>
      <c r="C30" s="10"/>
      <c r="D30" s="10"/>
      <c r="E30" s="10"/>
      <c r="F30" s="10"/>
      <c r="G30" s="28"/>
      <c r="H30" s="29"/>
      <c r="I30" s="30"/>
    </row>
    <row r="31" spans="1:11" ht="15.5" x14ac:dyDescent="0.35">
      <c r="A31" s="31" t="s">
        <v>28</v>
      </c>
      <c r="B31" s="10" t="s">
        <v>230</v>
      </c>
      <c r="C31" s="10"/>
      <c r="D31" s="10"/>
      <c r="E31" s="10"/>
      <c r="F31" s="48">
        <v>0.2</v>
      </c>
      <c r="G31" s="28">
        <f>+D15*20%</f>
        <v>421145.97330000001</v>
      </c>
      <c r="H31" s="28">
        <v>421145.97330000001</v>
      </c>
      <c r="I31" s="30">
        <f>+G31-H31</f>
        <v>0</v>
      </c>
    </row>
    <row r="32" spans="1:11" ht="15.5" x14ac:dyDescent="0.35">
      <c r="A32" s="31"/>
      <c r="B32" s="10"/>
      <c r="C32" s="10"/>
      <c r="D32" s="10"/>
      <c r="E32" s="10"/>
      <c r="F32" s="10"/>
      <c r="G32" s="28"/>
      <c r="H32" s="29"/>
      <c r="I32" s="30"/>
    </row>
    <row r="33" spans="1:9" ht="15.5" x14ac:dyDescent="0.35">
      <c r="A33" s="31"/>
      <c r="B33" s="27" t="s">
        <v>214</v>
      </c>
      <c r="C33" s="10"/>
      <c r="D33" s="10"/>
      <c r="E33" s="10"/>
      <c r="F33" s="10"/>
      <c r="G33" s="28"/>
      <c r="H33" s="29"/>
      <c r="I33" s="30"/>
    </row>
    <row r="34" spans="1:9" ht="15.5" x14ac:dyDescent="0.35">
      <c r="A34" s="31" t="s">
        <v>19</v>
      </c>
      <c r="B34" s="10" t="s">
        <v>215</v>
      </c>
      <c r="C34" s="10"/>
      <c r="D34" s="10"/>
      <c r="E34" s="10"/>
      <c r="F34" s="39">
        <v>0</v>
      </c>
      <c r="G34" s="28"/>
      <c r="H34" s="28"/>
      <c r="I34" s="30"/>
    </row>
    <row r="35" spans="1:9" ht="15.5" x14ac:dyDescent="0.35">
      <c r="A35" s="34" t="s">
        <v>33</v>
      </c>
      <c r="B35" s="35" t="s">
        <v>236</v>
      </c>
      <c r="C35" s="35"/>
      <c r="D35" s="35"/>
      <c r="E35" s="35"/>
      <c r="F35" s="40">
        <v>0.2</v>
      </c>
      <c r="G35" s="37">
        <f>+G29*F35</f>
        <v>267725.04563731002</v>
      </c>
      <c r="H35" s="37">
        <f>+H29*F35</f>
        <v>131284.80462749835</v>
      </c>
      <c r="I35" s="41">
        <f>+G35-H35</f>
        <v>136440.24100981167</v>
      </c>
    </row>
    <row r="36" spans="1:9" ht="15.5" x14ac:dyDescent="0.35">
      <c r="A36" s="31"/>
      <c r="B36" s="10"/>
      <c r="C36" s="10"/>
      <c r="D36" s="10"/>
      <c r="E36" s="10"/>
      <c r="F36" s="10" t="s">
        <v>216</v>
      </c>
      <c r="G36" s="28">
        <f>+G29+G31-G35</f>
        <v>1492046.15584924</v>
      </c>
      <c r="H36" s="28">
        <f>+H29+H31-H34-H35</f>
        <v>946285.19180999324</v>
      </c>
      <c r="I36" s="44">
        <f>+I29+I31-I34-I35</f>
        <v>545760.9640392469</v>
      </c>
    </row>
    <row r="37" spans="1:9" ht="16" thickBot="1" x14ac:dyDescent="0.4">
      <c r="A37" s="31" t="s">
        <v>14</v>
      </c>
      <c r="B37" s="10" t="s">
        <v>217</v>
      </c>
      <c r="C37" s="10"/>
      <c r="D37" s="10"/>
      <c r="E37" s="10"/>
      <c r="F37" s="10"/>
      <c r="G37" s="562">
        <f>+I36</f>
        <v>545760.9640392469</v>
      </c>
      <c r="H37" s="563"/>
      <c r="I37" s="564"/>
    </row>
    <row r="38" spans="1:9" ht="15" customHeight="1" x14ac:dyDescent="0.35">
      <c r="A38" s="550" t="s">
        <v>231</v>
      </c>
      <c r="B38" s="551"/>
      <c r="C38" s="577" t="s">
        <v>875</v>
      </c>
      <c r="D38" s="577"/>
      <c r="E38" s="577"/>
      <c r="F38" s="577"/>
      <c r="G38" s="577"/>
      <c r="H38" s="577"/>
      <c r="I38" s="578"/>
    </row>
    <row r="39" spans="1:9" ht="15.75" customHeight="1" thickBot="1" x14ac:dyDescent="0.4">
      <c r="A39" s="565"/>
      <c r="B39" s="566"/>
      <c r="C39" s="579"/>
      <c r="D39" s="579"/>
      <c r="E39" s="579"/>
      <c r="F39" s="579"/>
      <c r="G39" s="579"/>
      <c r="H39" s="579"/>
      <c r="I39" s="580"/>
    </row>
    <row r="40" spans="1:9" ht="16" thickBot="1" x14ac:dyDescent="0.4">
      <c r="A40" s="10"/>
      <c r="B40" s="10"/>
      <c r="C40" s="10"/>
      <c r="D40" s="10"/>
      <c r="E40" s="10"/>
      <c r="F40" s="10"/>
      <c r="G40" s="10"/>
      <c r="H40" s="10"/>
      <c r="I40" s="10"/>
    </row>
    <row r="41" spans="1:9" ht="15.5" x14ac:dyDescent="0.35">
      <c r="A41" s="5" t="s">
        <v>218</v>
      </c>
      <c r="B41" s="7"/>
      <c r="C41" s="7"/>
      <c r="D41" s="567" t="s">
        <v>219</v>
      </c>
      <c r="E41" s="569" t="s">
        <v>220</v>
      </c>
      <c r="F41" s="570"/>
      <c r="G41" s="569" t="s">
        <v>221</v>
      </c>
      <c r="H41" s="573"/>
      <c r="I41" s="574"/>
    </row>
    <row r="42" spans="1:9" ht="16" thickBot="1" x14ac:dyDescent="0.4">
      <c r="A42" s="575" t="s">
        <v>222</v>
      </c>
      <c r="B42" s="576"/>
      <c r="C42" s="576"/>
      <c r="D42" s="568"/>
      <c r="E42" s="571"/>
      <c r="F42" s="572"/>
      <c r="G42" s="571"/>
      <c r="H42" s="558"/>
      <c r="I42" s="556"/>
    </row>
    <row r="43" spans="1:9" ht="45" customHeight="1" x14ac:dyDescent="0.35">
      <c r="A43" s="581" t="s">
        <v>223</v>
      </c>
      <c r="B43" s="582"/>
      <c r="C43" s="582"/>
      <c r="D43" s="47" t="s">
        <v>224</v>
      </c>
      <c r="E43" s="583">
        <v>44984</v>
      </c>
      <c r="F43" s="584"/>
      <c r="G43" s="582"/>
      <c r="H43" s="589"/>
      <c r="I43" s="590"/>
    </row>
    <row r="44" spans="1:9" ht="45" customHeight="1" thickBot="1" x14ac:dyDescent="0.4">
      <c r="A44" s="585" t="s">
        <v>225</v>
      </c>
      <c r="B44" s="586"/>
      <c r="C44" s="586"/>
      <c r="D44" s="42" t="s">
        <v>174</v>
      </c>
      <c r="E44" s="587">
        <v>44984</v>
      </c>
      <c r="F44" s="588"/>
      <c r="G44" s="586"/>
      <c r="H44" s="591"/>
      <c r="I44" s="592"/>
    </row>
  </sheetData>
  <mergeCells count="18">
    <mergeCell ref="A43:C43"/>
    <mergeCell ref="E43:F43"/>
    <mergeCell ref="A44:C44"/>
    <mergeCell ref="E44:F44"/>
    <mergeCell ref="G43:I43"/>
    <mergeCell ref="G44:I44"/>
    <mergeCell ref="G37:I37"/>
    <mergeCell ref="A38:B39"/>
    <mergeCell ref="D41:D42"/>
    <mergeCell ref="E41:F42"/>
    <mergeCell ref="G41:I42"/>
    <mergeCell ref="A42:C42"/>
    <mergeCell ref="C38:I39"/>
    <mergeCell ref="A2:I4"/>
    <mergeCell ref="C5:F5"/>
    <mergeCell ref="A6:B7"/>
    <mergeCell ref="C6:F7"/>
    <mergeCell ref="A23:F23"/>
  </mergeCells>
  <printOptions horizontalCentered="1"/>
  <pageMargins left="0.25" right="0.25" top="0.75" bottom="0.75" header="0.3" footer="0.3"/>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56FF-141E-46EB-B6AF-D7C1EDA96B44}">
  <dimension ref="A1:I48"/>
  <sheetViews>
    <sheetView tabSelected="1" view="pageBreakPreview" topLeftCell="A23" zoomScaleNormal="100" zoomScaleSheetLayoutView="100" workbookViewId="0">
      <selection activeCell="L46" sqref="L45:L46"/>
    </sheetView>
  </sheetViews>
  <sheetFormatPr defaultRowHeight="14.5" x14ac:dyDescent="0.35"/>
  <cols>
    <col min="1" max="1" width="6" customWidth="1"/>
    <col min="2" max="2" width="38.1796875" customWidth="1"/>
    <col min="3" max="3" width="5" bestFit="1" customWidth="1"/>
    <col min="4" max="4" width="14.7265625" customWidth="1"/>
    <col min="5" max="5" width="5.54296875" customWidth="1"/>
    <col min="6" max="6" width="14.81640625" bestFit="1" customWidth="1"/>
    <col min="7" max="7" width="16.26953125" customWidth="1"/>
    <col min="8" max="8" width="12.7265625" bestFit="1" customWidth="1"/>
    <col min="9" max="9" width="16.453125" customWidth="1"/>
  </cols>
  <sheetData>
    <row r="1" spans="1:9" ht="15" hidden="1" thickBot="1" x14ac:dyDescent="0.4"/>
    <row r="2" spans="1:9" ht="15" hidden="1" thickBot="1" x14ac:dyDescent="0.4">
      <c r="A2" s="541" t="s">
        <v>176</v>
      </c>
      <c r="B2" s="542"/>
      <c r="C2" s="542"/>
      <c r="D2" s="542"/>
      <c r="E2" s="542"/>
      <c r="F2" s="542"/>
      <c r="G2" s="542"/>
      <c r="H2" s="542"/>
      <c r="I2" s="543"/>
    </row>
    <row r="3" spans="1:9" ht="15" hidden="1" thickBot="1" x14ac:dyDescent="0.4">
      <c r="A3" s="544"/>
      <c r="B3" s="545"/>
      <c r="C3" s="545"/>
      <c r="D3" s="545"/>
      <c r="E3" s="545"/>
      <c r="F3" s="545"/>
      <c r="G3" s="545"/>
      <c r="H3" s="545"/>
      <c r="I3" s="546"/>
    </row>
    <row r="4" spans="1:9" ht="15" hidden="1" thickBot="1" x14ac:dyDescent="0.4">
      <c r="A4" s="547"/>
      <c r="B4" s="548"/>
      <c r="C4" s="548"/>
      <c r="D4" s="548"/>
      <c r="E4" s="548"/>
      <c r="F4" s="548"/>
      <c r="G4" s="548"/>
      <c r="H4" s="548"/>
      <c r="I4" s="549"/>
    </row>
    <row r="5" spans="1:9" ht="16" hidden="1" thickBot="1" x14ac:dyDescent="0.4">
      <c r="A5" s="5" t="s">
        <v>177</v>
      </c>
      <c r="B5" s="6"/>
      <c r="C5" s="550" t="s">
        <v>178</v>
      </c>
      <c r="D5" s="551"/>
      <c r="E5" s="551"/>
      <c r="F5" s="552"/>
      <c r="G5" s="5"/>
      <c r="H5" s="7"/>
      <c r="I5" s="6"/>
    </row>
    <row r="6" spans="1:9" ht="16" hidden="1" thickBot="1" x14ac:dyDescent="0.4">
      <c r="A6" s="553" t="s">
        <v>627</v>
      </c>
      <c r="B6" s="554"/>
      <c r="C6" s="553" t="s">
        <v>227</v>
      </c>
      <c r="D6" s="557"/>
      <c r="E6" s="557"/>
      <c r="F6" s="554"/>
      <c r="G6" s="9" t="s">
        <v>179</v>
      </c>
      <c r="H6" s="10" t="s">
        <v>180</v>
      </c>
      <c r="I6" s="11"/>
    </row>
    <row r="7" spans="1:9" ht="16" hidden="1" thickBot="1" x14ac:dyDescent="0.4">
      <c r="A7" s="555"/>
      <c r="B7" s="556"/>
      <c r="C7" s="555"/>
      <c r="D7" s="558"/>
      <c r="E7" s="558"/>
      <c r="F7" s="556"/>
      <c r="G7" s="12"/>
      <c r="H7" s="13"/>
      <c r="I7" s="14"/>
    </row>
    <row r="8" spans="1:9" ht="16" hidden="1" thickBot="1" x14ac:dyDescent="0.4">
      <c r="A8" s="10"/>
      <c r="B8" s="10"/>
      <c r="C8" s="10"/>
      <c r="D8" s="10"/>
      <c r="E8" s="10"/>
      <c r="F8" s="10"/>
      <c r="G8" s="10"/>
      <c r="H8" s="10"/>
      <c r="I8" s="10"/>
    </row>
    <row r="9" spans="1:9" ht="16" hidden="1" thickBot="1" x14ac:dyDescent="0.4">
      <c r="A9" s="5" t="s">
        <v>181</v>
      </c>
      <c r="B9" s="7"/>
      <c r="C9" s="7"/>
      <c r="D9" s="7"/>
      <c r="E9" s="7"/>
      <c r="F9" s="7"/>
      <c r="G9" s="7" t="s">
        <v>182</v>
      </c>
      <c r="H9" s="7"/>
      <c r="I9" s="15">
        <v>3</v>
      </c>
    </row>
    <row r="10" spans="1:9" ht="16" hidden="1" thickBot="1" x14ac:dyDescent="0.4">
      <c r="A10" s="9" t="s">
        <v>183</v>
      </c>
      <c r="B10" s="10"/>
      <c r="C10" s="10"/>
      <c r="D10" s="10"/>
      <c r="E10" s="10"/>
      <c r="F10" s="10"/>
      <c r="G10" s="10" t="s">
        <v>184</v>
      </c>
      <c r="H10" s="10"/>
      <c r="I10" s="16" t="s">
        <v>877</v>
      </c>
    </row>
    <row r="11" spans="1:9" ht="16" hidden="1" thickBot="1" x14ac:dyDescent="0.4">
      <c r="A11" s="9" t="s">
        <v>185</v>
      </c>
      <c r="B11" s="10"/>
      <c r="C11" s="10"/>
      <c r="D11" s="10"/>
      <c r="E11" s="10"/>
      <c r="F11" s="10"/>
      <c r="G11" s="10"/>
      <c r="H11" s="10"/>
      <c r="I11" s="16"/>
    </row>
    <row r="12" spans="1:9" ht="16" hidden="1" thickBot="1" x14ac:dyDescent="0.4">
      <c r="A12" s="9" t="s">
        <v>186</v>
      </c>
      <c r="B12" s="10"/>
      <c r="C12" s="10"/>
      <c r="D12" s="10"/>
      <c r="E12" s="10"/>
      <c r="F12" s="10"/>
      <c r="G12" s="10" t="s">
        <v>187</v>
      </c>
      <c r="H12" s="10"/>
      <c r="I12" s="17">
        <v>44957</v>
      </c>
    </row>
    <row r="13" spans="1:9" ht="16" hidden="1" thickBot="1" x14ac:dyDescent="0.4">
      <c r="A13" s="9" t="s">
        <v>188</v>
      </c>
      <c r="B13" s="10"/>
      <c r="C13" s="10"/>
      <c r="D13" s="10"/>
      <c r="E13" s="10"/>
      <c r="F13" s="10"/>
      <c r="G13" s="10" t="s">
        <v>189</v>
      </c>
      <c r="H13" s="10"/>
      <c r="I13" s="17">
        <v>44950</v>
      </c>
    </row>
    <row r="14" spans="1:9" ht="16" hidden="1" thickBot="1" x14ac:dyDescent="0.4">
      <c r="A14" s="9" t="s">
        <v>190</v>
      </c>
      <c r="B14" s="10"/>
      <c r="C14" s="10"/>
      <c r="D14" s="10"/>
      <c r="E14" s="10"/>
      <c r="F14" s="10"/>
      <c r="G14" s="10"/>
      <c r="H14" s="10"/>
      <c r="I14" s="17"/>
    </row>
    <row r="15" spans="1:9" ht="16" hidden="1" thickBot="1" x14ac:dyDescent="0.4">
      <c r="A15" s="9" t="s">
        <v>191</v>
      </c>
      <c r="B15" s="10"/>
      <c r="C15" s="18" t="s">
        <v>192</v>
      </c>
      <c r="D15" s="19">
        <f>+'[1]Headboard &amp; Wall paneling'!F204</f>
        <v>2105729.8665</v>
      </c>
      <c r="E15" s="10"/>
      <c r="F15" s="10"/>
      <c r="G15" s="10" t="s">
        <v>193</v>
      </c>
      <c r="H15" s="10"/>
      <c r="I15" s="17">
        <v>44562</v>
      </c>
    </row>
    <row r="16" spans="1:9" ht="16" hidden="1" thickBot="1" x14ac:dyDescent="0.4">
      <c r="A16" s="9" t="s">
        <v>194</v>
      </c>
      <c r="B16" s="10"/>
      <c r="C16" s="18" t="s">
        <v>192</v>
      </c>
      <c r="D16" s="20"/>
      <c r="E16" s="10"/>
      <c r="F16" s="10"/>
      <c r="G16" s="10" t="s">
        <v>195</v>
      </c>
      <c r="H16" s="10"/>
      <c r="I16" s="17">
        <v>44789</v>
      </c>
    </row>
    <row r="17" spans="1:9" ht="16" hidden="1" thickBot="1" x14ac:dyDescent="0.4">
      <c r="A17" s="9" t="s">
        <v>196</v>
      </c>
      <c r="B17" s="10"/>
      <c r="C17" s="18" t="s">
        <v>192</v>
      </c>
      <c r="D17" s="20"/>
      <c r="E17" s="10"/>
      <c r="F17" s="10"/>
      <c r="G17" s="10" t="s">
        <v>197</v>
      </c>
      <c r="H17" s="21" t="s">
        <v>198</v>
      </c>
      <c r="I17" s="17"/>
    </row>
    <row r="18" spans="1:9" ht="16" hidden="1" thickBot="1" x14ac:dyDescent="0.4">
      <c r="A18" s="9" t="s">
        <v>199</v>
      </c>
      <c r="B18" s="10"/>
      <c r="C18" s="18" t="s">
        <v>192</v>
      </c>
      <c r="D18" s="20">
        <f>+[1]M12!K27</f>
        <v>2719104.0624563126</v>
      </c>
      <c r="E18" s="10"/>
      <c r="F18" s="10"/>
      <c r="G18" s="10" t="s">
        <v>200</v>
      </c>
      <c r="H18" s="10"/>
      <c r="I18" s="17"/>
    </row>
    <row r="19" spans="1:9" ht="16" hidden="1" thickBot="1" x14ac:dyDescent="0.4">
      <c r="A19" s="22" t="s">
        <v>201</v>
      </c>
      <c r="B19" s="10"/>
      <c r="C19" s="18" t="s">
        <v>192</v>
      </c>
      <c r="D19" s="20">
        <f>+[1]M12!L27</f>
        <v>253979.47294778127</v>
      </c>
      <c r="E19" s="10"/>
      <c r="F19" s="10"/>
      <c r="G19" s="8"/>
      <c r="H19" s="8"/>
      <c r="I19" s="17"/>
    </row>
    <row r="20" spans="1:9" ht="16" hidden="1" thickBot="1" x14ac:dyDescent="0.4">
      <c r="A20" s="9"/>
      <c r="B20" s="10"/>
      <c r="C20" s="18" t="s">
        <v>192</v>
      </c>
      <c r="D20" s="23">
        <f>+D15+D16+D17+D18+D19</f>
        <v>5078813.401904094</v>
      </c>
      <c r="E20" s="10"/>
      <c r="F20" s="10"/>
      <c r="G20" s="10" t="s">
        <v>202</v>
      </c>
      <c r="H20" s="10"/>
      <c r="I20" s="24">
        <v>44918</v>
      </c>
    </row>
    <row r="21" spans="1:9" ht="16" hidden="1" thickBot="1" x14ac:dyDescent="0.4">
      <c r="A21" s="12"/>
      <c r="B21" s="13"/>
      <c r="C21" s="13"/>
      <c r="D21" s="13"/>
      <c r="E21" s="13"/>
      <c r="F21" s="13"/>
      <c r="G21" s="13"/>
      <c r="H21" s="13"/>
      <c r="I21" s="25"/>
    </row>
    <row r="22" spans="1:9" ht="16" hidden="1" thickBot="1" x14ac:dyDescent="0.4">
      <c r="A22" s="10" t="s">
        <v>203</v>
      </c>
      <c r="B22" s="10"/>
      <c r="C22" s="10"/>
      <c r="D22" s="10"/>
      <c r="E22" s="10"/>
      <c r="F22" s="10"/>
      <c r="G22" s="10"/>
      <c r="H22" s="10"/>
      <c r="I22" s="10"/>
    </row>
    <row r="23" spans="1:9" ht="31" x14ac:dyDescent="0.35">
      <c r="A23" s="559" t="s">
        <v>204</v>
      </c>
      <c r="B23" s="560"/>
      <c r="C23" s="560"/>
      <c r="D23" s="560"/>
      <c r="E23" s="560"/>
      <c r="F23" s="561"/>
      <c r="G23" s="45" t="s">
        <v>205</v>
      </c>
      <c r="H23" s="26" t="s">
        <v>206</v>
      </c>
      <c r="I23" s="46" t="s">
        <v>207</v>
      </c>
    </row>
    <row r="24" spans="1:9" ht="15.5" x14ac:dyDescent="0.35">
      <c r="A24" s="9"/>
      <c r="B24" s="27" t="s">
        <v>208</v>
      </c>
      <c r="C24" s="10"/>
      <c r="D24" s="10"/>
      <c r="E24" s="10"/>
      <c r="F24" s="10"/>
      <c r="G24" s="28"/>
      <c r="H24" s="29"/>
      <c r="I24" s="30"/>
    </row>
    <row r="25" spans="1:9" ht="15.5" x14ac:dyDescent="0.35">
      <c r="A25" s="31" t="s">
        <v>8</v>
      </c>
      <c r="B25" s="10" t="s">
        <v>209</v>
      </c>
      <c r="C25" s="10"/>
      <c r="D25" s="10"/>
      <c r="E25" s="10"/>
      <c r="F25" s="10"/>
      <c r="G25" s="28">
        <f>'Headboard &amp; Wall paneling'!J204</f>
        <v>810993.59558000008</v>
      </c>
      <c r="H25" s="28">
        <v>551016.90392836533</v>
      </c>
      <c r="I25" s="30">
        <f>+G25-H25</f>
        <v>259976.69165163476</v>
      </c>
    </row>
    <row r="26" spans="1:9" ht="15.5" x14ac:dyDescent="0.35">
      <c r="A26" s="31" t="s">
        <v>15</v>
      </c>
      <c r="B26" s="10" t="s">
        <v>210</v>
      </c>
      <c r="C26" s="10"/>
      <c r="D26" s="10"/>
      <c r="E26" s="10"/>
      <c r="F26" s="32"/>
      <c r="G26" s="33"/>
      <c r="H26" s="33"/>
      <c r="I26" s="30"/>
    </row>
    <row r="27" spans="1:9" ht="15.5" x14ac:dyDescent="0.35">
      <c r="A27" s="31" t="s">
        <v>20</v>
      </c>
      <c r="B27" s="10" t="s">
        <v>211</v>
      </c>
      <c r="C27" s="10"/>
      <c r="D27" s="10"/>
      <c r="E27" s="10"/>
      <c r="F27" s="10"/>
      <c r="G27" s="28">
        <f>'M12'!P39</f>
        <v>527631.63260655012</v>
      </c>
      <c r="H27" s="28">
        <v>69334.289194824072</v>
      </c>
      <c r="I27" s="30">
        <f>+G27-H27</f>
        <v>458297.34341172606</v>
      </c>
    </row>
    <row r="28" spans="1:9" ht="15.5" x14ac:dyDescent="0.35">
      <c r="A28" s="34" t="s">
        <v>25</v>
      </c>
      <c r="B28" s="35" t="s">
        <v>212</v>
      </c>
      <c r="C28" s="35"/>
      <c r="D28" s="35"/>
      <c r="E28" s="35"/>
      <c r="F28" s="35"/>
      <c r="G28" s="36"/>
      <c r="H28" s="37"/>
      <c r="I28" s="30"/>
    </row>
    <row r="29" spans="1:9" ht="15.5" x14ac:dyDescent="0.35">
      <c r="A29" s="31"/>
      <c r="B29" s="10"/>
      <c r="C29" s="10"/>
      <c r="D29" s="10"/>
      <c r="E29" s="10"/>
      <c r="F29" s="10" t="s">
        <v>213</v>
      </c>
      <c r="G29" s="28">
        <f>+G25+G27</f>
        <v>1338625.2281865501</v>
      </c>
      <c r="H29" s="28">
        <f>+H25+H27</f>
        <v>620351.19312318938</v>
      </c>
      <c r="I29" s="38">
        <f>+I25+I27</f>
        <v>718274.03506336082</v>
      </c>
    </row>
    <row r="30" spans="1:9" ht="15.5" x14ac:dyDescent="0.35">
      <c r="A30" s="31"/>
      <c r="B30" s="27" t="s">
        <v>229</v>
      </c>
      <c r="C30" s="10"/>
      <c r="D30" s="10"/>
      <c r="E30" s="10"/>
      <c r="F30" s="10"/>
      <c r="G30" s="28"/>
      <c r="H30" s="29"/>
      <c r="I30" s="30"/>
    </row>
    <row r="31" spans="1:9" ht="15.5" x14ac:dyDescent="0.35">
      <c r="A31" s="31" t="s">
        <v>28</v>
      </c>
      <c r="B31" s="10" t="s">
        <v>230</v>
      </c>
      <c r="C31" s="10"/>
      <c r="D31" s="10"/>
      <c r="E31" s="10"/>
      <c r="F31" s="48">
        <v>0.2</v>
      </c>
      <c r="G31" s="28">
        <f>+D15*20%</f>
        <v>421145.97330000001</v>
      </c>
      <c r="H31" s="28">
        <v>421145.97330000001</v>
      </c>
      <c r="I31" s="30">
        <f>+G31-H31</f>
        <v>0</v>
      </c>
    </row>
    <row r="32" spans="1:9" ht="15.5" x14ac:dyDescent="0.35">
      <c r="A32" s="31"/>
      <c r="B32" s="10"/>
      <c r="C32" s="10"/>
      <c r="D32" s="10"/>
      <c r="E32" s="10"/>
      <c r="F32" s="10"/>
      <c r="G32" s="28"/>
      <c r="H32" s="29"/>
      <c r="I32" s="30"/>
    </row>
    <row r="33" spans="1:9" ht="15.5" x14ac:dyDescent="0.35">
      <c r="A33" s="31"/>
      <c r="B33" s="27" t="s">
        <v>214</v>
      </c>
      <c r="C33" s="10"/>
      <c r="D33" s="10"/>
      <c r="E33" s="10"/>
      <c r="F33" s="10"/>
      <c r="G33" s="28"/>
      <c r="H33" s="29"/>
      <c r="I33" s="30"/>
    </row>
    <row r="34" spans="1:9" ht="15.5" x14ac:dyDescent="0.35">
      <c r="A34" s="31" t="s">
        <v>19</v>
      </c>
      <c r="B34" s="10" t="s">
        <v>215</v>
      </c>
      <c r="C34" s="10"/>
      <c r="D34" s="10"/>
      <c r="E34" s="10"/>
      <c r="F34" s="39">
        <v>0</v>
      </c>
      <c r="G34" s="28"/>
      <c r="H34" s="28"/>
      <c r="I34" s="30"/>
    </row>
    <row r="35" spans="1:9" ht="15.5" x14ac:dyDescent="0.35">
      <c r="A35" s="34" t="s">
        <v>33</v>
      </c>
      <c r="B35" s="35" t="s">
        <v>236</v>
      </c>
      <c r="C35" s="35"/>
      <c r="D35" s="35"/>
      <c r="E35" s="35"/>
      <c r="F35" s="40">
        <v>0.2</v>
      </c>
      <c r="G35" s="37">
        <f>+G29*F35</f>
        <v>267725.04563731002</v>
      </c>
      <c r="H35" s="37">
        <v>124070.23862463789</v>
      </c>
      <c r="I35" s="41">
        <f>+G35-H35</f>
        <v>143654.80701267213</v>
      </c>
    </row>
    <row r="36" spans="1:9" ht="15.5" x14ac:dyDescent="0.35">
      <c r="A36" s="31"/>
      <c r="B36" s="10"/>
      <c r="C36" s="10"/>
      <c r="D36" s="10"/>
      <c r="E36" s="10"/>
      <c r="F36" s="10" t="s">
        <v>216</v>
      </c>
      <c r="G36" s="28">
        <f>+G29+G31-G35</f>
        <v>1492046.15584924</v>
      </c>
      <c r="H36" s="28">
        <f>+H29+H31-H34-H35</f>
        <v>917426.92779855151</v>
      </c>
      <c r="I36" s="44">
        <f>+I29+I31-I34-I35</f>
        <v>574619.22805068875</v>
      </c>
    </row>
    <row r="37" spans="1:9" ht="15.5" hidden="1" x14ac:dyDescent="0.35">
      <c r="A37" s="31" t="s">
        <v>14</v>
      </c>
      <c r="B37" s="10" t="s">
        <v>217</v>
      </c>
      <c r="C37" s="10"/>
      <c r="D37" s="10"/>
      <c r="E37" s="10"/>
      <c r="F37" s="10"/>
      <c r="G37" s="562">
        <f>+I36</f>
        <v>574619.22805068875</v>
      </c>
      <c r="H37" s="563"/>
      <c r="I37" s="564"/>
    </row>
    <row r="38" spans="1:9" ht="15" hidden="1" customHeight="1" x14ac:dyDescent="0.35">
      <c r="A38" s="550" t="s">
        <v>231</v>
      </c>
      <c r="B38" s="551"/>
      <c r="C38" s="577" t="s">
        <v>878</v>
      </c>
      <c r="D38" s="577"/>
      <c r="E38" s="577"/>
      <c r="F38" s="577"/>
      <c r="G38" s="577"/>
      <c r="H38" s="577"/>
      <c r="I38" s="578"/>
    </row>
    <row r="39" spans="1:9" ht="15.75" hidden="1" customHeight="1" thickBot="1" x14ac:dyDescent="0.4">
      <c r="A39" s="565"/>
      <c r="B39" s="566"/>
      <c r="C39" s="579"/>
      <c r="D39" s="579"/>
      <c r="E39" s="579"/>
      <c r="F39" s="579"/>
      <c r="G39" s="579"/>
      <c r="H39" s="579"/>
      <c r="I39" s="580"/>
    </row>
    <row r="40" spans="1:9" ht="15.5" hidden="1" x14ac:dyDescent="0.35">
      <c r="A40" s="10"/>
      <c r="B40" s="10"/>
      <c r="C40" s="10"/>
      <c r="D40" s="10"/>
      <c r="E40" s="10"/>
      <c r="F40" s="10"/>
      <c r="G40" s="10"/>
      <c r="H40" s="10"/>
      <c r="I40" s="10"/>
    </row>
    <row r="41" spans="1:9" ht="15.5" hidden="1" x14ac:dyDescent="0.35">
      <c r="A41" s="5" t="s">
        <v>218</v>
      </c>
      <c r="B41" s="7"/>
      <c r="C41" s="7"/>
      <c r="D41" s="567" t="s">
        <v>219</v>
      </c>
      <c r="E41" s="569" t="s">
        <v>220</v>
      </c>
      <c r="F41" s="570"/>
      <c r="G41" s="569" t="s">
        <v>221</v>
      </c>
      <c r="H41" s="573"/>
      <c r="I41" s="574"/>
    </row>
    <row r="42" spans="1:9" ht="16" hidden="1" thickBot="1" x14ac:dyDescent="0.4">
      <c r="A42" s="575" t="s">
        <v>222</v>
      </c>
      <c r="B42" s="576"/>
      <c r="C42" s="576"/>
      <c r="D42" s="568"/>
      <c r="E42" s="571"/>
      <c r="F42" s="572"/>
      <c r="G42" s="571"/>
      <c r="H42" s="558"/>
      <c r="I42" s="556"/>
    </row>
    <row r="43" spans="1:9" ht="29.25" hidden="1" customHeight="1" x14ac:dyDescent="0.35">
      <c r="A43" s="581" t="s">
        <v>223</v>
      </c>
      <c r="B43" s="582"/>
      <c r="C43" s="582"/>
      <c r="D43" s="47" t="s">
        <v>224</v>
      </c>
      <c r="E43" s="583">
        <v>44950</v>
      </c>
      <c r="F43" s="584"/>
      <c r="G43" s="582"/>
      <c r="H43" s="589"/>
      <c r="I43" s="590"/>
    </row>
    <row r="44" spans="1:9" ht="29.25" hidden="1" customHeight="1" thickBot="1" x14ac:dyDescent="0.4">
      <c r="A44" s="585" t="s">
        <v>225</v>
      </c>
      <c r="B44" s="586"/>
      <c r="C44" s="586"/>
      <c r="D44" s="42" t="s">
        <v>174</v>
      </c>
      <c r="E44" s="587">
        <v>44950</v>
      </c>
      <c r="F44" s="588"/>
      <c r="G44" s="586"/>
      <c r="H44" s="591"/>
      <c r="I44" s="592"/>
    </row>
    <row r="47" spans="1:9" x14ac:dyDescent="0.35">
      <c r="F47" t="s">
        <v>881</v>
      </c>
      <c r="G47" s="593">
        <v>946285.19</v>
      </c>
      <c r="H47" s="593">
        <v>663218.46400000004</v>
      </c>
      <c r="I47" s="593">
        <v>1609503.6540000001</v>
      </c>
    </row>
    <row r="48" spans="1:9" x14ac:dyDescent="0.35">
      <c r="F48" t="s">
        <v>882</v>
      </c>
      <c r="G48" s="383">
        <f>H36-G47</f>
        <v>-28858.262201448437</v>
      </c>
      <c r="H48" s="383">
        <f>I36-H47</f>
        <v>-88599.235949311289</v>
      </c>
      <c r="I48" s="383">
        <f>G36-I47</f>
        <v>-117457.49815076008</v>
      </c>
    </row>
  </sheetData>
  <mergeCells count="18">
    <mergeCell ref="G37:I37"/>
    <mergeCell ref="A2:I4"/>
    <mergeCell ref="C5:F5"/>
    <mergeCell ref="A6:B7"/>
    <mergeCell ref="C6:F7"/>
    <mergeCell ref="A23:F23"/>
    <mergeCell ref="A38:B39"/>
    <mergeCell ref="C38:I39"/>
    <mergeCell ref="D41:D42"/>
    <mergeCell ref="E41:F42"/>
    <mergeCell ref="G41:I42"/>
    <mergeCell ref="A42:C42"/>
    <mergeCell ref="A43:C43"/>
    <mergeCell ref="E43:F43"/>
    <mergeCell ref="G43:I43"/>
    <mergeCell ref="A44:C44"/>
    <mergeCell ref="E44:F44"/>
    <mergeCell ref="G44:I44"/>
  </mergeCells>
  <printOptions horizontalCentered="1"/>
  <pageMargins left="0.25" right="0.25" top="0.75" bottom="0.75" header="0.3" footer="0.3"/>
  <pageSetup paperSize="9" scale="7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3BCB-F4DD-4823-BBE3-23FF5A25CB37}">
  <dimension ref="A1:L207"/>
  <sheetViews>
    <sheetView view="pageBreakPreview" zoomScaleNormal="100" zoomScaleSheetLayoutView="100" workbookViewId="0">
      <pane ySplit="2" topLeftCell="A15" activePane="bottomLeft" state="frozen"/>
      <selection pane="bottomLeft" activeCell="B5" sqref="B5"/>
    </sheetView>
  </sheetViews>
  <sheetFormatPr defaultRowHeight="14.5" x14ac:dyDescent="0.35"/>
  <cols>
    <col min="1" max="1" width="5.26953125" style="43" customWidth="1"/>
    <col min="2" max="2" width="34.54296875" style="1" customWidth="1"/>
    <col min="3" max="3" width="6.1796875" style="127" customWidth="1"/>
    <col min="4" max="4" width="5" style="128" bestFit="1" customWidth="1"/>
    <col min="5" max="5" width="9.1796875" style="127" bestFit="1" customWidth="1"/>
    <col min="6" max="6" width="11.7265625" style="127" bestFit="1" customWidth="1"/>
    <col min="7" max="8" width="11.7265625" style="127" customWidth="1"/>
    <col min="9" max="9" width="10" style="130" customWidth="1"/>
    <col min="10" max="11" width="11.1796875" style="127" customWidth="1"/>
    <col min="12" max="12" width="19.81640625" style="1" customWidth="1"/>
  </cols>
  <sheetData>
    <row r="1" spans="1:12" s="2" customFormat="1" x14ac:dyDescent="0.35">
      <c r="A1" s="4"/>
      <c r="B1" s="51"/>
      <c r="D1" s="4"/>
      <c r="I1" s="93"/>
    </row>
    <row r="2" spans="1:12" s="51" customFormat="1" ht="43.5" x14ac:dyDescent="0.35">
      <c r="A2" s="49" t="s">
        <v>232</v>
      </c>
      <c r="B2" s="50" t="s">
        <v>1</v>
      </c>
      <c r="C2" s="50" t="s">
        <v>233</v>
      </c>
      <c r="D2" s="49" t="s">
        <v>3</v>
      </c>
      <c r="E2" s="50" t="s">
        <v>4</v>
      </c>
      <c r="F2" s="50" t="s">
        <v>5</v>
      </c>
      <c r="G2" s="94" t="s">
        <v>832</v>
      </c>
      <c r="H2" s="50" t="s">
        <v>833</v>
      </c>
      <c r="I2" s="94" t="s">
        <v>834</v>
      </c>
      <c r="J2" s="50" t="s">
        <v>835</v>
      </c>
      <c r="K2" s="50" t="s">
        <v>836</v>
      </c>
      <c r="L2" s="50" t="s">
        <v>2</v>
      </c>
    </row>
    <row r="3" spans="1:12" s="3" customFormat="1" x14ac:dyDescent="0.35">
      <c r="A3" s="278" t="s">
        <v>6</v>
      </c>
      <c r="B3" s="277" t="s">
        <v>7</v>
      </c>
      <c r="C3" s="275"/>
      <c r="D3" s="280" t="s">
        <v>0</v>
      </c>
      <c r="E3" s="275"/>
      <c r="F3" s="273">
        <f>+F5</f>
        <v>44174.43</v>
      </c>
      <c r="G3" s="276"/>
      <c r="H3" s="273">
        <f>+H5</f>
        <v>9392.352028365347</v>
      </c>
      <c r="I3" s="276"/>
      <c r="J3" s="273">
        <f>+J5</f>
        <v>17669.772000000001</v>
      </c>
      <c r="K3" s="273">
        <f>+J3-H3</f>
        <v>8277.4199716346538</v>
      </c>
      <c r="L3" s="97"/>
    </row>
    <row r="4" spans="1:12" x14ac:dyDescent="0.35">
      <c r="A4" s="281"/>
      <c r="B4" s="99"/>
      <c r="C4" s="162"/>
      <c r="D4" s="271"/>
      <c r="E4" s="162"/>
      <c r="F4" s="162"/>
      <c r="G4" s="180"/>
      <c r="H4" s="162"/>
      <c r="I4" s="180"/>
      <c r="J4" s="162"/>
      <c r="K4" s="162"/>
      <c r="L4" s="99"/>
    </row>
    <row r="5" spans="1:12" x14ac:dyDescent="0.35">
      <c r="A5" s="281" t="s">
        <v>9</v>
      </c>
      <c r="B5" s="99" t="s">
        <v>784</v>
      </c>
      <c r="C5" s="162">
        <v>1</v>
      </c>
      <c r="D5" s="271" t="s">
        <v>11</v>
      </c>
      <c r="E5" s="270">
        <v>44174.43</v>
      </c>
      <c r="F5" s="270">
        <f>+C5*E5</f>
        <v>44174.43</v>
      </c>
      <c r="G5" s="180"/>
      <c r="H5" s="270">
        <v>9392.352028365347</v>
      </c>
      <c r="I5" s="180"/>
      <c r="J5" s="522">
        <f>F5*0.4</f>
        <v>17669.772000000001</v>
      </c>
      <c r="K5" s="270">
        <f>+J5-H5</f>
        <v>8277.4199716346538</v>
      </c>
      <c r="L5" s="520">
        <f>J5/F5</f>
        <v>0.4</v>
      </c>
    </row>
    <row r="6" spans="1:12" x14ac:dyDescent="0.35">
      <c r="A6" s="281"/>
      <c r="B6" s="99"/>
      <c r="C6" s="162"/>
      <c r="D6" s="271"/>
      <c r="E6" s="162"/>
      <c r="F6" s="162"/>
      <c r="G6" s="180"/>
      <c r="H6" s="162"/>
      <c r="I6" s="180"/>
      <c r="J6" s="162"/>
      <c r="K6" s="162"/>
      <c r="L6" s="99"/>
    </row>
    <row r="7" spans="1:12" s="3" customFormat="1" x14ac:dyDescent="0.35">
      <c r="A7" s="272" t="s">
        <v>6</v>
      </c>
      <c r="B7" s="109" t="s">
        <v>12</v>
      </c>
      <c r="C7" s="268"/>
      <c r="D7" s="279" t="s">
        <v>0</v>
      </c>
      <c r="E7" s="282"/>
      <c r="F7" s="282">
        <f>+F9+F15+F21+F27+F33+F39+F45+F52+F60+F66+F76</f>
        <v>1464397.74</v>
      </c>
      <c r="G7" s="283"/>
      <c r="H7" s="282">
        <f>+H9+H15+H21+H27+H33+H39+H45+H52+H60+H66+H76</f>
        <v>459050.17750000005</v>
      </c>
      <c r="I7" s="283"/>
      <c r="J7" s="282">
        <f>+J9+J15+J21+J27+J33+J39+J45+J52+J60+J66+J76</f>
        <v>524260.96850000002</v>
      </c>
      <c r="K7" s="282">
        <f>+J7-H7</f>
        <v>65210.790999999968</v>
      </c>
      <c r="L7" s="109"/>
    </row>
    <row r="8" spans="1:12" x14ac:dyDescent="0.35">
      <c r="A8" s="281"/>
      <c r="B8" s="99"/>
      <c r="C8" s="162"/>
      <c r="D8" s="271"/>
      <c r="E8" s="162"/>
      <c r="F8" s="162"/>
      <c r="G8" s="180"/>
      <c r="H8" s="162"/>
      <c r="I8" s="180"/>
      <c r="J8" s="162"/>
      <c r="K8" s="162"/>
      <c r="L8" s="99"/>
    </row>
    <row r="9" spans="1:12" s="3" customFormat="1" x14ac:dyDescent="0.35">
      <c r="A9" s="284" t="s">
        <v>6</v>
      </c>
      <c r="B9" s="101" t="s">
        <v>13</v>
      </c>
      <c r="C9" s="285"/>
      <c r="D9" s="286" t="s">
        <v>0</v>
      </c>
      <c r="E9" s="285"/>
      <c r="F9" s="287">
        <f>+F11+F13</f>
        <v>270658.5</v>
      </c>
      <c r="G9" s="288"/>
      <c r="H9" s="287">
        <f>+H11+H13</f>
        <v>79241.75</v>
      </c>
      <c r="I9" s="288"/>
      <c r="J9" s="287">
        <f>+J11+J13</f>
        <v>79241.75</v>
      </c>
      <c r="K9" s="287">
        <f>+J9-H9</f>
        <v>0</v>
      </c>
      <c r="L9" s="101"/>
    </row>
    <row r="10" spans="1:12" x14ac:dyDescent="0.35">
      <c r="A10" s="281"/>
      <c r="B10" s="99"/>
      <c r="C10" s="162"/>
      <c r="D10" s="271"/>
      <c r="E10" s="162"/>
      <c r="F10" s="162"/>
      <c r="G10" s="180"/>
      <c r="H10" s="162"/>
      <c r="I10" s="180"/>
      <c r="J10" s="162"/>
      <c r="K10" s="162"/>
      <c r="L10" s="99"/>
    </row>
    <row r="11" spans="1:12" ht="87" x14ac:dyDescent="0.35">
      <c r="A11" s="281" t="s">
        <v>16</v>
      </c>
      <c r="B11" s="99" t="s">
        <v>17</v>
      </c>
      <c r="C11" s="162">
        <v>50</v>
      </c>
      <c r="D11" s="271" t="s">
        <v>18</v>
      </c>
      <c r="E11" s="270">
        <v>3169.67</v>
      </c>
      <c r="F11" s="270">
        <f>+C11*E11</f>
        <v>158483.5</v>
      </c>
      <c r="G11" s="180">
        <f>35%+15%</f>
        <v>0.5</v>
      </c>
      <c r="H11" s="270">
        <f>+F11*G11</f>
        <v>79241.75</v>
      </c>
      <c r="I11" s="180">
        <f>35%+15%</f>
        <v>0.5</v>
      </c>
      <c r="J11" s="270">
        <f>+F11*I11</f>
        <v>79241.75</v>
      </c>
      <c r="K11" s="270">
        <f>+J11-H11</f>
        <v>0</v>
      </c>
      <c r="L11" s="289" t="s">
        <v>816</v>
      </c>
    </row>
    <row r="12" spans="1:12" x14ac:dyDescent="0.35">
      <c r="A12" s="281"/>
      <c r="B12" s="99"/>
      <c r="C12" s="162"/>
      <c r="D12" s="271"/>
      <c r="E12" s="162"/>
      <c r="F12" s="162"/>
      <c r="G12" s="180"/>
      <c r="H12" s="162"/>
      <c r="I12" s="180"/>
      <c r="J12" s="162"/>
      <c r="K12" s="162"/>
      <c r="L12" s="99"/>
    </row>
    <row r="13" spans="1:12" x14ac:dyDescent="0.35">
      <c r="A13" s="281" t="s">
        <v>21</v>
      </c>
      <c r="B13" s="99" t="s">
        <v>22</v>
      </c>
      <c r="C13" s="162">
        <v>500</v>
      </c>
      <c r="D13" s="271" t="s">
        <v>23</v>
      </c>
      <c r="E13" s="162">
        <v>224.35</v>
      </c>
      <c r="F13" s="270">
        <f>+C13*E13</f>
        <v>112175</v>
      </c>
      <c r="G13" s="180"/>
      <c r="H13" s="270"/>
      <c r="I13" s="180"/>
      <c r="J13" s="270"/>
      <c r="K13" s="270"/>
      <c r="L13" s="99"/>
    </row>
    <row r="14" spans="1:12" x14ac:dyDescent="0.35">
      <c r="A14" s="281"/>
      <c r="B14" s="99"/>
      <c r="C14" s="162"/>
      <c r="D14" s="271"/>
      <c r="E14" s="162"/>
      <c r="F14" s="162"/>
      <c r="G14" s="180"/>
      <c r="H14" s="162"/>
      <c r="I14" s="180"/>
      <c r="J14" s="162"/>
      <c r="K14" s="162"/>
      <c r="L14" s="99"/>
    </row>
    <row r="15" spans="1:12" s="3" customFormat="1" x14ac:dyDescent="0.35">
      <c r="A15" s="284" t="s">
        <v>6</v>
      </c>
      <c r="B15" s="101" t="s">
        <v>24</v>
      </c>
      <c r="C15" s="285"/>
      <c r="D15" s="286" t="s">
        <v>0</v>
      </c>
      <c r="E15" s="285"/>
      <c r="F15" s="287">
        <f>+F17+F19</f>
        <v>238179.48</v>
      </c>
      <c r="G15" s="288"/>
      <c r="H15" s="287">
        <f>+H17+H19</f>
        <v>69732.740000000005</v>
      </c>
      <c r="I15" s="288"/>
      <c r="J15" s="287">
        <f>+J17+J19</f>
        <v>69732.740000000005</v>
      </c>
      <c r="K15" s="287">
        <f>+J15-H15</f>
        <v>0</v>
      </c>
      <c r="L15" s="101"/>
    </row>
    <row r="16" spans="1:12" x14ac:dyDescent="0.35">
      <c r="A16" s="281"/>
      <c r="B16" s="99"/>
      <c r="C16" s="162"/>
      <c r="D16" s="271"/>
      <c r="E16" s="162"/>
      <c r="F16" s="162"/>
      <c r="G16" s="180"/>
      <c r="H16" s="162"/>
      <c r="I16" s="180"/>
      <c r="J16" s="162"/>
      <c r="K16" s="162"/>
      <c r="L16" s="99"/>
    </row>
    <row r="17" spans="1:12" ht="87" x14ac:dyDescent="0.35">
      <c r="A17" s="281" t="s">
        <v>26</v>
      </c>
      <c r="B17" s="99" t="s">
        <v>27</v>
      </c>
      <c r="C17" s="162">
        <v>44</v>
      </c>
      <c r="D17" s="271" t="s">
        <v>18</v>
      </c>
      <c r="E17" s="270">
        <v>3169.67</v>
      </c>
      <c r="F17" s="270">
        <f>+C17*E17</f>
        <v>139465.48000000001</v>
      </c>
      <c r="G17" s="180">
        <f>35%+15%</f>
        <v>0.5</v>
      </c>
      <c r="H17" s="270">
        <f>+F17*G17</f>
        <v>69732.740000000005</v>
      </c>
      <c r="I17" s="180">
        <f>35%+15%</f>
        <v>0.5</v>
      </c>
      <c r="J17" s="270">
        <f>+F17*I17</f>
        <v>69732.740000000005</v>
      </c>
      <c r="K17" s="270">
        <f>+J17-H17</f>
        <v>0</v>
      </c>
      <c r="L17" s="289" t="s">
        <v>816</v>
      </c>
    </row>
    <row r="18" spans="1:12" x14ac:dyDescent="0.35">
      <c r="A18" s="281"/>
      <c r="B18" s="99"/>
      <c r="C18" s="162"/>
      <c r="D18" s="271"/>
      <c r="E18" s="162"/>
      <c r="F18" s="162"/>
      <c r="G18" s="180"/>
      <c r="H18" s="162"/>
      <c r="I18" s="180"/>
      <c r="J18" s="162"/>
      <c r="K18" s="162"/>
      <c r="L18" s="99"/>
    </row>
    <row r="19" spans="1:12" x14ac:dyDescent="0.35">
      <c r="A19" s="281" t="s">
        <v>29</v>
      </c>
      <c r="B19" s="99" t="s">
        <v>22</v>
      </c>
      <c r="C19" s="162">
        <v>440</v>
      </c>
      <c r="D19" s="271" t="s">
        <v>23</v>
      </c>
      <c r="E19" s="162">
        <v>224.35</v>
      </c>
      <c r="F19" s="270">
        <f>+C19*E19</f>
        <v>98714</v>
      </c>
      <c r="G19" s="180"/>
      <c r="H19" s="270"/>
      <c r="I19" s="180"/>
      <c r="J19" s="270"/>
      <c r="K19" s="270"/>
      <c r="L19" s="99"/>
    </row>
    <row r="20" spans="1:12" x14ac:dyDescent="0.35">
      <c r="A20" s="281"/>
      <c r="B20" s="99"/>
      <c r="C20" s="162"/>
      <c r="D20" s="271"/>
      <c r="E20" s="162"/>
      <c r="F20" s="162"/>
      <c r="G20" s="180"/>
      <c r="H20" s="162"/>
      <c r="I20" s="180"/>
      <c r="J20" s="162"/>
      <c r="K20" s="162"/>
      <c r="L20" s="99"/>
    </row>
    <row r="21" spans="1:12" s="3" customFormat="1" x14ac:dyDescent="0.35">
      <c r="A21" s="284" t="s">
        <v>6</v>
      </c>
      <c r="B21" s="101" t="s">
        <v>30</v>
      </c>
      <c r="C21" s="285"/>
      <c r="D21" s="286" t="s">
        <v>0</v>
      </c>
      <c r="E21" s="285"/>
      <c r="F21" s="287">
        <f>+F23+F25</f>
        <v>302155.28999999998</v>
      </c>
      <c r="G21" s="288"/>
      <c r="H21" s="287">
        <f>+H23+H25</f>
        <v>136295.81</v>
      </c>
      <c r="I21" s="288"/>
      <c r="J21" s="287">
        <f>+J23+J25</f>
        <v>136295.81</v>
      </c>
      <c r="K21" s="287">
        <f>+J21-H21</f>
        <v>0</v>
      </c>
      <c r="L21" s="101"/>
    </row>
    <row r="22" spans="1:12" x14ac:dyDescent="0.35">
      <c r="A22" s="281"/>
      <c r="B22" s="99"/>
      <c r="C22" s="162"/>
      <c r="D22" s="271"/>
      <c r="E22" s="162"/>
      <c r="F22" s="162"/>
      <c r="G22" s="180"/>
      <c r="H22" s="162"/>
      <c r="I22" s="180"/>
      <c r="J22" s="162"/>
      <c r="K22" s="162"/>
      <c r="L22" s="99"/>
    </row>
    <row r="23" spans="1:12" ht="87" x14ac:dyDescent="0.35">
      <c r="A23" s="281" t="s">
        <v>31</v>
      </c>
      <c r="B23" s="99" t="s">
        <v>32</v>
      </c>
      <c r="C23" s="162">
        <v>57</v>
      </c>
      <c r="D23" s="271" t="s">
        <v>18</v>
      </c>
      <c r="E23" s="270">
        <v>3169.67</v>
      </c>
      <c r="F23" s="270">
        <f>+C23*E23</f>
        <v>180671.19</v>
      </c>
      <c r="G23" s="180">
        <f>35%+15%</f>
        <v>0.5</v>
      </c>
      <c r="H23" s="270">
        <f>+F23*G23</f>
        <v>90335.595000000001</v>
      </c>
      <c r="I23" s="180">
        <f>35%+15%</f>
        <v>0.5</v>
      </c>
      <c r="J23" s="270">
        <f>+F23*I23</f>
        <v>90335.595000000001</v>
      </c>
      <c r="K23" s="270">
        <f>+J23-H23</f>
        <v>0</v>
      </c>
      <c r="L23" s="289" t="s">
        <v>816</v>
      </c>
    </row>
    <row r="24" spans="1:12" x14ac:dyDescent="0.35">
      <c r="A24" s="281"/>
      <c r="B24" s="99"/>
      <c r="C24" s="162"/>
      <c r="D24" s="271"/>
      <c r="E24" s="162"/>
      <c r="F24" s="162"/>
      <c r="G24" s="180"/>
      <c r="H24" s="162"/>
      <c r="I24" s="180"/>
      <c r="J24" s="162"/>
      <c r="K24" s="162"/>
      <c r="L24" s="99"/>
    </row>
    <row r="25" spans="1:12" x14ac:dyDescent="0.35">
      <c r="A25" s="281" t="s">
        <v>34</v>
      </c>
      <c r="B25" s="99" t="s">
        <v>35</v>
      </c>
      <c r="C25" s="162">
        <v>570</v>
      </c>
      <c r="D25" s="271" t="s">
        <v>23</v>
      </c>
      <c r="E25" s="162">
        <v>213.13</v>
      </c>
      <c r="F25" s="270">
        <f>+C25*E25</f>
        <v>121484.09999999999</v>
      </c>
      <c r="G25" s="180"/>
      <c r="H25" s="270">
        <f>+H27</f>
        <v>45960.215000000004</v>
      </c>
      <c r="I25" s="180"/>
      <c r="J25" s="270">
        <f>+J27</f>
        <v>45960.215000000004</v>
      </c>
      <c r="K25" s="270">
        <f>+J25-H25</f>
        <v>0</v>
      </c>
      <c r="L25" s="99"/>
    </row>
    <row r="26" spans="1:12" x14ac:dyDescent="0.35">
      <c r="A26" s="281"/>
      <c r="B26" s="99"/>
      <c r="C26" s="162"/>
      <c r="D26" s="271"/>
      <c r="E26" s="162"/>
      <c r="F26" s="162"/>
      <c r="G26" s="180"/>
      <c r="H26" s="162"/>
      <c r="I26" s="180"/>
      <c r="J26" s="162"/>
      <c r="K26" s="162"/>
      <c r="L26" s="99"/>
    </row>
    <row r="27" spans="1:12" s="3" customFormat="1" x14ac:dyDescent="0.35">
      <c r="A27" s="284" t="s">
        <v>6</v>
      </c>
      <c r="B27" s="101" t="s">
        <v>36</v>
      </c>
      <c r="C27" s="285"/>
      <c r="D27" s="286" t="s">
        <v>0</v>
      </c>
      <c r="E27" s="285"/>
      <c r="F27" s="287">
        <f>+F29+F31</f>
        <v>116621.34</v>
      </c>
      <c r="G27" s="288"/>
      <c r="H27" s="287">
        <f>+H29+H31</f>
        <v>45960.215000000004</v>
      </c>
      <c r="I27" s="288"/>
      <c r="J27" s="287">
        <f>+J29+J31</f>
        <v>45960.215000000004</v>
      </c>
      <c r="K27" s="287">
        <f>+J27-H27</f>
        <v>0</v>
      </c>
      <c r="L27" s="101"/>
    </row>
    <row r="28" spans="1:12" x14ac:dyDescent="0.35">
      <c r="A28" s="281"/>
      <c r="B28" s="99"/>
      <c r="C28" s="162"/>
      <c r="D28" s="271"/>
      <c r="E28" s="162"/>
      <c r="F28" s="162"/>
      <c r="G28" s="180"/>
      <c r="H28" s="162"/>
      <c r="I28" s="180"/>
      <c r="J28" s="162"/>
      <c r="K28" s="162"/>
      <c r="L28" s="99"/>
    </row>
    <row r="29" spans="1:12" ht="87" x14ac:dyDescent="0.35">
      <c r="A29" s="281" t="s">
        <v>37</v>
      </c>
      <c r="B29" s="99" t="s">
        <v>38</v>
      </c>
      <c r="C29" s="162">
        <v>22</v>
      </c>
      <c r="D29" s="271" t="s">
        <v>18</v>
      </c>
      <c r="E29" s="270">
        <v>3169.67</v>
      </c>
      <c r="F29" s="270">
        <f>+C29*E29</f>
        <v>69732.740000000005</v>
      </c>
      <c r="G29" s="180">
        <f>35%+15%</f>
        <v>0.5</v>
      </c>
      <c r="H29" s="270">
        <f>+F29*G29</f>
        <v>34866.370000000003</v>
      </c>
      <c r="I29" s="180">
        <f>35%+15%</f>
        <v>0.5</v>
      </c>
      <c r="J29" s="270">
        <f>+F29*I29</f>
        <v>34866.370000000003</v>
      </c>
      <c r="K29" s="270">
        <f>+J29-H29</f>
        <v>0</v>
      </c>
      <c r="L29" s="289" t="s">
        <v>816</v>
      </c>
    </row>
    <row r="30" spans="1:12" x14ac:dyDescent="0.35">
      <c r="A30" s="298"/>
      <c r="B30" s="299"/>
      <c r="C30" s="163"/>
      <c r="D30" s="300"/>
      <c r="E30" s="163"/>
      <c r="F30" s="163"/>
      <c r="G30" s="182"/>
      <c r="H30" s="163"/>
      <c r="I30" s="182"/>
      <c r="J30" s="163"/>
      <c r="K30" s="163"/>
      <c r="L30" s="299"/>
    </row>
    <row r="31" spans="1:12" x14ac:dyDescent="0.35">
      <c r="A31" s="301" t="s">
        <v>39</v>
      </c>
      <c r="B31" s="302" t="s">
        <v>35</v>
      </c>
      <c r="C31" s="166">
        <v>220</v>
      </c>
      <c r="D31" s="303" t="s">
        <v>23</v>
      </c>
      <c r="E31" s="166">
        <v>213.13</v>
      </c>
      <c r="F31" s="304">
        <f>+C31*E31</f>
        <v>46888.6</v>
      </c>
      <c r="G31" s="181"/>
      <c r="H31" s="304">
        <f>+H35</f>
        <v>11093.845000000001</v>
      </c>
      <c r="I31" s="181"/>
      <c r="J31" s="304">
        <f>+J35</f>
        <v>11093.845000000001</v>
      </c>
      <c r="K31" s="304">
        <f>+J31-H31</f>
        <v>0</v>
      </c>
      <c r="L31" s="302"/>
    </row>
    <row r="32" spans="1:12" x14ac:dyDescent="0.35">
      <c r="A32" s="281"/>
      <c r="B32" s="99"/>
      <c r="C32" s="162"/>
      <c r="D32" s="271"/>
      <c r="E32" s="162"/>
      <c r="F32" s="162"/>
      <c r="G32" s="180"/>
      <c r="H32" s="162"/>
      <c r="I32" s="180"/>
      <c r="J32" s="162"/>
      <c r="K32" s="162"/>
      <c r="L32" s="99"/>
    </row>
    <row r="33" spans="1:12" s="3" customFormat="1" x14ac:dyDescent="0.35">
      <c r="A33" s="284" t="s">
        <v>6</v>
      </c>
      <c r="B33" s="101" t="s">
        <v>36</v>
      </c>
      <c r="C33" s="285"/>
      <c r="D33" s="286" t="s">
        <v>0</v>
      </c>
      <c r="E33" s="285"/>
      <c r="F33" s="287">
        <f>+F35+F37</f>
        <v>37106.79</v>
      </c>
      <c r="G33" s="288"/>
      <c r="H33" s="287">
        <f>+H37+H39+H43</f>
        <v>19018.02</v>
      </c>
      <c r="I33" s="288"/>
      <c r="J33" s="287">
        <f>+J37+J39+J43</f>
        <v>19018.02</v>
      </c>
      <c r="K33" s="287">
        <f>+J33-H33</f>
        <v>0</v>
      </c>
      <c r="L33" s="101"/>
    </row>
    <row r="34" spans="1:12" x14ac:dyDescent="0.35">
      <c r="A34" s="281"/>
      <c r="B34" s="99"/>
      <c r="C34" s="162"/>
      <c r="D34" s="271"/>
      <c r="E34" s="162"/>
      <c r="F34" s="162"/>
      <c r="G34" s="180"/>
      <c r="H34" s="162"/>
      <c r="I34" s="180"/>
      <c r="J34" s="162"/>
      <c r="K34" s="162"/>
      <c r="L34" s="99"/>
    </row>
    <row r="35" spans="1:12" ht="87" x14ac:dyDescent="0.35">
      <c r="A35" s="281" t="s">
        <v>40</v>
      </c>
      <c r="B35" s="99" t="s">
        <v>41</v>
      </c>
      <c r="C35" s="162">
        <v>7</v>
      </c>
      <c r="D35" s="271" t="s">
        <v>18</v>
      </c>
      <c r="E35" s="270">
        <v>3169.67</v>
      </c>
      <c r="F35" s="270">
        <f>+C35*E35</f>
        <v>22187.690000000002</v>
      </c>
      <c r="G35" s="180">
        <f>35%+15%</f>
        <v>0.5</v>
      </c>
      <c r="H35" s="270">
        <f>+F35*G35</f>
        <v>11093.845000000001</v>
      </c>
      <c r="I35" s="180">
        <f>35%+15%</f>
        <v>0.5</v>
      </c>
      <c r="J35" s="270">
        <f>+F35*I35</f>
        <v>11093.845000000001</v>
      </c>
      <c r="K35" s="270">
        <f>+J35-H35</f>
        <v>0</v>
      </c>
      <c r="L35" s="289" t="s">
        <v>816</v>
      </c>
    </row>
    <row r="36" spans="1:12" x14ac:dyDescent="0.35">
      <c r="A36" s="281"/>
      <c r="B36" s="99"/>
      <c r="C36" s="162"/>
      <c r="D36" s="271"/>
      <c r="E36" s="162"/>
      <c r="F36" s="162"/>
      <c r="G36" s="180"/>
      <c r="H36" s="162"/>
      <c r="I36" s="180"/>
      <c r="J36" s="162"/>
      <c r="K36" s="162"/>
      <c r="L36" s="99"/>
    </row>
    <row r="37" spans="1:12" x14ac:dyDescent="0.35">
      <c r="A37" s="281" t="s">
        <v>42</v>
      </c>
      <c r="B37" s="99" t="s">
        <v>35</v>
      </c>
      <c r="C37" s="162">
        <v>70</v>
      </c>
      <c r="D37" s="271" t="s">
        <v>23</v>
      </c>
      <c r="E37" s="162">
        <v>213.13</v>
      </c>
      <c r="F37" s="270">
        <f>+C37*E37</f>
        <v>14919.1</v>
      </c>
      <c r="G37" s="180"/>
      <c r="H37" s="270"/>
      <c r="I37" s="180"/>
      <c r="J37" s="270"/>
      <c r="K37" s="270"/>
      <c r="L37" s="99"/>
    </row>
    <row r="38" spans="1:12" x14ac:dyDescent="0.35">
      <c r="A38" s="281"/>
      <c r="B38" s="99"/>
      <c r="C38" s="162"/>
      <c r="D38" s="271"/>
      <c r="E38" s="162"/>
      <c r="F38" s="162"/>
      <c r="G38" s="180"/>
      <c r="H38" s="162"/>
      <c r="I38" s="180"/>
      <c r="J38" s="162"/>
      <c r="K38" s="162"/>
      <c r="L38" s="99"/>
    </row>
    <row r="39" spans="1:12" s="3" customFormat="1" x14ac:dyDescent="0.35">
      <c r="A39" s="284" t="s">
        <v>6</v>
      </c>
      <c r="B39" s="101" t="s">
        <v>43</v>
      </c>
      <c r="C39" s="285"/>
      <c r="D39" s="286" t="s">
        <v>0</v>
      </c>
      <c r="E39" s="285"/>
      <c r="F39" s="287">
        <f>+F41</f>
        <v>38036.04</v>
      </c>
      <c r="G39" s="288"/>
      <c r="H39" s="287">
        <f>+H41</f>
        <v>19018.02</v>
      </c>
      <c r="I39" s="288"/>
      <c r="J39" s="287">
        <f>+J41</f>
        <v>19018.02</v>
      </c>
      <c r="K39" s="287">
        <f>+J39-H39</f>
        <v>0</v>
      </c>
      <c r="L39" s="101"/>
    </row>
    <row r="40" spans="1:12" x14ac:dyDescent="0.35">
      <c r="A40" s="281"/>
      <c r="B40" s="99"/>
      <c r="C40" s="162"/>
      <c r="D40" s="271"/>
      <c r="E40" s="162"/>
      <c r="F40" s="162"/>
      <c r="G40" s="180"/>
      <c r="H40" s="162"/>
      <c r="I40" s="180"/>
      <c r="J40" s="162"/>
      <c r="K40" s="162"/>
      <c r="L40" s="99"/>
    </row>
    <row r="41" spans="1:12" ht="87" x14ac:dyDescent="0.35">
      <c r="A41" s="281" t="s">
        <v>44</v>
      </c>
      <c r="B41" s="99" t="s">
        <v>45</v>
      </c>
      <c r="C41" s="162">
        <v>12</v>
      </c>
      <c r="D41" s="271" t="s">
        <v>18</v>
      </c>
      <c r="E41" s="270">
        <v>3169.67</v>
      </c>
      <c r="F41" s="270">
        <f>+C41*E41</f>
        <v>38036.04</v>
      </c>
      <c r="G41" s="179">
        <f>35%+15%</f>
        <v>0.5</v>
      </c>
      <c r="H41" s="270">
        <f>+F41*G41</f>
        <v>19018.02</v>
      </c>
      <c r="I41" s="204">
        <f>35%+15%</f>
        <v>0.5</v>
      </c>
      <c r="J41" s="270">
        <f>+F41*I41</f>
        <v>19018.02</v>
      </c>
      <c r="K41" s="270">
        <f>+J41-H41</f>
        <v>0</v>
      </c>
      <c r="L41" s="289" t="s">
        <v>816</v>
      </c>
    </row>
    <row r="42" spans="1:12" x14ac:dyDescent="0.35">
      <c r="A42" s="281"/>
      <c r="B42" s="99"/>
      <c r="C42" s="162"/>
      <c r="D42" s="271"/>
      <c r="E42" s="162"/>
      <c r="F42" s="162"/>
      <c r="G42" s="180"/>
      <c r="H42" s="162"/>
      <c r="I42" s="180"/>
      <c r="J42" s="162"/>
      <c r="K42" s="162"/>
      <c r="L42" s="99"/>
    </row>
    <row r="43" spans="1:12" x14ac:dyDescent="0.35">
      <c r="A43" s="290" t="s">
        <v>46</v>
      </c>
      <c r="B43" s="291" t="s">
        <v>47</v>
      </c>
      <c r="C43" s="202">
        <v>48</v>
      </c>
      <c r="D43" s="292" t="s">
        <v>48</v>
      </c>
      <c r="E43" s="202"/>
      <c r="F43" s="202"/>
      <c r="G43" s="204"/>
      <c r="H43" s="202">
        <f>+H45+H49</f>
        <v>0</v>
      </c>
      <c r="I43" s="204"/>
      <c r="J43" s="202">
        <f>+J45+J49</f>
        <v>0</v>
      </c>
      <c r="K43" s="202">
        <f>+J43-H43</f>
        <v>0</v>
      </c>
      <c r="L43" s="293" t="s">
        <v>49</v>
      </c>
    </row>
    <row r="44" spans="1:12" x14ac:dyDescent="0.35">
      <c r="A44" s="281"/>
      <c r="B44" s="99"/>
      <c r="C44" s="162"/>
      <c r="D44" s="271"/>
      <c r="E44" s="162"/>
      <c r="F44" s="162"/>
      <c r="G44" s="180"/>
      <c r="H44" s="162"/>
      <c r="I44" s="180"/>
      <c r="J44" s="162"/>
      <c r="K44" s="162"/>
      <c r="L44" s="99"/>
    </row>
    <row r="45" spans="1:12" s="3" customFormat="1" x14ac:dyDescent="0.35">
      <c r="A45" s="284" t="s">
        <v>6</v>
      </c>
      <c r="B45" s="101" t="s">
        <v>50</v>
      </c>
      <c r="C45" s="285"/>
      <c r="D45" s="286" t="s">
        <v>0</v>
      </c>
      <c r="E45" s="285"/>
      <c r="F45" s="287">
        <f>+F47</f>
        <v>15848.35</v>
      </c>
      <c r="G45" s="288"/>
      <c r="H45" s="287">
        <f>+H53+H57+H63+H65</f>
        <v>0</v>
      </c>
      <c r="I45" s="288"/>
      <c r="J45" s="287">
        <f>+J53+J57+J63+J65</f>
        <v>0</v>
      </c>
      <c r="K45" s="287">
        <f>+J45-H45</f>
        <v>0</v>
      </c>
      <c r="L45" s="101"/>
    </row>
    <row r="46" spans="1:12" x14ac:dyDescent="0.35">
      <c r="A46" s="281"/>
      <c r="B46" s="99"/>
      <c r="C46" s="162"/>
      <c r="D46" s="271"/>
      <c r="E46" s="162"/>
      <c r="F46" s="162"/>
      <c r="G46" s="180"/>
      <c r="H46" s="162"/>
      <c r="I46" s="180"/>
      <c r="J46" s="162"/>
      <c r="K46" s="162"/>
      <c r="L46" s="99"/>
    </row>
    <row r="47" spans="1:12" ht="87" x14ac:dyDescent="0.35">
      <c r="A47" s="281" t="s">
        <v>51</v>
      </c>
      <c r="B47" s="99" t="s">
        <v>52</v>
      </c>
      <c r="C47" s="162">
        <v>5</v>
      </c>
      <c r="D47" s="271" t="s">
        <v>18</v>
      </c>
      <c r="E47" s="270">
        <v>3169.67</v>
      </c>
      <c r="F47" s="270">
        <f>+C47*E47</f>
        <v>15848.35</v>
      </c>
      <c r="G47" s="179">
        <f>35%+15%</f>
        <v>0.5</v>
      </c>
      <c r="H47" s="270">
        <f>+F47*G47</f>
        <v>7924.1750000000002</v>
      </c>
      <c r="I47" s="204">
        <f>35%+15%</f>
        <v>0.5</v>
      </c>
      <c r="J47" s="270">
        <f>+F47*I47</f>
        <v>7924.1750000000002</v>
      </c>
      <c r="K47" s="270">
        <f>+J47-H47</f>
        <v>0</v>
      </c>
      <c r="L47" s="289" t="s">
        <v>816</v>
      </c>
    </row>
    <row r="48" spans="1:12" x14ac:dyDescent="0.35">
      <c r="A48" s="281"/>
      <c r="B48" s="99"/>
      <c r="C48" s="162"/>
      <c r="D48" s="271"/>
      <c r="E48" s="162"/>
      <c r="F48" s="162"/>
      <c r="G48" s="180"/>
      <c r="H48" s="162"/>
      <c r="I48" s="180"/>
      <c r="J48" s="162"/>
      <c r="K48" s="162"/>
      <c r="L48" s="99"/>
    </row>
    <row r="49" spans="1:12" x14ac:dyDescent="0.35">
      <c r="A49" s="290" t="s">
        <v>53</v>
      </c>
      <c r="B49" s="291" t="s">
        <v>47</v>
      </c>
      <c r="C49" s="202">
        <v>20</v>
      </c>
      <c r="D49" s="292" t="s">
        <v>48</v>
      </c>
      <c r="E49" s="202"/>
      <c r="F49" s="202"/>
      <c r="G49" s="204"/>
      <c r="H49" s="202"/>
      <c r="I49" s="204"/>
      <c r="J49" s="202"/>
      <c r="K49" s="202"/>
      <c r="L49" s="293" t="s">
        <v>49</v>
      </c>
    </row>
    <row r="50" spans="1:12" x14ac:dyDescent="0.35">
      <c r="A50" s="281"/>
      <c r="B50" s="99"/>
      <c r="C50" s="162"/>
      <c r="D50" s="271"/>
      <c r="E50" s="162"/>
      <c r="F50" s="162"/>
      <c r="G50" s="180"/>
      <c r="H50" s="162"/>
      <c r="I50" s="180"/>
      <c r="J50" s="162"/>
      <c r="K50" s="162"/>
      <c r="L50" s="99"/>
    </row>
    <row r="51" spans="1:12" x14ac:dyDescent="0.35">
      <c r="A51" s="281"/>
      <c r="B51" s="99"/>
      <c r="C51" s="162"/>
      <c r="D51" s="271"/>
      <c r="E51" s="162"/>
      <c r="F51" s="162"/>
      <c r="G51" s="180"/>
      <c r="H51" s="162"/>
      <c r="I51" s="180"/>
      <c r="J51" s="162"/>
      <c r="K51" s="162"/>
      <c r="L51" s="99"/>
    </row>
    <row r="52" spans="1:12" s="3" customFormat="1" x14ac:dyDescent="0.35">
      <c r="A52" s="284" t="s">
        <v>54</v>
      </c>
      <c r="B52" s="101" t="s">
        <v>55</v>
      </c>
      <c r="C52" s="285"/>
      <c r="D52" s="286" t="s">
        <v>0</v>
      </c>
      <c r="E52" s="285"/>
      <c r="F52" s="287">
        <f>+F54+F56+F58</f>
        <v>349772.96</v>
      </c>
      <c r="G52" s="288"/>
      <c r="H52" s="287">
        <f>+H54+H56+H58</f>
        <v>75533.074999999997</v>
      </c>
      <c r="I52" s="288"/>
      <c r="J52" s="287">
        <f>+J54+J56+J58</f>
        <v>128826.49900000001</v>
      </c>
      <c r="K52" s="287">
        <f>+J52-H52</f>
        <v>53293.424000000014</v>
      </c>
      <c r="L52" s="101"/>
    </row>
    <row r="53" spans="1:12" x14ac:dyDescent="0.35">
      <c r="A53" s="281"/>
      <c r="B53" s="99"/>
      <c r="C53" s="162"/>
      <c r="D53" s="271"/>
      <c r="E53" s="162"/>
      <c r="F53" s="162"/>
      <c r="G53" s="180"/>
      <c r="H53" s="162"/>
      <c r="I53" s="180"/>
      <c r="J53" s="162"/>
      <c r="K53" s="162"/>
      <c r="L53" s="99"/>
    </row>
    <row r="54" spans="1:12" ht="87" x14ac:dyDescent="0.35">
      <c r="A54" s="281" t="s">
        <v>56</v>
      </c>
      <c r="B54" s="99" t="s">
        <v>57</v>
      </c>
      <c r="C54" s="162">
        <v>19</v>
      </c>
      <c r="D54" s="271" t="s">
        <v>18</v>
      </c>
      <c r="E54" s="270">
        <v>7950.85</v>
      </c>
      <c r="F54" s="270">
        <f>+C54*E54</f>
        <v>151066.15</v>
      </c>
      <c r="G54" s="179">
        <f>35%+15%</f>
        <v>0.5</v>
      </c>
      <c r="H54" s="270">
        <f>+F54*G54</f>
        <v>75533.074999999997</v>
      </c>
      <c r="I54" s="204">
        <f>35%+15%</f>
        <v>0.5</v>
      </c>
      <c r="J54" s="270">
        <f>+F54*I54</f>
        <v>75533.074999999997</v>
      </c>
      <c r="K54" s="270">
        <f>+J54-H54</f>
        <v>0</v>
      </c>
      <c r="L54" s="289" t="s">
        <v>816</v>
      </c>
    </row>
    <row r="55" spans="1:12" x14ac:dyDescent="0.35">
      <c r="A55" s="281"/>
      <c r="B55" s="99"/>
      <c r="C55" s="162"/>
      <c r="D55" s="271"/>
      <c r="E55" s="162"/>
      <c r="F55" s="162"/>
      <c r="G55" s="180"/>
      <c r="H55" s="162"/>
      <c r="I55" s="180"/>
      <c r="J55" s="162"/>
      <c r="K55" s="162"/>
      <c r="L55" s="99"/>
    </row>
    <row r="56" spans="1:12" ht="29" x14ac:dyDescent="0.35">
      <c r="A56" s="281" t="s">
        <v>58</v>
      </c>
      <c r="B56" s="99" t="s">
        <v>59</v>
      </c>
      <c r="C56" s="162">
        <v>170</v>
      </c>
      <c r="D56" s="271" t="s">
        <v>48</v>
      </c>
      <c r="E56" s="162">
        <v>430.48</v>
      </c>
      <c r="F56" s="270">
        <f>+C56*E56</f>
        <v>73181.600000000006</v>
      </c>
      <c r="G56" s="179">
        <v>0</v>
      </c>
      <c r="H56" s="270">
        <f>+H64+H68+H74+H76</f>
        <v>0</v>
      </c>
      <c r="I56" s="517">
        <f>(123.8/170)</f>
        <v>0.72823529411764709</v>
      </c>
      <c r="J56" s="270">
        <f>+F56*I56</f>
        <v>53293.424000000006</v>
      </c>
      <c r="K56" s="270">
        <f>+J56-H56</f>
        <v>53293.424000000006</v>
      </c>
      <c r="L56" s="99" t="s">
        <v>839</v>
      </c>
    </row>
    <row r="57" spans="1:12" x14ac:dyDescent="0.35">
      <c r="A57" s="298"/>
      <c r="B57" s="299"/>
      <c r="C57" s="163"/>
      <c r="D57" s="300"/>
      <c r="E57" s="163"/>
      <c r="F57" s="163"/>
      <c r="G57" s="182"/>
      <c r="H57" s="163"/>
      <c r="I57" s="182"/>
      <c r="J57" s="163"/>
      <c r="K57" s="163"/>
      <c r="L57" s="299"/>
    </row>
    <row r="58" spans="1:12" x14ac:dyDescent="0.35">
      <c r="A58" s="301" t="s">
        <v>60</v>
      </c>
      <c r="B58" s="302" t="s">
        <v>61</v>
      </c>
      <c r="C58" s="166">
        <v>19</v>
      </c>
      <c r="D58" s="303" t="s">
        <v>11</v>
      </c>
      <c r="E58" s="304">
        <v>6606.59</v>
      </c>
      <c r="F58" s="304">
        <f>+C58*E58</f>
        <v>125525.21</v>
      </c>
      <c r="G58" s="181"/>
      <c r="H58" s="304"/>
      <c r="I58" s="181"/>
      <c r="J58" s="304"/>
      <c r="K58" s="304"/>
      <c r="L58" s="302"/>
    </row>
    <row r="59" spans="1:12" x14ac:dyDescent="0.35">
      <c r="A59" s="281"/>
      <c r="B59" s="99"/>
      <c r="C59" s="162"/>
      <c r="D59" s="271"/>
      <c r="E59" s="162"/>
      <c r="F59" s="162"/>
      <c r="G59" s="180"/>
      <c r="H59" s="162"/>
      <c r="I59" s="180"/>
      <c r="J59" s="162"/>
      <c r="K59" s="162"/>
      <c r="L59" s="99"/>
    </row>
    <row r="60" spans="1:12" s="3" customFormat="1" x14ac:dyDescent="0.35">
      <c r="A60" s="284" t="s">
        <v>54</v>
      </c>
      <c r="B60" s="101" t="s">
        <v>62</v>
      </c>
      <c r="C60" s="285"/>
      <c r="D60" s="286" t="s">
        <v>0</v>
      </c>
      <c r="E60" s="285"/>
      <c r="F60" s="287">
        <f>+F62+F64</f>
        <v>68370.350000000006</v>
      </c>
      <c r="G60" s="288"/>
      <c r="H60" s="287">
        <f>+H62+H64</f>
        <v>14250.547499999999</v>
      </c>
      <c r="I60" s="288"/>
      <c r="J60" s="287">
        <f>+J62+J64</f>
        <v>16490.890499999998</v>
      </c>
      <c r="K60" s="287">
        <f>+J60-H60</f>
        <v>2240.3429999999989</v>
      </c>
      <c r="L60" s="101"/>
    </row>
    <row r="61" spans="1:12" x14ac:dyDescent="0.35">
      <c r="A61" s="281"/>
      <c r="B61" s="99"/>
      <c r="C61" s="162"/>
      <c r="D61" s="271"/>
      <c r="E61" s="162"/>
      <c r="F61" s="162"/>
      <c r="G61" s="180"/>
      <c r="H61" s="162"/>
      <c r="I61" s="180"/>
      <c r="J61" s="162"/>
      <c r="K61" s="162"/>
      <c r="L61" s="99"/>
    </row>
    <row r="62" spans="1:12" ht="72.5" x14ac:dyDescent="0.35">
      <c r="A62" s="281" t="s">
        <v>63</v>
      </c>
      <c r="B62" s="99" t="s">
        <v>64</v>
      </c>
      <c r="C62" s="162">
        <v>7</v>
      </c>
      <c r="D62" s="271" t="s">
        <v>18</v>
      </c>
      <c r="E62" s="270">
        <v>5816.55</v>
      </c>
      <c r="F62" s="270">
        <f>+C62*E62</f>
        <v>40715.85</v>
      </c>
      <c r="G62" s="180">
        <v>0.35</v>
      </c>
      <c r="H62" s="270">
        <f>+F62*G62</f>
        <v>14250.547499999999</v>
      </c>
      <c r="I62" s="180">
        <v>0.35</v>
      </c>
      <c r="J62" s="270">
        <f>+F62*I62</f>
        <v>14250.547499999999</v>
      </c>
      <c r="K62" s="270">
        <f>+J62-H62</f>
        <v>0</v>
      </c>
      <c r="L62" s="99" t="s">
        <v>817</v>
      </c>
    </row>
    <row r="63" spans="1:12" x14ac:dyDescent="0.35">
      <c r="A63" s="281"/>
      <c r="B63" s="99"/>
      <c r="C63" s="162"/>
      <c r="D63" s="271"/>
      <c r="E63" s="162"/>
      <c r="F63" s="162"/>
      <c r="G63" s="180"/>
      <c r="H63" s="162"/>
      <c r="I63" s="180"/>
      <c r="J63" s="162"/>
      <c r="K63" s="162"/>
      <c r="L63" s="99"/>
    </row>
    <row r="64" spans="1:12" x14ac:dyDescent="0.35">
      <c r="A64" s="281" t="s">
        <v>65</v>
      </c>
      <c r="B64" s="99" t="s">
        <v>66</v>
      </c>
      <c r="C64" s="162">
        <v>50</v>
      </c>
      <c r="D64" s="271" t="s">
        <v>48</v>
      </c>
      <c r="E64" s="162">
        <v>553.09</v>
      </c>
      <c r="F64" s="270">
        <f>+C64*E64</f>
        <v>27654.5</v>
      </c>
      <c r="G64" s="180"/>
      <c r="H64" s="270">
        <f>+H68</f>
        <v>0</v>
      </c>
      <c r="I64" s="180"/>
      <c r="J64" s="270">
        <f>+J68</f>
        <v>2240.3429999999998</v>
      </c>
      <c r="K64" s="270">
        <f>+J64-H64</f>
        <v>2240.3429999999998</v>
      </c>
      <c r="L64" s="99" t="s">
        <v>67</v>
      </c>
    </row>
    <row r="65" spans="1:12" x14ac:dyDescent="0.35">
      <c r="A65" s="281"/>
      <c r="B65" s="99"/>
      <c r="C65" s="162"/>
      <c r="D65" s="271"/>
      <c r="E65" s="162"/>
      <c r="F65" s="162"/>
      <c r="G65" s="180"/>
      <c r="H65" s="162"/>
      <c r="I65" s="180"/>
      <c r="J65" s="162"/>
      <c r="K65" s="162"/>
      <c r="L65" s="99"/>
    </row>
    <row r="66" spans="1:12" s="3" customFormat="1" x14ac:dyDescent="0.35">
      <c r="A66" s="284" t="s">
        <v>54</v>
      </c>
      <c r="B66" s="101" t="s">
        <v>68</v>
      </c>
      <c r="C66" s="285"/>
      <c r="D66" s="286" t="s">
        <v>0</v>
      </c>
      <c r="E66" s="285"/>
      <c r="F66" s="287">
        <f>+F68+F72</f>
        <v>13655.919999999998</v>
      </c>
      <c r="G66" s="288"/>
      <c r="H66" s="287">
        <f>+H68+H72</f>
        <v>0</v>
      </c>
      <c r="I66" s="288"/>
      <c r="J66" s="287">
        <f>+J68+J72</f>
        <v>4779.5720000000001</v>
      </c>
      <c r="K66" s="287">
        <f>+J66-H66</f>
        <v>4779.5720000000001</v>
      </c>
      <c r="L66" s="101"/>
    </row>
    <row r="67" spans="1:12" x14ac:dyDescent="0.35">
      <c r="A67" s="281"/>
      <c r="B67" s="99"/>
      <c r="C67" s="162"/>
      <c r="D67" s="271"/>
      <c r="E67" s="162"/>
      <c r="F67" s="162"/>
      <c r="G67" s="180"/>
      <c r="H67" s="162"/>
      <c r="I67" s="180"/>
      <c r="J67" s="162"/>
      <c r="K67" s="162"/>
      <c r="L67" s="99"/>
    </row>
    <row r="68" spans="1:12" ht="101.5" x14ac:dyDescent="0.35">
      <c r="A68" s="281" t="s">
        <v>69</v>
      </c>
      <c r="B68" s="99" t="s">
        <v>70</v>
      </c>
      <c r="C68" s="162">
        <v>1</v>
      </c>
      <c r="D68" s="271" t="s">
        <v>18</v>
      </c>
      <c r="E68" s="270">
        <v>6400.98</v>
      </c>
      <c r="F68" s="270">
        <f>+C68*E68</f>
        <v>6400.98</v>
      </c>
      <c r="G68" s="179">
        <v>0</v>
      </c>
      <c r="H68" s="270">
        <f>+H76+H80+H86+H88</f>
        <v>0</v>
      </c>
      <c r="I68" s="204">
        <f>35%</f>
        <v>0.35</v>
      </c>
      <c r="J68" s="270">
        <f>+F68*I68</f>
        <v>2240.3429999999998</v>
      </c>
      <c r="K68" s="270">
        <f>+J68-H68</f>
        <v>2240.3429999999998</v>
      </c>
      <c r="L68" s="289" t="s">
        <v>816</v>
      </c>
    </row>
    <row r="69" spans="1:12" x14ac:dyDescent="0.35">
      <c r="A69" s="281"/>
      <c r="B69" s="99"/>
      <c r="C69" s="162"/>
      <c r="D69" s="271"/>
      <c r="E69" s="162"/>
      <c r="F69" s="162"/>
      <c r="G69" s="180"/>
      <c r="H69" s="162"/>
      <c r="I69" s="180"/>
      <c r="J69" s="162"/>
      <c r="K69" s="162"/>
      <c r="L69" s="99"/>
    </row>
    <row r="70" spans="1:12" x14ac:dyDescent="0.35">
      <c r="A70" s="290" t="s">
        <v>71</v>
      </c>
      <c r="B70" s="291" t="s">
        <v>72</v>
      </c>
      <c r="C70" s="202">
        <v>9</v>
      </c>
      <c r="D70" s="292" t="s">
        <v>48</v>
      </c>
      <c r="E70" s="202"/>
      <c r="F70" s="202"/>
      <c r="G70" s="204"/>
      <c r="H70" s="202"/>
      <c r="I70" s="204"/>
      <c r="J70" s="202"/>
      <c r="K70" s="202"/>
      <c r="L70" s="293" t="s">
        <v>49</v>
      </c>
    </row>
    <row r="71" spans="1:12" x14ac:dyDescent="0.35">
      <c r="A71" s="281"/>
      <c r="B71" s="99"/>
      <c r="C71" s="162"/>
      <c r="D71" s="271"/>
      <c r="E71" s="162"/>
      <c r="F71" s="162"/>
      <c r="G71" s="180"/>
      <c r="H71" s="162"/>
      <c r="I71" s="180"/>
      <c r="J71" s="162"/>
      <c r="K71" s="162"/>
      <c r="L71" s="99"/>
    </row>
    <row r="72" spans="1:12" ht="87" x14ac:dyDescent="0.35">
      <c r="A72" s="281" t="s">
        <v>73</v>
      </c>
      <c r="B72" s="99" t="s">
        <v>74</v>
      </c>
      <c r="C72" s="162">
        <v>1</v>
      </c>
      <c r="D72" s="271" t="s">
        <v>18</v>
      </c>
      <c r="E72" s="270">
        <v>7254.94</v>
      </c>
      <c r="F72" s="270">
        <f>+C72*E72</f>
        <v>7254.94</v>
      </c>
      <c r="G72" s="179">
        <v>0</v>
      </c>
      <c r="H72" s="270">
        <f>+H80+H84+H90+H92</f>
        <v>0</v>
      </c>
      <c r="I72" s="204">
        <f>35%</f>
        <v>0.35</v>
      </c>
      <c r="J72" s="270">
        <f>+F72*I72</f>
        <v>2539.2289999999998</v>
      </c>
      <c r="K72" s="270">
        <f>+J72-H72</f>
        <v>2539.2289999999998</v>
      </c>
      <c r="L72" s="289" t="s">
        <v>816</v>
      </c>
    </row>
    <row r="73" spans="1:12" x14ac:dyDescent="0.35">
      <c r="A73" s="281"/>
      <c r="B73" s="99"/>
      <c r="C73" s="162"/>
      <c r="D73" s="271"/>
      <c r="E73" s="162"/>
      <c r="F73" s="162"/>
      <c r="G73" s="180"/>
      <c r="H73" s="162"/>
      <c r="I73" s="180"/>
      <c r="J73" s="162"/>
      <c r="K73" s="162"/>
      <c r="L73" s="99"/>
    </row>
    <row r="74" spans="1:12" x14ac:dyDescent="0.35">
      <c r="A74" s="290" t="s">
        <v>75</v>
      </c>
      <c r="B74" s="291" t="s">
        <v>76</v>
      </c>
      <c r="C74" s="202">
        <v>14.5</v>
      </c>
      <c r="D74" s="292" t="s">
        <v>48</v>
      </c>
      <c r="E74" s="202"/>
      <c r="F74" s="202"/>
      <c r="G74" s="204"/>
      <c r="H74" s="202"/>
      <c r="I74" s="204"/>
      <c r="J74" s="202"/>
      <c r="K74" s="202"/>
      <c r="L74" s="293" t="s">
        <v>49</v>
      </c>
    </row>
    <row r="75" spans="1:12" x14ac:dyDescent="0.35">
      <c r="A75" s="281"/>
      <c r="B75" s="99"/>
      <c r="C75" s="162"/>
      <c r="D75" s="271"/>
      <c r="E75" s="162"/>
      <c r="F75" s="162"/>
      <c r="G75" s="180"/>
      <c r="H75" s="162"/>
      <c r="I75" s="180"/>
      <c r="J75" s="162"/>
      <c r="K75" s="162"/>
      <c r="L75" s="99"/>
    </row>
    <row r="76" spans="1:12" s="3" customFormat="1" x14ac:dyDescent="0.35">
      <c r="A76" s="284" t="s">
        <v>54</v>
      </c>
      <c r="B76" s="101" t="s">
        <v>77</v>
      </c>
      <c r="C76" s="285"/>
      <c r="D76" s="286" t="s">
        <v>0</v>
      </c>
      <c r="E76" s="285"/>
      <c r="F76" s="287">
        <f>+F78+F82</f>
        <v>13992.72</v>
      </c>
      <c r="G76" s="288"/>
      <c r="H76" s="287">
        <f>+H78+H82</f>
        <v>0</v>
      </c>
      <c r="I76" s="288"/>
      <c r="J76" s="287">
        <f>+J78+J82</f>
        <v>4897.4519999999993</v>
      </c>
      <c r="K76" s="287">
        <f>+J76-H76</f>
        <v>4897.4519999999993</v>
      </c>
      <c r="L76" s="101"/>
    </row>
    <row r="77" spans="1:12" x14ac:dyDescent="0.35">
      <c r="A77" s="281"/>
      <c r="B77" s="99"/>
      <c r="C77" s="162"/>
      <c r="D77" s="271"/>
      <c r="E77" s="162"/>
      <c r="F77" s="162"/>
      <c r="G77" s="180"/>
      <c r="H77" s="162"/>
      <c r="I77" s="180"/>
      <c r="J77" s="162"/>
      <c r="K77" s="162"/>
      <c r="L77" s="99"/>
    </row>
    <row r="78" spans="1:12" ht="87" x14ac:dyDescent="0.35">
      <c r="A78" s="281" t="s">
        <v>78</v>
      </c>
      <c r="B78" s="99" t="s">
        <v>79</v>
      </c>
      <c r="C78" s="162">
        <v>1</v>
      </c>
      <c r="D78" s="271" t="s">
        <v>18</v>
      </c>
      <c r="E78" s="270">
        <v>7072.19</v>
      </c>
      <c r="F78" s="270">
        <f>+C78*E78</f>
        <v>7072.19</v>
      </c>
      <c r="G78" s="179">
        <v>0</v>
      </c>
      <c r="H78" s="270">
        <f>+H86+H90+H96+H98</f>
        <v>0</v>
      </c>
      <c r="I78" s="204">
        <f>35%</f>
        <v>0.35</v>
      </c>
      <c r="J78" s="270">
        <f>+F78*I78</f>
        <v>2475.2664999999997</v>
      </c>
      <c r="K78" s="270">
        <f>+J78-H78</f>
        <v>2475.2664999999997</v>
      </c>
      <c r="L78" s="289" t="s">
        <v>816</v>
      </c>
    </row>
    <row r="79" spans="1:12" x14ac:dyDescent="0.35">
      <c r="A79" s="281"/>
      <c r="B79" s="99"/>
      <c r="C79" s="162"/>
      <c r="D79" s="271"/>
      <c r="E79" s="162"/>
      <c r="F79" s="162"/>
      <c r="G79" s="180"/>
      <c r="H79" s="162"/>
      <c r="I79" s="180"/>
      <c r="J79" s="162"/>
      <c r="K79" s="162"/>
      <c r="L79" s="99"/>
    </row>
    <row r="80" spans="1:12" x14ac:dyDescent="0.35">
      <c r="A80" s="290" t="s">
        <v>80</v>
      </c>
      <c r="B80" s="291" t="s">
        <v>81</v>
      </c>
      <c r="C80" s="202">
        <v>14.5</v>
      </c>
      <c r="D80" s="292" t="s">
        <v>48</v>
      </c>
      <c r="E80" s="202"/>
      <c r="F80" s="202"/>
      <c r="G80" s="204"/>
      <c r="H80" s="202"/>
      <c r="I80" s="204"/>
      <c r="J80" s="202"/>
      <c r="K80" s="202"/>
      <c r="L80" s="293" t="s">
        <v>49</v>
      </c>
    </row>
    <row r="81" spans="1:12" x14ac:dyDescent="0.35">
      <c r="A81" s="281"/>
      <c r="B81" s="99"/>
      <c r="C81" s="162"/>
      <c r="D81" s="271"/>
      <c r="E81" s="162"/>
      <c r="F81" s="162"/>
      <c r="G81" s="180"/>
      <c r="H81" s="162"/>
      <c r="I81" s="180"/>
      <c r="J81" s="162"/>
      <c r="K81" s="162"/>
      <c r="L81" s="99"/>
    </row>
    <row r="82" spans="1:12" ht="87" x14ac:dyDescent="0.35">
      <c r="A82" s="281" t="s">
        <v>82</v>
      </c>
      <c r="B82" s="99" t="s">
        <v>83</v>
      </c>
      <c r="C82" s="162">
        <v>1</v>
      </c>
      <c r="D82" s="271" t="s">
        <v>18</v>
      </c>
      <c r="E82" s="270">
        <v>6920.53</v>
      </c>
      <c r="F82" s="270">
        <f>+C82*E82</f>
        <v>6920.53</v>
      </c>
      <c r="G82" s="179">
        <v>0</v>
      </c>
      <c r="H82" s="270">
        <f>+H90+H94+H100+H102</f>
        <v>0</v>
      </c>
      <c r="I82" s="204">
        <f>35%</f>
        <v>0.35</v>
      </c>
      <c r="J82" s="270">
        <f>+F82*I82</f>
        <v>2422.1854999999996</v>
      </c>
      <c r="K82" s="270">
        <f>+J82-H82</f>
        <v>2422.1854999999996</v>
      </c>
      <c r="L82" s="289" t="s">
        <v>816</v>
      </c>
    </row>
    <row r="83" spans="1:12" x14ac:dyDescent="0.35">
      <c r="A83" s="298"/>
      <c r="B83" s="299"/>
      <c r="C83" s="163"/>
      <c r="D83" s="300"/>
      <c r="E83" s="163"/>
      <c r="F83" s="163"/>
      <c r="G83" s="182"/>
      <c r="H83" s="163"/>
      <c r="I83" s="182"/>
      <c r="J83" s="163"/>
      <c r="K83" s="163"/>
      <c r="L83" s="299"/>
    </row>
    <row r="84" spans="1:12" x14ac:dyDescent="0.35">
      <c r="A84" s="305" t="s">
        <v>84</v>
      </c>
      <c r="B84" s="306" t="s">
        <v>85</v>
      </c>
      <c r="C84" s="307">
        <v>15</v>
      </c>
      <c r="D84" s="308" t="s">
        <v>48</v>
      </c>
      <c r="E84" s="307"/>
      <c r="F84" s="307"/>
      <c r="G84" s="309"/>
      <c r="H84" s="307"/>
      <c r="I84" s="309"/>
      <c r="J84" s="307"/>
      <c r="K84" s="307"/>
      <c r="L84" s="310" t="s">
        <v>49</v>
      </c>
    </row>
    <row r="85" spans="1:12" x14ac:dyDescent="0.35">
      <c r="A85" s="281"/>
      <c r="B85" s="99"/>
      <c r="C85" s="162"/>
      <c r="D85" s="271"/>
      <c r="E85" s="162"/>
      <c r="F85" s="162"/>
      <c r="G85" s="180"/>
      <c r="H85" s="162"/>
      <c r="I85" s="180"/>
      <c r="J85" s="162"/>
      <c r="K85" s="162"/>
      <c r="L85" s="99"/>
    </row>
    <row r="86" spans="1:12" x14ac:dyDescent="0.35">
      <c r="A86" s="272" t="s">
        <v>89</v>
      </c>
      <c r="B86" s="109" t="s">
        <v>7</v>
      </c>
      <c r="C86" s="268"/>
      <c r="D86" s="279" t="s">
        <v>0</v>
      </c>
      <c r="E86" s="268"/>
      <c r="F86" s="282">
        <f>+F88</f>
        <v>36145.599999999999</v>
      </c>
      <c r="G86" s="283"/>
      <c r="H86" s="282">
        <f>+H88</f>
        <v>0</v>
      </c>
      <c r="I86" s="283"/>
      <c r="J86" s="282">
        <f>+J88</f>
        <v>0</v>
      </c>
      <c r="K86" s="282">
        <f>+J86-H86</f>
        <v>0</v>
      </c>
      <c r="L86" s="110"/>
    </row>
    <row r="87" spans="1:12" x14ac:dyDescent="0.35">
      <c r="A87" s="281"/>
      <c r="B87" s="99"/>
      <c r="C87" s="162"/>
      <c r="D87" s="271"/>
      <c r="E87" s="162"/>
      <c r="F87" s="162"/>
      <c r="G87" s="180"/>
      <c r="H87" s="162"/>
      <c r="I87" s="180"/>
      <c r="J87" s="162"/>
      <c r="K87" s="162"/>
      <c r="L87" s="99"/>
    </row>
    <row r="88" spans="1:12" x14ac:dyDescent="0.35">
      <c r="A88" s="281" t="s">
        <v>90</v>
      </c>
      <c r="B88" s="99" t="s">
        <v>10</v>
      </c>
      <c r="C88" s="162">
        <v>1</v>
      </c>
      <c r="D88" s="271" t="s">
        <v>11</v>
      </c>
      <c r="E88" s="270">
        <v>36145.599999999999</v>
      </c>
      <c r="F88" s="270">
        <f>+C88*E88</f>
        <v>36145.599999999999</v>
      </c>
      <c r="G88" s="180"/>
      <c r="H88" s="270"/>
      <c r="I88" s="180"/>
      <c r="J88" s="270"/>
      <c r="K88" s="270"/>
      <c r="L88" s="131"/>
    </row>
    <row r="89" spans="1:12" x14ac:dyDescent="0.35">
      <c r="A89" s="281"/>
      <c r="B89" s="99"/>
      <c r="C89" s="162"/>
      <c r="D89" s="271"/>
      <c r="E89" s="162"/>
      <c r="F89" s="162"/>
      <c r="G89" s="180"/>
      <c r="H89" s="162"/>
      <c r="I89" s="180"/>
      <c r="J89" s="162"/>
      <c r="K89" s="162"/>
      <c r="L89" s="99"/>
    </row>
    <row r="90" spans="1:12" x14ac:dyDescent="0.35">
      <c r="A90" s="281"/>
      <c r="B90" s="99"/>
      <c r="C90" s="162"/>
      <c r="D90" s="271"/>
      <c r="E90" s="162"/>
      <c r="F90" s="162"/>
      <c r="G90" s="180"/>
      <c r="H90" s="162"/>
      <c r="I90" s="180"/>
      <c r="J90" s="162"/>
      <c r="K90" s="162"/>
      <c r="L90" s="99"/>
    </row>
    <row r="91" spans="1:12" x14ac:dyDescent="0.35">
      <c r="A91" s="272" t="s">
        <v>87</v>
      </c>
      <c r="B91" s="109" t="s">
        <v>91</v>
      </c>
      <c r="C91" s="268"/>
      <c r="D91" s="279" t="s">
        <v>0</v>
      </c>
      <c r="E91" s="282"/>
      <c r="F91" s="282">
        <f>+F93+F115+F121</f>
        <v>321182.47439999995</v>
      </c>
      <c r="G91" s="283"/>
      <c r="H91" s="282">
        <f>+H93+H115+H121</f>
        <v>14881.250999999997</v>
      </c>
      <c r="I91" s="283"/>
      <c r="J91" s="282">
        <f>+J93+J115+J121</f>
        <v>141505.03200000001</v>
      </c>
      <c r="K91" s="282">
        <f>+J91-H91</f>
        <v>126623.78100000002</v>
      </c>
      <c r="L91" s="110"/>
    </row>
    <row r="92" spans="1:12" x14ac:dyDescent="0.35">
      <c r="A92" s="281"/>
      <c r="B92" s="99"/>
      <c r="C92" s="162"/>
      <c r="D92" s="271"/>
      <c r="E92" s="162"/>
      <c r="F92" s="162"/>
      <c r="G92" s="180"/>
      <c r="H92" s="162"/>
      <c r="I92" s="180"/>
      <c r="J92" s="162"/>
      <c r="K92" s="162"/>
      <c r="L92" s="99"/>
    </row>
    <row r="93" spans="1:12" x14ac:dyDescent="0.35">
      <c r="A93" s="284" t="s">
        <v>87</v>
      </c>
      <c r="B93" s="101" t="s">
        <v>92</v>
      </c>
      <c r="C93" s="285"/>
      <c r="D93" s="286" t="s">
        <v>0</v>
      </c>
      <c r="E93" s="285"/>
      <c r="F93" s="287">
        <f>+F101+F105+F111+F113</f>
        <v>9139.9143999999997</v>
      </c>
      <c r="G93" s="288"/>
      <c r="H93" s="287">
        <f>+H101+H105+H111+H113</f>
        <v>0</v>
      </c>
      <c r="I93" s="288"/>
      <c r="J93" s="287">
        <f>+J101+J105+J111+J113</f>
        <v>0</v>
      </c>
      <c r="K93" s="287">
        <f>+J93-H93</f>
        <v>0</v>
      </c>
      <c r="L93" s="101"/>
    </row>
    <row r="94" spans="1:12" x14ac:dyDescent="0.35">
      <c r="A94" s="281"/>
      <c r="B94" s="99"/>
      <c r="C94" s="162"/>
      <c r="D94" s="271"/>
      <c r="E94" s="162"/>
      <c r="F94" s="162"/>
      <c r="G94" s="180"/>
      <c r="H94" s="162"/>
      <c r="I94" s="180"/>
      <c r="J94" s="162"/>
      <c r="K94" s="162"/>
      <c r="L94" s="99"/>
    </row>
    <row r="95" spans="1:12" x14ac:dyDescent="0.35">
      <c r="A95" s="294" t="s">
        <v>87</v>
      </c>
      <c r="B95" s="105" t="s">
        <v>93</v>
      </c>
      <c r="C95" s="295"/>
      <c r="D95" s="296"/>
      <c r="E95" s="295"/>
      <c r="F95" s="295"/>
      <c r="G95" s="297"/>
      <c r="H95" s="295"/>
      <c r="I95" s="297"/>
      <c r="J95" s="295"/>
      <c r="K95" s="295"/>
      <c r="L95" s="105"/>
    </row>
    <row r="96" spans="1:12" x14ac:dyDescent="0.35">
      <c r="A96" s="281"/>
      <c r="B96" s="99"/>
      <c r="C96" s="162"/>
      <c r="D96" s="271"/>
      <c r="E96" s="162"/>
      <c r="F96" s="162"/>
      <c r="G96" s="180"/>
      <c r="H96" s="162"/>
      <c r="I96" s="180"/>
      <c r="J96" s="162"/>
      <c r="K96" s="162"/>
      <c r="L96" s="99"/>
    </row>
    <row r="97" spans="1:12" ht="72.5" x14ac:dyDescent="0.35">
      <c r="A97" s="294" t="s">
        <v>87</v>
      </c>
      <c r="B97" s="105" t="s">
        <v>94</v>
      </c>
      <c r="C97" s="295"/>
      <c r="D97" s="296"/>
      <c r="E97" s="295"/>
      <c r="F97" s="295"/>
      <c r="G97" s="297"/>
      <c r="H97" s="295"/>
      <c r="I97" s="297"/>
      <c r="J97" s="295"/>
      <c r="K97" s="295"/>
      <c r="L97" s="105"/>
    </row>
    <row r="98" spans="1:12" x14ac:dyDescent="0.35">
      <c r="A98" s="281"/>
      <c r="B98" s="99"/>
      <c r="C98" s="162"/>
      <c r="D98" s="271"/>
      <c r="E98" s="162"/>
      <c r="F98" s="162"/>
      <c r="G98" s="180"/>
      <c r="H98" s="162"/>
      <c r="I98" s="180"/>
      <c r="J98" s="162"/>
      <c r="K98" s="162"/>
      <c r="L98" s="99"/>
    </row>
    <row r="99" spans="1:12" ht="29" x14ac:dyDescent="0.35">
      <c r="A99" s="294" t="s">
        <v>87</v>
      </c>
      <c r="B99" s="105" t="s">
        <v>95</v>
      </c>
      <c r="C99" s="295"/>
      <c r="D99" s="296"/>
      <c r="E99" s="295"/>
      <c r="F99" s="295"/>
      <c r="G99" s="297"/>
      <c r="H99" s="295"/>
      <c r="I99" s="297"/>
      <c r="J99" s="295"/>
      <c r="K99" s="295"/>
      <c r="L99" s="105"/>
    </row>
    <row r="100" spans="1:12" x14ac:dyDescent="0.35">
      <c r="A100" s="281"/>
      <c r="B100" s="99"/>
      <c r="C100" s="162"/>
      <c r="D100" s="271"/>
      <c r="E100" s="162"/>
      <c r="F100" s="162"/>
      <c r="G100" s="180"/>
      <c r="H100" s="162"/>
      <c r="I100" s="180"/>
      <c r="J100" s="162"/>
      <c r="K100" s="162"/>
      <c r="L100" s="99"/>
    </row>
    <row r="101" spans="1:12" x14ac:dyDescent="0.35">
      <c r="A101" s="281" t="s">
        <v>96</v>
      </c>
      <c r="B101" s="99" t="s">
        <v>97</v>
      </c>
      <c r="C101" s="162">
        <v>3.7</v>
      </c>
      <c r="D101" s="271" t="s">
        <v>23</v>
      </c>
      <c r="E101" s="162">
        <v>552.17999999999995</v>
      </c>
      <c r="F101" s="270">
        <f>+C101*E101</f>
        <v>2043.0659999999998</v>
      </c>
      <c r="G101" s="180"/>
      <c r="H101" s="270"/>
      <c r="I101" s="180"/>
      <c r="J101" s="270"/>
      <c r="K101" s="270"/>
      <c r="L101" s="131"/>
    </row>
    <row r="102" spans="1:12" x14ac:dyDescent="0.35">
      <c r="A102" s="281"/>
      <c r="B102" s="99"/>
      <c r="C102" s="162"/>
      <c r="D102" s="271"/>
      <c r="E102" s="162"/>
      <c r="F102" s="162"/>
      <c r="G102" s="180"/>
      <c r="H102" s="162"/>
      <c r="I102" s="180"/>
      <c r="J102" s="162"/>
      <c r="K102" s="162"/>
      <c r="L102" s="99"/>
    </row>
    <row r="103" spans="1:12" ht="29" x14ac:dyDescent="0.35">
      <c r="A103" s="294" t="s">
        <v>87</v>
      </c>
      <c r="B103" s="105" t="s">
        <v>98</v>
      </c>
      <c r="C103" s="295"/>
      <c r="D103" s="296"/>
      <c r="E103" s="295"/>
      <c r="F103" s="295"/>
      <c r="G103" s="297"/>
      <c r="H103" s="295"/>
      <c r="I103" s="297"/>
      <c r="J103" s="295"/>
      <c r="K103" s="295"/>
      <c r="L103" s="105"/>
    </row>
    <row r="104" spans="1:12" x14ac:dyDescent="0.35">
      <c r="A104" s="281"/>
      <c r="B104" s="99"/>
      <c r="C104" s="162"/>
      <c r="D104" s="271"/>
      <c r="E104" s="162"/>
      <c r="F104" s="162"/>
      <c r="G104" s="180"/>
      <c r="H104" s="162"/>
      <c r="I104" s="180"/>
      <c r="J104" s="162"/>
      <c r="K104" s="162"/>
      <c r="L104" s="99"/>
    </row>
    <row r="105" spans="1:12" ht="29" x14ac:dyDescent="0.35">
      <c r="A105" s="281" t="s">
        <v>99</v>
      </c>
      <c r="B105" s="99" t="s">
        <v>100</v>
      </c>
      <c r="C105" s="162">
        <v>10.43</v>
      </c>
      <c r="D105" s="271" t="s">
        <v>23</v>
      </c>
      <c r="E105" s="162">
        <v>552.17999999999995</v>
      </c>
      <c r="F105" s="270">
        <f>+C105*E105</f>
        <v>5759.2373999999991</v>
      </c>
      <c r="G105" s="180"/>
      <c r="H105" s="270"/>
      <c r="I105" s="180"/>
      <c r="J105" s="270"/>
      <c r="K105" s="270"/>
      <c r="L105" s="131"/>
    </row>
    <row r="106" spans="1:12" x14ac:dyDescent="0.35">
      <c r="A106" s="281"/>
      <c r="B106" s="99"/>
      <c r="C106" s="162"/>
      <c r="D106" s="271"/>
      <c r="E106" s="162"/>
      <c r="F106" s="162"/>
      <c r="G106" s="180"/>
      <c r="H106" s="162"/>
      <c r="I106" s="180"/>
      <c r="J106" s="162"/>
      <c r="K106" s="162"/>
      <c r="L106" s="99"/>
    </row>
    <row r="107" spans="1:12" x14ac:dyDescent="0.35">
      <c r="A107" s="294" t="s">
        <v>87</v>
      </c>
      <c r="B107" s="105" t="s">
        <v>101</v>
      </c>
      <c r="C107" s="295"/>
      <c r="D107" s="296"/>
      <c r="E107" s="295"/>
      <c r="F107" s="295"/>
      <c r="G107" s="297"/>
      <c r="H107" s="295"/>
      <c r="I107" s="297"/>
      <c r="J107" s="295"/>
      <c r="K107" s="295"/>
      <c r="L107" s="105"/>
    </row>
    <row r="108" spans="1:12" x14ac:dyDescent="0.35">
      <c r="A108" s="281"/>
      <c r="B108" s="99"/>
      <c r="C108" s="162"/>
      <c r="D108" s="271"/>
      <c r="E108" s="162"/>
      <c r="F108" s="162"/>
      <c r="G108" s="180"/>
      <c r="H108" s="162"/>
      <c r="I108" s="180"/>
      <c r="J108" s="162"/>
      <c r="K108" s="162"/>
      <c r="L108" s="99"/>
    </row>
    <row r="109" spans="1:12" ht="72.5" x14ac:dyDescent="0.35">
      <c r="A109" s="294" t="s">
        <v>87</v>
      </c>
      <c r="B109" s="105" t="s">
        <v>102</v>
      </c>
      <c r="C109" s="295"/>
      <c r="D109" s="296"/>
      <c r="E109" s="295"/>
      <c r="F109" s="295"/>
      <c r="G109" s="297"/>
      <c r="H109" s="295"/>
      <c r="I109" s="297"/>
      <c r="J109" s="295"/>
      <c r="K109" s="295"/>
      <c r="L109" s="105"/>
    </row>
    <row r="110" spans="1:12" x14ac:dyDescent="0.35">
      <c r="A110" s="281"/>
      <c r="B110" s="99"/>
      <c r="C110" s="162"/>
      <c r="D110" s="271"/>
      <c r="E110" s="162"/>
      <c r="F110" s="162"/>
      <c r="G110" s="180"/>
      <c r="H110" s="162"/>
      <c r="I110" s="180"/>
      <c r="J110" s="162"/>
      <c r="K110" s="162"/>
      <c r="L110" s="99"/>
    </row>
    <row r="111" spans="1:12" ht="43.5" x14ac:dyDescent="0.35">
      <c r="A111" s="281" t="s">
        <v>103</v>
      </c>
      <c r="B111" s="99" t="s">
        <v>104</v>
      </c>
      <c r="C111" s="162">
        <v>5.79</v>
      </c>
      <c r="D111" s="271" t="s">
        <v>105</v>
      </c>
      <c r="E111" s="162">
        <v>171.05</v>
      </c>
      <c r="F111" s="270">
        <f>+C111*E111</f>
        <v>990.37950000000012</v>
      </c>
      <c r="G111" s="180"/>
      <c r="H111" s="270"/>
      <c r="I111" s="180"/>
      <c r="J111" s="270"/>
      <c r="K111" s="270"/>
      <c r="L111" s="131"/>
    </row>
    <row r="112" spans="1:12" x14ac:dyDescent="0.35">
      <c r="A112" s="281"/>
      <c r="B112" s="99"/>
      <c r="C112" s="162"/>
      <c r="D112" s="271"/>
      <c r="E112" s="162"/>
      <c r="F112" s="162"/>
      <c r="G112" s="180"/>
      <c r="H112" s="162"/>
      <c r="I112" s="180"/>
      <c r="J112" s="162"/>
      <c r="K112" s="162"/>
      <c r="L112" s="99"/>
    </row>
    <row r="113" spans="1:12" ht="43.5" x14ac:dyDescent="0.35">
      <c r="A113" s="281" t="s">
        <v>106</v>
      </c>
      <c r="B113" s="99" t="s">
        <v>107</v>
      </c>
      <c r="C113" s="162">
        <v>2.0299999999999998</v>
      </c>
      <c r="D113" s="271" t="s">
        <v>105</v>
      </c>
      <c r="E113" s="162">
        <v>171.05</v>
      </c>
      <c r="F113" s="270">
        <f>+C113*E113</f>
        <v>347.23149999999998</v>
      </c>
      <c r="G113" s="180"/>
      <c r="H113" s="270"/>
      <c r="I113" s="180"/>
      <c r="J113" s="270"/>
      <c r="K113" s="270"/>
      <c r="L113" s="131"/>
    </row>
    <row r="114" spans="1:12" x14ac:dyDescent="0.35">
      <c r="A114" s="281"/>
      <c r="B114" s="99"/>
      <c r="C114" s="162"/>
      <c r="D114" s="271"/>
      <c r="E114" s="162"/>
      <c r="F114" s="162"/>
      <c r="G114" s="180"/>
      <c r="H114" s="162"/>
      <c r="I114" s="180"/>
      <c r="J114" s="162"/>
      <c r="K114" s="162"/>
      <c r="L114" s="99"/>
    </row>
    <row r="115" spans="1:12" ht="29" x14ac:dyDescent="0.35">
      <c r="A115" s="284" t="s">
        <v>87</v>
      </c>
      <c r="B115" s="101" t="s">
        <v>108</v>
      </c>
      <c r="C115" s="285"/>
      <c r="D115" s="286" t="s">
        <v>0</v>
      </c>
      <c r="E115" s="285"/>
      <c r="F115" s="287">
        <f>+F119</f>
        <v>57487.58</v>
      </c>
      <c r="G115" s="288"/>
      <c r="H115" s="287">
        <f>+H119</f>
        <v>0</v>
      </c>
      <c r="I115" s="288"/>
      <c r="J115" s="287">
        <f>+J119</f>
        <v>34492.548000000003</v>
      </c>
      <c r="K115" s="287">
        <f>+J115-H115</f>
        <v>34492.548000000003</v>
      </c>
      <c r="L115" s="101"/>
    </row>
    <row r="116" spans="1:12" x14ac:dyDescent="0.35">
      <c r="A116" s="298"/>
      <c r="B116" s="299"/>
      <c r="C116" s="163"/>
      <c r="D116" s="300"/>
      <c r="E116" s="163"/>
      <c r="F116" s="163"/>
      <c r="G116" s="182"/>
      <c r="H116" s="163"/>
      <c r="I116" s="182"/>
      <c r="J116" s="163"/>
      <c r="K116" s="163"/>
      <c r="L116" s="299"/>
    </row>
    <row r="117" spans="1:12" ht="101.5" x14ac:dyDescent="0.35">
      <c r="A117" s="311" t="s">
        <v>87</v>
      </c>
      <c r="B117" s="312" t="s">
        <v>785</v>
      </c>
      <c r="C117" s="313"/>
      <c r="D117" s="314"/>
      <c r="E117" s="313"/>
      <c r="F117" s="313"/>
      <c r="G117" s="315"/>
      <c r="H117" s="313"/>
      <c r="I117" s="315"/>
      <c r="J117" s="313"/>
      <c r="K117" s="313"/>
      <c r="L117" s="312"/>
    </row>
    <row r="118" spans="1:12" x14ac:dyDescent="0.35">
      <c r="A118" s="281"/>
      <c r="B118" s="99"/>
      <c r="C118" s="162"/>
      <c r="D118" s="271"/>
      <c r="E118" s="162"/>
      <c r="F118" s="162"/>
      <c r="G118" s="180"/>
      <c r="H118" s="162"/>
      <c r="I118" s="180"/>
      <c r="J118" s="162"/>
      <c r="K118" s="162"/>
      <c r="L118" s="99"/>
    </row>
    <row r="119" spans="1:12" ht="58" x14ac:dyDescent="0.35">
      <c r="A119" s="281" t="s">
        <v>109</v>
      </c>
      <c r="B119" s="99" t="s">
        <v>786</v>
      </c>
      <c r="C119" s="162">
        <v>47</v>
      </c>
      <c r="D119" s="271" t="s">
        <v>23</v>
      </c>
      <c r="E119" s="270">
        <v>1223.1400000000001</v>
      </c>
      <c r="F119" s="270">
        <f>+C119*E119</f>
        <v>57487.58</v>
      </c>
      <c r="G119" s="179">
        <v>0</v>
      </c>
      <c r="H119" s="270">
        <f>+F119*G119</f>
        <v>0</v>
      </c>
      <c r="I119" s="517">
        <f>30%+20%+10%</f>
        <v>0.6</v>
      </c>
      <c r="J119" s="270">
        <f>+F119*I119</f>
        <v>34492.548000000003</v>
      </c>
      <c r="K119" s="270">
        <f>+J119-H119</f>
        <v>34492.548000000003</v>
      </c>
      <c r="L119" s="514" t="s">
        <v>840</v>
      </c>
    </row>
    <row r="120" spans="1:12" x14ac:dyDescent="0.35">
      <c r="A120" s="281"/>
      <c r="B120" s="99"/>
      <c r="C120" s="162"/>
      <c r="D120" s="271"/>
      <c r="E120" s="162"/>
      <c r="F120" s="162"/>
      <c r="G120" s="180"/>
      <c r="H120" s="162"/>
      <c r="I120" s="180"/>
      <c r="J120" s="162"/>
      <c r="K120" s="162"/>
      <c r="L120" s="99"/>
    </row>
    <row r="121" spans="1:12" x14ac:dyDescent="0.35">
      <c r="A121" s="284" t="s">
        <v>87</v>
      </c>
      <c r="B121" s="101" t="s">
        <v>110</v>
      </c>
      <c r="C121" s="285"/>
      <c r="D121" s="286" t="s">
        <v>0</v>
      </c>
      <c r="E121" s="285"/>
      <c r="F121" s="287">
        <f>+F129+F131+F133+F137+F141+F143+F147+F151</f>
        <v>254554.97999999998</v>
      </c>
      <c r="G121" s="288"/>
      <c r="H121" s="287">
        <f>+H129+H131+H133+H137+H141+H143+H147+H151</f>
        <v>14881.250999999997</v>
      </c>
      <c r="I121" s="288"/>
      <c r="J121" s="287">
        <f>+J129+J131+J133+J137+J141+J143+J147+J151</f>
        <v>107012.48400000001</v>
      </c>
      <c r="K121" s="287">
        <f>+J121-H121</f>
        <v>92131.233000000007</v>
      </c>
      <c r="L121" s="101"/>
    </row>
    <row r="122" spans="1:12" x14ac:dyDescent="0.35">
      <c r="A122" s="281"/>
      <c r="B122" s="99"/>
      <c r="C122" s="162"/>
      <c r="D122" s="271"/>
      <c r="E122" s="162"/>
      <c r="F122" s="162"/>
      <c r="G122" s="180"/>
      <c r="H122" s="162"/>
      <c r="I122" s="180"/>
      <c r="J122" s="162"/>
      <c r="K122" s="162"/>
      <c r="L122" s="99"/>
    </row>
    <row r="123" spans="1:12" ht="87" x14ac:dyDescent="0.35">
      <c r="A123" s="294" t="s">
        <v>87</v>
      </c>
      <c r="B123" s="105" t="s">
        <v>111</v>
      </c>
      <c r="C123" s="295"/>
      <c r="D123" s="296"/>
      <c r="E123" s="295"/>
      <c r="F123" s="295"/>
      <c r="G123" s="297"/>
      <c r="H123" s="295"/>
      <c r="I123" s="297"/>
      <c r="J123" s="295"/>
      <c r="K123" s="295"/>
      <c r="L123" s="105"/>
    </row>
    <row r="124" spans="1:12" x14ac:dyDescent="0.35">
      <c r="A124" s="281"/>
      <c r="B124" s="99"/>
      <c r="C124" s="162"/>
      <c r="D124" s="271"/>
      <c r="E124" s="162"/>
      <c r="F124" s="162"/>
      <c r="G124" s="180"/>
      <c r="H124" s="162"/>
      <c r="I124" s="180"/>
      <c r="J124" s="162"/>
      <c r="K124" s="162"/>
      <c r="L124" s="99"/>
    </row>
    <row r="125" spans="1:12" x14ac:dyDescent="0.35">
      <c r="A125" s="294" t="s">
        <v>87</v>
      </c>
      <c r="B125" s="105" t="s">
        <v>112</v>
      </c>
      <c r="C125" s="295"/>
      <c r="D125" s="296"/>
      <c r="E125" s="295"/>
      <c r="F125" s="295"/>
      <c r="G125" s="297"/>
      <c r="H125" s="295"/>
      <c r="I125" s="297"/>
      <c r="J125" s="295"/>
      <c r="K125" s="295"/>
      <c r="L125" s="105"/>
    </row>
    <row r="126" spans="1:12" x14ac:dyDescent="0.35">
      <c r="A126" s="281"/>
      <c r="B126" s="99"/>
      <c r="C126" s="162"/>
      <c r="D126" s="271"/>
      <c r="E126" s="162"/>
      <c r="F126" s="162"/>
      <c r="G126" s="180"/>
      <c r="H126" s="162"/>
      <c r="I126" s="180"/>
      <c r="J126" s="162"/>
      <c r="K126" s="162"/>
      <c r="L126" s="99"/>
    </row>
    <row r="127" spans="1:12" x14ac:dyDescent="0.35">
      <c r="A127" s="294" t="s">
        <v>87</v>
      </c>
      <c r="B127" s="105" t="s">
        <v>113</v>
      </c>
      <c r="C127" s="295"/>
      <c r="D127" s="296"/>
      <c r="E127" s="295"/>
      <c r="F127" s="295"/>
      <c r="G127" s="297"/>
      <c r="H127" s="295"/>
      <c r="I127" s="297"/>
      <c r="J127" s="295"/>
      <c r="K127" s="295"/>
      <c r="L127" s="105"/>
    </row>
    <row r="128" spans="1:12" x14ac:dyDescent="0.35">
      <c r="A128" s="281"/>
      <c r="B128" s="99"/>
      <c r="C128" s="162"/>
      <c r="D128" s="271"/>
      <c r="E128" s="162"/>
      <c r="F128" s="162"/>
      <c r="G128" s="180"/>
      <c r="H128" s="162"/>
      <c r="I128" s="180"/>
      <c r="J128" s="162"/>
      <c r="K128" s="162"/>
      <c r="L128" s="99"/>
    </row>
    <row r="129" spans="1:12" ht="58" x14ac:dyDescent="0.35">
      <c r="A129" s="281" t="s">
        <v>114</v>
      </c>
      <c r="B129" s="99" t="s">
        <v>115</v>
      </c>
      <c r="C129" s="162">
        <v>145</v>
      </c>
      <c r="D129" s="271" t="s">
        <v>23</v>
      </c>
      <c r="E129" s="162">
        <v>552.17999999999995</v>
      </c>
      <c r="F129" s="270">
        <f>+C129*E129</f>
        <v>80066.099999999991</v>
      </c>
      <c r="G129" s="179">
        <v>0</v>
      </c>
      <c r="H129" s="270">
        <f>+F129*G129</f>
        <v>0</v>
      </c>
      <c r="I129" s="517">
        <f>30%+10%</f>
        <v>0.4</v>
      </c>
      <c r="J129" s="270">
        <f>+F129*I129</f>
        <v>32026.44</v>
      </c>
      <c r="K129" s="270">
        <f>+J129-H129</f>
        <v>32026.44</v>
      </c>
      <c r="L129" s="514" t="s">
        <v>840</v>
      </c>
    </row>
    <row r="130" spans="1:12" x14ac:dyDescent="0.35">
      <c r="A130" s="281"/>
      <c r="B130" s="99"/>
      <c r="C130" s="162"/>
      <c r="D130" s="271"/>
      <c r="E130" s="162"/>
      <c r="F130" s="270"/>
      <c r="G130" s="180"/>
      <c r="H130" s="270"/>
      <c r="I130" s="180"/>
      <c r="J130" s="270"/>
      <c r="K130" s="270"/>
      <c r="L130" s="99"/>
    </row>
    <row r="131" spans="1:12" ht="58" x14ac:dyDescent="0.35">
      <c r="A131" s="281" t="s">
        <v>116</v>
      </c>
      <c r="B131" s="99" t="s">
        <v>117</v>
      </c>
      <c r="C131" s="162">
        <v>28</v>
      </c>
      <c r="D131" s="271" t="s">
        <v>23</v>
      </c>
      <c r="E131" s="162">
        <v>552.17999999999995</v>
      </c>
      <c r="F131" s="270">
        <f t="shared" ref="F131:F133" si="0">+C131*E131</f>
        <v>15461.039999999999</v>
      </c>
      <c r="G131" s="179">
        <v>0.35</v>
      </c>
      <c r="H131" s="270">
        <f>+F131*G131</f>
        <v>5411.3639999999996</v>
      </c>
      <c r="I131" s="517">
        <f>30%+20%+10%</f>
        <v>0.6</v>
      </c>
      <c r="J131" s="270">
        <f>+F131*I131</f>
        <v>9276.6239999999998</v>
      </c>
      <c r="K131" s="270">
        <f>+J131-H131</f>
        <v>3865.26</v>
      </c>
      <c r="L131" s="514" t="s">
        <v>840</v>
      </c>
    </row>
    <row r="132" spans="1:12" x14ac:dyDescent="0.35">
      <c r="A132" s="281"/>
      <c r="B132" s="99"/>
      <c r="C132" s="162"/>
      <c r="D132" s="271"/>
      <c r="E132" s="162"/>
      <c r="F132" s="162"/>
      <c r="G132" s="180"/>
      <c r="H132" s="162"/>
      <c r="I132" s="180"/>
      <c r="J132" s="162"/>
      <c r="K132" s="162"/>
      <c r="L132" s="99"/>
    </row>
    <row r="133" spans="1:12" ht="58" x14ac:dyDescent="0.35">
      <c r="A133" s="281" t="s">
        <v>118</v>
      </c>
      <c r="B133" s="99" t="s">
        <v>119</v>
      </c>
      <c r="C133" s="162">
        <v>19</v>
      </c>
      <c r="D133" s="271" t="s">
        <v>23</v>
      </c>
      <c r="E133" s="162">
        <v>552.17999999999995</v>
      </c>
      <c r="F133" s="270">
        <f t="shared" si="0"/>
        <v>10491.419999999998</v>
      </c>
      <c r="G133" s="179">
        <v>0.35</v>
      </c>
      <c r="H133" s="270">
        <f>+F133*G133</f>
        <v>3671.9969999999989</v>
      </c>
      <c r="I133" s="517">
        <f>30%+20%+10%</f>
        <v>0.6</v>
      </c>
      <c r="J133" s="270">
        <f>+F133*I133</f>
        <v>6294.851999999999</v>
      </c>
      <c r="K133" s="270">
        <f>+J133-H133</f>
        <v>2622.855</v>
      </c>
      <c r="L133" s="514" t="s">
        <v>840</v>
      </c>
    </row>
    <row r="134" spans="1:12" x14ac:dyDescent="0.35">
      <c r="A134" s="281"/>
      <c r="B134" s="99"/>
      <c r="C134" s="162"/>
      <c r="D134" s="271"/>
      <c r="E134" s="162"/>
      <c r="F134" s="162"/>
      <c r="G134" s="180"/>
      <c r="H134" s="162"/>
      <c r="I134" s="180"/>
      <c r="J134" s="162"/>
      <c r="K134" s="162"/>
      <c r="L134" s="99"/>
    </row>
    <row r="135" spans="1:12" x14ac:dyDescent="0.35">
      <c r="A135" s="294" t="s">
        <v>87</v>
      </c>
      <c r="B135" s="105" t="s">
        <v>120</v>
      </c>
      <c r="C135" s="295"/>
      <c r="D135" s="296"/>
      <c r="E135" s="295"/>
      <c r="F135" s="295"/>
      <c r="G135" s="297"/>
      <c r="H135" s="295"/>
      <c r="I135" s="297"/>
      <c r="J135" s="295"/>
      <c r="K135" s="295"/>
      <c r="L135" s="105"/>
    </row>
    <row r="136" spans="1:12" x14ac:dyDescent="0.35">
      <c r="A136" s="281"/>
      <c r="B136" s="99"/>
      <c r="C136" s="162"/>
      <c r="D136" s="271"/>
      <c r="E136" s="162"/>
      <c r="F136" s="162"/>
      <c r="G136" s="180"/>
      <c r="H136" s="162"/>
      <c r="I136" s="180"/>
      <c r="J136" s="162"/>
      <c r="K136" s="162"/>
      <c r="L136" s="99"/>
    </row>
    <row r="137" spans="1:12" ht="58" x14ac:dyDescent="0.35">
      <c r="A137" s="281" t="s">
        <v>121</v>
      </c>
      <c r="B137" s="99" t="s">
        <v>122</v>
      </c>
      <c r="C137" s="162">
        <v>89</v>
      </c>
      <c r="D137" s="271" t="s">
        <v>23</v>
      </c>
      <c r="E137" s="162">
        <v>552.17999999999995</v>
      </c>
      <c r="F137" s="270">
        <f t="shared" ref="F137" si="1">+C137*E137</f>
        <v>49144.02</v>
      </c>
      <c r="G137" s="179">
        <v>0</v>
      </c>
      <c r="H137" s="270">
        <f>+F137*G137</f>
        <v>0</v>
      </c>
      <c r="I137" s="517">
        <f>30%+10%</f>
        <v>0.4</v>
      </c>
      <c r="J137" s="270">
        <f>+F137*I137</f>
        <v>19657.608</v>
      </c>
      <c r="K137" s="270">
        <f>+J137-H137</f>
        <v>19657.608</v>
      </c>
      <c r="L137" s="514" t="s">
        <v>840</v>
      </c>
    </row>
    <row r="138" spans="1:12" x14ac:dyDescent="0.35">
      <c r="A138" s="281"/>
      <c r="B138" s="99"/>
      <c r="C138" s="162"/>
      <c r="D138" s="271"/>
      <c r="E138" s="162"/>
      <c r="F138" s="162"/>
      <c r="G138" s="180"/>
      <c r="H138" s="162"/>
      <c r="I138" s="180"/>
      <c r="J138" s="162"/>
      <c r="K138" s="162"/>
      <c r="L138" s="99"/>
    </row>
    <row r="139" spans="1:12" x14ac:dyDescent="0.35">
      <c r="A139" s="294" t="s">
        <v>87</v>
      </c>
      <c r="B139" s="105" t="s">
        <v>123</v>
      </c>
      <c r="C139" s="295"/>
      <c r="D139" s="296"/>
      <c r="E139" s="295"/>
      <c r="F139" s="295"/>
      <c r="G139" s="297"/>
      <c r="H139" s="295"/>
      <c r="I139" s="297"/>
      <c r="J139" s="295"/>
      <c r="K139" s="295"/>
      <c r="L139" s="105"/>
    </row>
    <row r="140" spans="1:12" x14ac:dyDescent="0.35">
      <c r="A140" s="281"/>
      <c r="B140" s="99"/>
      <c r="C140" s="162"/>
      <c r="D140" s="271"/>
      <c r="E140" s="162"/>
      <c r="F140" s="162"/>
      <c r="G140" s="180"/>
      <c r="H140" s="162"/>
      <c r="I140" s="180"/>
      <c r="J140" s="162"/>
      <c r="K140" s="162"/>
      <c r="L140" s="99"/>
    </row>
    <row r="141" spans="1:12" ht="58" x14ac:dyDescent="0.35">
      <c r="A141" s="281" t="s">
        <v>124</v>
      </c>
      <c r="B141" s="99" t="s">
        <v>125</v>
      </c>
      <c r="C141" s="162">
        <v>50</v>
      </c>
      <c r="D141" s="271" t="s">
        <v>23</v>
      </c>
      <c r="E141" s="162">
        <v>552.17999999999995</v>
      </c>
      <c r="F141" s="270">
        <f t="shared" ref="F141" si="2">+C141*E141</f>
        <v>27608.999999999996</v>
      </c>
      <c r="G141" s="179">
        <v>0</v>
      </c>
      <c r="H141" s="270">
        <f>+F141*G141</f>
        <v>0</v>
      </c>
      <c r="I141" s="517">
        <f>30%+10%</f>
        <v>0.4</v>
      </c>
      <c r="J141" s="270">
        <f>+F141*I141</f>
        <v>11043.599999999999</v>
      </c>
      <c r="K141" s="270">
        <f>+J141-H141</f>
        <v>11043.599999999999</v>
      </c>
      <c r="L141" s="514" t="s">
        <v>840</v>
      </c>
    </row>
    <row r="142" spans="1:12" x14ac:dyDescent="0.35">
      <c r="A142" s="281"/>
      <c r="B142" s="99"/>
      <c r="C142" s="162"/>
      <c r="D142" s="271"/>
      <c r="E142" s="162"/>
      <c r="F142" s="162"/>
      <c r="G142" s="180"/>
      <c r="H142" s="162"/>
      <c r="I142" s="180"/>
      <c r="J142" s="162"/>
      <c r="K142" s="162"/>
      <c r="L142" s="99"/>
    </row>
    <row r="143" spans="1:12" ht="58" x14ac:dyDescent="0.35">
      <c r="A143" s="281" t="s">
        <v>126</v>
      </c>
      <c r="B143" s="99" t="s">
        <v>127</v>
      </c>
      <c r="C143" s="162">
        <v>92</v>
      </c>
      <c r="D143" s="271" t="s">
        <v>23</v>
      </c>
      <c r="E143" s="162">
        <v>552.17999999999995</v>
      </c>
      <c r="F143" s="270">
        <f t="shared" ref="F143" si="3">+C143*E143</f>
        <v>50800.56</v>
      </c>
      <c r="G143" s="179">
        <v>0</v>
      </c>
      <c r="H143" s="270">
        <f>+F143*G143</f>
        <v>0</v>
      </c>
      <c r="I143" s="517">
        <f>30%+10%</f>
        <v>0.4</v>
      </c>
      <c r="J143" s="270">
        <f>+F143*I143</f>
        <v>20320.224000000002</v>
      </c>
      <c r="K143" s="270">
        <f>+J143-H143</f>
        <v>20320.224000000002</v>
      </c>
      <c r="L143" s="514" t="s">
        <v>840</v>
      </c>
    </row>
    <row r="144" spans="1:12" x14ac:dyDescent="0.35">
      <c r="A144" s="281"/>
      <c r="B144" s="99"/>
      <c r="C144" s="162"/>
      <c r="D144" s="271"/>
      <c r="E144" s="162"/>
      <c r="F144" s="162"/>
      <c r="G144" s="180"/>
      <c r="H144" s="162"/>
      <c r="I144" s="180"/>
      <c r="J144" s="162"/>
      <c r="K144" s="162"/>
      <c r="L144" s="99"/>
    </row>
    <row r="145" spans="1:12" x14ac:dyDescent="0.35">
      <c r="A145" s="294" t="s">
        <v>87</v>
      </c>
      <c r="B145" s="105" t="s">
        <v>128</v>
      </c>
      <c r="C145" s="295"/>
      <c r="D145" s="296"/>
      <c r="E145" s="295"/>
      <c r="F145" s="295"/>
      <c r="G145" s="297"/>
      <c r="H145" s="295"/>
      <c r="I145" s="297"/>
      <c r="J145" s="295"/>
      <c r="K145" s="295"/>
      <c r="L145" s="105"/>
    </row>
    <row r="146" spans="1:12" x14ac:dyDescent="0.35">
      <c r="A146" s="281"/>
      <c r="B146" s="99"/>
      <c r="C146" s="162"/>
      <c r="D146" s="271"/>
      <c r="E146" s="162"/>
      <c r="F146" s="162"/>
      <c r="G146" s="180"/>
      <c r="H146" s="162"/>
      <c r="I146" s="180"/>
      <c r="J146" s="162"/>
      <c r="K146" s="162"/>
      <c r="L146" s="99"/>
    </row>
    <row r="147" spans="1:12" ht="58" x14ac:dyDescent="0.35">
      <c r="A147" s="281" t="s">
        <v>129</v>
      </c>
      <c r="B147" s="99" t="s">
        <v>127</v>
      </c>
      <c r="C147" s="162">
        <v>8</v>
      </c>
      <c r="D147" s="271" t="s">
        <v>23</v>
      </c>
      <c r="E147" s="162">
        <v>552.17999999999995</v>
      </c>
      <c r="F147" s="270">
        <f t="shared" ref="F147" si="4">+C147*E147</f>
        <v>4417.4399999999996</v>
      </c>
      <c r="G147" s="179">
        <v>0</v>
      </c>
      <c r="H147" s="270">
        <f>+F147*G147</f>
        <v>0</v>
      </c>
      <c r="I147" s="204">
        <f>30%+10%</f>
        <v>0.4</v>
      </c>
      <c r="J147" s="270">
        <f>+F147*I147</f>
        <v>1766.9759999999999</v>
      </c>
      <c r="K147" s="270">
        <f>+J147-H147</f>
        <v>1766.9759999999999</v>
      </c>
      <c r="L147" s="514" t="s">
        <v>840</v>
      </c>
    </row>
    <row r="148" spans="1:12" x14ac:dyDescent="0.35">
      <c r="A148" s="281"/>
      <c r="B148" s="99"/>
      <c r="C148" s="162"/>
      <c r="D148" s="271"/>
      <c r="E148" s="162"/>
      <c r="F148" s="162"/>
      <c r="G148" s="180"/>
      <c r="H148" s="162"/>
      <c r="I148" s="180"/>
      <c r="J148" s="162"/>
      <c r="K148" s="162"/>
      <c r="L148" s="99"/>
    </row>
    <row r="149" spans="1:12" x14ac:dyDescent="0.35">
      <c r="A149" s="316" t="s">
        <v>87</v>
      </c>
      <c r="B149" s="317" t="s">
        <v>130</v>
      </c>
      <c r="C149" s="318"/>
      <c r="D149" s="319"/>
      <c r="E149" s="318"/>
      <c r="F149" s="318"/>
      <c r="G149" s="320"/>
      <c r="H149" s="318"/>
      <c r="I149" s="320"/>
      <c r="J149" s="318"/>
      <c r="K149" s="318"/>
      <c r="L149" s="317"/>
    </row>
    <row r="150" spans="1:12" x14ac:dyDescent="0.35">
      <c r="A150" s="301"/>
      <c r="B150" s="302"/>
      <c r="C150" s="166"/>
      <c r="D150" s="303"/>
      <c r="E150" s="166"/>
      <c r="F150" s="166"/>
      <c r="G150" s="181"/>
      <c r="H150" s="166"/>
      <c r="I150" s="181"/>
      <c r="J150" s="166"/>
      <c r="K150" s="166"/>
      <c r="L150" s="302"/>
    </row>
    <row r="151" spans="1:12" ht="58" x14ac:dyDescent="0.35">
      <c r="A151" s="281" t="s">
        <v>131</v>
      </c>
      <c r="B151" s="99" t="s">
        <v>122</v>
      </c>
      <c r="C151" s="162">
        <v>30</v>
      </c>
      <c r="D151" s="271" t="s">
        <v>23</v>
      </c>
      <c r="E151" s="162">
        <v>552.17999999999995</v>
      </c>
      <c r="F151" s="270">
        <f t="shared" ref="F151" si="5">+C151*E151</f>
        <v>16565.399999999998</v>
      </c>
      <c r="G151" s="179">
        <v>0.35</v>
      </c>
      <c r="H151" s="270">
        <f>F151*G151</f>
        <v>5797.8899999999985</v>
      </c>
      <c r="I151" s="204">
        <f>30%+10%</f>
        <v>0.4</v>
      </c>
      <c r="J151" s="270">
        <f>+F151*I151</f>
        <v>6626.16</v>
      </c>
      <c r="K151" s="270">
        <f>+J151-H151</f>
        <v>828.27000000000135</v>
      </c>
      <c r="L151" s="514" t="s">
        <v>840</v>
      </c>
    </row>
    <row r="152" spans="1:12" x14ac:dyDescent="0.35">
      <c r="A152" s="281"/>
      <c r="B152" s="99"/>
      <c r="C152" s="162"/>
      <c r="D152" s="271"/>
      <c r="E152" s="162"/>
      <c r="F152" s="162"/>
      <c r="G152" s="180"/>
      <c r="H152" s="162"/>
      <c r="I152" s="180"/>
      <c r="J152" s="162"/>
      <c r="K152" s="162"/>
      <c r="L152" s="99"/>
    </row>
    <row r="153" spans="1:12" x14ac:dyDescent="0.35">
      <c r="A153" s="281"/>
      <c r="B153" s="99"/>
      <c r="C153" s="162"/>
      <c r="D153" s="271"/>
      <c r="E153" s="162"/>
      <c r="F153" s="162"/>
      <c r="G153" s="180"/>
      <c r="H153" s="162"/>
      <c r="I153" s="180"/>
      <c r="J153" s="162"/>
      <c r="K153" s="162"/>
      <c r="L153" s="99"/>
    </row>
    <row r="154" spans="1:12" x14ac:dyDescent="0.35">
      <c r="A154" s="272" t="s">
        <v>88</v>
      </c>
      <c r="B154" s="109" t="s">
        <v>132</v>
      </c>
      <c r="C154" s="268"/>
      <c r="D154" s="279" t="s">
        <v>0</v>
      </c>
      <c r="E154" s="282"/>
      <c r="F154" s="282">
        <f>+F156+F168+F188+F194</f>
        <v>239829.62209999998</v>
      </c>
      <c r="G154" s="283"/>
      <c r="H154" s="282">
        <f>+H156+H168+H188+H194</f>
        <v>67693.123399999982</v>
      </c>
      <c r="I154" s="283"/>
      <c r="J154" s="282">
        <f>+J156+J168+J188+J194</f>
        <v>127557.82307999997</v>
      </c>
      <c r="K154" s="282">
        <f>+J154-H154</f>
        <v>59864.699679999991</v>
      </c>
      <c r="L154" s="109"/>
    </row>
    <row r="155" spans="1:12" x14ac:dyDescent="0.35">
      <c r="A155" s="281"/>
      <c r="B155" s="99"/>
      <c r="C155" s="162"/>
      <c r="D155" s="271"/>
      <c r="E155" s="162"/>
      <c r="F155" s="162"/>
      <c r="G155" s="180"/>
      <c r="H155" s="162"/>
      <c r="I155" s="180"/>
      <c r="J155" s="162"/>
      <c r="K155" s="162"/>
      <c r="L155" s="99"/>
    </row>
    <row r="156" spans="1:12" ht="29" x14ac:dyDescent="0.35">
      <c r="A156" s="284" t="s">
        <v>88</v>
      </c>
      <c r="B156" s="101" t="s">
        <v>133</v>
      </c>
      <c r="C156" s="285"/>
      <c r="D156" s="286" t="s">
        <v>0</v>
      </c>
      <c r="E156" s="285"/>
      <c r="F156" s="287">
        <f>+F160+F162+F166</f>
        <v>12995.976499999999</v>
      </c>
      <c r="G156" s="288"/>
      <c r="H156" s="287">
        <f>+H160+H162+H166</f>
        <v>0</v>
      </c>
      <c r="I156" s="288"/>
      <c r="J156" s="287">
        <f>+J160+J162+J166</f>
        <v>2638.6240399999997</v>
      </c>
      <c r="K156" s="287">
        <f>+J156-H156</f>
        <v>2638.6240399999997</v>
      </c>
      <c r="L156" s="101"/>
    </row>
    <row r="157" spans="1:12" x14ac:dyDescent="0.35">
      <c r="A157" s="281"/>
      <c r="B157" s="99"/>
      <c r="C157" s="162"/>
      <c r="D157" s="271"/>
      <c r="E157" s="162"/>
      <c r="F157" s="162"/>
      <c r="G157" s="180"/>
      <c r="H157" s="162"/>
      <c r="I157" s="180"/>
      <c r="J157" s="162"/>
      <c r="K157" s="162"/>
      <c r="L157" s="99"/>
    </row>
    <row r="158" spans="1:12" ht="58" x14ac:dyDescent="0.35">
      <c r="A158" s="294" t="s">
        <v>88</v>
      </c>
      <c r="B158" s="105" t="s">
        <v>787</v>
      </c>
      <c r="C158" s="295"/>
      <c r="D158" s="296"/>
      <c r="E158" s="295"/>
      <c r="F158" s="295"/>
      <c r="G158" s="297"/>
      <c r="H158" s="295"/>
      <c r="I158" s="297"/>
      <c r="J158" s="295"/>
      <c r="K158" s="295"/>
      <c r="L158" s="105"/>
    </row>
    <row r="159" spans="1:12" x14ac:dyDescent="0.35">
      <c r="A159" s="281"/>
      <c r="B159" s="99"/>
      <c r="C159" s="162"/>
      <c r="D159" s="271"/>
      <c r="E159" s="162"/>
      <c r="F159" s="162"/>
      <c r="G159" s="180"/>
      <c r="H159" s="162"/>
      <c r="I159" s="180"/>
      <c r="J159" s="162"/>
      <c r="K159" s="162"/>
      <c r="L159" s="99"/>
    </row>
    <row r="160" spans="1:12" ht="58" x14ac:dyDescent="0.35">
      <c r="A160" s="281" t="s">
        <v>134</v>
      </c>
      <c r="B160" s="99" t="s">
        <v>135</v>
      </c>
      <c r="C160" s="162">
        <v>6.42</v>
      </c>
      <c r="D160" s="271" t="s">
        <v>105</v>
      </c>
      <c r="E160" s="162">
        <v>465.53</v>
      </c>
      <c r="F160" s="270">
        <f t="shared" ref="F160" si="6">+C160*E160</f>
        <v>2988.7025999999996</v>
      </c>
      <c r="G160" s="179"/>
      <c r="H160" s="270"/>
      <c r="I160" s="517">
        <f>30%+10%</f>
        <v>0.4</v>
      </c>
      <c r="J160" s="270">
        <f>+F160*I160</f>
        <v>1195.4810399999999</v>
      </c>
      <c r="K160" s="270">
        <f>+J160-H160</f>
        <v>1195.4810399999999</v>
      </c>
      <c r="L160" s="514" t="s">
        <v>840</v>
      </c>
    </row>
    <row r="161" spans="1:12" x14ac:dyDescent="0.35">
      <c r="A161" s="281"/>
      <c r="B161" s="99"/>
      <c r="C161" s="162"/>
      <c r="D161" s="271"/>
      <c r="E161" s="162"/>
      <c r="F161" s="162"/>
      <c r="G161" s="180"/>
      <c r="H161" s="162"/>
      <c r="I161" s="180"/>
      <c r="J161" s="162"/>
      <c r="K161" s="162"/>
      <c r="L161" s="99"/>
    </row>
    <row r="162" spans="1:12" ht="58" x14ac:dyDescent="0.35">
      <c r="A162" s="281" t="s">
        <v>136</v>
      </c>
      <c r="B162" s="99" t="s">
        <v>137</v>
      </c>
      <c r="C162" s="162">
        <v>7.75</v>
      </c>
      <c r="D162" s="271" t="s">
        <v>105</v>
      </c>
      <c r="E162" s="162">
        <v>465.53</v>
      </c>
      <c r="F162" s="270">
        <f t="shared" ref="F162" si="7">+C162*E162</f>
        <v>3607.8574999999996</v>
      </c>
      <c r="G162" s="179"/>
      <c r="H162" s="270"/>
      <c r="I162" s="517">
        <f>30%+10%</f>
        <v>0.4</v>
      </c>
      <c r="J162" s="270">
        <f>+F162*I162</f>
        <v>1443.143</v>
      </c>
      <c r="K162" s="270">
        <f>+J162-H162</f>
        <v>1443.143</v>
      </c>
      <c r="L162" s="514" t="s">
        <v>840</v>
      </c>
    </row>
    <row r="163" spans="1:12" x14ac:dyDescent="0.35">
      <c r="A163" s="281"/>
      <c r="B163" s="99"/>
      <c r="C163" s="162"/>
      <c r="D163" s="271"/>
      <c r="E163" s="162"/>
      <c r="F163" s="162"/>
      <c r="G163" s="180"/>
      <c r="H163" s="162"/>
      <c r="I163" s="180"/>
      <c r="J163" s="162"/>
      <c r="K163" s="162"/>
      <c r="L163" s="99"/>
    </row>
    <row r="164" spans="1:12" ht="43.5" x14ac:dyDescent="0.35">
      <c r="A164" s="294" t="s">
        <v>88</v>
      </c>
      <c r="B164" s="105" t="s">
        <v>788</v>
      </c>
      <c r="C164" s="295"/>
      <c r="D164" s="296"/>
      <c r="E164" s="295"/>
      <c r="F164" s="295"/>
      <c r="G164" s="297"/>
      <c r="H164" s="295"/>
      <c r="I164" s="297"/>
      <c r="J164" s="295"/>
      <c r="K164" s="295"/>
      <c r="L164" s="105"/>
    </row>
    <row r="165" spans="1:12" x14ac:dyDescent="0.35">
      <c r="A165" s="281"/>
      <c r="B165" s="99"/>
      <c r="C165" s="162"/>
      <c r="D165" s="271"/>
      <c r="E165" s="162"/>
      <c r="F165" s="162"/>
      <c r="G165" s="180"/>
      <c r="H165" s="162"/>
      <c r="I165" s="180"/>
      <c r="J165" s="162"/>
      <c r="K165" s="162"/>
      <c r="L165" s="99"/>
    </row>
    <row r="166" spans="1:12" x14ac:dyDescent="0.35">
      <c r="A166" s="281" t="s">
        <v>138</v>
      </c>
      <c r="B166" s="99" t="s">
        <v>139</v>
      </c>
      <c r="C166" s="162">
        <v>14.43</v>
      </c>
      <c r="D166" s="271" t="s">
        <v>105</v>
      </c>
      <c r="E166" s="162">
        <v>443.48</v>
      </c>
      <c r="F166" s="270">
        <f t="shared" ref="F166" si="8">+C166*E166</f>
        <v>6399.4164000000001</v>
      </c>
      <c r="G166" s="180"/>
      <c r="H166" s="270"/>
      <c r="I166" s="180"/>
      <c r="J166" s="270"/>
      <c r="K166" s="270"/>
      <c r="L166" s="131"/>
    </row>
    <row r="167" spans="1:12" x14ac:dyDescent="0.35">
      <c r="A167" s="281"/>
      <c r="B167" s="99"/>
      <c r="C167" s="162"/>
      <c r="D167" s="271"/>
      <c r="E167" s="162"/>
      <c r="F167" s="162"/>
      <c r="G167" s="180"/>
      <c r="H167" s="162"/>
      <c r="I167" s="180"/>
      <c r="J167" s="162"/>
      <c r="K167" s="162"/>
      <c r="L167" s="99"/>
    </row>
    <row r="168" spans="1:12" ht="29" x14ac:dyDescent="0.35">
      <c r="A168" s="284" t="s">
        <v>88</v>
      </c>
      <c r="B168" s="101" t="s">
        <v>140</v>
      </c>
      <c r="C168" s="285"/>
      <c r="D168" s="286" t="s">
        <v>0</v>
      </c>
      <c r="E168" s="285"/>
      <c r="F168" s="287">
        <f>+F176+F178+F182+F186</f>
        <v>22184.611599999997</v>
      </c>
      <c r="G168" s="288"/>
      <c r="H168" s="287">
        <f>+H176+H178+H182+H186</f>
        <v>0</v>
      </c>
      <c r="I168" s="288"/>
      <c r="J168" s="287">
        <f>+J176+J178+J182+J186</f>
        <v>8873.8446399999993</v>
      </c>
      <c r="K168" s="287">
        <f>+J168-H168</f>
        <v>8873.8446399999993</v>
      </c>
      <c r="L168" s="101"/>
    </row>
    <row r="169" spans="1:12" x14ac:dyDescent="0.35">
      <c r="A169" s="281"/>
      <c r="B169" s="99"/>
      <c r="C169" s="162"/>
      <c r="D169" s="271"/>
      <c r="E169" s="162"/>
      <c r="F169" s="162"/>
      <c r="G169" s="180"/>
      <c r="H169" s="162"/>
      <c r="I169" s="180"/>
      <c r="J169" s="162"/>
      <c r="K169" s="162"/>
      <c r="L169" s="99"/>
    </row>
    <row r="170" spans="1:12" x14ac:dyDescent="0.35">
      <c r="A170" s="294" t="s">
        <v>88</v>
      </c>
      <c r="B170" s="105" t="s">
        <v>141</v>
      </c>
      <c r="C170" s="295"/>
      <c r="D170" s="296"/>
      <c r="E170" s="295"/>
      <c r="F170" s="295"/>
      <c r="G170" s="297"/>
      <c r="H170" s="295"/>
      <c r="I170" s="297"/>
      <c r="J170" s="295"/>
      <c r="K170" s="295"/>
      <c r="L170" s="105"/>
    </row>
    <row r="171" spans="1:12" x14ac:dyDescent="0.35">
      <c r="A171" s="281"/>
      <c r="B171" s="99"/>
      <c r="C171" s="162"/>
      <c r="D171" s="271"/>
      <c r="E171" s="162"/>
      <c r="F171" s="162"/>
      <c r="G171" s="180"/>
      <c r="H171" s="162"/>
      <c r="I171" s="180"/>
      <c r="J171" s="162"/>
      <c r="K171" s="162"/>
      <c r="L171" s="99"/>
    </row>
    <row r="172" spans="1:12" ht="87" x14ac:dyDescent="0.35">
      <c r="A172" s="294" t="s">
        <v>88</v>
      </c>
      <c r="B172" s="105" t="s">
        <v>142</v>
      </c>
      <c r="C172" s="295"/>
      <c r="D172" s="296"/>
      <c r="E172" s="295"/>
      <c r="F172" s="295"/>
      <c r="G172" s="297"/>
      <c r="H172" s="295"/>
      <c r="I172" s="297"/>
      <c r="J172" s="295"/>
      <c r="K172" s="295"/>
      <c r="L172" s="105"/>
    </row>
    <row r="173" spans="1:12" x14ac:dyDescent="0.35">
      <c r="A173" s="281"/>
      <c r="B173" s="99"/>
      <c r="C173" s="162"/>
      <c r="D173" s="271"/>
      <c r="E173" s="162"/>
      <c r="F173" s="162"/>
      <c r="G173" s="180"/>
      <c r="H173" s="162"/>
      <c r="I173" s="180"/>
      <c r="J173" s="162"/>
      <c r="K173" s="162"/>
      <c r="L173" s="99"/>
    </row>
    <row r="174" spans="1:12" ht="72.5" x14ac:dyDescent="0.35">
      <c r="A174" s="294" t="s">
        <v>88</v>
      </c>
      <c r="B174" s="105" t="s">
        <v>789</v>
      </c>
      <c r="C174" s="295"/>
      <c r="D174" s="296"/>
      <c r="E174" s="295"/>
      <c r="F174" s="295"/>
      <c r="G174" s="297"/>
      <c r="H174" s="295"/>
      <c r="I174" s="297"/>
      <c r="J174" s="295"/>
      <c r="K174" s="295"/>
      <c r="L174" s="105"/>
    </row>
    <row r="175" spans="1:12" x14ac:dyDescent="0.35">
      <c r="A175" s="281"/>
      <c r="B175" s="99"/>
      <c r="C175" s="162"/>
      <c r="D175" s="271"/>
      <c r="E175" s="162"/>
      <c r="F175" s="162"/>
      <c r="G175" s="180"/>
      <c r="H175" s="162"/>
      <c r="I175" s="180"/>
      <c r="J175" s="162"/>
      <c r="K175" s="162"/>
      <c r="L175" s="99"/>
    </row>
    <row r="176" spans="1:12" ht="58" x14ac:dyDescent="0.35">
      <c r="A176" s="281" t="s">
        <v>143</v>
      </c>
      <c r="B176" s="99" t="s">
        <v>144</v>
      </c>
      <c r="C176" s="162">
        <v>9.5500000000000007</v>
      </c>
      <c r="D176" s="271" t="s">
        <v>105</v>
      </c>
      <c r="E176" s="162">
        <v>465.53</v>
      </c>
      <c r="F176" s="270">
        <f t="shared" ref="F176:F178" si="9">+C176*E176</f>
        <v>4445.8114999999998</v>
      </c>
      <c r="G176" s="179"/>
      <c r="H176" s="270"/>
      <c r="I176" s="517">
        <f>30%+10%</f>
        <v>0.4</v>
      </c>
      <c r="J176" s="270">
        <f>+F176*I176</f>
        <v>1778.3245999999999</v>
      </c>
      <c r="K176" s="270">
        <f>+J176-H176</f>
        <v>1778.3245999999999</v>
      </c>
      <c r="L176" s="514" t="s">
        <v>840</v>
      </c>
    </row>
    <row r="177" spans="1:12" x14ac:dyDescent="0.35">
      <c r="A177" s="281"/>
      <c r="B177" s="99"/>
      <c r="C177" s="162"/>
      <c r="D177" s="271"/>
      <c r="E177" s="162"/>
      <c r="F177" s="162"/>
      <c r="G177" s="180"/>
      <c r="H177" s="162"/>
      <c r="I177" s="180"/>
      <c r="J177" s="162"/>
      <c r="K177" s="162"/>
      <c r="L177" s="99"/>
    </row>
    <row r="178" spans="1:12" ht="58" x14ac:dyDescent="0.35">
      <c r="A178" s="281" t="s">
        <v>145</v>
      </c>
      <c r="B178" s="99" t="s">
        <v>146</v>
      </c>
      <c r="C178" s="162">
        <v>12.93</v>
      </c>
      <c r="D178" s="271" t="s">
        <v>105</v>
      </c>
      <c r="E178" s="162">
        <v>465.53</v>
      </c>
      <c r="F178" s="270">
        <f t="shared" si="9"/>
        <v>6019.3028999999997</v>
      </c>
      <c r="G178" s="179"/>
      <c r="H178" s="270"/>
      <c r="I178" s="517">
        <f>30%+10%</f>
        <v>0.4</v>
      </c>
      <c r="J178" s="270">
        <f>+F178*I178</f>
        <v>2407.7211600000001</v>
      </c>
      <c r="K178" s="270">
        <f>+J178-H178</f>
        <v>2407.7211600000001</v>
      </c>
      <c r="L178" s="514" t="s">
        <v>840</v>
      </c>
    </row>
    <row r="179" spans="1:12" x14ac:dyDescent="0.35">
      <c r="A179" s="298"/>
      <c r="B179" s="299"/>
      <c r="C179" s="163"/>
      <c r="D179" s="300"/>
      <c r="E179" s="163"/>
      <c r="F179" s="163"/>
      <c r="G179" s="182"/>
      <c r="H179" s="163"/>
      <c r="I179" s="182"/>
      <c r="J179" s="163"/>
      <c r="K179" s="163"/>
      <c r="L179" s="299"/>
    </row>
    <row r="180" spans="1:12" ht="58" x14ac:dyDescent="0.35">
      <c r="A180" s="311" t="s">
        <v>88</v>
      </c>
      <c r="B180" s="312" t="s">
        <v>790</v>
      </c>
      <c r="C180" s="313"/>
      <c r="D180" s="314"/>
      <c r="E180" s="313"/>
      <c r="F180" s="313"/>
      <c r="G180" s="315"/>
      <c r="H180" s="313"/>
      <c r="I180" s="315"/>
      <c r="J180" s="313"/>
      <c r="K180" s="313"/>
      <c r="L180" s="312"/>
    </row>
    <row r="181" spans="1:12" x14ac:dyDescent="0.35">
      <c r="A181" s="281"/>
      <c r="B181" s="99"/>
      <c r="C181" s="162"/>
      <c r="D181" s="271"/>
      <c r="E181" s="162"/>
      <c r="F181" s="162"/>
      <c r="G181" s="180"/>
      <c r="H181" s="162"/>
      <c r="I181" s="180"/>
      <c r="J181" s="162"/>
      <c r="K181" s="162"/>
      <c r="L181" s="99"/>
    </row>
    <row r="182" spans="1:12" ht="58" x14ac:dyDescent="0.35">
      <c r="A182" s="281" t="s">
        <v>147</v>
      </c>
      <c r="B182" s="99" t="s">
        <v>148</v>
      </c>
      <c r="C182" s="162">
        <v>12.28</v>
      </c>
      <c r="D182" s="271" t="s">
        <v>105</v>
      </c>
      <c r="E182" s="162">
        <v>488.69</v>
      </c>
      <c r="F182" s="270">
        <f t="shared" ref="F182" si="10">+C182*E182</f>
        <v>6001.1131999999998</v>
      </c>
      <c r="G182" s="179"/>
      <c r="H182" s="270"/>
      <c r="I182" s="517">
        <f>30%+10%</f>
        <v>0.4</v>
      </c>
      <c r="J182" s="270">
        <f>+F182*I182</f>
        <v>2400.4452799999999</v>
      </c>
      <c r="K182" s="270">
        <f>+J182-H182</f>
        <v>2400.4452799999999</v>
      </c>
      <c r="L182" s="514" t="s">
        <v>840</v>
      </c>
    </row>
    <row r="183" spans="1:12" x14ac:dyDescent="0.35">
      <c r="A183" s="281"/>
      <c r="B183" s="99"/>
      <c r="C183" s="162"/>
      <c r="D183" s="271"/>
      <c r="E183" s="162"/>
      <c r="F183" s="162"/>
      <c r="G183" s="180"/>
      <c r="H183" s="162"/>
      <c r="I183" s="180"/>
      <c r="J183" s="162"/>
      <c r="K183" s="162"/>
      <c r="L183" s="99"/>
    </row>
    <row r="184" spans="1:12" ht="58" x14ac:dyDescent="0.35">
      <c r="A184" s="294" t="s">
        <v>88</v>
      </c>
      <c r="B184" s="105" t="s">
        <v>149</v>
      </c>
      <c r="C184" s="295"/>
      <c r="D184" s="296"/>
      <c r="E184" s="295"/>
      <c r="F184" s="295"/>
      <c r="G184" s="297"/>
      <c r="H184" s="295"/>
      <c r="I184" s="297"/>
      <c r="J184" s="295"/>
      <c r="K184" s="295"/>
      <c r="L184" s="105"/>
    </row>
    <row r="185" spans="1:12" x14ac:dyDescent="0.35">
      <c r="A185" s="281"/>
      <c r="B185" s="99"/>
      <c r="C185" s="162"/>
      <c r="D185" s="271"/>
      <c r="E185" s="162"/>
      <c r="F185" s="162"/>
      <c r="G185" s="180"/>
      <c r="H185" s="162"/>
      <c r="I185" s="180"/>
      <c r="J185" s="162"/>
      <c r="K185" s="162"/>
      <c r="L185" s="99"/>
    </row>
    <row r="186" spans="1:12" ht="58" x14ac:dyDescent="0.35">
      <c r="A186" s="281" t="s">
        <v>150</v>
      </c>
      <c r="B186" s="99" t="s">
        <v>151</v>
      </c>
      <c r="C186" s="162">
        <v>5.6</v>
      </c>
      <c r="D186" s="271" t="s">
        <v>23</v>
      </c>
      <c r="E186" s="270">
        <v>1021.14</v>
      </c>
      <c r="F186" s="270">
        <f t="shared" ref="F186" si="11">+C186*E186</f>
        <v>5718.384</v>
      </c>
      <c r="G186" s="179"/>
      <c r="H186" s="270"/>
      <c r="I186" s="517">
        <f>30%+10%</f>
        <v>0.4</v>
      </c>
      <c r="J186" s="270">
        <f>+F186*I186</f>
        <v>2287.3535999999999</v>
      </c>
      <c r="K186" s="270">
        <f>+J186-H186</f>
        <v>2287.3535999999999</v>
      </c>
      <c r="L186" s="514" t="s">
        <v>840</v>
      </c>
    </row>
    <row r="187" spans="1:12" x14ac:dyDescent="0.35">
      <c r="A187" s="281"/>
      <c r="B187" s="99"/>
      <c r="C187" s="162"/>
      <c r="D187" s="271"/>
      <c r="E187" s="162"/>
      <c r="F187" s="162"/>
      <c r="G187" s="180"/>
      <c r="H187" s="162"/>
      <c r="I187" s="180"/>
      <c r="J187" s="162"/>
      <c r="K187" s="162"/>
      <c r="L187" s="99"/>
    </row>
    <row r="188" spans="1:12" ht="29" x14ac:dyDescent="0.35">
      <c r="A188" s="284" t="s">
        <v>88</v>
      </c>
      <c r="B188" s="101" t="s">
        <v>152</v>
      </c>
      <c r="C188" s="285"/>
      <c r="D188" s="286" t="s">
        <v>0</v>
      </c>
      <c r="E188" s="285"/>
      <c r="F188" s="287">
        <f>+F190+F192</f>
        <v>193408.924</v>
      </c>
      <c r="G188" s="288"/>
      <c r="H188" s="287">
        <f>+H190+H192</f>
        <v>67693.123399999982</v>
      </c>
      <c r="I188" s="288"/>
      <c r="J188" s="287">
        <f>+J190+J192</f>
        <v>116045.35439999998</v>
      </c>
      <c r="K188" s="287">
        <f>+J188-H188</f>
        <v>48352.231</v>
      </c>
      <c r="L188" s="101"/>
    </row>
    <row r="189" spans="1:12" x14ac:dyDescent="0.35">
      <c r="A189" s="281"/>
      <c r="B189" s="99"/>
      <c r="C189" s="162"/>
      <c r="D189" s="271"/>
      <c r="E189" s="162"/>
      <c r="F189" s="162"/>
      <c r="G189" s="180"/>
      <c r="H189" s="162"/>
      <c r="I189" s="180"/>
      <c r="J189" s="162"/>
      <c r="K189" s="162"/>
      <c r="L189" s="99"/>
    </row>
    <row r="190" spans="1:12" ht="58" x14ac:dyDescent="0.35">
      <c r="A190" s="281" t="s">
        <v>153</v>
      </c>
      <c r="B190" s="99" t="s">
        <v>154</v>
      </c>
      <c r="C190" s="162">
        <v>113.72</v>
      </c>
      <c r="D190" s="271" t="s">
        <v>23</v>
      </c>
      <c r="E190" s="270">
        <v>1087.3</v>
      </c>
      <c r="F190" s="270">
        <f t="shared" ref="F190" si="12">+C190*E190</f>
        <v>123647.75599999999</v>
      </c>
      <c r="G190" s="179">
        <v>0.35</v>
      </c>
      <c r="H190" s="270">
        <f>F190*G190</f>
        <v>43276.714599999992</v>
      </c>
      <c r="I190" s="517">
        <f>30%+20%+10%</f>
        <v>0.6</v>
      </c>
      <c r="J190" s="270">
        <f>+F190*I190</f>
        <v>74188.653599999991</v>
      </c>
      <c r="K190" s="270">
        <f>+J190-H190</f>
        <v>30911.938999999998</v>
      </c>
      <c r="L190" s="514" t="s">
        <v>840</v>
      </c>
    </row>
    <row r="191" spans="1:12" x14ac:dyDescent="0.35">
      <c r="A191" s="281"/>
      <c r="B191" s="99"/>
      <c r="C191" s="162"/>
      <c r="D191" s="271"/>
      <c r="E191" s="162"/>
      <c r="F191" s="162"/>
      <c r="G191" s="180"/>
      <c r="H191" s="162"/>
      <c r="I191" s="180"/>
      <c r="J191" s="162"/>
      <c r="K191" s="162"/>
      <c r="L191" s="99"/>
    </row>
    <row r="192" spans="1:12" ht="58" x14ac:dyDescent="0.35">
      <c r="A192" s="281" t="s">
        <v>155</v>
      </c>
      <c r="B192" s="99" t="s">
        <v>156</v>
      </c>
      <c r="C192" s="162">
        <v>64.16</v>
      </c>
      <c r="D192" s="271" t="s">
        <v>23</v>
      </c>
      <c r="E192" s="270">
        <v>1087.3</v>
      </c>
      <c r="F192" s="270">
        <f t="shared" ref="F192" si="13">+C192*E192</f>
        <v>69761.167999999991</v>
      </c>
      <c r="G192" s="179">
        <v>0.35</v>
      </c>
      <c r="H192" s="270">
        <f>F192*G192</f>
        <v>24416.408799999994</v>
      </c>
      <c r="I192" s="517">
        <f>30%+20%+10%</f>
        <v>0.6</v>
      </c>
      <c r="J192" s="270">
        <f>+F192*I192</f>
        <v>41856.700799999991</v>
      </c>
      <c r="K192" s="270">
        <f>+J192-H192</f>
        <v>17440.291999999998</v>
      </c>
      <c r="L192" s="514" t="s">
        <v>840</v>
      </c>
    </row>
    <row r="193" spans="1:12" x14ac:dyDescent="0.35">
      <c r="A193" s="281"/>
      <c r="B193" s="99"/>
      <c r="C193" s="162"/>
      <c r="D193" s="271"/>
      <c r="E193" s="162"/>
      <c r="F193" s="162"/>
      <c r="G193" s="180"/>
      <c r="H193" s="162"/>
      <c r="I193" s="180"/>
      <c r="J193" s="162"/>
      <c r="K193" s="162"/>
      <c r="L193" s="99"/>
    </row>
    <row r="194" spans="1:12" x14ac:dyDescent="0.35">
      <c r="A194" s="284" t="s">
        <v>88</v>
      </c>
      <c r="B194" s="101" t="s">
        <v>157</v>
      </c>
      <c r="C194" s="285"/>
      <c r="D194" s="286" t="s">
        <v>0</v>
      </c>
      <c r="E194" s="285"/>
      <c r="F194" s="287">
        <f>+F198+F202</f>
        <v>11240.11</v>
      </c>
      <c r="G194" s="288"/>
      <c r="H194" s="287">
        <f>+H198+H202</f>
        <v>0</v>
      </c>
      <c r="I194" s="288"/>
      <c r="J194" s="287">
        <f>+J198+J202</f>
        <v>0</v>
      </c>
      <c r="K194" s="287">
        <f>+J194-H194</f>
        <v>0</v>
      </c>
      <c r="L194" s="101"/>
    </row>
    <row r="195" spans="1:12" x14ac:dyDescent="0.35">
      <c r="A195" s="281"/>
      <c r="B195" s="99"/>
      <c r="C195" s="162"/>
      <c r="D195" s="271"/>
      <c r="E195" s="162"/>
      <c r="F195" s="162"/>
      <c r="G195" s="180"/>
      <c r="H195" s="162"/>
      <c r="I195" s="180"/>
      <c r="J195" s="162"/>
      <c r="K195" s="162"/>
      <c r="L195" s="99"/>
    </row>
    <row r="196" spans="1:12" ht="72.5" x14ac:dyDescent="0.35">
      <c r="A196" s="294" t="s">
        <v>88</v>
      </c>
      <c r="B196" s="105" t="s">
        <v>789</v>
      </c>
      <c r="C196" s="295"/>
      <c r="D196" s="296"/>
      <c r="E196" s="295"/>
      <c r="F196" s="295"/>
      <c r="G196" s="297"/>
      <c r="H196" s="295"/>
      <c r="I196" s="297"/>
      <c r="J196" s="295"/>
      <c r="K196" s="295"/>
      <c r="L196" s="105"/>
    </row>
    <row r="197" spans="1:12" x14ac:dyDescent="0.35">
      <c r="A197" s="281"/>
      <c r="B197" s="99"/>
      <c r="C197" s="162"/>
      <c r="D197" s="271"/>
      <c r="E197" s="162"/>
      <c r="F197" s="162"/>
      <c r="G197" s="180"/>
      <c r="H197" s="162"/>
      <c r="I197" s="180"/>
      <c r="J197" s="162"/>
      <c r="K197" s="162"/>
      <c r="L197" s="99"/>
    </row>
    <row r="198" spans="1:12" x14ac:dyDescent="0.35">
      <c r="A198" s="281" t="s">
        <v>158</v>
      </c>
      <c r="B198" s="99" t="s">
        <v>148</v>
      </c>
      <c r="C198" s="162">
        <v>17</v>
      </c>
      <c r="D198" s="271" t="s">
        <v>105</v>
      </c>
      <c r="E198" s="162">
        <v>465.53</v>
      </c>
      <c r="F198" s="270">
        <f t="shared" ref="F198" si="14">+C198*E198</f>
        <v>7914.0099999999993</v>
      </c>
      <c r="G198" s="180"/>
      <c r="H198" s="270"/>
      <c r="I198" s="180"/>
      <c r="J198" s="270"/>
      <c r="K198" s="270"/>
      <c r="L198" s="131"/>
    </row>
    <row r="199" spans="1:12" x14ac:dyDescent="0.35">
      <c r="A199" s="281"/>
      <c r="B199" s="99"/>
      <c r="C199" s="162"/>
      <c r="D199" s="271"/>
      <c r="E199" s="162"/>
      <c r="F199" s="162"/>
      <c r="G199" s="180"/>
      <c r="H199" s="162"/>
      <c r="I199" s="180"/>
      <c r="J199" s="162"/>
      <c r="K199" s="162"/>
      <c r="L199" s="99"/>
    </row>
    <row r="200" spans="1:12" ht="43.5" x14ac:dyDescent="0.35">
      <c r="A200" s="294" t="s">
        <v>88</v>
      </c>
      <c r="B200" s="105" t="s">
        <v>788</v>
      </c>
      <c r="C200" s="295"/>
      <c r="D200" s="296"/>
      <c r="E200" s="295"/>
      <c r="F200" s="295"/>
      <c r="G200" s="297"/>
      <c r="H200" s="295"/>
      <c r="I200" s="297"/>
      <c r="J200" s="295"/>
      <c r="K200" s="295"/>
      <c r="L200" s="105"/>
    </row>
    <row r="201" spans="1:12" x14ac:dyDescent="0.35">
      <c r="A201" s="281"/>
      <c r="B201" s="99"/>
      <c r="C201" s="162"/>
      <c r="D201" s="271"/>
      <c r="E201" s="162"/>
      <c r="F201" s="162"/>
      <c r="G201" s="180"/>
      <c r="H201" s="162"/>
      <c r="I201" s="180"/>
      <c r="J201" s="162"/>
      <c r="K201" s="162"/>
      <c r="L201" s="99"/>
    </row>
    <row r="202" spans="1:12" x14ac:dyDescent="0.35">
      <c r="A202" s="281" t="s">
        <v>159</v>
      </c>
      <c r="B202" s="99" t="s">
        <v>139</v>
      </c>
      <c r="C202" s="162">
        <v>7.5</v>
      </c>
      <c r="D202" s="271" t="s">
        <v>105</v>
      </c>
      <c r="E202" s="162">
        <v>443.48</v>
      </c>
      <c r="F202" s="270">
        <f t="shared" ref="F202" si="15">+C202*E202</f>
        <v>3326.1000000000004</v>
      </c>
      <c r="G202" s="180"/>
      <c r="H202" s="270"/>
      <c r="I202" s="180"/>
      <c r="J202" s="270"/>
      <c r="K202" s="270"/>
      <c r="L202" s="131"/>
    </row>
    <row r="203" spans="1:12" x14ac:dyDescent="0.35">
      <c r="A203" s="298"/>
      <c r="B203" s="299"/>
      <c r="C203" s="163"/>
      <c r="D203" s="300"/>
      <c r="E203" s="163"/>
      <c r="F203" s="163"/>
      <c r="G203" s="182"/>
      <c r="H203" s="163"/>
      <c r="I203" s="182"/>
      <c r="J203" s="163"/>
      <c r="K203" s="163"/>
      <c r="L203" s="299"/>
    </row>
    <row r="204" spans="1:12" x14ac:dyDescent="0.35">
      <c r="A204" s="154"/>
      <c r="B204" s="150" t="s">
        <v>228</v>
      </c>
      <c r="C204" s="155"/>
      <c r="D204" s="156"/>
      <c r="E204" s="155"/>
      <c r="F204" s="157">
        <f>+F3+F7+F86+F91+F154</f>
        <v>2105729.8665</v>
      </c>
      <c r="G204" s="158"/>
      <c r="H204" s="157">
        <f>+H3+H7+H86+H91+H154</f>
        <v>551016.90392836533</v>
      </c>
      <c r="I204" s="158"/>
      <c r="J204" s="157">
        <f>+J3+J7+J86+J91+J154</f>
        <v>810993.59558000008</v>
      </c>
      <c r="K204" s="157">
        <f>+J204-H204</f>
        <v>259976.69165163476</v>
      </c>
      <c r="L204" s="521">
        <f>J204/F204</f>
        <v>0.38513657828673825</v>
      </c>
    </row>
    <row r="206" spans="1:12" x14ac:dyDescent="0.35">
      <c r="F206" s="130"/>
      <c r="G206" s="129"/>
      <c r="H206" s="129"/>
    </row>
    <row r="207" spans="1:12" x14ac:dyDescent="0.35">
      <c r="F207" s="129"/>
      <c r="G207" s="129"/>
      <c r="H207" s="129"/>
    </row>
  </sheetData>
  <autoFilter ref="A1:M202" xr:uid="{123A3BCB-F4DD-4823-BBE3-23FF5A25CB37}"/>
  <printOptions horizontalCentered="1"/>
  <pageMargins left="0.25" right="0.25" top="0.75" bottom="0.75" header="0.3" footer="0.3"/>
  <pageSetup scale="6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2F459-D4CE-4F9B-9831-CCFC04C55CE4}">
  <dimension ref="A1:AU289"/>
  <sheetViews>
    <sheetView view="pageBreakPreview" zoomScaleNormal="100" zoomScaleSheetLayoutView="100" workbookViewId="0">
      <pane ySplit="2" topLeftCell="A3" activePane="bottomLeft" state="frozen"/>
      <selection pane="bottomLeft" activeCell="L8" sqref="L8"/>
    </sheetView>
  </sheetViews>
  <sheetFormatPr defaultColWidth="9.1796875" defaultRowHeight="14.5" x14ac:dyDescent="0.35"/>
  <cols>
    <col min="1" max="1" width="5.54296875" style="88" bestFit="1" customWidth="1"/>
    <col min="2" max="2" width="26.7265625" style="1" customWidth="1"/>
    <col min="3" max="3" width="8.54296875" style="466" customWidth="1"/>
    <col min="4" max="4" width="5.1796875" style="467" bestFit="1" customWidth="1"/>
    <col min="5" max="5" width="10.1796875" style="466" bestFit="1" customWidth="1"/>
    <col min="6" max="6" width="11.7265625" style="466" bestFit="1" customWidth="1"/>
    <col min="7" max="8" width="11.7265625" style="466" customWidth="1"/>
    <col min="9" max="9" width="11.453125" style="468" customWidth="1"/>
    <col min="10" max="11" width="11.54296875" style="466" customWidth="1"/>
    <col min="12" max="12" width="16.81640625" style="1" customWidth="1"/>
  </cols>
  <sheetData>
    <row r="1" spans="1:47" s="2" customFormat="1" x14ac:dyDescent="0.35">
      <c r="A1" s="4"/>
      <c r="D1" s="4"/>
      <c r="I1" s="93"/>
    </row>
    <row r="2" spans="1:47" s="2" customFormat="1" ht="43.5" x14ac:dyDescent="0.35">
      <c r="A2" s="114" t="s">
        <v>237</v>
      </c>
      <c r="B2" s="115" t="s">
        <v>1</v>
      </c>
      <c r="C2" s="50" t="s">
        <v>238</v>
      </c>
      <c r="D2" s="114" t="s">
        <v>3</v>
      </c>
      <c r="E2" s="115" t="s">
        <v>4</v>
      </c>
      <c r="F2" s="115" t="s">
        <v>5</v>
      </c>
      <c r="G2" s="94" t="s">
        <v>832</v>
      </c>
      <c r="H2" s="50" t="s">
        <v>833</v>
      </c>
      <c r="I2" s="94" t="s">
        <v>834</v>
      </c>
      <c r="J2" s="50" t="s">
        <v>835</v>
      </c>
      <c r="K2" s="50" t="s">
        <v>836</v>
      </c>
      <c r="L2" s="115" t="s">
        <v>2</v>
      </c>
    </row>
    <row r="3" spans="1:47" s="2" customFormat="1" x14ac:dyDescent="0.35">
      <c r="A3" s="141"/>
      <c r="B3" s="142"/>
      <c r="C3" s="136"/>
      <c r="D3" s="141"/>
      <c r="E3" s="142"/>
      <c r="F3" s="142"/>
      <c r="G3" s="137"/>
      <c r="H3" s="142"/>
      <c r="I3" s="137"/>
      <c r="J3" s="136"/>
      <c r="K3" s="136"/>
      <c r="L3" s="142"/>
    </row>
    <row r="4" spans="1:47" s="2" customFormat="1" x14ac:dyDescent="0.35">
      <c r="A4" s="146"/>
      <c r="B4" s="159" t="s">
        <v>633</v>
      </c>
      <c r="C4" s="148"/>
      <c r="D4" s="146"/>
      <c r="E4" s="147"/>
      <c r="F4" s="147"/>
      <c r="G4" s="399"/>
      <c r="H4" s="147"/>
      <c r="I4" s="399"/>
      <c r="J4" s="148"/>
      <c r="K4" s="148"/>
      <c r="L4" s="147"/>
    </row>
    <row r="5" spans="1:47" s="2" customFormat="1" x14ac:dyDescent="0.35">
      <c r="A5" s="143"/>
      <c r="B5" s="144"/>
      <c r="C5" s="145"/>
      <c r="D5" s="143"/>
      <c r="E5" s="144"/>
      <c r="F5" s="144"/>
      <c r="G5" s="398"/>
      <c r="H5" s="144"/>
      <c r="I5" s="398"/>
      <c r="J5" s="145"/>
      <c r="K5" s="145"/>
      <c r="L5" s="144"/>
    </row>
    <row r="6" spans="1:47" s="111" customFormat="1" x14ac:dyDescent="0.35">
      <c r="A6" s="108" t="s">
        <v>418</v>
      </c>
      <c r="B6" s="109" t="s">
        <v>7</v>
      </c>
      <c r="C6" s="442"/>
      <c r="D6" s="443" t="s">
        <v>0</v>
      </c>
      <c r="E6" s="442"/>
      <c r="F6" s="444">
        <f>+F8</f>
        <v>196023.4</v>
      </c>
      <c r="G6" s="445"/>
      <c r="H6" s="444">
        <f>+H8</f>
        <v>0</v>
      </c>
      <c r="I6" s="445"/>
      <c r="J6" s="444">
        <f>+J8</f>
        <v>42744.427555170863</v>
      </c>
      <c r="K6" s="444">
        <f>+J6-H6</f>
        <v>42744.427555170863</v>
      </c>
      <c r="L6" s="109"/>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spans="1:47" x14ac:dyDescent="0.35">
      <c r="A7" s="98"/>
      <c r="B7" s="99"/>
      <c r="C7" s="408"/>
      <c r="D7" s="409"/>
      <c r="E7" s="408"/>
      <c r="F7" s="408"/>
      <c r="G7" s="410"/>
      <c r="H7" s="408"/>
      <c r="I7" s="410"/>
      <c r="J7" s="408"/>
      <c r="K7" s="408"/>
      <c r="L7" s="99"/>
    </row>
    <row r="8" spans="1:47" ht="29" x14ac:dyDescent="0.35">
      <c r="A8" s="98" t="s">
        <v>419</v>
      </c>
      <c r="B8" s="99" t="s">
        <v>10</v>
      </c>
      <c r="C8" s="408">
        <v>1</v>
      </c>
      <c r="D8" s="409" t="s">
        <v>11</v>
      </c>
      <c r="E8" s="417">
        <v>196023.4</v>
      </c>
      <c r="F8" s="417">
        <f>+C8*E8</f>
        <v>196023.4</v>
      </c>
      <c r="G8" s="410"/>
      <c r="H8" s="417"/>
      <c r="I8" s="410"/>
      <c r="J8" s="417">
        <v>42744.427555170863</v>
      </c>
      <c r="K8" s="417">
        <f>+J8-H8</f>
        <v>42744.427555170863</v>
      </c>
      <c r="L8" s="520">
        <f>J8/F8</f>
        <v>0.21805778062808248</v>
      </c>
    </row>
    <row r="9" spans="1:47" x14ac:dyDescent="0.35">
      <c r="A9" s="98"/>
      <c r="B9" s="99"/>
      <c r="C9" s="408"/>
      <c r="D9" s="409"/>
      <c r="E9" s="408"/>
      <c r="F9" s="408"/>
      <c r="G9" s="410"/>
      <c r="H9" s="408"/>
      <c r="I9" s="410"/>
      <c r="J9" s="408"/>
      <c r="K9" s="408"/>
      <c r="L9" s="99"/>
    </row>
    <row r="10" spans="1:47" x14ac:dyDescent="0.35">
      <c r="A10" s="98"/>
      <c r="B10" s="99"/>
      <c r="C10" s="408"/>
      <c r="D10" s="409"/>
      <c r="E10" s="408"/>
      <c r="F10" s="408"/>
      <c r="G10" s="410"/>
      <c r="H10" s="408"/>
      <c r="I10" s="410"/>
      <c r="J10" s="408"/>
      <c r="K10" s="408"/>
      <c r="L10" s="99"/>
    </row>
    <row r="11" spans="1:47" s="111" customFormat="1" ht="29" x14ac:dyDescent="0.35">
      <c r="A11" s="108" t="s">
        <v>420</v>
      </c>
      <c r="B11" s="109" t="s">
        <v>110</v>
      </c>
      <c r="C11" s="442"/>
      <c r="D11" s="443" t="s">
        <v>0</v>
      </c>
      <c r="E11" s="442"/>
      <c r="F11" s="444">
        <f>+F13</f>
        <v>747029.98999999976</v>
      </c>
      <c r="G11" s="445"/>
      <c r="H11" s="444">
        <f>+H13</f>
        <v>25812.762499999997</v>
      </c>
      <c r="I11" s="445"/>
      <c r="J11" s="444">
        <f>+J13</f>
        <v>320672.18300000002</v>
      </c>
      <c r="K11" s="444">
        <f>+J11-H11</f>
        <v>294859.42050000001</v>
      </c>
      <c r="L11" s="109"/>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row>
    <row r="12" spans="1:47" x14ac:dyDescent="0.35">
      <c r="A12" s="98"/>
      <c r="B12" s="99"/>
      <c r="C12" s="408"/>
      <c r="D12" s="409"/>
      <c r="E12" s="408"/>
      <c r="F12" s="408"/>
      <c r="G12" s="410"/>
      <c r="H12" s="408"/>
      <c r="I12" s="410"/>
      <c r="J12" s="408"/>
      <c r="K12" s="408"/>
      <c r="L12" s="99"/>
    </row>
    <row r="13" spans="1:47" s="3" customFormat="1" x14ac:dyDescent="0.35">
      <c r="A13" s="100" t="s">
        <v>420</v>
      </c>
      <c r="B13" s="101" t="s">
        <v>421</v>
      </c>
      <c r="C13" s="412"/>
      <c r="D13" s="413" t="s">
        <v>0</v>
      </c>
      <c r="E13" s="412"/>
      <c r="F13" s="414">
        <f>+F23+F25+F29+F33+F37+F41+F45+F47+F49+F53+F55+F57+F59+F61+F63+F65+F70+F72+F80+F84+F86+F88+F92+F94+F98+F100+F104+F106+F108+F112+F114+F118+F120</f>
        <v>747029.98999999976</v>
      </c>
      <c r="G13" s="415"/>
      <c r="H13" s="414">
        <f>+H23+H25+H29+H33+H37+H41+H45+H47+H49+H53+H55+H57+H59+H61+H63+H65+H70+H72+H80+H84+H86+H88+H92+H94+H98+H100+H104+H106+H108+H112+H114+H118+H120</f>
        <v>25812.762499999997</v>
      </c>
      <c r="I13" s="415"/>
      <c r="J13" s="414">
        <f>+J23+J25+J29+J33+J37+J41+J45+J47+J49+J53+J55+J57+J59+J61+J63+J65+J70+J72+J80+J84+J86+J88+J92+J94+J98+J100+J104+J106+J108+J112+J114+J118+J120</f>
        <v>320672.18300000002</v>
      </c>
      <c r="K13" s="414">
        <f>+J13-H13</f>
        <v>294859.42050000001</v>
      </c>
      <c r="L13" s="101"/>
    </row>
    <row r="14" spans="1:47" x14ac:dyDescent="0.35">
      <c r="A14" s="98"/>
      <c r="B14" s="99"/>
      <c r="C14" s="408"/>
      <c r="D14" s="409"/>
      <c r="E14" s="408"/>
      <c r="F14" s="408"/>
      <c r="G14" s="410"/>
      <c r="H14" s="408"/>
      <c r="I14" s="410"/>
      <c r="J14" s="408"/>
      <c r="K14" s="408"/>
      <c r="L14" s="99"/>
    </row>
    <row r="15" spans="1:47" s="3" customFormat="1" x14ac:dyDescent="0.35">
      <c r="A15" s="104" t="s">
        <v>420</v>
      </c>
      <c r="B15" s="105" t="s">
        <v>422</v>
      </c>
      <c r="C15" s="418"/>
      <c r="D15" s="419"/>
      <c r="E15" s="418"/>
      <c r="F15" s="418"/>
      <c r="G15" s="420"/>
      <c r="H15" s="418"/>
      <c r="I15" s="420"/>
      <c r="J15" s="418"/>
      <c r="K15" s="418"/>
      <c r="L15" s="105"/>
    </row>
    <row r="16" spans="1:47" x14ac:dyDescent="0.35">
      <c r="A16" s="98"/>
      <c r="B16" s="99"/>
      <c r="C16" s="408"/>
      <c r="D16" s="409"/>
      <c r="E16" s="408"/>
      <c r="F16" s="408"/>
      <c r="G16" s="410"/>
      <c r="H16" s="408"/>
      <c r="I16" s="410"/>
      <c r="J16" s="408"/>
      <c r="K16" s="408"/>
      <c r="L16" s="99"/>
    </row>
    <row r="17" spans="1:12" s="3" customFormat="1" ht="43.5" x14ac:dyDescent="0.35">
      <c r="A17" s="104" t="s">
        <v>420</v>
      </c>
      <c r="B17" s="105" t="s">
        <v>423</v>
      </c>
      <c r="C17" s="418"/>
      <c r="D17" s="419"/>
      <c r="E17" s="418"/>
      <c r="F17" s="418"/>
      <c r="G17" s="420"/>
      <c r="H17" s="418"/>
      <c r="I17" s="420"/>
      <c r="J17" s="418"/>
      <c r="K17" s="418"/>
      <c r="L17" s="105"/>
    </row>
    <row r="18" spans="1:12" x14ac:dyDescent="0.35">
      <c r="A18" s="98"/>
      <c r="B18" s="99"/>
      <c r="C18" s="408"/>
      <c r="D18" s="409"/>
      <c r="E18" s="408"/>
      <c r="F18" s="408"/>
      <c r="G18" s="410"/>
      <c r="H18" s="408"/>
      <c r="I18" s="410"/>
      <c r="J18" s="408"/>
      <c r="K18" s="408"/>
      <c r="L18" s="99"/>
    </row>
    <row r="19" spans="1:12" s="3" customFormat="1" x14ac:dyDescent="0.35">
      <c r="A19" s="104" t="s">
        <v>420</v>
      </c>
      <c r="B19" s="105" t="s">
        <v>112</v>
      </c>
      <c r="C19" s="418"/>
      <c r="D19" s="419"/>
      <c r="E19" s="418"/>
      <c r="F19" s="418"/>
      <c r="G19" s="420"/>
      <c r="H19" s="418"/>
      <c r="I19" s="420"/>
      <c r="J19" s="418"/>
      <c r="K19" s="418"/>
      <c r="L19" s="105"/>
    </row>
    <row r="20" spans="1:12" x14ac:dyDescent="0.35">
      <c r="A20" s="98"/>
      <c r="B20" s="99"/>
      <c r="C20" s="408"/>
      <c r="D20" s="409"/>
      <c r="E20" s="408"/>
      <c r="F20" s="408"/>
      <c r="G20" s="410"/>
      <c r="H20" s="408"/>
      <c r="I20" s="410"/>
      <c r="J20" s="408"/>
      <c r="K20" s="408"/>
      <c r="L20" s="99"/>
    </row>
    <row r="21" spans="1:12" s="3" customFormat="1" x14ac:dyDescent="0.35">
      <c r="A21" s="104" t="s">
        <v>420</v>
      </c>
      <c r="B21" s="105" t="s">
        <v>424</v>
      </c>
      <c r="C21" s="418"/>
      <c r="D21" s="419"/>
      <c r="E21" s="418"/>
      <c r="F21" s="418"/>
      <c r="G21" s="420"/>
      <c r="H21" s="418"/>
      <c r="I21" s="420"/>
      <c r="J21" s="418"/>
      <c r="K21" s="418"/>
      <c r="L21" s="105"/>
    </row>
    <row r="22" spans="1:12" x14ac:dyDescent="0.35">
      <c r="A22" s="98"/>
      <c r="B22" s="99"/>
      <c r="C22" s="408"/>
      <c r="D22" s="409"/>
      <c r="E22" s="408"/>
      <c r="F22" s="408"/>
      <c r="G22" s="410"/>
      <c r="H22" s="408"/>
      <c r="I22" s="410"/>
      <c r="J22" s="408"/>
      <c r="K22" s="408"/>
      <c r="L22" s="99"/>
    </row>
    <row r="23" spans="1:12" ht="130.5" x14ac:dyDescent="0.35">
      <c r="A23" s="98" t="s">
        <v>425</v>
      </c>
      <c r="B23" s="99" t="s">
        <v>426</v>
      </c>
      <c r="C23" s="408">
        <v>1</v>
      </c>
      <c r="D23" s="409" t="s">
        <v>237</v>
      </c>
      <c r="E23" s="417">
        <v>6584.08</v>
      </c>
      <c r="F23" s="417">
        <f>+C23*E23</f>
        <v>6584.08</v>
      </c>
      <c r="G23" s="410"/>
      <c r="H23" s="417"/>
      <c r="I23" s="410"/>
      <c r="J23" s="417"/>
      <c r="K23" s="417"/>
      <c r="L23" s="99"/>
    </row>
    <row r="24" spans="1:12" x14ac:dyDescent="0.35">
      <c r="A24" s="98"/>
      <c r="B24" s="99"/>
      <c r="C24" s="408"/>
      <c r="D24" s="409"/>
      <c r="E24" s="408"/>
      <c r="F24" s="408"/>
      <c r="G24" s="410"/>
      <c r="H24" s="408"/>
      <c r="I24" s="410"/>
      <c r="J24" s="408"/>
      <c r="K24" s="408"/>
      <c r="L24" s="99"/>
    </row>
    <row r="25" spans="1:12" ht="203" x14ac:dyDescent="0.35">
      <c r="A25" s="98" t="s">
        <v>427</v>
      </c>
      <c r="B25" s="99" t="s">
        <v>428</v>
      </c>
      <c r="C25" s="408">
        <v>3</v>
      </c>
      <c r="D25" s="409" t="s">
        <v>237</v>
      </c>
      <c r="E25" s="417">
        <v>16193.1</v>
      </c>
      <c r="F25" s="417">
        <f>+C25*E25</f>
        <v>48579.3</v>
      </c>
      <c r="G25" s="424">
        <v>0</v>
      </c>
      <c r="H25" s="417">
        <f>+F25*G25</f>
        <v>0</v>
      </c>
      <c r="I25" s="179">
        <v>0.3</v>
      </c>
      <c r="J25" s="270">
        <f>+F25*I25</f>
        <v>14573.79</v>
      </c>
      <c r="K25" s="270">
        <f>+J25-H25</f>
        <v>14573.79</v>
      </c>
      <c r="L25" s="514" t="s">
        <v>840</v>
      </c>
    </row>
    <row r="26" spans="1:12" x14ac:dyDescent="0.35">
      <c r="A26" s="123"/>
      <c r="B26" s="124"/>
      <c r="C26" s="457"/>
      <c r="D26" s="458"/>
      <c r="E26" s="457"/>
      <c r="F26" s="457"/>
      <c r="G26" s="459"/>
      <c r="H26" s="457"/>
      <c r="I26" s="459"/>
      <c r="J26" s="457"/>
      <c r="K26" s="457"/>
      <c r="L26" s="124"/>
    </row>
    <row r="27" spans="1:12" s="3" customFormat="1" x14ac:dyDescent="0.35">
      <c r="A27" s="333" t="s">
        <v>420</v>
      </c>
      <c r="B27" s="334" t="s">
        <v>123</v>
      </c>
      <c r="C27" s="470"/>
      <c r="D27" s="471"/>
      <c r="E27" s="470"/>
      <c r="F27" s="470"/>
      <c r="G27" s="472"/>
      <c r="H27" s="470"/>
      <c r="I27" s="472"/>
      <c r="J27" s="470"/>
      <c r="K27" s="470"/>
      <c r="L27" s="334"/>
    </row>
    <row r="28" spans="1:12" x14ac:dyDescent="0.35">
      <c r="A28" s="321"/>
      <c r="B28" s="302"/>
      <c r="C28" s="438"/>
      <c r="D28" s="439"/>
      <c r="E28" s="438"/>
      <c r="F28" s="438"/>
      <c r="G28" s="440"/>
      <c r="H28" s="438"/>
      <c r="I28" s="440"/>
      <c r="J28" s="438"/>
      <c r="K28" s="438"/>
      <c r="L28" s="302"/>
    </row>
    <row r="29" spans="1:12" ht="58" x14ac:dyDescent="0.35">
      <c r="A29" s="98" t="s">
        <v>430</v>
      </c>
      <c r="B29" s="99" t="s">
        <v>431</v>
      </c>
      <c r="C29" s="408">
        <v>27</v>
      </c>
      <c r="D29" s="409" t="s">
        <v>23</v>
      </c>
      <c r="E29" s="408">
        <v>657.65</v>
      </c>
      <c r="F29" s="417">
        <f>+C29*E29</f>
        <v>17756.55</v>
      </c>
      <c r="G29" s="424">
        <v>0</v>
      </c>
      <c r="H29" s="417">
        <f>+F29*G29</f>
        <v>0</v>
      </c>
      <c r="I29" s="517">
        <f>30%+10%</f>
        <v>0.4</v>
      </c>
      <c r="J29" s="270">
        <f>+F29*I29</f>
        <v>7102.62</v>
      </c>
      <c r="K29" s="270">
        <f>+J29-H29</f>
        <v>7102.62</v>
      </c>
      <c r="L29" s="514" t="s">
        <v>840</v>
      </c>
    </row>
    <row r="30" spans="1:12" x14ac:dyDescent="0.35">
      <c r="A30" s="98"/>
      <c r="B30" s="99"/>
      <c r="C30" s="408"/>
      <c r="D30" s="409"/>
      <c r="E30" s="408"/>
      <c r="F30" s="408"/>
      <c r="G30" s="410"/>
      <c r="H30" s="408"/>
      <c r="I30" s="410"/>
      <c r="J30" s="408"/>
      <c r="K30" s="408"/>
      <c r="L30" s="99"/>
    </row>
    <row r="31" spans="1:12" s="3" customFormat="1" x14ac:dyDescent="0.35">
      <c r="A31" s="104" t="s">
        <v>420</v>
      </c>
      <c r="B31" s="105" t="s">
        <v>256</v>
      </c>
      <c r="C31" s="418"/>
      <c r="D31" s="419"/>
      <c r="E31" s="418"/>
      <c r="F31" s="418"/>
      <c r="G31" s="420"/>
      <c r="H31" s="418"/>
      <c r="I31" s="420"/>
      <c r="J31" s="418"/>
      <c r="K31" s="418"/>
      <c r="L31" s="105"/>
    </row>
    <row r="32" spans="1:12" x14ac:dyDescent="0.35">
      <c r="A32" s="98"/>
      <c r="B32" s="99"/>
      <c r="C32" s="408"/>
      <c r="D32" s="409"/>
      <c r="E32" s="408"/>
      <c r="F32" s="408"/>
      <c r="G32" s="410"/>
      <c r="H32" s="408"/>
      <c r="I32" s="410"/>
      <c r="J32" s="408"/>
      <c r="K32" s="408"/>
      <c r="L32" s="99"/>
    </row>
    <row r="33" spans="1:12" ht="58" x14ac:dyDescent="0.35">
      <c r="A33" s="98" t="s">
        <v>432</v>
      </c>
      <c r="B33" s="99" t="s">
        <v>431</v>
      </c>
      <c r="C33" s="408">
        <v>38</v>
      </c>
      <c r="D33" s="409" t="s">
        <v>23</v>
      </c>
      <c r="E33" s="408">
        <v>657.65</v>
      </c>
      <c r="F33" s="417">
        <f>+C33*E33</f>
        <v>24990.7</v>
      </c>
      <c r="G33" s="424">
        <v>0.35</v>
      </c>
      <c r="H33" s="417">
        <f>+F33*G33</f>
        <v>8746.744999999999</v>
      </c>
      <c r="I33" s="517">
        <f>30%+10%</f>
        <v>0.4</v>
      </c>
      <c r="J33" s="270">
        <f>+F33*I33</f>
        <v>9996.2800000000007</v>
      </c>
      <c r="K33" s="270">
        <f>+J33-H33</f>
        <v>1249.5350000000017</v>
      </c>
      <c r="L33" s="514" t="s">
        <v>840</v>
      </c>
    </row>
    <row r="34" spans="1:12" x14ac:dyDescent="0.35">
      <c r="A34" s="98"/>
      <c r="B34" s="99"/>
      <c r="C34" s="408"/>
      <c r="D34" s="409"/>
      <c r="E34" s="408"/>
      <c r="F34" s="408"/>
      <c r="G34" s="410"/>
      <c r="H34" s="408"/>
      <c r="I34" s="410"/>
      <c r="J34" s="408"/>
      <c r="K34" s="408"/>
      <c r="L34" s="99"/>
    </row>
    <row r="35" spans="1:12" s="3" customFormat="1" x14ac:dyDescent="0.35">
      <c r="A35" s="104" t="s">
        <v>420</v>
      </c>
      <c r="B35" s="105" t="s">
        <v>261</v>
      </c>
      <c r="C35" s="418"/>
      <c r="D35" s="419"/>
      <c r="E35" s="418"/>
      <c r="F35" s="418"/>
      <c r="G35" s="420"/>
      <c r="H35" s="418"/>
      <c r="I35" s="420"/>
      <c r="J35" s="418"/>
      <c r="K35" s="418"/>
      <c r="L35" s="105"/>
    </row>
    <row r="36" spans="1:12" x14ac:dyDescent="0.35">
      <c r="A36" s="98"/>
      <c r="B36" s="99"/>
      <c r="C36" s="408"/>
      <c r="D36" s="409"/>
      <c r="E36" s="408"/>
      <c r="F36" s="408"/>
      <c r="G36" s="410"/>
      <c r="H36" s="408"/>
      <c r="I36" s="410"/>
      <c r="J36" s="408"/>
      <c r="K36" s="408"/>
      <c r="L36" s="99"/>
    </row>
    <row r="37" spans="1:12" ht="58" x14ac:dyDescent="0.35">
      <c r="A37" s="98" t="s">
        <v>433</v>
      </c>
      <c r="B37" s="99" t="s">
        <v>431</v>
      </c>
      <c r="C37" s="408">
        <v>33</v>
      </c>
      <c r="D37" s="409" t="s">
        <v>23</v>
      </c>
      <c r="E37" s="408">
        <v>657.65</v>
      </c>
      <c r="F37" s="417">
        <f>+C37*E37</f>
        <v>21702.45</v>
      </c>
      <c r="G37" s="424">
        <v>0.35</v>
      </c>
      <c r="H37" s="417">
        <f>+F37*G37</f>
        <v>7595.8575000000001</v>
      </c>
      <c r="I37" s="517">
        <f>30%+10%</f>
        <v>0.4</v>
      </c>
      <c r="J37" s="270">
        <f>+F37*I37</f>
        <v>8680.9800000000014</v>
      </c>
      <c r="K37" s="270">
        <f>+J37-H37</f>
        <v>1085.1225000000013</v>
      </c>
      <c r="L37" s="514" t="s">
        <v>840</v>
      </c>
    </row>
    <row r="38" spans="1:12" x14ac:dyDescent="0.35">
      <c r="A38" s="98"/>
      <c r="B38" s="99"/>
      <c r="C38" s="408"/>
      <c r="D38" s="409"/>
      <c r="E38" s="408"/>
      <c r="F38" s="408"/>
      <c r="G38" s="410"/>
      <c r="H38" s="408"/>
      <c r="I38" s="410"/>
      <c r="J38" s="408"/>
      <c r="K38" s="408"/>
      <c r="L38" s="99"/>
    </row>
    <row r="39" spans="1:12" s="3" customFormat="1" x14ac:dyDescent="0.35">
      <c r="A39" s="104" t="s">
        <v>420</v>
      </c>
      <c r="B39" s="105" t="s">
        <v>434</v>
      </c>
      <c r="C39" s="418"/>
      <c r="D39" s="419"/>
      <c r="E39" s="418"/>
      <c r="F39" s="418"/>
      <c r="G39" s="420"/>
      <c r="H39" s="418"/>
      <c r="I39" s="420"/>
      <c r="J39" s="418"/>
      <c r="K39" s="418"/>
      <c r="L39" s="105"/>
    </row>
    <row r="40" spans="1:12" x14ac:dyDescent="0.35">
      <c r="A40" s="98"/>
      <c r="B40" s="99"/>
      <c r="C40" s="408"/>
      <c r="D40" s="409"/>
      <c r="E40" s="408"/>
      <c r="F40" s="408"/>
      <c r="G40" s="410"/>
      <c r="H40" s="408"/>
      <c r="I40" s="410"/>
      <c r="J40" s="408"/>
      <c r="K40" s="408"/>
      <c r="L40" s="99"/>
    </row>
    <row r="41" spans="1:12" ht="159.5" x14ac:dyDescent="0.35">
      <c r="A41" s="98" t="s">
        <v>435</v>
      </c>
      <c r="B41" s="99" t="s">
        <v>436</v>
      </c>
      <c r="C41" s="408">
        <v>1</v>
      </c>
      <c r="D41" s="409" t="s">
        <v>237</v>
      </c>
      <c r="E41" s="417">
        <v>4921.87</v>
      </c>
      <c r="F41" s="417">
        <f>+C41*E41</f>
        <v>4921.87</v>
      </c>
      <c r="G41" s="410"/>
      <c r="H41" s="417"/>
      <c r="I41" s="410"/>
      <c r="J41" s="417"/>
      <c r="K41" s="417"/>
      <c r="L41" s="99" t="s">
        <v>429</v>
      </c>
    </row>
    <row r="42" spans="1:12" x14ac:dyDescent="0.35">
      <c r="A42" s="98"/>
      <c r="B42" s="99"/>
      <c r="C42" s="408"/>
      <c r="D42" s="409"/>
      <c r="E42" s="408"/>
      <c r="F42" s="408"/>
      <c r="G42" s="410"/>
      <c r="H42" s="408"/>
      <c r="I42" s="410"/>
      <c r="J42" s="408"/>
      <c r="K42" s="408"/>
      <c r="L42" s="99"/>
    </row>
    <row r="43" spans="1:12" s="3" customFormat="1" x14ac:dyDescent="0.35">
      <c r="A43" s="104" t="s">
        <v>420</v>
      </c>
      <c r="B43" s="105" t="s">
        <v>437</v>
      </c>
      <c r="C43" s="418"/>
      <c r="D43" s="419"/>
      <c r="E43" s="418"/>
      <c r="F43" s="418"/>
      <c r="G43" s="420"/>
      <c r="H43" s="418"/>
      <c r="I43" s="420"/>
      <c r="J43" s="418"/>
      <c r="K43" s="418"/>
      <c r="L43" s="105"/>
    </row>
    <row r="44" spans="1:12" x14ac:dyDescent="0.35">
      <c r="A44" s="98"/>
      <c r="B44" s="99"/>
      <c r="C44" s="408"/>
      <c r="D44" s="409"/>
      <c r="E44" s="408"/>
      <c r="F44" s="408"/>
      <c r="G44" s="410"/>
      <c r="H44" s="408"/>
      <c r="I44" s="410"/>
      <c r="J44" s="408"/>
      <c r="K44" s="408"/>
      <c r="L44" s="99"/>
    </row>
    <row r="45" spans="1:12" ht="130.5" x14ac:dyDescent="0.35">
      <c r="A45" s="98" t="s">
        <v>438</v>
      </c>
      <c r="B45" s="99" t="s">
        <v>439</v>
      </c>
      <c r="C45" s="408">
        <v>1</v>
      </c>
      <c r="D45" s="409" t="s">
        <v>237</v>
      </c>
      <c r="E45" s="417">
        <v>9399.1</v>
      </c>
      <c r="F45" s="417">
        <f>+C45*E45</f>
        <v>9399.1</v>
      </c>
      <c r="G45" s="424"/>
      <c r="H45" s="417"/>
      <c r="I45" s="519">
        <f>30%+10%</f>
        <v>0.4</v>
      </c>
      <c r="J45" s="417">
        <f>+F45*I45</f>
        <v>3759.6400000000003</v>
      </c>
      <c r="K45" s="417">
        <f t="shared" ref="K45" si="0">+J45-H45</f>
        <v>3759.6400000000003</v>
      </c>
      <c r="L45" s="514" t="s">
        <v>840</v>
      </c>
    </row>
    <row r="46" spans="1:12" x14ac:dyDescent="0.35">
      <c r="A46" s="123"/>
      <c r="B46" s="124"/>
      <c r="C46" s="457"/>
      <c r="D46" s="458"/>
      <c r="E46" s="457"/>
      <c r="F46" s="457"/>
      <c r="G46" s="459"/>
      <c r="H46" s="457"/>
      <c r="I46" s="459"/>
      <c r="J46" s="457"/>
      <c r="K46" s="457"/>
      <c r="L46" s="124"/>
    </row>
    <row r="47" spans="1:12" ht="174" x14ac:dyDescent="0.35">
      <c r="A47" s="335" t="s">
        <v>440</v>
      </c>
      <c r="B47" s="336" t="s">
        <v>441</v>
      </c>
      <c r="C47" s="473">
        <v>1</v>
      </c>
      <c r="D47" s="474" t="s">
        <v>237</v>
      </c>
      <c r="E47" s="475">
        <v>17841.080000000002</v>
      </c>
      <c r="F47" s="475">
        <f>+C47*E47</f>
        <v>17841.080000000002</v>
      </c>
      <c r="G47" s="476"/>
      <c r="H47" s="475"/>
      <c r="I47" s="476"/>
      <c r="J47" s="475"/>
      <c r="K47" s="475"/>
      <c r="L47" s="336"/>
    </row>
    <row r="48" spans="1:12" x14ac:dyDescent="0.35">
      <c r="A48" s="321"/>
      <c r="B48" s="302"/>
      <c r="C48" s="438"/>
      <c r="D48" s="439"/>
      <c r="E48" s="438"/>
      <c r="F48" s="438"/>
      <c r="G48" s="440"/>
      <c r="H48" s="438"/>
      <c r="I48" s="440"/>
      <c r="J48" s="438"/>
      <c r="K48" s="438"/>
      <c r="L48" s="302"/>
    </row>
    <row r="49" spans="1:12" ht="58" x14ac:dyDescent="0.35">
      <c r="A49" s="98" t="s">
        <v>442</v>
      </c>
      <c r="B49" s="99" t="s">
        <v>431</v>
      </c>
      <c r="C49" s="408">
        <v>48</v>
      </c>
      <c r="D49" s="409" t="s">
        <v>23</v>
      </c>
      <c r="E49" s="408">
        <v>657.65</v>
      </c>
      <c r="F49" s="417">
        <f>+C49*E49</f>
        <v>31567.199999999997</v>
      </c>
      <c r="G49" s="424">
        <v>0.3</v>
      </c>
      <c r="H49" s="417">
        <f>+F49*G49</f>
        <v>9470.159999999998</v>
      </c>
      <c r="I49" s="519">
        <f>30%+10%</f>
        <v>0.4</v>
      </c>
      <c r="J49" s="417">
        <f>+F49*I49</f>
        <v>12626.88</v>
      </c>
      <c r="K49" s="417">
        <f t="shared" ref="K49" si="1">+J49-H49</f>
        <v>3156.7200000000012</v>
      </c>
      <c r="L49" s="514" t="s">
        <v>840</v>
      </c>
    </row>
    <row r="50" spans="1:12" ht="15.75" customHeight="1" x14ac:dyDescent="0.35">
      <c r="A50" s="98"/>
      <c r="B50" s="99"/>
      <c r="C50" s="408"/>
      <c r="D50" s="409"/>
      <c r="E50" s="408"/>
      <c r="F50" s="408"/>
      <c r="G50" s="410"/>
      <c r="H50" s="408"/>
      <c r="I50" s="410"/>
      <c r="J50" s="408"/>
      <c r="K50" s="408"/>
      <c r="L50" s="99"/>
    </row>
    <row r="51" spans="1:12" s="3" customFormat="1" x14ac:dyDescent="0.35">
      <c r="A51" s="104" t="s">
        <v>443</v>
      </c>
      <c r="B51" s="105" t="s">
        <v>275</v>
      </c>
      <c r="C51" s="418"/>
      <c r="D51" s="419"/>
      <c r="E51" s="418"/>
      <c r="F51" s="418"/>
      <c r="G51" s="420"/>
      <c r="H51" s="418"/>
      <c r="I51" s="420"/>
      <c r="J51" s="418"/>
      <c r="K51" s="418"/>
      <c r="L51" s="105"/>
    </row>
    <row r="52" spans="1:12" x14ac:dyDescent="0.35">
      <c r="A52" s="98"/>
      <c r="B52" s="99"/>
      <c r="C52" s="408"/>
      <c r="D52" s="409"/>
      <c r="E52" s="408"/>
      <c r="F52" s="408"/>
      <c r="G52" s="410"/>
      <c r="H52" s="408"/>
      <c r="I52" s="410"/>
      <c r="J52" s="408"/>
      <c r="K52" s="408"/>
      <c r="L52" s="99"/>
    </row>
    <row r="53" spans="1:12" ht="188.5" x14ac:dyDescent="0.35">
      <c r="A53" s="98" t="s">
        <v>444</v>
      </c>
      <c r="B53" s="99" t="s">
        <v>445</v>
      </c>
      <c r="C53" s="408">
        <v>1</v>
      </c>
      <c r="D53" s="409" t="s">
        <v>237</v>
      </c>
      <c r="E53" s="417">
        <v>18982.150000000001</v>
      </c>
      <c r="F53" s="417">
        <f>+C53*E53</f>
        <v>18982.150000000001</v>
      </c>
      <c r="G53" s="424"/>
      <c r="H53" s="417"/>
      <c r="I53" s="519">
        <f>30%+20%+10%</f>
        <v>0.6</v>
      </c>
      <c r="J53" s="417">
        <f>+F53*I53</f>
        <v>11389.29</v>
      </c>
      <c r="K53" s="417">
        <f t="shared" ref="K53" si="2">+J53-H53</f>
        <v>11389.29</v>
      </c>
      <c r="L53" s="514" t="s">
        <v>840</v>
      </c>
    </row>
    <row r="54" spans="1:12" x14ac:dyDescent="0.35">
      <c r="A54" s="98"/>
      <c r="B54" s="99"/>
      <c r="C54" s="408"/>
      <c r="D54" s="409"/>
      <c r="E54" s="408"/>
      <c r="F54" s="408"/>
      <c r="G54" s="410"/>
      <c r="H54" s="408"/>
      <c r="I54" s="410"/>
      <c r="J54" s="408"/>
      <c r="K54" s="408"/>
      <c r="L54" s="99"/>
    </row>
    <row r="55" spans="1:12" ht="145" x14ac:dyDescent="0.35">
      <c r="A55" s="98" t="s">
        <v>446</v>
      </c>
      <c r="B55" s="99" t="s">
        <v>447</v>
      </c>
      <c r="C55" s="408">
        <v>5</v>
      </c>
      <c r="D55" s="409" t="s">
        <v>237</v>
      </c>
      <c r="E55" s="417">
        <v>3011.7</v>
      </c>
      <c r="F55" s="417">
        <f>+C55*E55</f>
        <v>15058.5</v>
      </c>
      <c r="G55" s="410"/>
      <c r="H55" s="417"/>
      <c r="I55" s="410"/>
      <c r="J55" s="417"/>
      <c r="K55" s="417"/>
      <c r="L55" s="99"/>
    </row>
    <row r="56" spans="1:12" x14ac:dyDescent="0.35">
      <c r="A56" s="123"/>
      <c r="B56" s="124"/>
      <c r="C56" s="457"/>
      <c r="D56" s="458"/>
      <c r="E56" s="457"/>
      <c r="F56" s="457"/>
      <c r="G56" s="459"/>
      <c r="H56" s="457"/>
      <c r="I56" s="459"/>
      <c r="J56" s="457"/>
      <c r="K56" s="457"/>
      <c r="L56" s="124"/>
    </row>
    <row r="57" spans="1:12" ht="145" x14ac:dyDescent="0.35">
      <c r="A57" s="335" t="s">
        <v>448</v>
      </c>
      <c r="B57" s="336" t="s">
        <v>449</v>
      </c>
      <c r="C57" s="473">
        <v>2</v>
      </c>
      <c r="D57" s="474" t="s">
        <v>237</v>
      </c>
      <c r="E57" s="475">
        <v>3433.87</v>
      </c>
      <c r="F57" s="475">
        <f>+C57*E57</f>
        <v>6867.74</v>
      </c>
      <c r="G57" s="476"/>
      <c r="H57" s="475"/>
      <c r="I57" s="476"/>
      <c r="J57" s="475"/>
      <c r="K57" s="475"/>
      <c r="L57" s="336"/>
    </row>
    <row r="58" spans="1:12" x14ac:dyDescent="0.35">
      <c r="A58" s="98"/>
      <c r="B58" s="99"/>
      <c r="C58" s="408"/>
      <c r="D58" s="409"/>
      <c r="E58" s="408"/>
      <c r="F58" s="408"/>
      <c r="G58" s="410"/>
      <c r="H58" s="408"/>
      <c r="I58" s="410"/>
      <c r="J58" s="408"/>
      <c r="K58" s="408"/>
      <c r="L58" s="99"/>
    </row>
    <row r="59" spans="1:12" ht="145" x14ac:dyDescent="0.35">
      <c r="A59" s="321" t="s">
        <v>450</v>
      </c>
      <c r="B59" s="302" t="s">
        <v>451</v>
      </c>
      <c r="C59" s="438">
        <v>2</v>
      </c>
      <c r="D59" s="439" t="s">
        <v>237</v>
      </c>
      <c r="E59" s="451">
        <v>1902.43</v>
      </c>
      <c r="F59" s="451">
        <f>+C59*E59</f>
        <v>3804.86</v>
      </c>
      <c r="G59" s="440"/>
      <c r="H59" s="451"/>
      <c r="I59" s="440"/>
      <c r="J59" s="451"/>
      <c r="K59" s="451"/>
      <c r="L59" s="302"/>
    </row>
    <row r="60" spans="1:12" x14ac:dyDescent="0.35">
      <c r="A60" s="98"/>
      <c r="B60" s="99"/>
      <c r="C60" s="408"/>
      <c r="D60" s="409"/>
      <c r="E60" s="408"/>
      <c r="F60" s="408"/>
      <c r="G60" s="410"/>
      <c r="H60" s="408"/>
      <c r="I60" s="410"/>
      <c r="J60" s="408"/>
      <c r="K60" s="408"/>
      <c r="L60" s="99"/>
    </row>
    <row r="61" spans="1:12" ht="188.5" x14ac:dyDescent="0.35">
      <c r="A61" s="98" t="s">
        <v>452</v>
      </c>
      <c r="B61" s="99" t="s">
        <v>453</v>
      </c>
      <c r="C61" s="408">
        <v>1</v>
      </c>
      <c r="D61" s="409" t="s">
        <v>237</v>
      </c>
      <c r="E61" s="417">
        <v>8078.73</v>
      </c>
      <c r="F61" s="417">
        <f>+C61*E61</f>
        <v>8078.73</v>
      </c>
      <c r="G61" s="410"/>
      <c r="H61" s="417"/>
      <c r="I61" s="410"/>
      <c r="J61" s="417"/>
      <c r="K61" s="417"/>
      <c r="L61" s="99"/>
    </row>
    <row r="62" spans="1:12" x14ac:dyDescent="0.35">
      <c r="A62" s="322"/>
      <c r="B62" s="299"/>
      <c r="C62" s="431"/>
      <c r="D62" s="432"/>
      <c r="E62" s="431"/>
      <c r="F62" s="431"/>
      <c r="G62" s="433"/>
      <c r="H62" s="431"/>
      <c r="I62" s="433"/>
      <c r="J62" s="431"/>
      <c r="K62" s="431"/>
      <c r="L62" s="299"/>
    </row>
    <row r="63" spans="1:12" ht="232" x14ac:dyDescent="0.35">
      <c r="A63" s="321" t="s">
        <v>454</v>
      </c>
      <c r="B63" s="302" t="s">
        <v>455</v>
      </c>
      <c r="C63" s="438">
        <v>1</v>
      </c>
      <c r="D63" s="439" t="s">
        <v>237</v>
      </c>
      <c r="E63" s="451">
        <v>6859.55</v>
      </c>
      <c r="F63" s="451">
        <f>+C63*E63</f>
        <v>6859.55</v>
      </c>
      <c r="G63" s="440"/>
      <c r="H63" s="451"/>
      <c r="I63" s="440"/>
      <c r="J63" s="451"/>
      <c r="K63" s="451"/>
      <c r="L63" s="302"/>
    </row>
    <row r="64" spans="1:12" x14ac:dyDescent="0.35">
      <c r="A64" s="98"/>
      <c r="B64" s="99"/>
      <c r="C64" s="408"/>
      <c r="D64" s="409"/>
      <c r="E64" s="408"/>
      <c r="F64" s="408"/>
      <c r="G64" s="410"/>
      <c r="H64" s="408"/>
      <c r="I64" s="410"/>
      <c r="J64" s="408"/>
      <c r="K64" s="408"/>
      <c r="L64" s="99"/>
    </row>
    <row r="65" spans="1:12" ht="130.5" x14ac:dyDescent="0.35">
      <c r="A65" s="321" t="s">
        <v>456</v>
      </c>
      <c r="B65" s="302" t="s">
        <v>457</v>
      </c>
      <c r="C65" s="438">
        <v>6</v>
      </c>
      <c r="D65" s="439" t="s">
        <v>458</v>
      </c>
      <c r="E65" s="438">
        <v>327.79</v>
      </c>
      <c r="F65" s="451">
        <f>+C65*E65</f>
        <v>1966.7400000000002</v>
      </c>
      <c r="G65" s="440"/>
      <c r="H65" s="451"/>
      <c r="I65" s="440"/>
      <c r="J65" s="451"/>
      <c r="K65" s="451"/>
      <c r="L65" s="302"/>
    </row>
    <row r="66" spans="1:12" x14ac:dyDescent="0.35">
      <c r="A66" s="98"/>
      <c r="B66" s="99"/>
      <c r="C66" s="408"/>
      <c r="D66" s="409"/>
      <c r="E66" s="408"/>
      <c r="F66" s="408"/>
      <c r="G66" s="410"/>
      <c r="H66" s="408"/>
      <c r="I66" s="410"/>
      <c r="J66" s="408"/>
      <c r="K66" s="408"/>
      <c r="L66" s="99"/>
    </row>
    <row r="67" spans="1:12" x14ac:dyDescent="0.35">
      <c r="A67" s="98"/>
      <c r="B67" s="99"/>
      <c r="C67" s="408"/>
      <c r="D67" s="409"/>
      <c r="E67" s="408"/>
      <c r="F67" s="408"/>
      <c r="G67" s="410"/>
      <c r="H67" s="408"/>
      <c r="I67" s="410"/>
      <c r="J67" s="408"/>
      <c r="K67" s="408"/>
      <c r="L67" s="99"/>
    </row>
    <row r="68" spans="1:12" s="3" customFormat="1" x14ac:dyDescent="0.35">
      <c r="A68" s="104" t="s">
        <v>459</v>
      </c>
      <c r="B68" s="105" t="s">
        <v>283</v>
      </c>
      <c r="C68" s="418"/>
      <c r="D68" s="419"/>
      <c r="E68" s="418"/>
      <c r="F68" s="418"/>
      <c r="G68" s="420"/>
      <c r="H68" s="418"/>
      <c r="I68" s="420"/>
      <c r="J68" s="418"/>
      <c r="K68" s="418"/>
      <c r="L68" s="105"/>
    </row>
    <row r="69" spans="1:12" x14ac:dyDescent="0.35">
      <c r="A69" s="98"/>
      <c r="B69" s="99"/>
      <c r="C69" s="408"/>
      <c r="D69" s="409"/>
      <c r="E69" s="408"/>
      <c r="F69" s="408"/>
      <c r="G69" s="410"/>
      <c r="H69" s="408"/>
      <c r="I69" s="410"/>
      <c r="J69" s="408"/>
      <c r="K69" s="408"/>
      <c r="L69" s="99"/>
    </row>
    <row r="70" spans="1:12" ht="188.5" x14ac:dyDescent="0.35">
      <c r="A70" s="98" t="s">
        <v>460</v>
      </c>
      <c r="B70" s="99" t="s">
        <v>461</v>
      </c>
      <c r="C70" s="408">
        <v>1</v>
      </c>
      <c r="D70" s="409" t="s">
        <v>237</v>
      </c>
      <c r="E70" s="417">
        <v>7383.15</v>
      </c>
      <c r="F70" s="417">
        <f>+C70*E70</f>
        <v>7383.15</v>
      </c>
      <c r="G70" s="424"/>
      <c r="H70" s="417"/>
      <c r="I70" s="519">
        <f>30%+20%</f>
        <v>0.5</v>
      </c>
      <c r="J70" s="417">
        <f>+F70*I70</f>
        <v>3691.5749999999998</v>
      </c>
      <c r="K70" s="417">
        <f t="shared" ref="K70" si="3">+J70-H70</f>
        <v>3691.5749999999998</v>
      </c>
      <c r="L70" s="514" t="s">
        <v>840</v>
      </c>
    </row>
    <row r="71" spans="1:12" x14ac:dyDescent="0.35">
      <c r="A71" s="322"/>
      <c r="B71" s="299"/>
      <c r="C71" s="431"/>
      <c r="D71" s="432"/>
      <c r="E71" s="431"/>
      <c r="F71" s="431"/>
      <c r="G71" s="433"/>
      <c r="H71" s="431"/>
      <c r="I71" s="433"/>
      <c r="J71" s="431"/>
      <c r="K71" s="431"/>
      <c r="L71" s="299"/>
    </row>
    <row r="72" spans="1:12" ht="174" x14ac:dyDescent="0.35">
      <c r="A72" s="321" t="s">
        <v>462</v>
      </c>
      <c r="B72" s="302" t="s">
        <v>463</v>
      </c>
      <c r="C72" s="438">
        <v>1</v>
      </c>
      <c r="D72" s="439" t="s">
        <v>237</v>
      </c>
      <c r="E72" s="451">
        <v>21583.69</v>
      </c>
      <c r="F72" s="451">
        <f>+C72*E72</f>
        <v>21583.69</v>
      </c>
      <c r="G72" s="424"/>
      <c r="H72" s="417"/>
      <c r="I72" s="519">
        <f>30%+20%+10%</f>
        <v>0.6</v>
      </c>
      <c r="J72" s="417">
        <f>+F72*I72</f>
        <v>12950.213999999998</v>
      </c>
      <c r="K72" s="417">
        <f t="shared" ref="K72" si="4">+J72-H72</f>
        <v>12950.213999999998</v>
      </c>
      <c r="L72" s="514" t="s">
        <v>840</v>
      </c>
    </row>
    <row r="73" spans="1:12" x14ac:dyDescent="0.35">
      <c r="A73" s="98"/>
      <c r="B73" s="99"/>
      <c r="C73" s="408"/>
      <c r="D73" s="409"/>
      <c r="E73" s="408"/>
      <c r="F73" s="408"/>
      <c r="G73" s="410"/>
      <c r="H73" s="408"/>
      <c r="I73" s="410"/>
      <c r="J73" s="408"/>
      <c r="K73" s="408"/>
      <c r="L73" s="99"/>
    </row>
    <row r="74" spans="1:12" s="3" customFormat="1" x14ac:dyDescent="0.35">
      <c r="A74" s="104" t="s">
        <v>459</v>
      </c>
      <c r="B74" s="105" t="s">
        <v>290</v>
      </c>
      <c r="C74" s="418"/>
      <c r="D74" s="419"/>
      <c r="E74" s="418"/>
      <c r="F74" s="418"/>
      <c r="G74" s="420"/>
      <c r="H74" s="418"/>
      <c r="I74" s="420"/>
      <c r="J74" s="418"/>
      <c r="K74" s="418"/>
      <c r="L74" s="105"/>
    </row>
    <row r="75" spans="1:12" x14ac:dyDescent="0.35">
      <c r="A75" s="98"/>
      <c r="B75" s="99"/>
      <c r="C75" s="408"/>
      <c r="D75" s="409"/>
      <c r="E75" s="408"/>
      <c r="F75" s="408"/>
      <c r="G75" s="410"/>
      <c r="H75" s="408"/>
      <c r="I75" s="410"/>
      <c r="J75" s="408"/>
      <c r="K75" s="408"/>
      <c r="L75" s="99"/>
    </row>
    <row r="76" spans="1:12" s="3" customFormat="1" ht="246.5" x14ac:dyDescent="0.35">
      <c r="A76" s="323" t="s">
        <v>459</v>
      </c>
      <c r="B76" s="312" t="s">
        <v>464</v>
      </c>
      <c r="C76" s="447"/>
      <c r="D76" s="448"/>
      <c r="E76" s="447"/>
      <c r="F76" s="447"/>
      <c r="G76" s="449"/>
      <c r="H76" s="447"/>
      <c r="I76" s="449"/>
      <c r="J76" s="447"/>
      <c r="K76" s="447"/>
      <c r="L76" s="312"/>
    </row>
    <row r="77" spans="1:12" x14ac:dyDescent="0.35">
      <c r="A77" s="98"/>
      <c r="B77" s="99"/>
      <c r="C77" s="408"/>
      <c r="D77" s="409"/>
      <c r="E77" s="408"/>
      <c r="F77" s="408"/>
      <c r="G77" s="410"/>
      <c r="H77" s="408"/>
      <c r="I77" s="410"/>
      <c r="J77" s="408"/>
      <c r="K77" s="408"/>
      <c r="L77" s="99"/>
    </row>
    <row r="78" spans="1:12" s="3" customFormat="1" x14ac:dyDescent="0.35">
      <c r="A78" s="104" t="s">
        <v>459</v>
      </c>
      <c r="B78" s="105" t="s">
        <v>424</v>
      </c>
      <c r="C78" s="418"/>
      <c r="D78" s="419"/>
      <c r="E78" s="418"/>
      <c r="F78" s="418"/>
      <c r="G78" s="420"/>
      <c r="H78" s="418"/>
      <c r="I78" s="420"/>
      <c r="J78" s="418"/>
      <c r="K78" s="418"/>
      <c r="L78" s="105"/>
    </row>
    <row r="79" spans="1:12" x14ac:dyDescent="0.35">
      <c r="A79" s="98"/>
      <c r="B79" s="99"/>
      <c r="C79" s="408"/>
      <c r="D79" s="409"/>
      <c r="E79" s="408"/>
      <c r="F79" s="408"/>
      <c r="G79" s="410"/>
      <c r="H79" s="408"/>
      <c r="I79" s="410"/>
      <c r="J79" s="408"/>
      <c r="K79" s="408"/>
      <c r="L79" s="99"/>
    </row>
    <row r="80" spans="1:12" ht="29" x14ac:dyDescent="0.35">
      <c r="A80" s="98" t="s">
        <v>465</v>
      </c>
      <c r="B80" s="99" t="s">
        <v>431</v>
      </c>
      <c r="C80" s="408">
        <v>13</v>
      </c>
      <c r="D80" s="409" t="s">
        <v>23</v>
      </c>
      <c r="E80" s="408">
        <v>657.65</v>
      </c>
      <c r="F80" s="417">
        <f>+C80*E80</f>
        <v>8549.4499999999989</v>
      </c>
      <c r="G80" s="410"/>
      <c r="H80" s="417"/>
      <c r="I80" s="410"/>
      <c r="J80" s="417"/>
      <c r="K80" s="417"/>
      <c r="L80" s="99"/>
    </row>
    <row r="81" spans="1:12" x14ac:dyDescent="0.35">
      <c r="A81" s="98"/>
      <c r="B81" s="99"/>
      <c r="C81" s="408"/>
      <c r="D81" s="409"/>
      <c r="E81" s="408"/>
      <c r="F81" s="408"/>
      <c r="G81" s="410"/>
      <c r="H81" s="408"/>
      <c r="I81" s="410"/>
      <c r="J81" s="408"/>
      <c r="K81" s="408"/>
      <c r="L81" s="99"/>
    </row>
    <row r="82" spans="1:12" s="3" customFormat="1" x14ac:dyDescent="0.35">
      <c r="A82" s="104" t="s">
        <v>466</v>
      </c>
      <c r="B82" s="105" t="s">
        <v>283</v>
      </c>
      <c r="C82" s="418"/>
      <c r="D82" s="419"/>
      <c r="E82" s="418"/>
      <c r="F82" s="418"/>
      <c r="G82" s="420"/>
      <c r="H82" s="418"/>
      <c r="I82" s="420"/>
      <c r="J82" s="418"/>
      <c r="K82" s="418"/>
      <c r="L82" s="105"/>
    </row>
    <row r="83" spans="1:12" x14ac:dyDescent="0.35">
      <c r="A83" s="98"/>
      <c r="B83" s="99"/>
      <c r="C83" s="408"/>
      <c r="D83" s="409"/>
      <c r="E83" s="408"/>
      <c r="F83" s="408"/>
      <c r="G83" s="410"/>
      <c r="H83" s="408"/>
      <c r="I83" s="410"/>
      <c r="J83" s="408"/>
      <c r="K83" s="408"/>
      <c r="L83" s="99"/>
    </row>
    <row r="84" spans="1:12" ht="101.5" x14ac:dyDescent="0.35">
      <c r="A84" s="98" t="s">
        <v>467</v>
      </c>
      <c r="B84" s="99" t="s">
        <v>468</v>
      </c>
      <c r="C84" s="408">
        <v>2</v>
      </c>
      <c r="D84" s="409" t="s">
        <v>469</v>
      </c>
      <c r="E84" s="417">
        <v>9476.9599999999991</v>
      </c>
      <c r="F84" s="417">
        <f>+C84*E84</f>
        <v>18953.919999999998</v>
      </c>
      <c r="G84" s="410"/>
      <c r="H84" s="417"/>
      <c r="I84" s="410"/>
      <c r="J84" s="417"/>
      <c r="K84" s="417"/>
      <c r="L84" s="99"/>
    </row>
    <row r="85" spans="1:12" x14ac:dyDescent="0.35">
      <c r="A85" s="322"/>
      <c r="B85" s="299"/>
      <c r="C85" s="431"/>
      <c r="D85" s="432"/>
      <c r="E85" s="431"/>
      <c r="F85" s="431"/>
      <c r="G85" s="433"/>
      <c r="H85" s="431"/>
      <c r="I85" s="433"/>
      <c r="J85" s="431"/>
      <c r="K85" s="431"/>
      <c r="L85" s="299"/>
    </row>
    <row r="86" spans="1:12" ht="58" x14ac:dyDescent="0.35">
      <c r="A86" s="321" t="s">
        <v>470</v>
      </c>
      <c r="B86" s="302" t="s">
        <v>471</v>
      </c>
      <c r="C86" s="438">
        <v>1</v>
      </c>
      <c r="D86" s="439" t="s">
        <v>469</v>
      </c>
      <c r="E86" s="451">
        <v>27510.11</v>
      </c>
      <c r="F86" s="451">
        <f>+C86*E86</f>
        <v>27510.11</v>
      </c>
      <c r="G86" s="440"/>
      <c r="H86" s="451"/>
      <c r="I86" s="440"/>
      <c r="J86" s="451"/>
      <c r="K86" s="451"/>
      <c r="L86" s="302"/>
    </row>
    <row r="87" spans="1:12" x14ac:dyDescent="0.35">
      <c r="A87" s="98"/>
      <c r="B87" s="99"/>
      <c r="C87" s="408"/>
      <c r="D87" s="409"/>
      <c r="E87" s="408"/>
      <c r="F87" s="408"/>
      <c r="G87" s="410"/>
      <c r="H87" s="408"/>
      <c r="I87" s="410"/>
      <c r="J87" s="408"/>
      <c r="K87" s="408"/>
      <c r="L87" s="99"/>
    </row>
    <row r="88" spans="1:12" x14ac:dyDescent="0.35">
      <c r="A88" s="98" t="s">
        <v>472</v>
      </c>
      <c r="B88" s="99" t="s">
        <v>473</v>
      </c>
      <c r="C88" s="408">
        <v>3</v>
      </c>
      <c r="D88" s="409" t="s">
        <v>23</v>
      </c>
      <c r="E88" s="408">
        <v>657.65</v>
      </c>
      <c r="F88" s="417">
        <f>+C88*E88</f>
        <v>1972.9499999999998</v>
      </c>
      <c r="G88" s="410"/>
      <c r="H88" s="417"/>
      <c r="I88" s="410"/>
      <c r="J88" s="417"/>
      <c r="K88" s="417"/>
      <c r="L88" s="99"/>
    </row>
    <row r="89" spans="1:12" x14ac:dyDescent="0.35">
      <c r="A89" s="98"/>
      <c r="B89" s="99"/>
      <c r="C89" s="408"/>
      <c r="D89" s="409"/>
      <c r="E89" s="408"/>
      <c r="F89" s="408"/>
      <c r="G89" s="410"/>
      <c r="H89" s="408"/>
      <c r="I89" s="410"/>
      <c r="J89" s="408"/>
      <c r="K89" s="408"/>
      <c r="L89" s="99"/>
    </row>
    <row r="90" spans="1:12" s="3" customFormat="1" x14ac:dyDescent="0.35">
      <c r="A90" s="104" t="s">
        <v>466</v>
      </c>
      <c r="B90" s="105" t="s">
        <v>120</v>
      </c>
      <c r="C90" s="418"/>
      <c r="D90" s="419"/>
      <c r="E90" s="418"/>
      <c r="F90" s="418"/>
      <c r="G90" s="420"/>
      <c r="H90" s="418"/>
      <c r="I90" s="420"/>
      <c r="J90" s="418"/>
      <c r="K90" s="418"/>
      <c r="L90" s="105"/>
    </row>
    <row r="91" spans="1:12" x14ac:dyDescent="0.35">
      <c r="A91" s="98"/>
      <c r="B91" s="99"/>
      <c r="C91" s="408"/>
      <c r="D91" s="409"/>
      <c r="E91" s="408"/>
      <c r="F91" s="408"/>
      <c r="G91" s="410"/>
      <c r="H91" s="408"/>
      <c r="I91" s="410"/>
      <c r="J91" s="408"/>
      <c r="K91" s="408"/>
      <c r="L91" s="99"/>
    </row>
    <row r="92" spans="1:12" ht="58" x14ac:dyDescent="0.35">
      <c r="A92" s="98" t="s">
        <v>474</v>
      </c>
      <c r="B92" s="99" t="s">
        <v>475</v>
      </c>
      <c r="C92" s="408">
        <v>283</v>
      </c>
      <c r="D92" s="409" t="s">
        <v>23</v>
      </c>
      <c r="E92" s="417">
        <v>1248.25</v>
      </c>
      <c r="F92" s="417">
        <f>+C92*E92</f>
        <v>353254.75</v>
      </c>
      <c r="G92" s="424">
        <v>0</v>
      </c>
      <c r="H92" s="417">
        <f>+F92*G92</f>
        <v>0</v>
      </c>
      <c r="I92" s="517">
        <f>30%+20%+10%</f>
        <v>0.6</v>
      </c>
      <c r="J92" s="270">
        <f>+F92*I92</f>
        <v>211952.85</v>
      </c>
      <c r="K92" s="270">
        <f>+J92-H92</f>
        <v>211952.85</v>
      </c>
      <c r="L92" s="514" t="s">
        <v>840</v>
      </c>
    </row>
    <row r="93" spans="1:12" x14ac:dyDescent="0.35">
      <c r="A93" s="98"/>
      <c r="B93" s="99"/>
      <c r="C93" s="408"/>
      <c r="D93" s="409"/>
      <c r="E93" s="408"/>
      <c r="F93" s="408"/>
      <c r="G93" s="410"/>
      <c r="H93" s="408"/>
      <c r="I93" s="410"/>
      <c r="J93" s="408"/>
      <c r="K93" s="408"/>
      <c r="L93" s="99"/>
    </row>
    <row r="94" spans="1:12" ht="29" x14ac:dyDescent="0.35">
      <c r="A94" s="98" t="s">
        <v>476</v>
      </c>
      <c r="B94" s="99" t="s">
        <v>477</v>
      </c>
      <c r="C94" s="408">
        <v>72</v>
      </c>
      <c r="D94" s="409" t="s">
        <v>105</v>
      </c>
      <c r="E94" s="408">
        <v>206.36</v>
      </c>
      <c r="F94" s="417">
        <f>+C94*E94</f>
        <v>14857.920000000002</v>
      </c>
      <c r="G94" s="410"/>
      <c r="H94" s="417"/>
      <c r="I94" s="410"/>
      <c r="J94" s="417"/>
      <c r="K94" s="417"/>
      <c r="L94" s="99"/>
    </row>
    <row r="95" spans="1:12" x14ac:dyDescent="0.35">
      <c r="A95" s="98"/>
      <c r="B95" s="99"/>
      <c r="C95" s="408"/>
      <c r="D95" s="409"/>
      <c r="E95" s="408"/>
      <c r="F95" s="408"/>
      <c r="G95" s="410"/>
      <c r="H95" s="408"/>
      <c r="I95" s="410"/>
      <c r="J95" s="408"/>
      <c r="K95" s="408"/>
      <c r="L95" s="99"/>
    </row>
    <row r="96" spans="1:12" s="3" customFormat="1" x14ac:dyDescent="0.35">
      <c r="A96" s="104" t="s">
        <v>466</v>
      </c>
      <c r="B96" s="105" t="s">
        <v>123</v>
      </c>
      <c r="C96" s="418"/>
      <c r="D96" s="419"/>
      <c r="E96" s="418"/>
      <c r="F96" s="418"/>
      <c r="G96" s="420"/>
      <c r="H96" s="418"/>
      <c r="I96" s="420"/>
      <c r="J96" s="418"/>
      <c r="K96" s="418"/>
      <c r="L96" s="105"/>
    </row>
    <row r="97" spans="1:12" x14ac:dyDescent="0.35">
      <c r="A97" s="98"/>
      <c r="B97" s="99"/>
      <c r="C97" s="408"/>
      <c r="D97" s="409"/>
      <c r="E97" s="408"/>
      <c r="F97" s="408"/>
      <c r="G97" s="410"/>
      <c r="H97" s="408"/>
      <c r="I97" s="410"/>
      <c r="J97" s="408"/>
      <c r="K97" s="408"/>
      <c r="L97" s="99"/>
    </row>
    <row r="98" spans="1:12" ht="29" x14ac:dyDescent="0.35">
      <c r="A98" s="98" t="s">
        <v>478</v>
      </c>
      <c r="B98" s="99" t="s">
        <v>479</v>
      </c>
      <c r="C98" s="408">
        <v>15</v>
      </c>
      <c r="D98" s="409" t="s">
        <v>105</v>
      </c>
      <c r="E98" s="408">
        <v>206.36</v>
      </c>
      <c r="F98" s="417">
        <f>+C98*E98</f>
        <v>3095.4</v>
      </c>
      <c r="G98" s="410"/>
      <c r="H98" s="417"/>
      <c r="I98" s="410"/>
      <c r="J98" s="417"/>
      <c r="K98" s="417"/>
      <c r="L98" s="99"/>
    </row>
    <row r="99" spans="1:12" x14ac:dyDescent="0.35">
      <c r="A99" s="98"/>
      <c r="B99" s="99"/>
      <c r="C99" s="408"/>
      <c r="D99" s="409"/>
      <c r="E99" s="408"/>
      <c r="F99" s="408"/>
      <c r="G99" s="410"/>
      <c r="H99" s="408"/>
      <c r="I99" s="410"/>
      <c r="J99" s="408"/>
      <c r="K99" s="408"/>
      <c r="L99" s="99"/>
    </row>
    <row r="100" spans="1:12" ht="58" x14ac:dyDescent="0.35">
      <c r="A100" s="321" t="s">
        <v>480</v>
      </c>
      <c r="B100" s="302" t="s">
        <v>481</v>
      </c>
      <c r="C100" s="438">
        <v>26</v>
      </c>
      <c r="D100" s="439" t="s">
        <v>23</v>
      </c>
      <c r="E100" s="451">
        <v>1248.25</v>
      </c>
      <c r="F100" s="451">
        <f>+C100*E100</f>
        <v>32454.5</v>
      </c>
      <c r="G100" s="424">
        <v>0</v>
      </c>
      <c r="H100" s="417">
        <f>+F100*G100</f>
        <v>0</v>
      </c>
      <c r="I100" s="517">
        <f>30%+20%+10%</f>
        <v>0.6</v>
      </c>
      <c r="J100" s="270">
        <f>+F100*I100</f>
        <v>19472.7</v>
      </c>
      <c r="K100" s="270">
        <f>+J100-H100</f>
        <v>19472.7</v>
      </c>
      <c r="L100" s="514" t="s">
        <v>840</v>
      </c>
    </row>
    <row r="101" spans="1:12" x14ac:dyDescent="0.35">
      <c r="A101" s="98"/>
      <c r="B101" s="99"/>
      <c r="C101" s="408"/>
      <c r="D101" s="409"/>
      <c r="E101" s="408"/>
      <c r="F101" s="408"/>
      <c r="G101" s="410"/>
      <c r="H101" s="408"/>
      <c r="I101" s="410"/>
      <c r="J101" s="408"/>
      <c r="K101" s="408"/>
      <c r="L101" s="99"/>
    </row>
    <row r="102" spans="1:12" s="3" customFormat="1" x14ac:dyDescent="0.35">
      <c r="A102" s="104" t="s">
        <v>466</v>
      </c>
      <c r="B102" s="105" t="s">
        <v>130</v>
      </c>
      <c r="C102" s="418"/>
      <c r="D102" s="419"/>
      <c r="E102" s="418"/>
      <c r="F102" s="418"/>
      <c r="G102" s="420"/>
      <c r="H102" s="418"/>
      <c r="I102" s="420"/>
      <c r="J102" s="418"/>
      <c r="K102" s="418"/>
      <c r="L102" s="105"/>
    </row>
    <row r="103" spans="1:12" x14ac:dyDescent="0.35">
      <c r="A103" s="98"/>
      <c r="B103" s="99"/>
      <c r="C103" s="408"/>
      <c r="D103" s="409"/>
      <c r="E103" s="408"/>
      <c r="F103" s="408"/>
      <c r="G103" s="410"/>
      <c r="H103" s="408"/>
      <c r="I103" s="410"/>
      <c r="J103" s="408"/>
      <c r="K103" s="408"/>
      <c r="L103" s="99"/>
    </row>
    <row r="104" spans="1:12" ht="58" x14ac:dyDescent="0.35">
      <c r="A104" s="98" t="s">
        <v>482</v>
      </c>
      <c r="B104" s="99" t="s">
        <v>481</v>
      </c>
      <c r="C104" s="408">
        <v>3</v>
      </c>
      <c r="D104" s="409" t="s">
        <v>23</v>
      </c>
      <c r="E104" s="417">
        <v>1248.25</v>
      </c>
      <c r="F104" s="417">
        <f>+C104*E104</f>
        <v>3744.75</v>
      </c>
      <c r="G104" s="424">
        <v>0</v>
      </c>
      <c r="H104" s="417">
        <f>+F104*G104</f>
        <v>0</v>
      </c>
      <c r="I104" s="517">
        <f>30%+20%+10%</f>
        <v>0.6</v>
      </c>
      <c r="J104" s="270">
        <f>+F104*I104</f>
        <v>2246.85</v>
      </c>
      <c r="K104" s="270">
        <f>+J104-H104</f>
        <v>2246.85</v>
      </c>
      <c r="L104" s="514" t="s">
        <v>840</v>
      </c>
    </row>
    <row r="105" spans="1:12" x14ac:dyDescent="0.35">
      <c r="A105" s="98"/>
      <c r="B105" s="99"/>
      <c r="C105" s="408"/>
      <c r="D105" s="409"/>
      <c r="E105" s="408"/>
      <c r="F105" s="408"/>
      <c r="G105" s="410"/>
      <c r="H105" s="408"/>
      <c r="I105" s="410"/>
      <c r="J105" s="408"/>
      <c r="K105" s="408"/>
      <c r="L105" s="99"/>
    </row>
    <row r="106" spans="1:12" ht="58" x14ac:dyDescent="0.35">
      <c r="A106" s="98" t="s">
        <v>483</v>
      </c>
      <c r="B106" s="99" t="s">
        <v>484</v>
      </c>
      <c r="C106" s="408">
        <v>3</v>
      </c>
      <c r="D106" s="409" t="s">
        <v>105</v>
      </c>
      <c r="E106" s="408">
        <v>141.97999999999999</v>
      </c>
      <c r="F106" s="417">
        <f>+C106*E106</f>
        <v>425.93999999999994</v>
      </c>
      <c r="G106" s="424">
        <v>0</v>
      </c>
      <c r="H106" s="417">
        <f>+F106*G106</f>
        <v>0</v>
      </c>
      <c r="I106" s="517">
        <f>30%+20%+10%</f>
        <v>0.6</v>
      </c>
      <c r="J106" s="270">
        <f>+F106*I106</f>
        <v>255.56399999999996</v>
      </c>
      <c r="K106" s="270">
        <f>+J106-H106</f>
        <v>255.56399999999996</v>
      </c>
      <c r="L106" s="514" t="s">
        <v>840</v>
      </c>
    </row>
    <row r="107" spans="1:12" x14ac:dyDescent="0.35">
      <c r="A107" s="98"/>
      <c r="B107" s="99"/>
      <c r="C107" s="408"/>
      <c r="D107" s="409"/>
      <c r="E107" s="408"/>
      <c r="F107" s="408"/>
      <c r="G107" s="410"/>
      <c r="H107" s="408"/>
      <c r="I107" s="410"/>
      <c r="J107" s="408"/>
      <c r="K107" s="408"/>
      <c r="L107" s="99"/>
    </row>
    <row r="108" spans="1:12" ht="58" x14ac:dyDescent="0.35">
      <c r="A108" s="98" t="s">
        <v>485</v>
      </c>
      <c r="B108" s="99" t="s">
        <v>486</v>
      </c>
      <c r="C108" s="408">
        <v>5</v>
      </c>
      <c r="D108" s="409" t="s">
        <v>23</v>
      </c>
      <c r="E108" s="408">
        <v>657.65</v>
      </c>
      <c r="F108" s="417">
        <f>+C108*E108</f>
        <v>3288.25</v>
      </c>
      <c r="G108" s="424">
        <v>0</v>
      </c>
      <c r="H108" s="417">
        <f>+F108*G108</f>
        <v>0</v>
      </c>
      <c r="I108" s="517">
        <f>30%+20%+10%</f>
        <v>0.6</v>
      </c>
      <c r="J108" s="270">
        <f>+F108*I108</f>
        <v>1972.9499999999998</v>
      </c>
      <c r="K108" s="270">
        <f>+J108-H108</f>
        <v>1972.9499999999998</v>
      </c>
      <c r="L108" s="514" t="s">
        <v>840</v>
      </c>
    </row>
    <row r="109" spans="1:12" x14ac:dyDescent="0.35">
      <c r="A109" s="98"/>
      <c r="B109" s="99"/>
      <c r="C109" s="408"/>
      <c r="D109" s="409"/>
      <c r="E109" s="408"/>
      <c r="F109" s="408"/>
      <c r="G109" s="410"/>
      <c r="H109" s="408"/>
      <c r="I109" s="410"/>
      <c r="J109" s="408"/>
      <c r="K109" s="408"/>
      <c r="L109" s="99"/>
    </row>
    <row r="110" spans="1:12" s="3" customFormat="1" ht="58" x14ac:dyDescent="0.35">
      <c r="A110" s="104" t="s">
        <v>466</v>
      </c>
      <c r="B110" s="105" t="s">
        <v>487</v>
      </c>
      <c r="C110" s="418"/>
      <c r="D110" s="419"/>
      <c r="E110" s="418"/>
      <c r="F110" s="418"/>
      <c r="G110" s="420"/>
      <c r="H110" s="418"/>
      <c r="I110" s="420"/>
      <c r="J110" s="418"/>
      <c r="K110" s="418"/>
      <c r="L110" s="105"/>
    </row>
    <row r="111" spans="1:12" x14ac:dyDescent="0.35">
      <c r="A111" s="98"/>
      <c r="B111" s="99"/>
      <c r="C111" s="408"/>
      <c r="D111" s="409"/>
      <c r="E111" s="408"/>
      <c r="F111" s="408"/>
      <c r="G111" s="410"/>
      <c r="H111" s="408"/>
      <c r="I111" s="410"/>
      <c r="J111" s="408"/>
      <c r="K111" s="408"/>
      <c r="L111" s="99"/>
    </row>
    <row r="112" spans="1:12" ht="29" x14ac:dyDescent="0.35">
      <c r="A112" s="98" t="s">
        <v>488</v>
      </c>
      <c r="B112" s="99" t="s">
        <v>489</v>
      </c>
      <c r="C112" s="408">
        <v>1</v>
      </c>
      <c r="D112" s="409" t="s">
        <v>247</v>
      </c>
      <c r="E112" s="417">
        <v>1275.69</v>
      </c>
      <c r="F112" s="417">
        <f>+C112*E112</f>
        <v>1275.69</v>
      </c>
      <c r="G112" s="410"/>
      <c r="H112" s="417"/>
      <c r="I112" s="410"/>
      <c r="J112" s="417"/>
      <c r="K112" s="417"/>
      <c r="L112" s="99" t="s">
        <v>490</v>
      </c>
    </row>
    <row r="113" spans="1:47" x14ac:dyDescent="0.35">
      <c r="A113" s="98"/>
      <c r="B113" s="99"/>
      <c r="C113" s="408"/>
      <c r="D113" s="409"/>
      <c r="E113" s="408"/>
      <c r="F113" s="408"/>
      <c r="G113" s="410"/>
      <c r="H113" s="408"/>
      <c r="I113" s="410"/>
      <c r="J113" s="408"/>
      <c r="K113" s="408"/>
      <c r="L113" s="99"/>
    </row>
    <row r="114" spans="1:47" ht="29" x14ac:dyDescent="0.35">
      <c r="A114" s="98" t="s">
        <v>491</v>
      </c>
      <c r="B114" s="99" t="s">
        <v>492</v>
      </c>
      <c r="C114" s="408">
        <v>1</v>
      </c>
      <c r="D114" s="409" t="s">
        <v>247</v>
      </c>
      <c r="E114" s="417">
        <v>1448.94</v>
      </c>
      <c r="F114" s="417">
        <f>+C114*E114</f>
        <v>1448.94</v>
      </c>
      <c r="G114" s="410"/>
      <c r="H114" s="417"/>
      <c r="I114" s="410"/>
      <c r="J114" s="417"/>
      <c r="K114" s="417"/>
      <c r="L114" s="99" t="s">
        <v>490</v>
      </c>
    </row>
    <row r="115" spans="1:47" x14ac:dyDescent="0.35">
      <c r="A115" s="98"/>
      <c r="B115" s="99"/>
      <c r="C115" s="408"/>
      <c r="D115" s="409"/>
      <c r="E115" s="408"/>
      <c r="F115" s="408"/>
      <c r="G115" s="410"/>
      <c r="H115" s="408"/>
      <c r="I115" s="410"/>
      <c r="J115" s="408"/>
      <c r="K115" s="408"/>
      <c r="L115" s="99"/>
    </row>
    <row r="116" spans="1:47" s="3" customFormat="1" ht="58" x14ac:dyDescent="0.35">
      <c r="A116" s="104" t="s">
        <v>466</v>
      </c>
      <c r="B116" s="105" t="s">
        <v>493</v>
      </c>
      <c r="C116" s="418"/>
      <c r="D116" s="419"/>
      <c r="E116" s="418"/>
      <c r="F116" s="418"/>
      <c r="G116" s="420"/>
      <c r="H116" s="418"/>
      <c r="I116" s="420"/>
      <c r="J116" s="418"/>
      <c r="K116" s="418"/>
      <c r="L116" s="105"/>
    </row>
    <row r="117" spans="1:47" x14ac:dyDescent="0.35">
      <c r="A117" s="322"/>
      <c r="B117" s="299"/>
      <c r="C117" s="431"/>
      <c r="D117" s="432"/>
      <c r="E117" s="431"/>
      <c r="F117" s="431"/>
      <c r="G117" s="433"/>
      <c r="H117" s="431"/>
      <c r="I117" s="433"/>
      <c r="J117" s="431"/>
      <c r="K117" s="431"/>
      <c r="L117" s="299"/>
    </row>
    <row r="118" spans="1:47" ht="43.5" x14ac:dyDescent="0.35">
      <c r="A118" s="321" t="s">
        <v>494</v>
      </c>
      <c r="B118" s="302" t="s">
        <v>495</v>
      </c>
      <c r="C118" s="438">
        <v>1</v>
      </c>
      <c r="D118" s="439" t="s">
        <v>247</v>
      </c>
      <c r="E118" s="451">
        <v>1134.99</v>
      </c>
      <c r="F118" s="451">
        <f>+C118*E118</f>
        <v>1134.99</v>
      </c>
      <c r="G118" s="440"/>
      <c r="H118" s="451"/>
      <c r="I118" s="440"/>
      <c r="J118" s="451"/>
      <c r="K118" s="451"/>
      <c r="L118" s="302" t="s">
        <v>490</v>
      </c>
    </row>
    <row r="119" spans="1:47" x14ac:dyDescent="0.35">
      <c r="A119" s="98"/>
      <c r="B119" s="99"/>
      <c r="C119" s="408"/>
      <c r="D119" s="409"/>
      <c r="E119" s="408"/>
      <c r="F119" s="408"/>
      <c r="G119" s="410"/>
      <c r="H119" s="408"/>
      <c r="I119" s="410"/>
      <c r="J119" s="408"/>
      <c r="K119" s="408"/>
      <c r="L119" s="99"/>
    </row>
    <row r="120" spans="1:47" ht="43.5" x14ac:dyDescent="0.35">
      <c r="A120" s="98" t="s">
        <v>496</v>
      </c>
      <c r="B120" s="99" t="s">
        <v>497</v>
      </c>
      <c r="C120" s="408">
        <v>1</v>
      </c>
      <c r="D120" s="409" t="s">
        <v>247</v>
      </c>
      <c r="E120" s="417">
        <v>1134.99</v>
      </c>
      <c r="F120" s="417">
        <f>+C120*E120</f>
        <v>1134.99</v>
      </c>
      <c r="G120" s="410"/>
      <c r="H120" s="417"/>
      <c r="I120" s="410"/>
      <c r="J120" s="417"/>
      <c r="K120" s="417"/>
      <c r="L120" s="99" t="s">
        <v>490</v>
      </c>
    </row>
    <row r="121" spans="1:47" x14ac:dyDescent="0.35">
      <c r="A121" s="98"/>
      <c r="B121" s="99"/>
      <c r="C121" s="408"/>
      <c r="D121" s="409"/>
      <c r="E121" s="408"/>
      <c r="F121" s="408"/>
      <c r="G121" s="410"/>
      <c r="H121" s="408"/>
      <c r="I121" s="410"/>
      <c r="J121" s="408"/>
      <c r="K121" s="408"/>
      <c r="L121" s="99"/>
    </row>
    <row r="122" spans="1:47" x14ac:dyDescent="0.35">
      <c r="A122" s="98"/>
      <c r="B122" s="99"/>
      <c r="C122" s="408"/>
      <c r="D122" s="409"/>
      <c r="E122" s="408"/>
      <c r="F122" s="408"/>
      <c r="G122" s="410"/>
      <c r="H122" s="408"/>
      <c r="I122" s="410"/>
      <c r="J122" s="408"/>
      <c r="K122" s="408"/>
      <c r="L122" s="99"/>
    </row>
    <row r="123" spans="1:47" s="111" customFormat="1" ht="29" x14ac:dyDescent="0.35">
      <c r="A123" s="108" t="s">
        <v>498</v>
      </c>
      <c r="B123" s="109" t="s">
        <v>499</v>
      </c>
      <c r="C123" s="442"/>
      <c r="D123" s="443" t="s">
        <v>0</v>
      </c>
      <c r="E123" s="442"/>
      <c r="F123" s="444">
        <f>+F125+F144</f>
        <v>271103.61</v>
      </c>
      <c r="G123" s="445"/>
      <c r="H123" s="444">
        <f>+H125+H144</f>
        <v>0</v>
      </c>
      <c r="I123" s="445"/>
      <c r="J123" s="444">
        <f>+J125+J144</f>
        <v>0</v>
      </c>
      <c r="K123" s="444">
        <f t="shared" ref="K123:K185" si="5">+J123-H123</f>
        <v>0</v>
      </c>
      <c r="L123" s="109"/>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spans="1:47" x14ac:dyDescent="0.35">
      <c r="A124" s="98"/>
      <c r="B124" s="99"/>
      <c r="C124" s="408"/>
      <c r="D124" s="409"/>
      <c r="E124" s="408"/>
      <c r="F124" s="408"/>
      <c r="G124" s="410"/>
      <c r="H124" s="408"/>
      <c r="I124" s="410"/>
      <c r="J124" s="408"/>
      <c r="K124" s="408"/>
      <c r="L124" s="99"/>
    </row>
    <row r="125" spans="1:47" s="3" customFormat="1" ht="29" x14ac:dyDescent="0.35">
      <c r="A125" s="100" t="s">
        <v>498</v>
      </c>
      <c r="B125" s="101" t="s">
        <v>500</v>
      </c>
      <c r="C125" s="412"/>
      <c r="D125" s="413" t="s">
        <v>0</v>
      </c>
      <c r="E125" s="412"/>
      <c r="F125" s="414">
        <f>+F131+F133+F135+F137</f>
        <v>69705.23</v>
      </c>
      <c r="G125" s="415"/>
      <c r="H125" s="414">
        <f>+H131+H133+H135+H137</f>
        <v>0</v>
      </c>
      <c r="I125" s="415"/>
      <c r="J125" s="414">
        <f>+J131+J133+J135+J137</f>
        <v>0</v>
      </c>
      <c r="K125" s="414">
        <f t="shared" si="5"/>
        <v>0</v>
      </c>
      <c r="L125" s="101"/>
    </row>
    <row r="126" spans="1:47" x14ac:dyDescent="0.35">
      <c r="A126" s="98"/>
      <c r="B126" s="99"/>
      <c r="C126" s="408"/>
      <c r="D126" s="409"/>
      <c r="E126" s="408"/>
      <c r="F126" s="408"/>
      <c r="G126" s="410"/>
      <c r="H126" s="408"/>
      <c r="I126" s="410"/>
      <c r="J126" s="408"/>
      <c r="K126" s="408"/>
      <c r="L126" s="99"/>
    </row>
    <row r="127" spans="1:47" s="3" customFormat="1" ht="29" x14ac:dyDescent="0.35">
      <c r="A127" s="104" t="s">
        <v>498</v>
      </c>
      <c r="B127" s="105" t="s">
        <v>501</v>
      </c>
      <c r="C127" s="418"/>
      <c r="D127" s="419"/>
      <c r="E127" s="418"/>
      <c r="F127" s="418"/>
      <c r="G127" s="420"/>
      <c r="H127" s="418"/>
      <c r="I127" s="420"/>
      <c r="J127" s="418"/>
      <c r="K127" s="418"/>
      <c r="L127" s="105"/>
    </row>
    <row r="128" spans="1:47" x14ac:dyDescent="0.35">
      <c r="A128" s="98"/>
      <c r="B128" s="99"/>
      <c r="C128" s="408"/>
      <c r="D128" s="409"/>
      <c r="E128" s="408"/>
      <c r="F128" s="408"/>
      <c r="G128" s="410"/>
      <c r="H128" s="408"/>
      <c r="I128" s="410"/>
      <c r="J128" s="408"/>
      <c r="K128" s="408"/>
      <c r="L128" s="99"/>
    </row>
    <row r="129" spans="1:12" s="3" customFormat="1" ht="145" x14ac:dyDescent="0.35">
      <c r="A129" s="323" t="s">
        <v>498</v>
      </c>
      <c r="B129" s="312" t="s">
        <v>502</v>
      </c>
      <c r="C129" s="447"/>
      <c r="D129" s="448"/>
      <c r="E129" s="447"/>
      <c r="F129" s="447"/>
      <c r="G129" s="449"/>
      <c r="H129" s="447"/>
      <c r="I129" s="449"/>
      <c r="J129" s="447"/>
      <c r="K129" s="447"/>
      <c r="L129" s="312"/>
    </row>
    <row r="130" spans="1:12" x14ac:dyDescent="0.35">
      <c r="A130" s="98"/>
      <c r="B130" s="99"/>
      <c r="C130" s="408"/>
      <c r="D130" s="409"/>
      <c r="E130" s="408"/>
      <c r="F130" s="408"/>
      <c r="G130" s="410"/>
      <c r="H130" s="408"/>
      <c r="I130" s="410"/>
      <c r="J130" s="408"/>
      <c r="K130" s="408"/>
      <c r="L130" s="99"/>
    </row>
    <row r="131" spans="1:12" ht="130.5" x14ac:dyDescent="0.35">
      <c r="A131" s="98" t="s">
        <v>503</v>
      </c>
      <c r="B131" s="99" t="s">
        <v>504</v>
      </c>
      <c r="C131" s="408">
        <v>1</v>
      </c>
      <c r="D131" s="409" t="s">
        <v>247</v>
      </c>
      <c r="E131" s="417">
        <v>24135.38</v>
      </c>
      <c r="F131" s="417">
        <f>+C131*E131</f>
        <v>24135.38</v>
      </c>
      <c r="G131" s="410"/>
      <c r="H131" s="417"/>
      <c r="I131" s="410"/>
      <c r="J131" s="417"/>
      <c r="K131" s="417"/>
      <c r="L131" s="99"/>
    </row>
    <row r="132" spans="1:12" x14ac:dyDescent="0.35">
      <c r="A132" s="98"/>
      <c r="B132" s="99"/>
      <c r="C132" s="408"/>
      <c r="D132" s="409"/>
      <c r="E132" s="408"/>
      <c r="F132" s="408"/>
      <c r="G132" s="410"/>
      <c r="H132" s="408"/>
      <c r="I132" s="410"/>
      <c r="J132" s="408"/>
      <c r="K132" s="408"/>
      <c r="L132" s="99"/>
    </row>
    <row r="133" spans="1:12" ht="116" x14ac:dyDescent="0.35">
      <c r="A133" s="98" t="s">
        <v>505</v>
      </c>
      <c r="B133" s="99" t="s">
        <v>506</v>
      </c>
      <c r="C133" s="408">
        <v>1</v>
      </c>
      <c r="D133" s="409" t="s">
        <v>247</v>
      </c>
      <c r="E133" s="417">
        <v>6439.78</v>
      </c>
      <c r="F133" s="417">
        <f>+C133*E133</f>
        <v>6439.78</v>
      </c>
      <c r="G133" s="410"/>
      <c r="H133" s="417"/>
      <c r="I133" s="410"/>
      <c r="J133" s="417"/>
      <c r="K133" s="417"/>
      <c r="L133" s="99"/>
    </row>
    <row r="134" spans="1:12" x14ac:dyDescent="0.35">
      <c r="A134" s="322"/>
      <c r="B134" s="299"/>
      <c r="C134" s="431"/>
      <c r="D134" s="432"/>
      <c r="E134" s="431"/>
      <c r="F134" s="431"/>
      <c r="G134" s="433"/>
      <c r="H134" s="431"/>
      <c r="I134" s="433"/>
      <c r="J134" s="431"/>
      <c r="K134" s="431"/>
      <c r="L134" s="299"/>
    </row>
    <row r="135" spans="1:12" ht="101.5" x14ac:dyDescent="0.35">
      <c r="A135" s="321" t="s">
        <v>507</v>
      </c>
      <c r="B135" s="302" t="s">
        <v>508</v>
      </c>
      <c r="C135" s="438">
        <v>1</v>
      </c>
      <c r="D135" s="439" t="s">
        <v>247</v>
      </c>
      <c r="E135" s="451">
        <v>16472.310000000001</v>
      </c>
      <c r="F135" s="451">
        <f>+C135*E135</f>
        <v>16472.310000000001</v>
      </c>
      <c r="G135" s="440"/>
      <c r="H135" s="451"/>
      <c r="I135" s="440"/>
      <c r="J135" s="451"/>
      <c r="K135" s="451"/>
      <c r="L135" s="302"/>
    </row>
    <row r="136" spans="1:12" x14ac:dyDescent="0.35">
      <c r="A136" s="98"/>
      <c r="B136" s="99"/>
      <c r="C136" s="408"/>
      <c r="D136" s="409"/>
      <c r="E136" s="408"/>
      <c r="F136" s="408"/>
      <c r="G136" s="410"/>
      <c r="H136" s="408"/>
      <c r="I136" s="410"/>
      <c r="J136" s="408"/>
      <c r="K136" s="408"/>
      <c r="L136" s="99"/>
    </row>
    <row r="137" spans="1:12" ht="130.5" x14ac:dyDescent="0.35">
      <c r="A137" s="98" t="s">
        <v>509</v>
      </c>
      <c r="B137" s="99" t="s">
        <v>510</v>
      </c>
      <c r="C137" s="408">
        <v>1</v>
      </c>
      <c r="D137" s="409" t="s">
        <v>247</v>
      </c>
      <c r="E137" s="417">
        <v>22657.759999999998</v>
      </c>
      <c r="F137" s="417">
        <f>+C137*E137</f>
        <v>22657.759999999998</v>
      </c>
      <c r="G137" s="410"/>
      <c r="H137" s="417"/>
      <c r="I137" s="410"/>
      <c r="J137" s="417"/>
      <c r="K137" s="417"/>
      <c r="L137" s="99"/>
    </row>
    <row r="138" spans="1:12" x14ac:dyDescent="0.35">
      <c r="A138" s="98"/>
      <c r="B138" s="99"/>
      <c r="C138" s="408"/>
      <c r="D138" s="409"/>
      <c r="E138" s="408"/>
      <c r="F138" s="408"/>
      <c r="G138" s="410"/>
      <c r="H138" s="408"/>
      <c r="I138" s="410"/>
      <c r="J138" s="408"/>
      <c r="K138" s="408"/>
      <c r="L138" s="99"/>
    </row>
    <row r="139" spans="1:12" ht="87" x14ac:dyDescent="0.35">
      <c r="A139" s="321" t="s">
        <v>511</v>
      </c>
      <c r="B139" s="302" t="s">
        <v>512</v>
      </c>
      <c r="C139" s="438">
        <v>1</v>
      </c>
      <c r="D139" s="439" t="s">
        <v>247</v>
      </c>
      <c r="E139" s="438"/>
      <c r="F139" s="438" t="s">
        <v>49</v>
      </c>
      <c r="G139" s="440"/>
      <c r="H139" s="438"/>
      <c r="I139" s="440"/>
      <c r="J139" s="438"/>
      <c r="K139" s="438"/>
      <c r="L139" s="302" t="s">
        <v>513</v>
      </c>
    </row>
    <row r="140" spans="1:12" x14ac:dyDescent="0.35">
      <c r="A140" s="98"/>
      <c r="B140" s="99"/>
      <c r="C140" s="408"/>
      <c r="D140" s="409"/>
      <c r="E140" s="408"/>
      <c r="F140" s="408"/>
      <c r="G140" s="410"/>
      <c r="H140" s="408"/>
      <c r="I140" s="410"/>
      <c r="J140" s="408"/>
      <c r="K140" s="408"/>
      <c r="L140" s="99"/>
    </row>
    <row r="141" spans="1:12" x14ac:dyDescent="0.35">
      <c r="A141" s="98"/>
      <c r="B141" s="99"/>
      <c r="C141" s="408"/>
      <c r="D141" s="409"/>
      <c r="E141" s="408"/>
      <c r="F141" s="408"/>
      <c r="G141" s="410"/>
      <c r="H141" s="408"/>
      <c r="I141" s="410"/>
      <c r="J141" s="408"/>
      <c r="K141" s="408"/>
      <c r="L141" s="99"/>
    </row>
    <row r="142" spans="1:12" s="3" customFormat="1" x14ac:dyDescent="0.35">
      <c r="A142" s="104" t="s">
        <v>514</v>
      </c>
      <c r="B142" s="105" t="s">
        <v>515</v>
      </c>
      <c r="C142" s="418"/>
      <c r="D142" s="419"/>
      <c r="E142" s="418"/>
      <c r="F142" s="418"/>
      <c r="G142" s="420"/>
      <c r="H142" s="418"/>
      <c r="I142" s="420"/>
      <c r="J142" s="418"/>
      <c r="K142" s="418"/>
      <c r="L142" s="105"/>
    </row>
    <row r="143" spans="1:12" x14ac:dyDescent="0.35">
      <c r="A143" s="98"/>
      <c r="B143" s="99"/>
      <c r="C143" s="408"/>
      <c r="D143" s="409"/>
      <c r="E143" s="408"/>
      <c r="F143" s="408"/>
      <c r="G143" s="410"/>
      <c r="H143" s="408"/>
      <c r="I143" s="410"/>
      <c r="J143" s="408"/>
      <c r="K143" s="408"/>
      <c r="L143" s="99"/>
    </row>
    <row r="144" spans="1:12" s="3" customFormat="1" ht="29" x14ac:dyDescent="0.35">
      <c r="A144" s="100" t="s">
        <v>514</v>
      </c>
      <c r="B144" s="101" t="s">
        <v>516</v>
      </c>
      <c r="C144" s="412"/>
      <c r="D144" s="413" t="s">
        <v>0</v>
      </c>
      <c r="E144" s="412"/>
      <c r="F144" s="414">
        <f>+F150+F154+F156+F158+F160+F162+F164+F166+F176+F178+F182</f>
        <v>201398.38</v>
      </c>
      <c r="G144" s="415"/>
      <c r="H144" s="414">
        <f>+H150+H154+H156+H158+H160+H162+H164+H166+H176+H178+H182</f>
        <v>0</v>
      </c>
      <c r="I144" s="415"/>
      <c r="J144" s="414">
        <f>+J150+J154+J156+J158+J160+J162+J164+J166+J176+J178+J182</f>
        <v>0</v>
      </c>
      <c r="K144" s="414">
        <f t="shared" si="5"/>
        <v>0</v>
      </c>
      <c r="L144" s="101"/>
    </row>
    <row r="145" spans="1:12" x14ac:dyDescent="0.35">
      <c r="A145" s="98"/>
      <c r="B145" s="99"/>
      <c r="C145" s="408"/>
      <c r="D145" s="409"/>
      <c r="E145" s="408"/>
      <c r="F145" s="408"/>
      <c r="G145" s="410"/>
      <c r="H145" s="408"/>
      <c r="I145" s="410"/>
      <c r="J145" s="408"/>
      <c r="K145" s="408"/>
      <c r="L145" s="99"/>
    </row>
    <row r="146" spans="1:12" s="3" customFormat="1" ht="29" x14ac:dyDescent="0.35">
      <c r="A146" s="104" t="s">
        <v>514</v>
      </c>
      <c r="B146" s="105" t="s">
        <v>501</v>
      </c>
      <c r="C146" s="418"/>
      <c r="D146" s="419"/>
      <c r="E146" s="418"/>
      <c r="F146" s="418"/>
      <c r="G146" s="420"/>
      <c r="H146" s="418"/>
      <c r="I146" s="420"/>
      <c r="J146" s="418"/>
      <c r="K146" s="418"/>
      <c r="L146" s="105"/>
    </row>
    <row r="147" spans="1:12" x14ac:dyDescent="0.35">
      <c r="A147" s="98"/>
      <c r="B147" s="99"/>
      <c r="C147" s="408"/>
      <c r="D147" s="409"/>
      <c r="E147" s="408"/>
      <c r="F147" s="408"/>
      <c r="G147" s="410"/>
      <c r="H147" s="408"/>
      <c r="I147" s="410"/>
      <c r="J147" s="408"/>
      <c r="K147" s="408"/>
      <c r="L147" s="99"/>
    </row>
    <row r="148" spans="1:12" s="3" customFormat="1" ht="145" x14ac:dyDescent="0.35">
      <c r="A148" s="104" t="s">
        <v>514</v>
      </c>
      <c r="B148" s="105" t="s">
        <v>517</v>
      </c>
      <c r="C148" s="418"/>
      <c r="D148" s="419"/>
      <c r="E148" s="418"/>
      <c r="F148" s="418"/>
      <c r="G148" s="420"/>
      <c r="H148" s="418"/>
      <c r="I148" s="420"/>
      <c r="J148" s="418"/>
      <c r="K148" s="418"/>
      <c r="L148" s="105"/>
    </row>
    <row r="149" spans="1:12" x14ac:dyDescent="0.35">
      <c r="A149" s="98"/>
      <c r="B149" s="99"/>
      <c r="C149" s="408"/>
      <c r="D149" s="409"/>
      <c r="E149" s="408"/>
      <c r="F149" s="408"/>
      <c r="G149" s="410"/>
      <c r="H149" s="408"/>
      <c r="I149" s="410"/>
      <c r="J149" s="408"/>
      <c r="K149" s="408"/>
      <c r="L149" s="99"/>
    </row>
    <row r="150" spans="1:12" ht="174" x14ac:dyDescent="0.35">
      <c r="A150" s="98" t="s">
        <v>518</v>
      </c>
      <c r="B150" s="99" t="s">
        <v>519</v>
      </c>
      <c r="C150" s="408">
        <v>1</v>
      </c>
      <c r="D150" s="409" t="s">
        <v>247</v>
      </c>
      <c r="E150" s="417">
        <v>21755.200000000001</v>
      </c>
      <c r="F150" s="417">
        <f>+C150*E150</f>
        <v>21755.200000000001</v>
      </c>
      <c r="G150" s="410"/>
      <c r="H150" s="417"/>
      <c r="I150" s="410"/>
      <c r="J150" s="417"/>
      <c r="K150" s="417"/>
      <c r="L150" s="99"/>
    </row>
    <row r="151" spans="1:12" x14ac:dyDescent="0.35">
      <c r="A151" s="98"/>
      <c r="B151" s="99"/>
      <c r="C151" s="408"/>
      <c r="D151" s="409"/>
      <c r="E151" s="408"/>
      <c r="F151" s="408"/>
      <c r="G151" s="410"/>
      <c r="H151" s="408"/>
      <c r="I151" s="410"/>
      <c r="J151" s="408"/>
      <c r="K151" s="408"/>
      <c r="L151" s="99"/>
    </row>
    <row r="152" spans="1:12" ht="72.5" x14ac:dyDescent="0.35">
      <c r="A152" s="98" t="s">
        <v>520</v>
      </c>
      <c r="B152" s="99" t="s">
        <v>521</v>
      </c>
      <c r="C152" s="408">
        <v>1</v>
      </c>
      <c r="D152" s="409" t="s">
        <v>247</v>
      </c>
      <c r="E152" s="408"/>
      <c r="F152" s="408" t="s">
        <v>49</v>
      </c>
      <c r="G152" s="410"/>
      <c r="H152" s="408"/>
      <c r="I152" s="410"/>
      <c r="J152" s="408"/>
      <c r="K152" s="408"/>
      <c r="L152" s="99"/>
    </row>
    <row r="153" spans="1:12" x14ac:dyDescent="0.35">
      <c r="A153" s="98"/>
      <c r="B153" s="99"/>
      <c r="C153" s="408"/>
      <c r="D153" s="409"/>
      <c r="E153" s="408"/>
      <c r="F153" s="408"/>
      <c r="G153" s="410"/>
      <c r="H153" s="408"/>
      <c r="I153" s="410"/>
      <c r="J153" s="408"/>
      <c r="K153" s="408"/>
      <c r="L153" s="99"/>
    </row>
    <row r="154" spans="1:12" ht="101.5" x14ac:dyDescent="0.35">
      <c r="A154" s="321" t="s">
        <v>522</v>
      </c>
      <c r="B154" s="302" t="s">
        <v>523</v>
      </c>
      <c r="C154" s="438">
        <v>2</v>
      </c>
      <c r="D154" s="439" t="s">
        <v>247</v>
      </c>
      <c r="E154" s="451">
        <v>26337.279999999999</v>
      </c>
      <c r="F154" s="451">
        <f>+C154*E154</f>
        <v>52674.559999999998</v>
      </c>
      <c r="G154" s="440"/>
      <c r="H154" s="451"/>
      <c r="I154" s="440"/>
      <c r="J154" s="451"/>
      <c r="K154" s="451"/>
      <c r="L154" s="302"/>
    </row>
    <row r="155" spans="1:12" x14ac:dyDescent="0.35">
      <c r="A155" s="98"/>
      <c r="B155" s="99"/>
      <c r="C155" s="408"/>
      <c r="D155" s="409"/>
      <c r="E155" s="408"/>
      <c r="F155" s="408"/>
      <c r="G155" s="410"/>
      <c r="H155" s="408"/>
      <c r="I155" s="410"/>
      <c r="J155" s="408"/>
      <c r="K155" s="408"/>
      <c r="L155" s="99"/>
    </row>
    <row r="156" spans="1:12" ht="130.5" x14ac:dyDescent="0.35">
      <c r="A156" s="98" t="s">
        <v>524</v>
      </c>
      <c r="B156" s="99" t="s">
        <v>525</v>
      </c>
      <c r="C156" s="408">
        <v>1</v>
      </c>
      <c r="D156" s="409" t="s">
        <v>247</v>
      </c>
      <c r="E156" s="417">
        <v>13023.51</v>
      </c>
      <c r="F156" s="417">
        <f>+C156*E156</f>
        <v>13023.51</v>
      </c>
      <c r="G156" s="410"/>
      <c r="H156" s="417"/>
      <c r="I156" s="410"/>
      <c r="J156" s="417"/>
      <c r="K156" s="417"/>
      <c r="L156" s="99"/>
    </row>
    <row r="157" spans="1:12" x14ac:dyDescent="0.35">
      <c r="A157" s="98"/>
      <c r="B157" s="99"/>
      <c r="C157" s="408"/>
      <c r="D157" s="409"/>
      <c r="E157" s="408"/>
      <c r="F157" s="408"/>
      <c r="G157" s="410"/>
      <c r="H157" s="408"/>
      <c r="I157" s="410"/>
      <c r="J157" s="408"/>
      <c r="K157" s="408"/>
      <c r="L157" s="99"/>
    </row>
    <row r="158" spans="1:12" ht="101.5" x14ac:dyDescent="0.35">
      <c r="A158" s="98" t="s">
        <v>526</v>
      </c>
      <c r="B158" s="99" t="s">
        <v>527</v>
      </c>
      <c r="C158" s="408">
        <v>1</v>
      </c>
      <c r="D158" s="409" t="s">
        <v>247</v>
      </c>
      <c r="E158" s="417">
        <v>18170.59</v>
      </c>
      <c r="F158" s="417">
        <f>+C158*E158</f>
        <v>18170.59</v>
      </c>
      <c r="G158" s="410"/>
      <c r="H158" s="417"/>
      <c r="I158" s="410"/>
      <c r="J158" s="417"/>
      <c r="K158" s="417"/>
      <c r="L158" s="99"/>
    </row>
    <row r="159" spans="1:12" x14ac:dyDescent="0.35">
      <c r="A159" s="322"/>
      <c r="B159" s="299"/>
      <c r="C159" s="431"/>
      <c r="D159" s="432"/>
      <c r="E159" s="431"/>
      <c r="F159" s="431"/>
      <c r="G159" s="433"/>
      <c r="H159" s="431"/>
      <c r="I159" s="433"/>
      <c r="J159" s="431"/>
      <c r="K159" s="431"/>
      <c r="L159" s="299"/>
    </row>
    <row r="160" spans="1:12" ht="101.5" x14ac:dyDescent="0.35">
      <c r="A160" s="321" t="s">
        <v>528</v>
      </c>
      <c r="B160" s="302" t="s">
        <v>529</v>
      </c>
      <c r="C160" s="438">
        <v>1</v>
      </c>
      <c r="D160" s="439" t="s">
        <v>247</v>
      </c>
      <c r="E160" s="451">
        <v>8807.31</v>
      </c>
      <c r="F160" s="451">
        <f>+C160*E160</f>
        <v>8807.31</v>
      </c>
      <c r="G160" s="440"/>
      <c r="H160" s="451"/>
      <c r="I160" s="440"/>
      <c r="J160" s="451"/>
      <c r="K160" s="451"/>
      <c r="L160" s="302"/>
    </row>
    <row r="161" spans="1:12" x14ac:dyDescent="0.35">
      <c r="A161" s="98"/>
      <c r="B161" s="99"/>
      <c r="C161" s="408"/>
      <c r="D161" s="409"/>
      <c r="E161" s="408"/>
      <c r="F161" s="408"/>
      <c r="G161" s="410"/>
      <c r="H161" s="408"/>
      <c r="I161" s="410"/>
      <c r="J161" s="408"/>
      <c r="K161" s="408"/>
      <c r="L161" s="99"/>
    </row>
    <row r="162" spans="1:12" ht="101.5" x14ac:dyDescent="0.35">
      <c r="A162" s="98" t="s">
        <v>530</v>
      </c>
      <c r="B162" s="99" t="s">
        <v>531</v>
      </c>
      <c r="C162" s="408">
        <v>1</v>
      </c>
      <c r="D162" s="409" t="s">
        <v>247</v>
      </c>
      <c r="E162" s="417">
        <v>4940.1400000000003</v>
      </c>
      <c r="F162" s="417">
        <f>+C162*E162</f>
        <v>4940.1400000000003</v>
      </c>
      <c r="G162" s="410"/>
      <c r="H162" s="417"/>
      <c r="I162" s="410"/>
      <c r="J162" s="417"/>
      <c r="K162" s="417"/>
      <c r="L162" s="99"/>
    </row>
    <row r="163" spans="1:12" x14ac:dyDescent="0.35">
      <c r="A163" s="98"/>
      <c r="B163" s="99"/>
      <c r="C163" s="408"/>
      <c r="D163" s="409"/>
      <c r="E163" s="408"/>
      <c r="F163" s="408"/>
      <c r="G163" s="410"/>
      <c r="H163" s="408"/>
      <c r="I163" s="410"/>
      <c r="J163" s="408"/>
      <c r="K163" s="408"/>
      <c r="L163" s="99"/>
    </row>
    <row r="164" spans="1:12" ht="101.5" x14ac:dyDescent="0.35">
      <c r="A164" s="98" t="s">
        <v>532</v>
      </c>
      <c r="B164" s="99" t="s">
        <v>533</v>
      </c>
      <c r="C164" s="408">
        <v>1</v>
      </c>
      <c r="D164" s="409" t="s">
        <v>247</v>
      </c>
      <c r="E164" s="417">
        <v>10954.32</v>
      </c>
      <c r="F164" s="417">
        <f>+C164*E164</f>
        <v>10954.32</v>
      </c>
      <c r="G164" s="410"/>
      <c r="H164" s="417"/>
      <c r="I164" s="410"/>
      <c r="J164" s="417"/>
      <c r="K164" s="417"/>
      <c r="L164" s="99"/>
    </row>
    <row r="165" spans="1:12" x14ac:dyDescent="0.35">
      <c r="A165" s="98"/>
      <c r="B165" s="99"/>
      <c r="C165" s="408"/>
      <c r="D165" s="409"/>
      <c r="E165" s="408"/>
      <c r="F165" s="408"/>
      <c r="G165" s="410"/>
      <c r="H165" s="408"/>
      <c r="I165" s="410"/>
      <c r="J165" s="408"/>
      <c r="K165" s="408"/>
      <c r="L165" s="99"/>
    </row>
    <row r="166" spans="1:12" ht="130.5" x14ac:dyDescent="0.35">
      <c r="A166" s="321" t="s">
        <v>534</v>
      </c>
      <c r="B166" s="302" t="s">
        <v>535</v>
      </c>
      <c r="C166" s="438">
        <v>1</v>
      </c>
      <c r="D166" s="439" t="s">
        <v>247</v>
      </c>
      <c r="E166" s="451">
        <v>2270.8200000000002</v>
      </c>
      <c r="F166" s="451">
        <f>+C166*E166</f>
        <v>2270.8200000000002</v>
      </c>
      <c r="G166" s="440"/>
      <c r="H166" s="451"/>
      <c r="I166" s="440"/>
      <c r="J166" s="451"/>
      <c r="K166" s="451"/>
      <c r="L166" s="302"/>
    </row>
    <row r="167" spans="1:12" x14ac:dyDescent="0.35">
      <c r="A167" s="98"/>
      <c r="B167" s="99"/>
      <c r="C167" s="408"/>
      <c r="D167" s="409"/>
      <c r="E167" s="408"/>
      <c r="F167" s="408"/>
      <c r="G167" s="410"/>
      <c r="H167" s="408"/>
      <c r="I167" s="410"/>
      <c r="J167" s="408"/>
      <c r="K167" s="408"/>
      <c r="L167" s="99"/>
    </row>
    <row r="168" spans="1:12" s="3" customFormat="1" ht="29" x14ac:dyDescent="0.35">
      <c r="A168" s="104" t="s">
        <v>536</v>
      </c>
      <c r="B168" s="105" t="s">
        <v>537</v>
      </c>
      <c r="C168" s="418"/>
      <c r="D168" s="419"/>
      <c r="E168" s="418"/>
      <c r="F168" s="418"/>
      <c r="G168" s="420"/>
      <c r="H168" s="418"/>
      <c r="I168" s="420"/>
      <c r="J168" s="418"/>
      <c r="K168" s="418"/>
      <c r="L168" s="105"/>
    </row>
    <row r="169" spans="1:12" x14ac:dyDescent="0.35">
      <c r="A169" s="98"/>
      <c r="B169" s="99"/>
      <c r="C169" s="408"/>
      <c r="D169" s="409"/>
      <c r="E169" s="408"/>
      <c r="F169" s="408"/>
      <c r="G169" s="410"/>
      <c r="H169" s="408"/>
      <c r="I169" s="410"/>
      <c r="J169" s="408"/>
      <c r="K169" s="408"/>
      <c r="L169" s="99"/>
    </row>
    <row r="170" spans="1:12" s="3" customFormat="1" ht="43.5" x14ac:dyDescent="0.35">
      <c r="A170" s="104" t="s">
        <v>536</v>
      </c>
      <c r="B170" s="105" t="s">
        <v>538</v>
      </c>
      <c r="C170" s="418"/>
      <c r="D170" s="419"/>
      <c r="E170" s="418"/>
      <c r="F170" s="418"/>
      <c r="G170" s="420"/>
      <c r="H170" s="418"/>
      <c r="I170" s="420"/>
      <c r="J170" s="418"/>
      <c r="K170" s="418"/>
      <c r="L170" s="105"/>
    </row>
    <row r="171" spans="1:12" x14ac:dyDescent="0.35">
      <c r="A171" s="98"/>
      <c r="B171" s="99"/>
      <c r="C171" s="408"/>
      <c r="D171" s="409"/>
      <c r="E171" s="408"/>
      <c r="F171" s="408"/>
      <c r="G171" s="410"/>
      <c r="H171" s="408"/>
      <c r="I171" s="410"/>
      <c r="J171" s="408"/>
      <c r="K171" s="408"/>
      <c r="L171" s="99"/>
    </row>
    <row r="172" spans="1:12" ht="72.5" x14ac:dyDescent="0.35">
      <c r="A172" s="98" t="s">
        <v>539</v>
      </c>
      <c r="B172" s="99" t="s">
        <v>540</v>
      </c>
      <c r="C172" s="408">
        <v>1</v>
      </c>
      <c r="D172" s="409" t="s">
        <v>247</v>
      </c>
      <c r="E172" s="408"/>
      <c r="F172" s="408" t="s">
        <v>49</v>
      </c>
      <c r="G172" s="410"/>
      <c r="H172" s="408"/>
      <c r="I172" s="410"/>
      <c r="J172" s="408"/>
      <c r="K172" s="408"/>
      <c r="L172" s="99" t="s">
        <v>541</v>
      </c>
    </row>
    <row r="173" spans="1:12" x14ac:dyDescent="0.35">
      <c r="A173" s="322"/>
      <c r="B173" s="299"/>
      <c r="C173" s="431"/>
      <c r="D173" s="432"/>
      <c r="E173" s="431"/>
      <c r="F173" s="431"/>
      <c r="G173" s="433"/>
      <c r="H173" s="431"/>
      <c r="I173" s="433"/>
      <c r="J173" s="431"/>
      <c r="K173" s="431"/>
      <c r="L173" s="299"/>
    </row>
    <row r="174" spans="1:12" s="3" customFormat="1" ht="101.5" x14ac:dyDescent="0.35">
      <c r="A174" s="323" t="s">
        <v>536</v>
      </c>
      <c r="B174" s="312" t="s">
        <v>542</v>
      </c>
      <c r="C174" s="447"/>
      <c r="D174" s="448"/>
      <c r="E174" s="447"/>
      <c r="F174" s="447"/>
      <c r="G174" s="449"/>
      <c r="H174" s="447"/>
      <c r="I174" s="449"/>
      <c r="J174" s="447"/>
      <c r="K174" s="447"/>
      <c r="L174" s="312"/>
    </row>
    <row r="175" spans="1:12" x14ac:dyDescent="0.35">
      <c r="A175" s="98"/>
      <c r="B175" s="99"/>
      <c r="C175" s="408"/>
      <c r="D175" s="409"/>
      <c r="E175" s="408"/>
      <c r="F175" s="408"/>
      <c r="G175" s="410"/>
      <c r="H175" s="408"/>
      <c r="I175" s="410"/>
      <c r="J175" s="408"/>
      <c r="K175" s="408"/>
      <c r="L175" s="99"/>
    </row>
    <row r="176" spans="1:12" ht="116" x14ac:dyDescent="0.35">
      <c r="A176" s="98" t="s">
        <v>543</v>
      </c>
      <c r="B176" s="99" t="s">
        <v>544</v>
      </c>
      <c r="C176" s="408">
        <v>1</v>
      </c>
      <c r="D176" s="409" t="s">
        <v>237</v>
      </c>
      <c r="E176" s="417">
        <v>41314.129999999997</v>
      </c>
      <c r="F176" s="417">
        <f>+C176*E176</f>
        <v>41314.129999999997</v>
      </c>
      <c r="G176" s="410"/>
      <c r="H176" s="417"/>
      <c r="I176" s="410"/>
      <c r="J176" s="417"/>
      <c r="K176" s="417"/>
      <c r="L176" s="99"/>
    </row>
    <row r="177" spans="1:47" x14ac:dyDescent="0.35">
      <c r="A177" s="98"/>
      <c r="B177" s="99"/>
      <c r="C177" s="408"/>
      <c r="D177" s="409"/>
      <c r="E177" s="408"/>
      <c r="F177" s="408"/>
      <c r="G177" s="410"/>
      <c r="H177" s="408"/>
      <c r="I177" s="410"/>
      <c r="J177" s="408"/>
      <c r="K177" s="408"/>
      <c r="L177" s="99"/>
    </row>
    <row r="178" spans="1:47" ht="43.5" x14ac:dyDescent="0.35">
      <c r="A178" s="98" t="s">
        <v>545</v>
      </c>
      <c r="B178" s="99" t="s">
        <v>546</v>
      </c>
      <c r="C178" s="408">
        <v>1</v>
      </c>
      <c r="D178" s="409" t="s">
        <v>237</v>
      </c>
      <c r="E178" s="417">
        <v>11699.73</v>
      </c>
      <c r="F178" s="417">
        <f>+C178*E178</f>
        <v>11699.73</v>
      </c>
      <c r="G178" s="410"/>
      <c r="H178" s="417"/>
      <c r="I178" s="410"/>
      <c r="J178" s="417"/>
      <c r="K178" s="417"/>
      <c r="L178" s="99"/>
    </row>
    <row r="179" spans="1:47" x14ac:dyDescent="0.35">
      <c r="A179" s="98"/>
      <c r="B179" s="99"/>
      <c r="C179" s="408"/>
      <c r="D179" s="409"/>
      <c r="E179" s="408"/>
      <c r="F179" s="408"/>
      <c r="G179" s="410"/>
      <c r="H179" s="408"/>
      <c r="I179" s="410"/>
      <c r="J179" s="408"/>
      <c r="K179" s="408"/>
      <c r="L179" s="99"/>
    </row>
    <row r="180" spans="1:47" s="3" customFormat="1" ht="130.5" x14ac:dyDescent="0.35">
      <c r="A180" s="323" t="s">
        <v>536</v>
      </c>
      <c r="B180" s="312" t="s">
        <v>547</v>
      </c>
      <c r="C180" s="447"/>
      <c r="D180" s="448"/>
      <c r="E180" s="447"/>
      <c r="F180" s="447"/>
      <c r="G180" s="449"/>
      <c r="H180" s="447"/>
      <c r="I180" s="449"/>
      <c r="J180" s="447"/>
      <c r="K180" s="447"/>
      <c r="L180" s="312"/>
    </row>
    <row r="181" spans="1:47" x14ac:dyDescent="0.35">
      <c r="A181" s="98"/>
      <c r="B181" s="99"/>
      <c r="C181" s="408"/>
      <c r="D181" s="409"/>
      <c r="E181" s="408"/>
      <c r="F181" s="408"/>
      <c r="G181" s="410"/>
      <c r="H181" s="408"/>
      <c r="I181" s="410"/>
      <c r="J181" s="408"/>
      <c r="K181" s="408"/>
      <c r="L181" s="99"/>
    </row>
    <row r="182" spans="1:47" ht="29" x14ac:dyDescent="0.35">
      <c r="A182" s="98" t="s">
        <v>548</v>
      </c>
      <c r="B182" s="99" t="s">
        <v>549</v>
      </c>
      <c r="C182" s="408">
        <v>1</v>
      </c>
      <c r="D182" s="409" t="s">
        <v>237</v>
      </c>
      <c r="E182" s="417">
        <v>15788.07</v>
      </c>
      <c r="F182" s="417">
        <f>+C182*E182</f>
        <v>15788.07</v>
      </c>
      <c r="G182" s="410"/>
      <c r="H182" s="417"/>
      <c r="I182" s="410"/>
      <c r="J182" s="417"/>
      <c r="K182" s="417"/>
      <c r="L182" s="99"/>
    </row>
    <row r="183" spans="1:47" x14ac:dyDescent="0.35">
      <c r="A183" s="98"/>
      <c r="B183" s="99"/>
      <c r="C183" s="408"/>
      <c r="D183" s="409"/>
      <c r="E183" s="408"/>
      <c r="F183" s="408"/>
      <c r="G183" s="410"/>
      <c r="H183" s="408"/>
      <c r="I183" s="410"/>
      <c r="J183" s="408"/>
      <c r="K183" s="408"/>
      <c r="L183" s="99"/>
    </row>
    <row r="184" spans="1:47" x14ac:dyDescent="0.35">
      <c r="A184" s="98"/>
      <c r="B184" s="99"/>
      <c r="C184" s="408"/>
      <c r="D184" s="409"/>
      <c r="E184" s="408"/>
      <c r="F184" s="408"/>
      <c r="G184" s="410"/>
      <c r="H184" s="408"/>
      <c r="I184" s="410"/>
      <c r="J184" s="408"/>
      <c r="K184" s="408"/>
      <c r="L184" s="99"/>
    </row>
    <row r="185" spans="1:47" s="111" customFormat="1" ht="29" x14ac:dyDescent="0.35">
      <c r="A185" s="118" t="s">
        <v>550</v>
      </c>
      <c r="B185" s="119" t="s">
        <v>92</v>
      </c>
      <c r="C185" s="477"/>
      <c r="D185" s="478" t="s">
        <v>0</v>
      </c>
      <c r="E185" s="477"/>
      <c r="F185" s="479">
        <f>+F187</f>
        <v>186150.93</v>
      </c>
      <c r="G185" s="480"/>
      <c r="H185" s="479">
        <f>+H187</f>
        <v>0</v>
      </c>
      <c r="I185" s="480"/>
      <c r="J185" s="479">
        <f>+J187</f>
        <v>0</v>
      </c>
      <c r="K185" s="479">
        <f t="shared" si="5"/>
        <v>0</v>
      </c>
      <c r="L185" s="119"/>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row>
    <row r="186" spans="1:47" x14ac:dyDescent="0.35">
      <c r="A186" s="98"/>
      <c r="B186" s="99"/>
      <c r="C186" s="408"/>
      <c r="D186" s="409"/>
      <c r="E186" s="408"/>
      <c r="F186" s="408"/>
      <c r="G186" s="410"/>
      <c r="H186" s="408"/>
      <c r="I186" s="410"/>
      <c r="J186" s="408"/>
      <c r="K186" s="408"/>
      <c r="L186" s="99"/>
    </row>
    <row r="187" spans="1:47" s="3" customFormat="1" ht="29" x14ac:dyDescent="0.35">
      <c r="A187" s="100" t="s">
        <v>550</v>
      </c>
      <c r="B187" s="101" t="s">
        <v>500</v>
      </c>
      <c r="C187" s="412"/>
      <c r="D187" s="413" t="s">
        <v>0</v>
      </c>
      <c r="E187" s="412"/>
      <c r="F187" s="414">
        <f>+F193+F195+F197+F199+F207+F209+F211+F213+F215+F217+F219+F221+F223+F225+F227+F233+F235+F237+F239</f>
        <v>186150.93</v>
      </c>
      <c r="G187" s="415"/>
      <c r="H187" s="414">
        <f>+H193+H195+H197+H199+H207+H209+H211+H213+H215+H217+H219+H221+H223+H225+H227+H233+H235+H237+H239</f>
        <v>0</v>
      </c>
      <c r="I187" s="415"/>
      <c r="J187" s="414">
        <f>+J193+J195+J197+J199+J207+J209+J211+J213+J215+J217+J219+J221+J223+J225+J227+J233+J235+J237+J239</f>
        <v>0</v>
      </c>
      <c r="K187" s="414">
        <f t="shared" ref="K187:K241" si="6">+J187-H187</f>
        <v>0</v>
      </c>
      <c r="L187" s="101"/>
    </row>
    <row r="188" spans="1:47" x14ac:dyDescent="0.35">
      <c r="A188" s="98"/>
      <c r="B188" s="99"/>
      <c r="C188" s="408"/>
      <c r="D188" s="409"/>
      <c r="E188" s="408"/>
      <c r="F188" s="408"/>
      <c r="G188" s="410"/>
      <c r="H188" s="408"/>
      <c r="I188" s="410"/>
      <c r="J188" s="408"/>
      <c r="K188" s="408"/>
      <c r="L188" s="99"/>
    </row>
    <row r="189" spans="1:47" s="3" customFormat="1" ht="29" x14ac:dyDescent="0.35">
      <c r="A189" s="104" t="s">
        <v>550</v>
      </c>
      <c r="B189" s="105" t="s">
        <v>551</v>
      </c>
      <c r="C189" s="418"/>
      <c r="D189" s="419"/>
      <c r="E189" s="418"/>
      <c r="F189" s="418"/>
      <c r="G189" s="420"/>
      <c r="H189" s="418"/>
      <c r="I189" s="420"/>
      <c r="J189" s="418"/>
      <c r="K189" s="418"/>
      <c r="L189" s="105"/>
    </row>
    <row r="190" spans="1:47" x14ac:dyDescent="0.35">
      <c r="A190" s="322"/>
      <c r="B190" s="299"/>
      <c r="C190" s="431"/>
      <c r="D190" s="432"/>
      <c r="E190" s="431"/>
      <c r="F190" s="431"/>
      <c r="G190" s="433"/>
      <c r="H190" s="431"/>
      <c r="I190" s="433"/>
      <c r="J190" s="431"/>
      <c r="K190" s="431"/>
      <c r="L190" s="299"/>
    </row>
    <row r="191" spans="1:47" s="3" customFormat="1" ht="159.5" x14ac:dyDescent="0.35">
      <c r="A191" s="323" t="s">
        <v>550</v>
      </c>
      <c r="B191" s="312" t="s">
        <v>552</v>
      </c>
      <c r="C191" s="447"/>
      <c r="D191" s="448"/>
      <c r="E191" s="447"/>
      <c r="F191" s="447"/>
      <c r="G191" s="449"/>
      <c r="H191" s="447"/>
      <c r="I191" s="449"/>
      <c r="J191" s="447"/>
      <c r="K191" s="447"/>
      <c r="L191" s="312"/>
    </row>
    <row r="192" spans="1:47" x14ac:dyDescent="0.35">
      <c r="A192" s="98"/>
      <c r="B192" s="99"/>
      <c r="C192" s="408"/>
      <c r="D192" s="409"/>
      <c r="E192" s="408"/>
      <c r="F192" s="408"/>
      <c r="G192" s="410"/>
      <c r="H192" s="408"/>
      <c r="I192" s="410"/>
      <c r="J192" s="408"/>
      <c r="K192" s="408"/>
      <c r="L192" s="99"/>
    </row>
    <row r="193" spans="1:12" ht="72.5" x14ac:dyDescent="0.35">
      <c r="A193" s="98" t="s">
        <v>553</v>
      </c>
      <c r="B193" s="99" t="s">
        <v>554</v>
      </c>
      <c r="C193" s="408">
        <v>1</v>
      </c>
      <c r="D193" s="409" t="s">
        <v>247</v>
      </c>
      <c r="E193" s="417">
        <v>4405.0600000000004</v>
      </c>
      <c r="F193" s="417">
        <f>+C193*E193</f>
        <v>4405.0600000000004</v>
      </c>
      <c r="G193" s="410"/>
      <c r="H193" s="417"/>
      <c r="I193" s="410"/>
      <c r="J193" s="417"/>
      <c r="K193" s="417"/>
      <c r="L193" s="99"/>
    </row>
    <row r="194" spans="1:12" x14ac:dyDescent="0.35">
      <c r="A194" s="98"/>
      <c r="B194" s="99"/>
      <c r="C194" s="408"/>
      <c r="D194" s="409"/>
      <c r="E194" s="408"/>
      <c r="F194" s="408"/>
      <c r="G194" s="410"/>
      <c r="H194" s="408"/>
      <c r="I194" s="410"/>
      <c r="J194" s="408"/>
      <c r="K194" s="408"/>
      <c r="L194" s="99"/>
    </row>
    <row r="195" spans="1:12" ht="87" x14ac:dyDescent="0.35">
      <c r="A195" s="98" t="s">
        <v>555</v>
      </c>
      <c r="B195" s="99" t="s">
        <v>556</v>
      </c>
      <c r="C195" s="408">
        <v>1</v>
      </c>
      <c r="D195" s="409" t="s">
        <v>247</v>
      </c>
      <c r="E195" s="417">
        <v>20455.96</v>
      </c>
      <c r="F195" s="417">
        <f>+C195*E195</f>
        <v>20455.96</v>
      </c>
      <c r="G195" s="410"/>
      <c r="H195" s="417"/>
      <c r="I195" s="410"/>
      <c r="J195" s="417"/>
      <c r="K195" s="417"/>
      <c r="L195" s="99"/>
    </row>
    <row r="196" spans="1:12" x14ac:dyDescent="0.35">
      <c r="A196" s="98"/>
      <c r="B196" s="99"/>
      <c r="C196" s="408"/>
      <c r="D196" s="409"/>
      <c r="E196" s="408"/>
      <c r="F196" s="408"/>
      <c r="G196" s="410"/>
      <c r="H196" s="408"/>
      <c r="I196" s="410"/>
      <c r="J196" s="408"/>
      <c r="K196" s="408"/>
      <c r="L196" s="99"/>
    </row>
    <row r="197" spans="1:12" ht="58" x14ac:dyDescent="0.35">
      <c r="A197" s="98" t="s">
        <v>557</v>
      </c>
      <c r="B197" s="99" t="s">
        <v>558</v>
      </c>
      <c r="C197" s="408">
        <v>1</v>
      </c>
      <c r="D197" s="409" t="s">
        <v>247</v>
      </c>
      <c r="E197" s="417">
        <v>9413.3799999999992</v>
      </c>
      <c r="F197" s="417">
        <f>+C197*E197</f>
        <v>9413.3799999999992</v>
      </c>
      <c r="G197" s="410"/>
      <c r="H197" s="417"/>
      <c r="I197" s="410"/>
      <c r="J197" s="417"/>
      <c r="K197" s="417"/>
      <c r="L197" s="99"/>
    </row>
    <row r="198" spans="1:12" x14ac:dyDescent="0.35">
      <c r="A198" s="98"/>
      <c r="B198" s="99"/>
      <c r="C198" s="408"/>
      <c r="D198" s="409"/>
      <c r="E198" s="408"/>
      <c r="F198" s="408"/>
      <c r="G198" s="410"/>
      <c r="H198" s="408"/>
      <c r="I198" s="410"/>
      <c r="J198" s="408"/>
      <c r="K198" s="408"/>
      <c r="L198" s="99"/>
    </row>
    <row r="199" spans="1:12" ht="72.5" x14ac:dyDescent="0.35">
      <c r="A199" s="321" t="s">
        <v>559</v>
      </c>
      <c r="B199" s="302" t="s">
        <v>560</v>
      </c>
      <c r="C199" s="438">
        <v>1</v>
      </c>
      <c r="D199" s="439" t="s">
        <v>247</v>
      </c>
      <c r="E199" s="451">
        <v>5096.8900000000003</v>
      </c>
      <c r="F199" s="451">
        <f>+C199*E199</f>
        <v>5096.8900000000003</v>
      </c>
      <c r="G199" s="440"/>
      <c r="H199" s="451"/>
      <c r="I199" s="440"/>
      <c r="J199" s="451"/>
      <c r="K199" s="451"/>
      <c r="L199" s="302"/>
    </row>
    <row r="200" spans="1:12" x14ac:dyDescent="0.35">
      <c r="A200" s="98"/>
      <c r="B200" s="99"/>
      <c r="C200" s="408"/>
      <c r="D200" s="409"/>
      <c r="E200" s="408"/>
      <c r="F200" s="408"/>
      <c r="G200" s="410"/>
      <c r="H200" s="408"/>
      <c r="I200" s="410"/>
      <c r="J200" s="408"/>
      <c r="K200" s="408"/>
      <c r="L200" s="99"/>
    </row>
    <row r="201" spans="1:12" s="3" customFormat="1" ht="29" x14ac:dyDescent="0.35">
      <c r="A201" s="104" t="s">
        <v>561</v>
      </c>
      <c r="B201" s="105" t="s">
        <v>516</v>
      </c>
      <c r="C201" s="418"/>
      <c r="D201" s="419"/>
      <c r="E201" s="418"/>
      <c r="F201" s="418"/>
      <c r="G201" s="420"/>
      <c r="H201" s="418"/>
      <c r="I201" s="420"/>
      <c r="J201" s="418"/>
      <c r="K201" s="418"/>
      <c r="L201" s="105"/>
    </row>
    <row r="202" spans="1:12" x14ac:dyDescent="0.35">
      <c r="A202" s="98"/>
      <c r="B202" s="99"/>
      <c r="C202" s="408"/>
      <c r="D202" s="409"/>
      <c r="E202" s="408"/>
      <c r="F202" s="408"/>
      <c r="G202" s="410"/>
      <c r="H202" s="408"/>
      <c r="I202" s="410"/>
      <c r="J202" s="408"/>
      <c r="K202" s="408"/>
      <c r="L202" s="99"/>
    </row>
    <row r="203" spans="1:12" s="3" customFormat="1" ht="29" x14ac:dyDescent="0.35">
      <c r="A203" s="104" t="s">
        <v>561</v>
      </c>
      <c r="B203" s="105" t="s">
        <v>551</v>
      </c>
      <c r="C203" s="418"/>
      <c r="D203" s="419"/>
      <c r="E203" s="418"/>
      <c r="F203" s="418"/>
      <c r="G203" s="420"/>
      <c r="H203" s="418"/>
      <c r="I203" s="420"/>
      <c r="J203" s="418"/>
      <c r="K203" s="418"/>
      <c r="L203" s="105"/>
    </row>
    <row r="204" spans="1:12" x14ac:dyDescent="0.35">
      <c r="A204" s="98"/>
      <c r="B204" s="99"/>
      <c r="C204" s="408"/>
      <c r="D204" s="409"/>
      <c r="E204" s="408"/>
      <c r="F204" s="408"/>
      <c r="G204" s="410"/>
      <c r="H204" s="408"/>
      <c r="I204" s="410"/>
      <c r="J204" s="408"/>
      <c r="K204" s="408"/>
      <c r="L204" s="99"/>
    </row>
    <row r="205" spans="1:12" s="3" customFormat="1" ht="159.5" x14ac:dyDescent="0.35">
      <c r="A205" s="337" t="s">
        <v>561</v>
      </c>
      <c r="B205" s="338" t="s">
        <v>552</v>
      </c>
      <c r="C205" s="481"/>
      <c r="D205" s="482"/>
      <c r="E205" s="481"/>
      <c r="F205" s="481"/>
      <c r="G205" s="483"/>
      <c r="H205" s="481"/>
      <c r="I205" s="483"/>
      <c r="J205" s="481"/>
      <c r="K205" s="481"/>
      <c r="L205" s="338"/>
    </row>
    <row r="206" spans="1:12" x14ac:dyDescent="0.35">
      <c r="A206" s="335"/>
      <c r="B206" s="336"/>
      <c r="C206" s="473"/>
      <c r="D206" s="474"/>
      <c r="E206" s="473"/>
      <c r="F206" s="473"/>
      <c r="G206" s="476"/>
      <c r="H206" s="473"/>
      <c r="I206" s="476"/>
      <c r="J206" s="473"/>
      <c r="K206" s="473"/>
      <c r="L206" s="336"/>
    </row>
    <row r="207" spans="1:12" ht="87" x14ac:dyDescent="0.35">
      <c r="A207" s="321" t="s">
        <v>562</v>
      </c>
      <c r="B207" s="302" t="s">
        <v>563</v>
      </c>
      <c r="C207" s="438">
        <v>1</v>
      </c>
      <c r="D207" s="439" t="s">
        <v>247</v>
      </c>
      <c r="E207" s="451">
        <v>6160.12</v>
      </c>
      <c r="F207" s="451">
        <f>+C207*E207</f>
        <v>6160.12</v>
      </c>
      <c r="G207" s="440"/>
      <c r="H207" s="451"/>
      <c r="I207" s="440"/>
      <c r="J207" s="451"/>
      <c r="K207" s="451"/>
      <c r="L207" s="302"/>
    </row>
    <row r="208" spans="1:12" x14ac:dyDescent="0.35">
      <c r="A208" s="98"/>
      <c r="B208" s="99"/>
      <c r="C208" s="408"/>
      <c r="D208" s="409"/>
      <c r="E208" s="408"/>
      <c r="F208" s="408"/>
      <c r="G208" s="410"/>
      <c r="H208" s="408"/>
      <c r="I208" s="410"/>
      <c r="J208" s="408"/>
      <c r="K208" s="408"/>
      <c r="L208" s="99"/>
    </row>
    <row r="209" spans="1:12" ht="87" x14ac:dyDescent="0.35">
      <c r="A209" s="98" t="s">
        <v>564</v>
      </c>
      <c r="B209" s="99" t="s">
        <v>565</v>
      </c>
      <c r="C209" s="408">
        <v>1</v>
      </c>
      <c r="D209" s="409" t="s">
        <v>247</v>
      </c>
      <c r="E209" s="417">
        <v>13861.45</v>
      </c>
      <c r="F209" s="417">
        <f>+C209*E209</f>
        <v>13861.45</v>
      </c>
      <c r="G209" s="410"/>
      <c r="H209" s="417"/>
      <c r="I209" s="410"/>
      <c r="J209" s="417"/>
      <c r="K209" s="417"/>
      <c r="L209" s="99"/>
    </row>
    <row r="210" spans="1:12" x14ac:dyDescent="0.35">
      <c r="A210" s="98"/>
      <c r="B210" s="99"/>
      <c r="C210" s="408"/>
      <c r="D210" s="409"/>
      <c r="E210" s="408"/>
      <c r="F210" s="408"/>
      <c r="G210" s="410"/>
      <c r="H210" s="408"/>
      <c r="I210" s="410"/>
      <c r="J210" s="408"/>
      <c r="K210" s="408"/>
      <c r="L210" s="99"/>
    </row>
    <row r="211" spans="1:12" ht="58" x14ac:dyDescent="0.35">
      <c r="A211" s="98" t="s">
        <v>566</v>
      </c>
      <c r="B211" s="99" t="s">
        <v>567</v>
      </c>
      <c r="C211" s="408">
        <v>1</v>
      </c>
      <c r="D211" s="409" t="s">
        <v>247</v>
      </c>
      <c r="E211" s="417">
        <v>9534.0300000000007</v>
      </c>
      <c r="F211" s="417">
        <f>+C211*E211</f>
        <v>9534.0300000000007</v>
      </c>
      <c r="G211" s="410"/>
      <c r="H211" s="417"/>
      <c r="I211" s="410"/>
      <c r="J211" s="417"/>
      <c r="K211" s="417"/>
      <c r="L211" s="99"/>
    </row>
    <row r="212" spans="1:12" x14ac:dyDescent="0.35">
      <c r="A212" s="98"/>
      <c r="B212" s="99"/>
      <c r="C212" s="408"/>
      <c r="D212" s="409"/>
      <c r="E212" s="408"/>
      <c r="F212" s="408"/>
      <c r="G212" s="410"/>
      <c r="H212" s="408"/>
      <c r="I212" s="410"/>
      <c r="J212" s="408"/>
      <c r="K212" s="408"/>
      <c r="L212" s="99"/>
    </row>
    <row r="213" spans="1:12" ht="58" x14ac:dyDescent="0.35">
      <c r="A213" s="98" t="s">
        <v>568</v>
      </c>
      <c r="B213" s="99" t="s">
        <v>569</v>
      </c>
      <c r="C213" s="408">
        <v>1</v>
      </c>
      <c r="D213" s="409" t="s">
        <v>247</v>
      </c>
      <c r="E213" s="417">
        <v>9829.39</v>
      </c>
      <c r="F213" s="417">
        <f>+C213*E213</f>
        <v>9829.39</v>
      </c>
      <c r="G213" s="410"/>
      <c r="H213" s="417"/>
      <c r="I213" s="410"/>
      <c r="J213" s="417"/>
      <c r="K213" s="417"/>
      <c r="L213" s="99"/>
    </row>
    <row r="214" spans="1:12" x14ac:dyDescent="0.35">
      <c r="A214" s="98"/>
      <c r="B214" s="99"/>
      <c r="C214" s="408"/>
      <c r="D214" s="409"/>
      <c r="E214" s="408"/>
      <c r="F214" s="408"/>
      <c r="G214" s="410"/>
      <c r="H214" s="408"/>
      <c r="I214" s="410"/>
      <c r="J214" s="408"/>
      <c r="K214" s="408"/>
      <c r="L214" s="99"/>
    </row>
    <row r="215" spans="1:12" ht="58" x14ac:dyDescent="0.35">
      <c r="A215" s="321" t="s">
        <v>570</v>
      </c>
      <c r="B215" s="302" t="s">
        <v>571</v>
      </c>
      <c r="C215" s="438">
        <v>1</v>
      </c>
      <c r="D215" s="439" t="s">
        <v>247</v>
      </c>
      <c r="E215" s="451">
        <v>14566.25</v>
      </c>
      <c r="F215" s="451">
        <f>+C215*E215</f>
        <v>14566.25</v>
      </c>
      <c r="G215" s="440"/>
      <c r="H215" s="451"/>
      <c r="I215" s="440"/>
      <c r="J215" s="451"/>
      <c r="K215" s="451"/>
      <c r="L215" s="302"/>
    </row>
    <row r="216" spans="1:12" x14ac:dyDescent="0.35">
      <c r="A216" s="98"/>
      <c r="B216" s="99"/>
      <c r="C216" s="408"/>
      <c r="D216" s="409"/>
      <c r="E216" s="408"/>
      <c r="F216" s="408"/>
      <c r="G216" s="410"/>
      <c r="H216" s="408"/>
      <c r="I216" s="410"/>
      <c r="J216" s="408"/>
      <c r="K216" s="408"/>
      <c r="L216" s="99"/>
    </row>
    <row r="217" spans="1:12" ht="58" x14ac:dyDescent="0.35">
      <c r="A217" s="98" t="s">
        <v>572</v>
      </c>
      <c r="B217" s="99" t="s">
        <v>573</v>
      </c>
      <c r="C217" s="408">
        <v>1</v>
      </c>
      <c r="D217" s="409" t="s">
        <v>247</v>
      </c>
      <c r="E217" s="417">
        <v>8124.55</v>
      </c>
      <c r="F217" s="417">
        <f>+C217*E217</f>
        <v>8124.55</v>
      </c>
      <c r="G217" s="410"/>
      <c r="H217" s="417"/>
      <c r="I217" s="410"/>
      <c r="J217" s="417"/>
      <c r="K217" s="417"/>
      <c r="L217" s="99"/>
    </row>
    <row r="218" spans="1:12" x14ac:dyDescent="0.35">
      <c r="A218" s="98"/>
      <c r="B218" s="99"/>
      <c r="C218" s="408"/>
      <c r="D218" s="409"/>
      <c r="E218" s="408"/>
      <c r="F218" s="408"/>
      <c r="G218" s="410"/>
      <c r="H218" s="408"/>
      <c r="I218" s="410"/>
      <c r="J218" s="408"/>
      <c r="K218" s="408"/>
      <c r="L218" s="99"/>
    </row>
    <row r="219" spans="1:12" ht="72.5" x14ac:dyDescent="0.35">
      <c r="A219" s="98" t="s">
        <v>574</v>
      </c>
      <c r="B219" s="99" t="s">
        <v>575</v>
      </c>
      <c r="C219" s="408">
        <v>1</v>
      </c>
      <c r="D219" s="409" t="s">
        <v>247</v>
      </c>
      <c r="E219" s="417">
        <v>9472.7000000000007</v>
      </c>
      <c r="F219" s="417">
        <f>+C219*E219</f>
        <v>9472.7000000000007</v>
      </c>
      <c r="G219" s="410"/>
      <c r="H219" s="417"/>
      <c r="I219" s="410"/>
      <c r="J219" s="417"/>
      <c r="K219" s="417"/>
      <c r="L219" s="99"/>
    </row>
    <row r="220" spans="1:12" x14ac:dyDescent="0.35">
      <c r="A220" s="98"/>
      <c r="B220" s="99"/>
      <c r="C220" s="408"/>
      <c r="D220" s="409"/>
      <c r="E220" s="408"/>
      <c r="F220" s="408"/>
      <c r="G220" s="410"/>
      <c r="H220" s="408"/>
      <c r="I220" s="410"/>
      <c r="J220" s="408"/>
      <c r="K220" s="408"/>
      <c r="L220" s="99"/>
    </row>
    <row r="221" spans="1:12" ht="72.5" x14ac:dyDescent="0.35">
      <c r="A221" s="98" t="s">
        <v>576</v>
      </c>
      <c r="B221" s="99" t="s">
        <v>577</v>
      </c>
      <c r="C221" s="408">
        <v>1</v>
      </c>
      <c r="D221" s="409" t="s">
        <v>247</v>
      </c>
      <c r="E221" s="417">
        <v>4795.17</v>
      </c>
      <c r="F221" s="417">
        <f>+C221*E221</f>
        <v>4795.17</v>
      </c>
      <c r="G221" s="410"/>
      <c r="H221" s="417"/>
      <c r="I221" s="410"/>
      <c r="J221" s="417"/>
      <c r="K221" s="417"/>
      <c r="L221" s="99"/>
    </row>
    <row r="222" spans="1:12" x14ac:dyDescent="0.35">
      <c r="A222" s="322"/>
      <c r="B222" s="299"/>
      <c r="C222" s="431"/>
      <c r="D222" s="432"/>
      <c r="E222" s="431"/>
      <c r="F222" s="431"/>
      <c r="G222" s="433"/>
      <c r="H222" s="431"/>
      <c r="I222" s="433"/>
      <c r="J222" s="431"/>
      <c r="K222" s="431"/>
      <c r="L222" s="299"/>
    </row>
    <row r="223" spans="1:12" ht="43.5" x14ac:dyDescent="0.35">
      <c r="A223" s="321" t="s">
        <v>578</v>
      </c>
      <c r="B223" s="302" t="s">
        <v>579</v>
      </c>
      <c r="C223" s="438">
        <v>1</v>
      </c>
      <c r="D223" s="439" t="s">
        <v>247</v>
      </c>
      <c r="E223" s="451">
        <v>15916.68</v>
      </c>
      <c r="F223" s="451">
        <f>+C223*E223</f>
        <v>15916.68</v>
      </c>
      <c r="G223" s="440"/>
      <c r="H223" s="451"/>
      <c r="I223" s="440"/>
      <c r="J223" s="451"/>
      <c r="K223" s="451"/>
      <c r="L223" s="302"/>
    </row>
    <row r="224" spans="1:12" x14ac:dyDescent="0.35">
      <c r="A224" s="98"/>
      <c r="B224" s="99"/>
      <c r="C224" s="408"/>
      <c r="D224" s="409"/>
      <c r="E224" s="408"/>
      <c r="F224" s="408"/>
      <c r="G224" s="410"/>
      <c r="H224" s="408"/>
      <c r="I224" s="410"/>
      <c r="J224" s="408"/>
      <c r="K224" s="408"/>
      <c r="L224" s="99"/>
    </row>
    <row r="225" spans="1:12" ht="58" x14ac:dyDescent="0.35">
      <c r="A225" s="98" t="s">
        <v>580</v>
      </c>
      <c r="B225" s="99" t="s">
        <v>581</v>
      </c>
      <c r="C225" s="408">
        <v>1</v>
      </c>
      <c r="D225" s="409" t="s">
        <v>247</v>
      </c>
      <c r="E225" s="417">
        <v>6227.74</v>
      </c>
      <c r="F225" s="417">
        <f>+C225*E225</f>
        <v>6227.74</v>
      </c>
      <c r="G225" s="410"/>
      <c r="H225" s="417"/>
      <c r="I225" s="410"/>
      <c r="J225" s="417"/>
      <c r="K225" s="417"/>
      <c r="L225" s="99"/>
    </row>
    <row r="226" spans="1:12" x14ac:dyDescent="0.35">
      <c r="A226" s="98"/>
      <c r="B226" s="99"/>
      <c r="C226" s="408"/>
      <c r="D226" s="409"/>
      <c r="E226" s="408"/>
      <c r="F226" s="408"/>
      <c r="G226" s="410"/>
      <c r="H226" s="408"/>
      <c r="I226" s="410"/>
      <c r="J226" s="408"/>
      <c r="K226" s="408"/>
      <c r="L226" s="99"/>
    </row>
    <row r="227" spans="1:12" ht="58" x14ac:dyDescent="0.35">
      <c r="A227" s="98" t="s">
        <v>582</v>
      </c>
      <c r="B227" s="99" t="s">
        <v>583</v>
      </c>
      <c r="C227" s="408">
        <v>1</v>
      </c>
      <c r="D227" s="409" t="s">
        <v>247</v>
      </c>
      <c r="E227" s="417">
        <v>8768.0300000000007</v>
      </c>
      <c r="F227" s="417">
        <f>+C227*E227</f>
        <v>8768.0300000000007</v>
      </c>
      <c r="G227" s="410"/>
      <c r="H227" s="417"/>
      <c r="I227" s="410"/>
      <c r="J227" s="417"/>
      <c r="K227" s="417"/>
      <c r="L227" s="99"/>
    </row>
    <row r="228" spans="1:12" x14ac:dyDescent="0.35">
      <c r="A228" s="98"/>
      <c r="B228" s="99"/>
      <c r="C228" s="408"/>
      <c r="D228" s="409"/>
      <c r="E228" s="408"/>
      <c r="F228" s="408"/>
      <c r="G228" s="410"/>
      <c r="H228" s="408"/>
      <c r="I228" s="410"/>
      <c r="J228" s="408"/>
      <c r="K228" s="408"/>
      <c r="L228" s="99"/>
    </row>
    <row r="229" spans="1:12" s="3" customFormat="1" ht="29" x14ac:dyDescent="0.35">
      <c r="A229" s="104" t="s">
        <v>584</v>
      </c>
      <c r="B229" s="105" t="s">
        <v>551</v>
      </c>
      <c r="C229" s="418"/>
      <c r="D229" s="419"/>
      <c r="E229" s="418"/>
      <c r="F229" s="418"/>
      <c r="G229" s="420"/>
      <c r="H229" s="418"/>
      <c r="I229" s="420"/>
      <c r="J229" s="418"/>
      <c r="K229" s="418"/>
      <c r="L229" s="105"/>
    </row>
    <row r="230" spans="1:12" x14ac:dyDescent="0.35">
      <c r="A230" s="98"/>
      <c r="B230" s="99"/>
      <c r="C230" s="408"/>
      <c r="D230" s="409"/>
      <c r="E230" s="408"/>
      <c r="F230" s="408"/>
      <c r="G230" s="410"/>
      <c r="H230" s="408"/>
      <c r="I230" s="410"/>
      <c r="J230" s="408"/>
      <c r="K230" s="408"/>
      <c r="L230" s="99"/>
    </row>
    <row r="231" spans="1:12" s="3" customFormat="1" ht="159.5" x14ac:dyDescent="0.35">
      <c r="A231" s="104" t="s">
        <v>584</v>
      </c>
      <c r="B231" s="105" t="s">
        <v>552</v>
      </c>
      <c r="C231" s="418"/>
      <c r="D231" s="419"/>
      <c r="E231" s="418"/>
      <c r="F231" s="418"/>
      <c r="G231" s="420"/>
      <c r="H231" s="418"/>
      <c r="I231" s="420"/>
      <c r="J231" s="418"/>
      <c r="K231" s="418"/>
      <c r="L231" s="105"/>
    </row>
    <row r="232" spans="1:12" x14ac:dyDescent="0.35">
      <c r="A232" s="98"/>
      <c r="B232" s="99"/>
      <c r="C232" s="408"/>
      <c r="D232" s="409"/>
      <c r="E232" s="408"/>
      <c r="F232" s="408"/>
      <c r="G232" s="410"/>
      <c r="H232" s="408"/>
      <c r="I232" s="410"/>
      <c r="J232" s="408"/>
      <c r="K232" s="408"/>
      <c r="L232" s="99"/>
    </row>
    <row r="233" spans="1:12" ht="58" x14ac:dyDescent="0.35">
      <c r="A233" s="98" t="s">
        <v>585</v>
      </c>
      <c r="B233" s="99" t="s">
        <v>586</v>
      </c>
      <c r="C233" s="408">
        <v>1</v>
      </c>
      <c r="D233" s="409" t="s">
        <v>247</v>
      </c>
      <c r="E233" s="417">
        <v>12860.45</v>
      </c>
      <c r="F233" s="417">
        <f>+C233*E233</f>
        <v>12860.45</v>
      </c>
      <c r="G233" s="410"/>
      <c r="H233" s="417"/>
      <c r="I233" s="410"/>
      <c r="J233" s="417"/>
      <c r="K233" s="417"/>
      <c r="L233" s="99"/>
    </row>
    <row r="234" spans="1:12" x14ac:dyDescent="0.35">
      <c r="A234" s="98"/>
      <c r="B234" s="99"/>
      <c r="C234" s="408"/>
      <c r="D234" s="409"/>
      <c r="E234" s="408"/>
      <c r="F234" s="408"/>
      <c r="G234" s="410"/>
      <c r="H234" s="408"/>
      <c r="I234" s="410"/>
      <c r="J234" s="408"/>
      <c r="K234" s="408"/>
      <c r="L234" s="99"/>
    </row>
    <row r="235" spans="1:12" ht="72.5" x14ac:dyDescent="0.35">
      <c r="A235" s="98" t="s">
        <v>587</v>
      </c>
      <c r="B235" s="99" t="s">
        <v>588</v>
      </c>
      <c r="C235" s="408">
        <v>1</v>
      </c>
      <c r="D235" s="409" t="s">
        <v>247</v>
      </c>
      <c r="E235" s="417">
        <v>5614.46</v>
      </c>
      <c r="F235" s="417">
        <f>+C235*E235</f>
        <v>5614.46</v>
      </c>
      <c r="G235" s="410"/>
      <c r="H235" s="417"/>
      <c r="I235" s="410"/>
      <c r="J235" s="417"/>
      <c r="K235" s="417"/>
      <c r="L235" s="99"/>
    </row>
    <row r="236" spans="1:12" x14ac:dyDescent="0.35">
      <c r="A236" s="98"/>
      <c r="B236" s="99"/>
      <c r="C236" s="408"/>
      <c r="D236" s="409"/>
      <c r="E236" s="408"/>
      <c r="F236" s="408"/>
      <c r="G236" s="410"/>
      <c r="H236" s="408"/>
      <c r="I236" s="410"/>
      <c r="J236" s="408"/>
      <c r="K236" s="408"/>
      <c r="L236" s="99"/>
    </row>
    <row r="237" spans="1:12" ht="58" x14ac:dyDescent="0.35">
      <c r="A237" s="98" t="s">
        <v>589</v>
      </c>
      <c r="B237" s="99" t="s">
        <v>590</v>
      </c>
      <c r="C237" s="408">
        <v>1</v>
      </c>
      <c r="D237" s="409" t="s">
        <v>247</v>
      </c>
      <c r="E237" s="417">
        <v>5906.32</v>
      </c>
      <c r="F237" s="417">
        <f>+C237*E237</f>
        <v>5906.32</v>
      </c>
      <c r="G237" s="410"/>
      <c r="H237" s="417"/>
      <c r="I237" s="410"/>
      <c r="J237" s="417"/>
      <c r="K237" s="417"/>
      <c r="L237" s="99"/>
    </row>
    <row r="238" spans="1:12" x14ac:dyDescent="0.35">
      <c r="A238" s="98"/>
      <c r="B238" s="99"/>
      <c r="C238" s="408"/>
      <c r="D238" s="409"/>
      <c r="E238" s="408"/>
      <c r="F238" s="408"/>
      <c r="G238" s="410"/>
      <c r="H238" s="408"/>
      <c r="I238" s="410"/>
      <c r="J238" s="408"/>
      <c r="K238" s="408"/>
      <c r="L238" s="99"/>
    </row>
    <row r="239" spans="1:12" ht="58" x14ac:dyDescent="0.35">
      <c r="A239" s="98" t="s">
        <v>591</v>
      </c>
      <c r="B239" s="99" t="s">
        <v>592</v>
      </c>
      <c r="C239" s="408">
        <v>1</v>
      </c>
      <c r="D239" s="409" t="s">
        <v>247</v>
      </c>
      <c r="E239" s="417">
        <v>15142.3</v>
      </c>
      <c r="F239" s="417">
        <f>+C239*E239</f>
        <v>15142.3</v>
      </c>
      <c r="G239" s="410"/>
      <c r="H239" s="417"/>
      <c r="I239" s="410"/>
      <c r="J239" s="417"/>
      <c r="K239" s="417"/>
      <c r="L239" s="99"/>
    </row>
    <row r="240" spans="1:12" x14ac:dyDescent="0.35">
      <c r="A240" s="98"/>
      <c r="B240" s="99"/>
      <c r="C240" s="408"/>
      <c r="D240" s="409"/>
      <c r="E240" s="408"/>
      <c r="F240" s="408"/>
      <c r="G240" s="410"/>
      <c r="H240" s="408"/>
      <c r="I240" s="410"/>
      <c r="J240" s="408"/>
      <c r="K240" s="408"/>
      <c r="L240" s="99"/>
    </row>
    <row r="241" spans="1:47" s="111" customFormat="1" ht="29" x14ac:dyDescent="0.35">
      <c r="A241" s="339" t="s">
        <v>593</v>
      </c>
      <c r="B241" s="121" t="s">
        <v>594</v>
      </c>
      <c r="C241" s="484"/>
      <c r="D241" s="485" t="s">
        <v>0</v>
      </c>
      <c r="E241" s="484"/>
      <c r="F241" s="486">
        <f>+F255+F257+F261+F263</f>
        <v>10768.26</v>
      </c>
      <c r="G241" s="487"/>
      <c r="H241" s="486">
        <f>+H255+H257+H261+H263</f>
        <v>2692.0650000000001</v>
      </c>
      <c r="I241" s="487"/>
      <c r="J241" s="486">
        <f>+J255+J257+J261+J263</f>
        <v>2692.0650000000001</v>
      </c>
      <c r="K241" s="486">
        <f t="shared" si="6"/>
        <v>0</v>
      </c>
      <c r="L241" s="121"/>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row>
    <row r="242" spans="1:47" x14ac:dyDescent="0.35">
      <c r="A242" s="321"/>
      <c r="B242" s="302"/>
      <c r="C242" s="438"/>
      <c r="D242" s="439"/>
      <c r="E242" s="438"/>
      <c r="F242" s="438"/>
      <c r="G242" s="440"/>
      <c r="H242" s="438"/>
      <c r="I242" s="440"/>
      <c r="J242" s="438"/>
      <c r="K242" s="438"/>
      <c r="L242" s="302"/>
    </row>
    <row r="243" spans="1:47" s="3" customFormat="1" x14ac:dyDescent="0.35">
      <c r="A243" s="104" t="s">
        <v>593</v>
      </c>
      <c r="B243" s="105" t="s">
        <v>595</v>
      </c>
      <c r="C243" s="418"/>
      <c r="D243" s="419"/>
      <c r="E243" s="418"/>
      <c r="F243" s="418"/>
      <c r="G243" s="420"/>
      <c r="H243" s="418"/>
      <c r="I243" s="420"/>
      <c r="J243" s="418"/>
      <c r="K243" s="418"/>
      <c r="L243" s="105"/>
    </row>
    <row r="244" spans="1:47" x14ac:dyDescent="0.35">
      <c r="A244" s="98"/>
      <c r="B244" s="99"/>
      <c r="C244" s="408"/>
      <c r="D244" s="409"/>
      <c r="E244" s="408"/>
      <c r="F244" s="408"/>
      <c r="G244" s="410"/>
      <c r="H244" s="408"/>
      <c r="I244" s="410"/>
      <c r="J244" s="408"/>
      <c r="K244" s="408"/>
      <c r="L244" s="99"/>
    </row>
    <row r="245" spans="1:47" s="3" customFormat="1" ht="29" x14ac:dyDescent="0.35">
      <c r="A245" s="104" t="s">
        <v>593</v>
      </c>
      <c r="B245" s="105" t="s">
        <v>596</v>
      </c>
      <c r="C245" s="418"/>
      <c r="D245" s="419"/>
      <c r="E245" s="418"/>
      <c r="F245" s="418"/>
      <c r="G245" s="420"/>
      <c r="H245" s="418"/>
      <c r="I245" s="420"/>
      <c r="J245" s="418"/>
      <c r="K245" s="418"/>
      <c r="L245" s="105"/>
    </row>
    <row r="246" spans="1:47" x14ac:dyDescent="0.35">
      <c r="A246" s="98"/>
      <c r="B246" s="99"/>
      <c r="C246" s="408"/>
      <c r="D246" s="409"/>
      <c r="E246" s="408"/>
      <c r="F246" s="408"/>
      <c r="G246" s="410"/>
      <c r="H246" s="408"/>
      <c r="I246" s="410"/>
      <c r="J246" s="408"/>
      <c r="K246" s="408"/>
      <c r="L246" s="99"/>
    </row>
    <row r="247" spans="1:47" s="3" customFormat="1" ht="145" x14ac:dyDescent="0.35">
      <c r="A247" s="104" t="s">
        <v>593</v>
      </c>
      <c r="B247" s="105" t="s">
        <v>597</v>
      </c>
      <c r="C247" s="418"/>
      <c r="D247" s="419"/>
      <c r="E247" s="418"/>
      <c r="F247" s="418"/>
      <c r="G247" s="420"/>
      <c r="H247" s="418"/>
      <c r="I247" s="420"/>
      <c r="J247" s="418"/>
      <c r="K247" s="418"/>
      <c r="L247" s="105"/>
    </row>
    <row r="248" spans="1:47" x14ac:dyDescent="0.35">
      <c r="A248" s="98"/>
      <c r="B248" s="99"/>
      <c r="C248" s="408"/>
      <c r="D248" s="409"/>
      <c r="E248" s="408"/>
      <c r="F248" s="408"/>
      <c r="G248" s="410"/>
      <c r="H248" s="408"/>
      <c r="I248" s="410"/>
      <c r="J248" s="408"/>
      <c r="K248" s="408"/>
      <c r="L248" s="99"/>
    </row>
    <row r="249" spans="1:47" x14ac:dyDescent="0.35">
      <c r="A249" s="98" t="s">
        <v>598</v>
      </c>
      <c r="B249" s="99" t="s">
        <v>599</v>
      </c>
      <c r="C249" s="408">
        <v>1</v>
      </c>
      <c r="D249" s="409" t="s">
        <v>247</v>
      </c>
      <c r="E249" s="408"/>
      <c r="F249" s="408" t="s">
        <v>49</v>
      </c>
      <c r="G249" s="410"/>
      <c r="H249" s="408"/>
      <c r="I249" s="410"/>
      <c r="J249" s="408"/>
      <c r="K249" s="408"/>
      <c r="L249" s="99"/>
    </row>
    <row r="250" spans="1:47" x14ac:dyDescent="0.35">
      <c r="A250" s="98"/>
      <c r="B250" s="99"/>
      <c r="C250" s="408"/>
      <c r="D250" s="409"/>
      <c r="E250" s="408"/>
      <c r="F250" s="408"/>
      <c r="G250" s="410"/>
      <c r="H250" s="408"/>
      <c r="I250" s="410"/>
      <c r="J250" s="408"/>
      <c r="K250" s="408"/>
      <c r="L250" s="99"/>
    </row>
    <row r="251" spans="1:47" x14ac:dyDescent="0.35">
      <c r="A251" s="98" t="s">
        <v>600</v>
      </c>
      <c r="B251" s="99" t="s">
        <v>601</v>
      </c>
      <c r="C251" s="408">
        <v>1</v>
      </c>
      <c r="D251" s="409" t="s">
        <v>247</v>
      </c>
      <c r="E251" s="408"/>
      <c r="F251" s="408" t="s">
        <v>49</v>
      </c>
      <c r="G251" s="410"/>
      <c r="H251" s="408"/>
      <c r="I251" s="410"/>
      <c r="J251" s="408"/>
      <c r="K251" s="408"/>
      <c r="L251" s="99"/>
    </row>
    <row r="252" spans="1:47" x14ac:dyDescent="0.35">
      <c r="A252" s="98"/>
      <c r="B252" s="99"/>
      <c r="C252" s="408"/>
      <c r="D252" s="409"/>
      <c r="E252" s="408"/>
      <c r="F252" s="408"/>
      <c r="G252" s="410"/>
      <c r="H252" s="408"/>
      <c r="I252" s="410"/>
      <c r="J252" s="408"/>
      <c r="K252" s="408"/>
      <c r="L252" s="99"/>
    </row>
    <row r="253" spans="1:47" s="3" customFormat="1" ht="159.5" x14ac:dyDescent="0.35">
      <c r="A253" s="323" t="s">
        <v>593</v>
      </c>
      <c r="B253" s="312" t="s">
        <v>602</v>
      </c>
      <c r="C253" s="447"/>
      <c r="D253" s="448"/>
      <c r="E253" s="447"/>
      <c r="F253" s="447"/>
      <c r="G253" s="449"/>
      <c r="H253" s="447"/>
      <c r="I253" s="449"/>
      <c r="J253" s="447"/>
      <c r="K253" s="447"/>
      <c r="L253" s="312"/>
    </row>
    <row r="254" spans="1:47" x14ac:dyDescent="0.35">
      <c r="A254" s="98"/>
      <c r="B254" s="99"/>
      <c r="C254" s="408"/>
      <c r="D254" s="409"/>
      <c r="E254" s="408"/>
      <c r="F254" s="408"/>
      <c r="G254" s="410"/>
      <c r="H254" s="408"/>
      <c r="I254" s="410"/>
      <c r="J254" s="408"/>
      <c r="K254" s="408"/>
      <c r="L254" s="99"/>
    </row>
    <row r="255" spans="1:47" ht="29" x14ac:dyDescent="0.35">
      <c r="A255" s="98" t="s">
        <v>603</v>
      </c>
      <c r="B255" s="99" t="s">
        <v>604</v>
      </c>
      <c r="C255" s="408">
        <v>1</v>
      </c>
      <c r="D255" s="409" t="s">
        <v>247</v>
      </c>
      <c r="E255" s="417">
        <v>4570.3900000000003</v>
      </c>
      <c r="F255" s="417">
        <f>+C255*E255</f>
        <v>4570.3900000000003</v>
      </c>
      <c r="G255" s="410">
        <v>0.25</v>
      </c>
      <c r="H255" s="417">
        <f>+F255*G255</f>
        <v>1142.5975000000001</v>
      </c>
      <c r="I255" s="410">
        <v>0.25</v>
      </c>
      <c r="J255" s="417">
        <f>+F255*I255</f>
        <v>1142.5975000000001</v>
      </c>
      <c r="K255" s="417">
        <f t="shared" ref="K255:K279" si="7">+J255-H255</f>
        <v>0</v>
      </c>
      <c r="L255" s="99" t="s">
        <v>818</v>
      </c>
    </row>
    <row r="256" spans="1:47" x14ac:dyDescent="0.35">
      <c r="A256" s="98"/>
      <c r="B256" s="99"/>
      <c r="C256" s="408"/>
      <c r="D256" s="409"/>
      <c r="E256" s="408"/>
      <c r="F256" s="408"/>
      <c r="G256" s="410"/>
      <c r="H256" s="408"/>
      <c r="I256" s="410"/>
      <c r="J256" s="408"/>
      <c r="K256" s="408"/>
      <c r="L256" s="99"/>
    </row>
    <row r="257" spans="1:47" ht="29" x14ac:dyDescent="0.35">
      <c r="A257" s="98" t="s">
        <v>605</v>
      </c>
      <c r="B257" s="99" t="s">
        <v>606</v>
      </c>
      <c r="C257" s="408">
        <v>1</v>
      </c>
      <c r="D257" s="409" t="s">
        <v>247</v>
      </c>
      <c r="E257" s="417">
        <v>4570.3900000000003</v>
      </c>
      <c r="F257" s="417">
        <f>+C257*E257</f>
        <v>4570.3900000000003</v>
      </c>
      <c r="G257" s="410">
        <v>0.25</v>
      </c>
      <c r="H257" s="417">
        <f>+F257*G257</f>
        <v>1142.5975000000001</v>
      </c>
      <c r="I257" s="410">
        <v>0.25</v>
      </c>
      <c r="J257" s="417">
        <f>+F257*I257</f>
        <v>1142.5975000000001</v>
      </c>
      <c r="K257" s="417">
        <f t="shared" si="7"/>
        <v>0</v>
      </c>
      <c r="L257" s="99" t="s">
        <v>818</v>
      </c>
    </row>
    <row r="258" spans="1:47" x14ac:dyDescent="0.35">
      <c r="A258" s="98"/>
      <c r="B258" s="99"/>
      <c r="C258" s="408"/>
      <c r="D258" s="409"/>
      <c r="E258" s="408"/>
      <c r="F258" s="408"/>
      <c r="G258" s="410"/>
      <c r="H258" s="408"/>
      <c r="I258" s="410"/>
      <c r="J258" s="408"/>
      <c r="K258" s="408"/>
      <c r="L258" s="99"/>
    </row>
    <row r="259" spans="1:47" s="3" customFormat="1" ht="130.5" x14ac:dyDescent="0.35">
      <c r="A259" s="104" t="s">
        <v>593</v>
      </c>
      <c r="B259" s="105" t="s">
        <v>607</v>
      </c>
      <c r="C259" s="418"/>
      <c r="D259" s="419"/>
      <c r="E259" s="418"/>
      <c r="F259" s="418"/>
      <c r="G259" s="420"/>
      <c r="H259" s="418"/>
      <c r="I259" s="420"/>
      <c r="J259" s="418"/>
      <c r="K259" s="418"/>
      <c r="L259" s="105"/>
    </row>
    <row r="260" spans="1:47" x14ac:dyDescent="0.35">
      <c r="A260" s="98"/>
      <c r="B260" s="99"/>
      <c r="C260" s="408"/>
      <c r="D260" s="409"/>
      <c r="E260" s="408"/>
      <c r="F260" s="408"/>
      <c r="G260" s="410"/>
      <c r="H260" s="408"/>
      <c r="I260" s="410"/>
      <c r="J260" s="408"/>
      <c r="K260" s="408"/>
      <c r="L260" s="99"/>
    </row>
    <row r="261" spans="1:47" ht="29" x14ac:dyDescent="0.35">
      <c r="A261" s="98" t="s">
        <v>608</v>
      </c>
      <c r="B261" s="99" t="s">
        <v>599</v>
      </c>
      <c r="C261" s="408">
        <v>1</v>
      </c>
      <c r="D261" s="409" t="s">
        <v>247</v>
      </c>
      <c r="E261" s="408">
        <v>813.74</v>
      </c>
      <c r="F261" s="417">
        <f>+C261*E261</f>
        <v>813.74</v>
      </c>
      <c r="G261" s="410">
        <v>0.25</v>
      </c>
      <c r="H261" s="417">
        <f>+F261*G261</f>
        <v>203.435</v>
      </c>
      <c r="I261" s="410">
        <v>0.25</v>
      </c>
      <c r="J261" s="417">
        <f>+F261*I261</f>
        <v>203.435</v>
      </c>
      <c r="K261" s="417">
        <f t="shared" si="7"/>
        <v>0</v>
      </c>
      <c r="L261" s="99" t="s">
        <v>818</v>
      </c>
    </row>
    <row r="262" spans="1:47" x14ac:dyDescent="0.35">
      <c r="A262" s="98"/>
      <c r="B262" s="99"/>
      <c r="C262" s="408"/>
      <c r="D262" s="409"/>
      <c r="E262" s="408"/>
      <c r="F262" s="408"/>
      <c r="G262" s="410"/>
      <c r="H262" s="408"/>
      <c r="I262" s="410"/>
      <c r="J262" s="408"/>
      <c r="K262" s="408"/>
      <c r="L262" s="99"/>
    </row>
    <row r="263" spans="1:47" ht="29" x14ac:dyDescent="0.35">
      <c r="A263" s="98" t="s">
        <v>609</v>
      </c>
      <c r="B263" s="99" t="s">
        <v>601</v>
      </c>
      <c r="C263" s="408">
        <v>1</v>
      </c>
      <c r="D263" s="409" t="s">
        <v>247</v>
      </c>
      <c r="E263" s="408">
        <v>813.74</v>
      </c>
      <c r="F263" s="417">
        <f>+C263*E263</f>
        <v>813.74</v>
      </c>
      <c r="G263" s="410">
        <v>0.25</v>
      </c>
      <c r="H263" s="417">
        <f>+F263*G263</f>
        <v>203.435</v>
      </c>
      <c r="I263" s="410">
        <v>0.25</v>
      </c>
      <c r="J263" s="417">
        <f>+F263*I263</f>
        <v>203.435</v>
      </c>
      <c r="K263" s="417">
        <f t="shared" si="7"/>
        <v>0</v>
      </c>
      <c r="L263" s="99" t="s">
        <v>818</v>
      </c>
    </row>
    <row r="264" spans="1:47" x14ac:dyDescent="0.35">
      <c r="A264" s="321"/>
      <c r="B264" s="302"/>
      <c r="C264" s="438"/>
      <c r="D264" s="439"/>
      <c r="E264" s="438"/>
      <c r="F264" s="438"/>
      <c r="G264" s="440"/>
      <c r="H264" s="438"/>
      <c r="I264" s="440"/>
      <c r="J264" s="438"/>
      <c r="K264" s="438"/>
      <c r="L264" s="302"/>
    </row>
    <row r="265" spans="1:47" x14ac:dyDescent="0.35">
      <c r="A265" s="98"/>
      <c r="B265" s="99"/>
      <c r="C265" s="408"/>
      <c r="D265" s="409"/>
      <c r="E265" s="408"/>
      <c r="F265" s="408"/>
      <c r="G265" s="410"/>
      <c r="H265" s="408"/>
      <c r="I265" s="410"/>
      <c r="J265" s="408"/>
      <c r="K265" s="408"/>
      <c r="L265" s="99"/>
    </row>
    <row r="266" spans="1:47" s="111" customFormat="1" ht="29" x14ac:dyDescent="0.35">
      <c r="A266" s="112" t="s">
        <v>610</v>
      </c>
      <c r="B266" s="113" t="s">
        <v>611</v>
      </c>
      <c r="C266" s="488"/>
      <c r="D266" s="489" t="s">
        <v>0</v>
      </c>
      <c r="E266" s="488"/>
      <c r="F266" s="488">
        <v>0</v>
      </c>
      <c r="G266" s="490"/>
      <c r="H266" s="488">
        <v>0</v>
      </c>
      <c r="I266" s="490"/>
      <c r="J266" s="488">
        <v>0</v>
      </c>
      <c r="K266" s="488"/>
      <c r="L266" s="11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row>
    <row r="267" spans="1:47" x14ac:dyDescent="0.35">
      <c r="A267" s="98"/>
      <c r="B267" s="99"/>
      <c r="C267" s="408"/>
      <c r="D267" s="409"/>
      <c r="E267" s="408"/>
      <c r="F267" s="408"/>
      <c r="G267" s="410"/>
      <c r="H267" s="408"/>
      <c r="I267" s="410"/>
      <c r="J267" s="408"/>
      <c r="K267" s="408"/>
      <c r="L267" s="99"/>
    </row>
    <row r="268" spans="1:47" s="3" customFormat="1" x14ac:dyDescent="0.35">
      <c r="A268" s="104" t="s">
        <v>610</v>
      </c>
      <c r="B268" s="105" t="s">
        <v>612</v>
      </c>
      <c r="C268" s="418"/>
      <c r="D268" s="419"/>
      <c r="E268" s="418"/>
      <c r="F268" s="418"/>
      <c r="G268" s="420"/>
      <c r="H268" s="418"/>
      <c r="I268" s="420"/>
      <c r="J268" s="418"/>
      <c r="K268" s="418"/>
      <c r="L268" s="105"/>
    </row>
    <row r="269" spans="1:47" x14ac:dyDescent="0.35">
      <c r="A269" s="98"/>
      <c r="B269" s="99"/>
      <c r="C269" s="408"/>
      <c r="D269" s="409"/>
      <c r="E269" s="408"/>
      <c r="F269" s="408"/>
      <c r="G269" s="410"/>
      <c r="H269" s="408"/>
      <c r="I269" s="410"/>
      <c r="J269" s="408"/>
      <c r="K269" s="408"/>
      <c r="L269" s="99"/>
    </row>
    <row r="270" spans="1:47" s="3" customFormat="1" x14ac:dyDescent="0.35">
      <c r="A270" s="104" t="s">
        <v>610</v>
      </c>
      <c r="B270" s="105" t="s">
        <v>613</v>
      </c>
      <c r="C270" s="418"/>
      <c r="D270" s="419"/>
      <c r="E270" s="418"/>
      <c r="F270" s="418"/>
      <c r="G270" s="420"/>
      <c r="H270" s="418"/>
      <c r="I270" s="420"/>
      <c r="J270" s="418"/>
      <c r="K270" s="418"/>
      <c r="L270" s="105"/>
    </row>
    <row r="271" spans="1:47" x14ac:dyDescent="0.35">
      <c r="A271" s="98"/>
      <c r="B271" s="99"/>
      <c r="C271" s="408"/>
      <c r="D271" s="409"/>
      <c r="E271" s="408"/>
      <c r="F271" s="408"/>
      <c r="G271" s="410"/>
      <c r="H271" s="408"/>
      <c r="I271" s="410"/>
      <c r="J271" s="408"/>
      <c r="K271" s="408"/>
      <c r="L271" s="99"/>
    </row>
    <row r="272" spans="1:47" s="3" customFormat="1" ht="145" x14ac:dyDescent="0.35">
      <c r="A272" s="104" t="s">
        <v>610</v>
      </c>
      <c r="B272" s="105" t="s">
        <v>614</v>
      </c>
      <c r="C272" s="418"/>
      <c r="D272" s="419"/>
      <c r="E272" s="418"/>
      <c r="F272" s="418"/>
      <c r="G272" s="420"/>
      <c r="H272" s="418"/>
      <c r="I272" s="420"/>
      <c r="J272" s="418"/>
      <c r="K272" s="418"/>
      <c r="L272" s="105"/>
    </row>
    <row r="273" spans="1:47" x14ac:dyDescent="0.35">
      <c r="A273" s="98"/>
      <c r="B273" s="99"/>
      <c r="C273" s="408"/>
      <c r="D273" s="409"/>
      <c r="E273" s="408"/>
      <c r="F273" s="408"/>
      <c r="G273" s="410"/>
      <c r="H273" s="408"/>
      <c r="I273" s="410"/>
      <c r="J273" s="408"/>
      <c r="K273" s="408"/>
      <c r="L273" s="99"/>
    </row>
    <row r="274" spans="1:47" s="3" customFormat="1" ht="87" x14ac:dyDescent="0.35">
      <c r="A274" s="323" t="s">
        <v>610</v>
      </c>
      <c r="B274" s="312" t="s">
        <v>615</v>
      </c>
      <c r="C274" s="447"/>
      <c r="D274" s="448"/>
      <c r="E274" s="447"/>
      <c r="F274" s="447"/>
      <c r="G274" s="449"/>
      <c r="H274" s="447"/>
      <c r="I274" s="449"/>
      <c r="J274" s="447"/>
      <c r="K274" s="447"/>
      <c r="L274" s="312"/>
    </row>
    <row r="275" spans="1:47" x14ac:dyDescent="0.35">
      <c r="A275" s="98"/>
      <c r="B275" s="99"/>
      <c r="C275" s="408"/>
      <c r="D275" s="409"/>
      <c r="E275" s="408"/>
      <c r="F275" s="408"/>
      <c r="G275" s="410"/>
      <c r="H275" s="408"/>
      <c r="I275" s="410"/>
      <c r="J275" s="408"/>
      <c r="K275" s="408"/>
      <c r="L275" s="99"/>
    </row>
    <row r="276" spans="1:47" ht="159.5" x14ac:dyDescent="0.35">
      <c r="A276" s="98" t="s">
        <v>616</v>
      </c>
      <c r="B276" s="99" t="s">
        <v>617</v>
      </c>
      <c r="C276" s="408">
        <v>1</v>
      </c>
      <c r="D276" s="409" t="s">
        <v>11</v>
      </c>
      <c r="E276" s="408"/>
      <c r="F276" s="408" t="s">
        <v>49</v>
      </c>
      <c r="G276" s="410"/>
      <c r="H276" s="408"/>
      <c r="I276" s="410"/>
      <c r="J276" s="408"/>
      <c r="K276" s="408"/>
      <c r="L276" s="99"/>
    </row>
    <row r="277" spans="1:47" x14ac:dyDescent="0.35">
      <c r="A277" s="98"/>
      <c r="B277" s="99"/>
      <c r="C277" s="408"/>
      <c r="D277" s="409"/>
      <c r="E277" s="408"/>
      <c r="F277" s="408"/>
      <c r="G277" s="410"/>
      <c r="H277" s="408"/>
      <c r="I277" s="410"/>
      <c r="J277" s="408"/>
      <c r="K277" s="408"/>
      <c r="L277" s="99"/>
    </row>
    <row r="278" spans="1:47" x14ac:dyDescent="0.35">
      <c r="A278" s="98"/>
      <c r="B278" s="99"/>
      <c r="C278" s="408"/>
      <c r="D278" s="409"/>
      <c r="E278" s="408"/>
      <c r="F278" s="408"/>
      <c r="G278" s="410"/>
      <c r="H278" s="408"/>
      <c r="I278" s="410"/>
      <c r="J278" s="408"/>
      <c r="K278" s="408"/>
      <c r="L278" s="99"/>
    </row>
    <row r="279" spans="1:47" s="111" customFormat="1" ht="29" x14ac:dyDescent="0.35">
      <c r="A279" s="118" t="s">
        <v>618</v>
      </c>
      <c r="B279" s="119" t="s">
        <v>619</v>
      </c>
      <c r="C279" s="477"/>
      <c r="D279" s="478" t="s">
        <v>0</v>
      </c>
      <c r="E279" s="477"/>
      <c r="F279" s="479">
        <f>+F281+F283</f>
        <v>71853</v>
      </c>
      <c r="G279" s="480"/>
      <c r="H279" s="479">
        <f>+H281+H283</f>
        <v>0</v>
      </c>
      <c r="I279" s="480"/>
      <c r="J279" s="479">
        <f>+J281+J283</f>
        <v>0</v>
      </c>
      <c r="K279" s="479">
        <f t="shared" si="7"/>
        <v>0</v>
      </c>
      <c r="L279" s="119"/>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row>
    <row r="280" spans="1:47" x14ac:dyDescent="0.35">
      <c r="A280" s="322"/>
      <c r="B280" s="299"/>
      <c r="C280" s="431"/>
      <c r="D280" s="432"/>
      <c r="E280" s="431"/>
      <c r="F280" s="431"/>
      <c r="G280" s="433"/>
      <c r="H280" s="431"/>
      <c r="I280" s="433"/>
      <c r="J280" s="431"/>
      <c r="K280" s="431"/>
      <c r="L280" s="299"/>
    </row>
    <row r="281" spans="1:47" ht="116" x14ac:dyDescent="0.35">
      <c r="A281" s="321" t="s">
        <v>620</v>
      </c>
      <c r="B281" s="302" t="s">
        <v>621</v>
      </c>
      <c r="C281" s="438">
        <v>10</v>
      </c>
      <c r="D281" s="439" t="s">
        <v>11</v>
      </c>
      <c r="E281" s="451">
        <v>3811.31</v>
      </c>
      <c r="F281" s="451">
        <f>+C281*E281</f>
        <v>38113.1</v>
      </c>
      <c r="G281" s="440"/>
      <c r="H281" s="451"/>
      <c r="I281" s="440"/>
      <c r="J281" s="451"/>
      <c r="K281" s="451"/>
      <c r="L281" s="302" t="s">
        <v>622</v>
      </c>
    </row>
    <row r="282" spans="1:47" x14ac:dyDescent="0.35">
      <c r="A282" s="98"/>
      <c r="B282" s="99"/>
      <c r="C282" s="408"/>
      <c r="D282" s="409"/>
      <c r="E282" s="408"/>
      <c r="F282" s="408"/>
      <c r="G282" s="410"/>
      <c r="H282" s="408"/>
      <c r="I282" s="410"/>
      <c r="J282" s="408"/>
      <c r="K282" s="408"/>
      <c r="L282" s="99"/>
    </row>
    <row r="283" spans="1:47" ht="87" x14ac:dyDescent="0.35">
      <c r="A283" s="98" t="s">
        <v>623</v>
      </c>
      <c r="B283" s="99" t="s">
        <v>624</v>
      </c>
      <c r="C283" s="408">
        <v>10</v>
      </c>
      <c r="D283" s="409" t="s">
        <v>11</v>
      </c>
      <c r="E283" s="417">
        <v>3373.99</v>
      </c>
      <c r="F283" s="417">
        <f>+C283*E283</f>
        <v>33739.899999999994</v>
      </c>
      <c r="G283" s="410"/>
      <c r="H283" s="417"/>
      <c r="I283" s="410"/>
      <c r="J283" s="417"/>
      <c r="K283" s="417"/>
      <c r="L283" s="99"/>
    </row>
    <row r="284" spans="1:47" x14ac:dyDescent="0.35">
      <c r="A284" s="98"/>
      <c r="B284" s="99"/>
      <c r="C284" s="408"/>
      <c r="D284" s="409"/>
      <c r="E284" s="408"/>
      <c r="F284" s="408"/>
      <c r="G284" s="410"/>
      <c r="H284" s="408"/>
      <c r="I284" s="410"/>
      <c r="J284" s="408"/>
      <c r="K284" s="408"/>
      <c r="L284" s="99"/>
    </row>
    <row r="285" spans="1:47" ht="87" x14ac:dyDescent="0.35">
      <c r="A285" s="98" t="s">
        <v>625</v>
      </c>
      <c r="B285" s="99" t="s">
        <v>626</v>
      </c>
      <c r="C285" s="408">
        <v>5</v>
      </c>
      <c r="D285" s="409" t="s">
        <v>11</v>
      </c>
      <c r="E285" s="408"/>
      <c r="F285" s="408" t="s">
        <v>49</v>
      </c>
      <c r="G285" s="410"/>
      <c r="H285" s="408"/>
      <c r="I285" s="410"/>
      <c r="J285" s="408"/>
      <c r="K285" s="408"/>
      <c r="L285" s="99"/>
    </row>
    <row r="286" spans="1:47" x14ac:dyDescent="0.35">
      <c r="A286" s="98"/>
      <c r="B286" s="99"/>
      <c r="C286" s="408"/>
      <c r="D286" s="409"/>
      <c r="E286" s="408"/>
      <c r="F286" s="408"/>
      <c r="G286" s="410"/>
      <c r="H286" s="408"/>
      <c r="I286" s="410"/>
      <c r="J286" s="408"/>
      <c r="K286" s="408"/>
      <c r="L286" s="99"/>
    </row>
    <row r="287" spans="1:47" x14ac:dyDescent="0.35">
      <c r="A287" s="120"/>
      <c r="B287" s="121" t="s">
        <v>228</v>
      </c>
      <c r="C287" s="491"/>
      <c r="D287" s="492"/>
      <c r="E287" s="491"/>
      <c r="F287" s="493">
        <f>+F279+F241+F185+F123+F11+F6</f>
        <v>1482929.1899999997</v>
      </c>
      <c r="G287" s="487"/>
      <c r="H287" s="493">
        <f>+H279+H241+H185+H123+H11+H6</f>
        <v>28504.827499999996</v>
      </c>
      <c r="I287" s="487"/>
      <c r="J287" s="493">
        <f>+J279+J241+J185+J123+J11+J6</f>
        <v>366108.67555517086</v>
      </c>
      <c r="K287" s="493">
        <f>+J287-H287</f>
        <v>337603.84805517085</v>
      </c>
      <c r="L287" s="122"/>
    </row>
    <row r="289" spans="6:11" x14ac:dyDescent="0.35">
      <c r="F289" s="468"/>
      <c r="G289" s="494"/>
      <c r="H289" s="494"/>
      <c r="J289" s="494"/>
      <c r="K289" s="494"/>
    </row>
  </sheetData>
  <autoFilter ref="A1:L287" xr:uid="{E692F459-D4CE-4F9B-9831-CCFC04C55CE4}"/>
  <printOptions horizontalCentered="1"/>
  <pageMargins left="0.25" right="0.25" top="0.75" bottom="0.75" header="0.3" footer="0.3"/>
  <pageSetup paperSize="9" scale="6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E40A9-8654-4213-91A7-70356F9231B5}">
  <dimension ref="A1:AZ231"/>
  <sheetViews>
    <sheetView view="pageBreakPreview" zoomScaleNormal="100" zoomScaleSheetLayoutView="100" workbookViewId="0">
      <pane ySplit="2" topLeftCell="A213" activePane="bottomLeft" state="frozen"/>
      <selection pane="bottomLeft" activeCell="L75" sqref="L75"/>
    </sheetView>
  </sheetViews>
  <sheetFormatPr defaultColWidth="9.1796875" defaultRowHeight="14.5" x14ac:dyDescent="0.35"/>
  <cols>
    <col min="1" max="1" width="6.453125" style="88" customWidth="1"/>
    <col min="2" max="2" width="33.26953125" style="1" customWidth="1"/>
    <col min="3" max="3" width="4.1796875" style="466" bestFit="1" customWidth="1"/>
    <col min="4" max="4" width="5.1796875" style="467" bestFit="1" customWidth="1"/>
    <col min="5" max="5" width="9.1796875" style="466" hidden="1" customWidth="1"/>
    <col min="6" max="6" width="10.1796875" style="466" hidden="1" customWidth="1"/>
    <col min="7" max="7" width="2.1796875" style="468" hidden="1" customWidth="1"/>
    <col min="8" max="8" width="9.1796875" style="466" bestFit="1" customWidth="1"/>
    <col min="9" max="9" width="10.1796875" style="466" bestFit="1" customWidth="1"/>
    <col min="10" max="10" width="10.1796875" style="468" customWidth="1"/>
    <col min="11" max="11" width="10.1796875" style="466" customWidth="1"/>
    <col min="12" max="12" width="10.453125" style="468" customWidth="1"/>
    <col min="13" max="14" width="10.54296875" style="469" customWidth="1"/>
    <col min="15" max="15" width="20.26953125" style="1" customWidth="1"/>
  </cols>
  <sheetData>
    <row r="1" spans="1:52" s="2" customFormat="1" x14ac:dyDescent="0.35">
      <c r="A1" s="4"/>
      <c r="D1" s="4"/>
      <c r="G1" s="93"/>
      <c r="J1" s="93"/>
      <c r="L1" s="93"/>
      <c r="M1" s="95"/>
      <c r="N1" s="95"/>
    </row>
    <row r="2" spans="1:52" s="2" customFormat="1" ht="70.5" customHeight="1" x14ac:dyDescent="0.35">
      <c r="A2" s="49" t="s">
        <v>232</v>
      </c>
      <c r="B2" s="50" t="s">
        <v>1</v>
      </c>
      <c r="C2" s="50" t="s">
        <v>233</v>
      </c>
      <c r="D2" s="49" t="s">
        <v>3</v>
      </c>
      <c r="E2" s="50" t="s">
        <v>4</v>
      </c>
      <c r="F2" s="50" t="s">
        <v>5</v>
      </c>
      <c r="G2" s="94" t="s">
        <v>417</v>
      </c>
      <c r="H2" s="50" t="s">
        <v>415</v>
      </c>
      <c r="I2" s="50" t="s">
        <v>416</v>
      </c>
      <c r="J2" s="94" t="s">
        <v>832</v>
      </c>
      <c r="K2" s="50" t="s">
        <v>833</v>
      </c>
      <c r="L2" s="94" t="s">
        <v>834</v>
      </c>
      <c r="M2" s="50" t="s">
        <v>835</v>
      </c>
      <c r="N2" s="50" t="s">
        <v>836</v>
      </c>
      <c r="O2" s="50" t="s">
        <v>2</v>
      </c>
    </row>
    <row r="3" spans="1:52" s="2" customFormat="1" x14ac:dyDescent="0.35">
      <c r="A3" s="135"/>
      <c r="B3" s="136"/>
      <c r="C3" s="136"/>
      <c r="D3" s="135"/>
      <c r="E3" s="136"/>
      <c r="F3" s="136"/>
      <c r="G3" s="137"/>
      <c r="H3" s="136"/>
      <c r="I3" s="136"/>
      <c r="J3" s="137"/>
      <c r="K3" s="136"/>
      <c r="L3" s="137"/>
      <c r="M3" s="400"/>
      <c r="N3" s="400"/>
      <c r="O3" s="136"/>
    </row>
    <row r="4" spans="1:52" s="2" customFormat="1" x14ac:dyDescent="0.35">
      <c r="A4" s="146"/>
      <c r="B4" s="159" t="s">
        <v>633</v>
      </c>
      <c r="C4" s="148"/>
      <c r="D4" s="146"/>
      <c r="E4" s="147"/>
      <c r="F4" s="147"/>
      <c r="G4" s="399"/>
      <c r="H4" s="148"/>
      <c r="I4" s="147"/>
      <c r="J4" s="497"/>
      <c r="K4" s="147"/>
      <c r="L4" s="399"/>
      <c r="M4" s="402"/>
      <c r="N4" s="402"/>
      <c r="O4" s="148"/>
    </row>
    <row r="5" spans="1:52" s="2" customFormat="1" x14ac:dyDescent="0.35">
      <c r="A5" s="149"/>
      <c r="B5" s="145"/>
      <c r="C5" s="145"/>
      <c r="D5" s="149"/>
      <c r="E5" s="145"/>
      <c r="F5" s="145"/>
      <c r="G5" s="398"/>
      <c r="H5" s="145"/>
      <c r="I5" s="145"/>
      <c r="J5" s="398"/>
      <c r="K5" s="145"/>
      <c r="L5" s="398"/>
      <c r="M5" s="401"/>
      <c r="N5" s="401"/>
      <c r="O5" s="145"/>
    </row>
    <row r="6" spans="1:52" s="90" customFormat="1" ht="29" x14ac:dyDescent="0.35">
      <c r="A6" s="116" t="s">
        <v>239</v>
      </c>
      <c r="B6" s="117" t="s">
        <v>240</v>
      </c>
      <c r="C6" s="403"/>
      <c r="D6" s="404" t="s">
        <v>0</v>
      </c>
      <c r="E6" s="403"/>
      <c r="F6" s="405">
        <f>+F8+F14+F26+F32+F44+F52+F61</f>
        <v>450940.27</v>
      </c>
      <c r="G6" s="406"/>
      <c r="H6" s="405"/>
      <c r="I6" s="405">
        <f>+I8+I14+I26+I32+I44+I52+I61</f>
        <v>425300.21368993493</v>
      </c>
      <c r="J6" s="406"/>
      <c r="K6" s="405"/>
      <c r="L6" s="406"/>
      <c r="M6" s="407">
        <f>+M8+M14+M26+M32+M44+M52+M61</f>
        <v>73275.995150947769</v>
      </c>
      <c r="N6" s="407">
        <f>+N8+N14+N26+N32+N44+N52+N61</f>
        <v>73275.995150947769</v>
      </c>
      <c r="O6" s="117"/>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row>
    <row r="7" spans="1:52" x14ac:dyDescent="0.35">
      <c r="A7" s="98"/>
      <c r="B7" s="99"/>
      <c r="C7" s="408"/>
      <c r="D7" s="409"/>
      <c r="E7" s="408"/>
      <c r="F7" s="408"/>
      <c r="G7" s="410"/>
      <c r="H7" s="408"/>
      <c r="I7" s="408"/>
      <c r="J7" s="410"/>
      <c r="K7" s="408"/>
      <c r="L7" s="410"/>
      <c r="M7" s="411"/>
      <c r="N7" s="411"/>
      <c r="O7" s="99"/>
    </row>
    <row r="8" spans="1:52" s="89" customFormat="1" x14ac:dyDescent="0.35">
      <c r="A8" s="100" t="s">
        <v>239</v>
      </c>
      <c r="B8" s="101" t="s">
        <v>7</v>
      </c>
      <c r="C8" s="412"/>
      <c r="D8" s="413" t="s">
        <v>0</v>
      </c>
      <c r="E8" s="412"/>
      <c r="F8" s="414">
        <f>+F10</f>
        <v>72608.27</v>
      </c>
      <c r="G8" s="415"/>
      <c r="H8" s="414"/>
      <c r="I8" s="414">
        <f>+I10</f>
        <v>68479.82937220599</v>
      </c>
      <c r="J8" s="415"/>
      <c r="K8" s="414"/>
      <c r="L8" s="415"/>
      <c r="M8" s="416">
        <f>+M10</f>
        <v>5588.8474139392438</v>
      </c>
      <c r="N8" s="416">
        <f>+N10</f>
        <v>5588.8474139392438</v>
      </c>
      <c r="O8" s="101"/>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x14ac:dyDescent="0.35">
      <c r="A9" s="98"/>
      <c r="B9" s="99"/>
      <c r="C9" s="408"/>
      <c r="D9" s="409"/>
      <c r="E9" s="408"/>
      <c r="F9" s="408"/>
      <c r="G9" s="410"/>
      <c r="H9" s="408"/>
      <c r="I9" s="408"/>
      <c r="J9" s="410"/>
      <c r="K9" s="408"/>
      <c r="L9" s="410"/>
      <c r="M9" s="411"/>
      <c r="N9" s="411"/>
      <c r="O9" s="99"/>
    </row>
    <row r="10" spans="1:52" x14ac:dyDescent="0.35">
      <c r="A10" s="98" t="s">
        <v>241</v>
      </c>
      <c r="B10" s="99" t="s">
        <v>210</v>
      </c>
      <c r="C10" s="408">
        <v>1</v>
      </c>
      <c r="D10" s="409" t="s">
        <v>237</v>
      </c>
      <c r="E10" s="417">
        <v>72608.27</v>
      </c>
      <c r="F10" s="417">
        <f>+C10*E10</f>
        <v>72608.27</v>
      </c>
      <c r="G10" s="410">
        <v>5.6859096460968157E-2</v>
      </c>
      <c r="H10" s="417">
        <f>+(E10)-(E10*G10)</f>
        <v>68479.82937220599</v>
      </c>
      <c r="I10" s="417">
        <f>+C10*H10</f>
        <v>68479.82937220599</v>
      </c>
      <c r="J10" s="410"/>
      <c r="K10" s="417"/>
      <c r="L10" s="410"/>
      <c r="M10" s="411">
        <v>5588.8474139392438</v>
      </c>
      <c r="N10" s="411">
        <f>+M10-K10</f>
        <v>5588.8474139392438</v>
      </c>
      <c r="O10" s="99"/>
    </row>
    <row r="11" spans="1:52" x14ac:dyDescent="0.35">
      <c r="A11" s="98"/>
      <c r="B11" s="99"/>
      <c r="C11" s="408"/>
      <c r="D11" s="409"/>
      <c r="E11" s="408"/>
      <c r="F11" s="408"/>
      <c r="G11" s="410"/>
      <c r="H11" s="408"/>
      <c r="I11" s="408"/>
      <c r="J11" s="410"/>
      <c r="K11" s="408"/>
      <c r="L11" s="410"/>
      <c r="M11" s="411"/>
      <c r="N11" s="411"/>
      <c r="O11" s="99"/>
    </row>
    <row r="12" spans="1:52" s="3" customFormat="1" ht="87" x14ac:dyDescent="0.35">
      <c r="A12" s="104" t="s">
        <v>239</v>
      </c>
      <c r="B12" s="105" t="s">
        <v>242</v>
      </c>
      <c r="C12" s="418"/>
      <c r="D12" s="419"/>
      <c r="E12" s="418"/>
      <c r="F12" s="418"/>
      <c r="G12" s="420"/>
      <c r="H12" s="418"/>
      <c r="I12" s="418"/>
      <c r="J12" s="420"/>
      <c r="K12" s="418"/>
      <c r="L12" s="420"/>
      <c r="M12" s="421"/>
      <c r="N12" s="421"/>
      <c r="O12" s="105"/>
    </row>
    <row r="13" spans="1:52" x14ac:dyDescent="0.35">
      <c r="A13" s="98"/>
      <c r="B13" s="99"/>
      <c r="C13" s="408"/>
      <c r="D13" s="409"/>
      <c r="E13" s="408"/>
      <c r="F13" s="408"/>
      <c r="G13" s="410"/>
      <c r="H13" s="408"/>
      <c r="I13" s="408"/>
      <c r="J13" s="410"/>
      <c r="K13" s="408"/>
      <c r="L13" s="410"/>
      <c r="M13" s="411"/>
      <c r="N13" s="411"/>
      <c r="O13" s="99"/>
    </row>
    <row r="14" spans="1:52" s="89" customFormat="1" x14ac:dyDescent="0.35">
      <c r="A14" s="100" t="s">
        <v>239</v>
      </c>
      <c r="B14" s="101" t="s">
        <v>243</v>
      </c>
      <c r="C14" s="412"/>
      <c r="D14" s="413" t="s">
        <v>0</v>
      </c>
      <c r="E14" s="412"/>
      <c r="F14" s="414">
        <f>+F16+F18+F20+F22+F24</f>
        <v>221458</v>
      </c>
      <c r="G14" s="415"/>
      <c r="H14" s="414"/>
      <c r="I14" s="414">
        <f>+I16+I18+I20+I22+I24</f>
        <v>208866.0982159469</v>
      </c>
      <c r="J14" s="415"/>
      <c r="K14" s="414"/>
      <c r="L14" s="415"/>
      <c r="M14" s="416">
        <f>+M16+M18+M20+M22+M24</f>
        <v>0</v>
      </c>
      <c r="N14" s="416"/>
      <c r="O14" s="101"/>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row>
    <row r="15" spans="1:52" x14ac:dyDescent="0.35">
      <c r="A15" s="98"/>
      <c r="B15" s="99"/>
      <c r="C15" s="408"/>
      <c r="D15" s="409"/>
      <c r="E15" s="408"/>
      <c r="F15" s="408"/>
      <c r="G15" s="410"/>
      <c r="H15" s="408"/>
      <c r="I15" s="408"/>
      <c r="J15" s="410"/>
      <c r="K15" s="408"/>
      <c r="L15" s="410"/>
      <c r="M15" s="411"/>
      <c r="N15" s="411"/>
      <c r="O15" s="99"/>
    </row>
    <row r="16" spans="1:52" s="92" customFormat="1" ht="58" x14ac:dyDescent="0.35">
      <c r="A16" s="98" t="s">
        <v>244</v>
      </c>
      <c r="B16" s="99" t="s">
        <v>245</v>
      </c>
      <c r="C16" s="408">
        <v>1</v>
      </c>
      <c r="D16" s="409" t="s">
        <v>247</v>
      </c>
      <c r="E16" s="422">
        <v>31891.5</v>
      </c>
      <c r="F16" s="422">
        <f>+C16*E16</f>
        <v>31891.5</v>
      </c>
      <c r="G16" s="423">
        <v>5.6859096460968157E-2</v>
      </c>
      <c r="H16" s="417">
        <f t="shared" ref="H16:H75" si="0">+(E16)-(E16*G16)</f>
        <v>30078.178125215032</v>
      </c>
      <c r="I16" s="417">
        <f t="shared" ref="I16:I75" si="1">+C16*H16</f>
        <v>30078.178125215032</v>
      </c>
      <c r="J16" s="424"/>
      <c r="K16" s="417"/>
      <c r="L16" s="424"/>
      <c r="M16" s="425">
        <f>+I16*L16</f>
        <v>0</v>
      </c>
      <c r="N16" s="425"/>
      <c r="O16" s="99" t="s">
        <v>246</v>
      </c>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x14ac:dyDescent="0.35">
      <c r="A17" s="98"/>
      <c r="B17" s="99"/>
      <c r="C17" s="408"/>
      <c r="D17" s="409"/>
      <c r="E17" s="408"/>
      <c r="F17" s="408"/>
      <c r="G17" s="410"/>
      <c r="H17" s="408"/>
      <c r="I17" s="408"/>
      <c r="J17" s="410"/>
      <c r="K17" s="408"/>
      <c r="L17" s="410"/>
      <c r="M17" s="411"/>
      <c r="N17" s="411"/>
      <c r="O17" s="99"/>
    </row>
    <row r="18" spans="1:52" s="92" customFormat="1" ht="58" x14ac:dyDescent="0.35">
      <c r="A18" s="98" t="s">
        <v>248</v>
      </c>
      <c r="B18" s="99" t="s">
        <v>249</v>
      </c>
      <c r="C18" s="408">
        <v>1</v>
      </c>
      <c r="D18" s="409" t="s">
        <v>247</v>
      </c>
      <c r="E18" s="422">
        <v>36966.5</v>
      </c>
      <c r="F18" s="422">
        <f>+C18*E18</f>
        <v>36966.5</v>
      </c>
      <c r="G18" s="423">
        <v>5.6859096460968157E-2</v>
      </c>
      <c r="H18" s="417">
        <f t="shared" si="0"/>
        <v>34864.618210675617</v>
      </c>
      <c r="I18" s="417">
        <f t="shared" si="1"/>
        <v>34864.618210675617</v>
      </c>
      <c r="J18" s="424"/>
      <c r="K18" s="417"/>
      <c r="L18" s="424"/>
      <c r="M18" s="425">
        <f>+I18*L18</f>
        <v>0</v>
      </c>
      <c r="N18" s="425"/>
      <c r="O18" s="99"/>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x14ac:dyDescent="0.35">
      <c r="A19" s="98"/>
      <c r="B19" s="99"/>
      <c r="C19" s="408"/>
      <c r="D19" s="409"/>
      <c r="E19" s="408"/>
      <c r="F19" s="408"/>
      <c r="G19" s="410"/>
      <c r="H19" s="408"/>
      <c r="I19" s="408"/>
      <c r="J19" s="410"/>
      <c r="K19" s="408"/>
      <c r="L19" s="410"/>
      <c r="M19" s="411"/>
      <c r="N19" s="411"/>
      <c r="O19" s="99"/>
    </row>
    <row r="20" spans="1:52" s="91" customFormat="1" ht="72.5" x14ac:dyDescent="0.35">
      <c r="A20" s="106" t="s">
        <v>250</v>
      </c>
      <c r="B20" s="107" t="s">
        <v>251</v>
      </c>
      <c r="C20" s="426">
        <v>4</v>
      </c>
      <c r="D20" s="427" t="s">
        <v>247</v>
      </c>
      <c r="E20" s="428">
        <v>15575</v>
      </c>
      <c r="F20" s="428">
        <f>+C20*E20</f>
        <v>62300</v>
      </c>
      <c r="G20" s="429">
        <v>5.6859096460968157E-2</v>
      </c>
      <c r="H20" s="428">
        <f t="shared" si="0"/>
        <v>14689.419572620422</v>
      </c>
      <c r="I20" s="428">
        <f t="shared" si="1"/>
        <v>58757.678290481686</v>
      </c>
      <c r="J20" s="429"/>
      <c r="K20" s="428"/>
      <c r="L20" s="429"/>
      <c r="M20" s="430">
        <f>+I20*L20</f>
        <v>0</v>
      </c>
      <c r="N20" s="430"/>
      <c r="O20" s="107"/>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x14ac:dyDescent="0.35">
      <c r="A21" s="98"/>
      <c r="B21" s="99"/>
      <c r="C21" s="408"/>
      <c r="D21" s="409"/>
      <c r="E21" s="408"/>
      <c r="F21" s="408"/>
      <c r="G21" s="410"/>
      <c r="H21" s="408"/>
      <c r="I21" s="408"/>
      <c r="J21" s="410"/>
      <c r="K21" s="408"/>
      <c r="L21" s="410"/>
      <c r="M21" s="411"/>
      <c r="N21" s="411"/>
      <c r="O21" s="99"/>
    </row>
    <row r="22" spans="1:52" s="91" customFormat="1" ht="72.5" x14ac:dyDescent="0.35">
      <c r="A22" s="106" t="s">
        <v>252</v>
      </c>
      <c r="B22" s="107" t="s">
        <v>253</v>
      </c>
      <c r="C22" s="426">
        <v>4</v>
      </c>
      <c r="D22" s="427" t="s">
        <v>247</v>
      </c>
      <c r="E22" s="428">
        <v>15575</v>
      </c>
      <c r="F22" s="428">
        <f>+C22*E22</f>
        <v>62300</v>
      </c>
      <c r="G22" s="429">
        <v>5.6859096460968157E-2</v>
      </c>
      <c r="H22" s="428">
        <f t="shared" si="0"/>
        <v>14689.419572620422</v>
      </c>
      <c r="I22" s="428">
        <f t="shared" si="1"/>
        <v>58757.678290481686</v>
      </c>
      <c r="J22" s="429"/>
      <c r="K22" s="428"/>
      <c r="L22" s="429"/>
      <c r="M22" s="430">
        <f>+I22*L22</f>
        <v>0</v>
      </c>
      <c r="N22" s="430"/>
      <c r="O22" s="107"/>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x14ac:dyDescent="0.35">
      <c r="A23" s="98"/>
      <c r="B23" s="99"/>
      <c r="C23" s="408"/>
      <c r="D23" s="409"/>
      <c r="E23" s="408"/>
      <c r="F23" s="408"/>
      <c r="G23" s="410"/>
      <c r="H23" s="408"/>
      <c r="I23" s="408"/>
      <c r="J23" s="410"/>
      <c r="K23" s="408"/>
      <c r="L23" s="410"/>
      <c r="M23" s="411"/>
      <c r="N23" s="411"/>
      <c r="O23" s="99"/>
    </row>
    <row r="24" spans="1:52" s="91" customFormat="1" ht="58" x14ac:dyDescent="0.35">
      <c r="A24" s="106" t="s">
        <v>254</v>
      </c>
      <c r="B24" s="107" t="s">
        <v>255</v>
      </c>
      <c r="C24" s="426">
        <v>2</v>
      </c>
      <c r="D24" s="427" t="s">
        <v>247</v>
      </c>
      <c r="E24" s="428">
        <v>14000</v>
      </c>
      <c r="F24" s="428">
        <f>+C24*E24</f>
        <v>28000</v>
      </c>
      <c r="G24" s="429">
        <v>5.6859096460968157E-2</v>
      </c>
      <c r="H24" s="428">
        <f t="shared" si="0"/>
        <v>13203.972649546446</v>
      </c>
      <c r="I24" s="428">
        <f t="shared" si="1"/>
        <v>26407.945299092891</v>
      </c>
      <c r="J24" s="429"/>
      <c r="K24" s="428"/>
      <c r="L24" s="429"/>
      <c r="M24" s="430">
        <f>+I24*L24</f>
        <v>0</v>
      </c>
      <c r="N24" s="430"/>
      <c r="O24" s="107"/>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x14ac:dyDescent="0.35">
      <c r="A25" s="98"/>
      <c r="B25" s="99"/>
      <c r="C25" s="408"/>
      <c r="D25" s="409"/>
      <c r="E25" s="408"/>
      <c r="F25" s="408"/>
      <c r="G25" s="410"/>
      <c r="H25" s="408"/>
      <c r="I25" s="408"/>
      <c r="J25" s="410"/>
      <c r="K25" s="408"/>
      <c r="L25" s="410"/>
      <c r="M25" s="411"/>
      <c r="N25" s="411"/>
      <c r="O25" s="99"/>
    </row>
    <row r="26" spans="1:52" s="89" customFormat="1" x14ac:dyDescent="0.35">
      <c r="A26" s="100" t="s">
        <v>239</v>
      </c>
      <c r="B26" s="101" t="s">
        <v>256</v>
      </c>
      <c r="C26" s="412"/>
      <c r="D26" s="413" t="s">
        <v>0</v>
      </c>
      <c r="E26" s="412"/>
      <c r="F26" s="414">
        <f>+F28+F30</f>
        <v>24100</v>
      </c>
      <c r="G26" s="415"/>
      <c r="H26" s="414"/>
      <c r="I26" s="414">
        <f>+I28+I30</f>
        <v>22729.695775290667</v>
      </c>
      <c r="J26" s="415"/>
      <c r="K26" s="416">
        <f>+K28+K30</f>
        <v>0</v>
      </c>
      <c r="L26" s="415"/>
      <c r="M26" s="416">
        <f>+M28+M30</f>
        <v>4602.5276092704762</v>
      </c>
      <c r="N26" s="416">
        <f>+N28+N30</f>
        <v>4602.5276092704762</v>
      </c>
      <c r="O26" s="101"/>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row>
    <row r="27" spans="1:52" x14ac:dyDescent="0.35">
      <c r="A27" s="322"/>
      <c r="B27" s="299"/>
      <c r="C27" s="431"/>
      <c r="D27" s="432"/>
      <c r="E27" s="431"/>
      <c r="F27" s="431"/>
      <c r="G27" s="433"/>
      <c r="H27" s="431"/>
      <c r="I27" s="431"/>
      <c r="J27" s="433"/>
      <c r="K27" s="431"/>
      <c r="L27" s="433"/>
      <c r="M27" s="434"/>
      <c r="N27" s="434"/>
      <c r="O27" s="299"/>
    </row>
    <row r="28" spans="1:52" ht="58" x14ac:dyDescent="0.35">
      <c r="A28" s="321" t="s">
        <v>257</v>
      </c>
      <c r="B28" s="302" t="s">
        <v>258</v>
      </c>
      <c r="C28" s="438">
        <v>2</v>
      </c>
      <c r="D28" s="439" t="s">
        <v>247</v>
      </c>
      <c r="E28" s="435">
        <v>6100</v>
      </c>
      <c r="F28" s="435">
        <f>+C28*E28</f>
        <v>12200</v>
      </c>
      <c r="G28" s="436">
        <v>5.6859096460968157E-2</v>
      </c>
      <c r="H28" s="451">
        <f t="shared" si="0"/>
        <v>5753.1595115880946</v>
      </c>
      <c r="I28" s="451">
        <f t="shared" si="1"/>
        <v>11506.319023176189</v>
      </c>
      <c r="J28" s="424">
        <v>0</v>
      </c>
      <c r="K28" s="417">
        <f>+J28*I28</f>
        <v>0</v>
      </c>
      <c r="L28" s="518">
        <f>30%+10%</f>
        <v>0.4</v>
      </c>
      <c r="M28" s="515">
        <f>+I28*L28</f>
        <v>4602.5276092704762</v>
      </c>
      <c r="N28" s="515">
        <f>+M28-K28</f>
        <v>4602.5276092704762</v>
      </c>
      <c r="O28" s="514" t="s">
        <v>840</v>
      </c>
    </row>
    <row r="29" spans="1:52" x14ac:dyDescent="0.35">
      <c r="A29" s="98"/>
      <c r="B29" s="99"/>
      <c r="C29" s="408"/>
      <c r="D29" s="409"/>
      <c r="E29" s="408"/>
      <c r="F29" s="408"/>
      <c r="G29" s="410"/>
      <c r="H29" s="408"/>
      <c r="I29" s="408"/>
      <c r="J29" s="410"/>
      <c r="K29" s="408"/>
      <c r="L29" s="410"/>
      <c r="M29" s="411"/>
      <c r="N29" s="411"/>
      <c r="O29" s="99"/>
    </row>
    <row r="30" spans="1:52" ht="58" x14ac:dyDescent="0.35">
      <c r="A30" s="98" t="s">
        <v>259</v>
      </c>
      <c r="B30" s="99" t="s">
        <v>260</v>
      </c>
      <c r="C30" s="408">
        <v>2</v>
      </c>
      <c r="D30" s="409" t="s">
        <v>247</v>
      </c>
      <c r="E30" s="417">
        <v>5950</v>
      </c>
      <c r="F30" s="417">
        <f>+C30*E30</f>
        <v>11900</v>
      </c>
      <c r="G30" s="410">
        <v>5.6859096460968157E-2</v>
      </c>
      <c r="H30" s="417">
        <f t="shared" si="0"/>
        <v>5611.6883760572391</v>
      </c>
      <c r="I30" s="417">
        <f t="shared" si="1"/>
        <v>11223.376752114478</v>
      </c>
      <c r="J30" s="410"/>
      <c r="K30" s="417"/>
      <c r="L30" s="410"/>
      <c r="M30" s="411">
        <f>+I30*L30</f>
        <v>0</v>
      </c>
      <c r="N30" s="411"/>
      <c r="O30" s="99"/>
    </row>
    <row r="31" spans="1:52" x14ac:dyDescent="0.35">
      <c r="A31" s="98"/>
      <c r="B31" s="99"/>
      <c r="C31" s="408"/>
      <c r="D31" s="409"/>
      <c r="E31" s="408"/>
      <c r="F31" s="408"/>
      <c r="G31" s="410"/>
      <c r="H31" s="408"/>
      <c r="I31" s="408"/>
      <c r="J31" s="410"/>
      <c r="K31" s="408"/>
      <c r="L31" s="410"/>
      <c r="M31" s="411"/>
      <c r="N31" s="411"/>
      <c r="O31" s="99"/>
    </row>
    <row r="32" spans="1:52" s="89" customFormat="1" x14ac:dyDescent="0.35">
      <c r="A32" s="100" t="s">
        <v>239</v>
      </c>
      <c r="B32" s="101" t="s">
        <v>261</v>
      </c>
      <c r="C32" s="412"/>
      <c r="D32" s="413" t="s">
        <v>0</v>
      </c>
      <c r="E32" s="412"/>
      <c r="F32" s="414">
        <f>+F34+F36</f>
        <v>24100</v>
      </c>
      <c r="G32" s="415"/>
      <c r="H32" s="414"/>
      <c r="I32" s="414">
        <f>+I34+I36</f>
        <v>22729.695775290667</v>
      </c>
      <c r="J32" s="415"/>
      <c r="K32" s="416">
        <f>+K34+K36</f>
        <v>0</v>
      </c>
      <c r="L32" s="415"/>
      <c r="M32" s="416">
        <f>+M34+M36</f>
        <v>4602.5276092704762</v>
      </c>
      <c r="N32" s="416">
        <f>+N34+N36</f>
        <v>4602.5276092704762</v>
      </c>
      <c r="O32" s="102"/>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x14ac:dyDescent="0.35">
      <c r="A33" s="98"/>
      <c r="B33" s="99"/>
      <c r="C33" s="408"/>
      <c r="D33" s="409"/>
      <c r="E33" s="408"/>
      <c r="F33" s="408"/>
      <c r="G33" s="410"/>
      <c r="H33" s="408"/>
      <c r="I33" s="408"/>
      <c r="J33" s="410"/>
      <c r="K33" s="408"/>
      <c r="L33" s="410"/>
      <c r="M33" s="411"/>
      <c r="N33" s="411"/>
      <c r="O33" s="99"/>
    </row>
    <row r="34" spans="1:52" ht="58" x14ac:dyDescent="0.35">
      <c r="A34" s="98" t="s">
        <v>262</v>
      </c>
      <c r="B34" s="99" t="s">
        <v>263</v>
      </c>
      <c r="C34" s="408">
        <v>2</v>
      </c>
      <c r="D34" s="409" t="s">
        <v>247</v>
      </c>
      <c r="E34" s="495">
        <v>6100</v>
      </c>
      <c r="F34" s="495">
        <f>+C34*E34</f>
        <v>12200</v>
      </c>
      <c r="G34" s="496">
        <v>5.6859096460968157E-2</v>
      </c>
      <c r="H34" s="417">
        <f t="shared" si="0"/>
        <v>5753.1595115880946</v>
      </c>
      <c r="I34" s="417">
        <f t="shared" si="1"/>
        <v>11506.319023176189</v>
      </c>
      <c r="J34" s="424">
        <v>0</v>
      </c>
      <c r="K34" s="417">
        <f>+J34*I34</f>
        <v>0</v>
      </c>
      <c r="L34" s="518">
        <f>30%+10%</f>
        <v>0.4</v>
      </c>
      <c r="M34" s="515">
        <f>+I34*L34</f>
        <v>4602.5276092704762</v>
      </c>
      <c r="N34" s="515">
        <f>+M34-K34</f>
        <v>4602.5276092704762</v>
      </c>
      <c r="O34" s="514" t="s">
        <v>840</v>
      </c>
    </row>
    <row r="35" spans="1:52" x14ac:dyDescent="0.35">
      <c r="A35" s="98"/>
      <c r="B35" s="99"/>
      <c r="C35" s="408"/>
      <c r="D35" s="409"/>
      <c r="E35" s="408"/>
      <c r="F35" s="408"/>
      <c r="G35" s="410"/>
      <c r="H35" s="408"/>
      <c r="I35" s="408"/>
      <c r="J35" s="410"/>
      <c r="K35" s="408"/>
      <c r="L35" s="410"/>
      <c r="M35" s="411"/>
      <c r="N35" s="411"/>
      <c r="O35" s="99"/>
    </row>
    <row r="36" spans="1:52" ht="43.5" x14ac:dyDescent="0.35">
      <c r="A36" s="98" t="s">
        <v>264</v>
      </c>
      <c r="B36" s="99" t="s">
        <v>265</v>
      </c>
      <c r="C36" s="408">
        <v>2</v>
      </c>
      <c r="D36" s="409" t="s">
        <v>247</v>
      </c>
      <c r="E36" s="417">
        <v>5950</v>
      </c>
      <c r="F36" s="417">
        <f>+C36*E36</f>
        <v>11900</v>
      </c>
      <c r="G36" s="410">
        <v>5.6859096460968157E-2</v>
      </c>
      <c r="H36" s="417">
        <f t="shared" si="0"/>
        <v>5611.6883760572391</v>
      </c>
      <c r="I36" s="417">
        <f t="shared" si="1"/>
        <v>11223.376752114478</v>
      </c>
      <c r="J36" s="410"/>
      <c r="K36" s="417"/>
      <c r="L36" s="410"/>
      <c r="M36" s="411">
        <f>+I36*L36</f>
        <v>0</v>
      </c>
      <c r="N36" s="411"/>
      <c r="O36" s="99"/>
    </row>
    <row r="37" spans="1:52" x14ac:dyDescent="0.35">
      <c r="A37" s="98"/>
      <c r="B37" s="99"/>
      <c r="C37" s="408"/>
      <c r="D37" s="409"/>
      <c r="E37" s="408"/>
      <c r="F37" s="408"/>
      <c r="G37" s="410"/>
      <c r="H37" s="408"/>
      <c r="I37" s="408"/>
      <c r="J37" s="410"/>
      <c r="K37" s="408"/>
      <c r="L37" s="410"/>
      <c r="M37" s="411"/>
      <c r="N37" s="411"/>
      <c r="O37" s="99"/>
    </row>
    <row r="38" spans="1:52" s="3" customFormat="1" x14ac:dyDescent="0.35">
      <c r="A38" s="104" t="s">
        <v>239</v>
      </c>
      <c r="B38" s="105" t="s">
        <v>120</v>
      </c>
      <c r="C38" s="418"/>
      <c r="D38" s="419" t="s">
        <v>0</v>
      </c>
      <c r="E38" s="418"/>
      <c r="F38" s="418">
        <v>0</v>
      </c>
      <c r="G38" s="420"/>
      <c r="H38" s="418"/>
      <c r="I38" s="418"/>
      <c r="J38" s="420"/>
      <c r="K38" s="418"/>
      <c r="L38" s="420"/>
      <c r="M38" s="421"/>
      <c r="N38" s="421"/>
      <c r="O38" s="105"/>
    </row>
    <row r="39" spans="1:52" x14ac:dyDescent="0.35">
      <c r="A39" s="98"/>
      <c r="B39" s="99"/>
      <c r="C39" s="408"/>
      <c r="D39" s="409"/>
      <c r="E39" s="408"/>
      <c r="F39" s="408"/>
      <c r="G39" s="410"/>
      <c r="H39" s="408"/>
      <c r="I39" s="408"/>
      <c r="J39" s="410"/>
      <c r="K39" s="408"/>
      <c r="L39" s="410"/>
      <c r="M39" s="411"/>
      <c r="N39" s="411"/>
      <c r="O39" s="99"/>
    </row>
    <row r="40" spans="1:52" ht="43.5" x14ac:dyDescent="0.35">
      <c r="A40" s="98" t="s">
        <v>266</v>
      </c>
      <c r="B40" s="99" t="s">
        <v>267</v>
      </c>
      <c r="C40" s="408">
        <v>1</v>
      </c>
      <c r="D40" s="409" t="s">
        <v>247</v>
      </c>
      <c r="E40" s="408"/>
      <c r="F40" s="408" t="s">
        <v>49</v>
      </c>
      <c r="G40" s="410"/>
      <c r="H40" s="408"/>
      <c r="I40" s="408"/>
      <c r="J40" s="410"/>
      <c r="K40" s="408"/>
      <c r="L40" s="410"/>
      <c r="M40" s="411"/>
      <c r="N40" s="411"/>
      <c r="O40" s="99"/>
    </row>
    <row r="41" spans="1:52" x14ac:dyDescent="0.35">
      <c r="A41" s="98"/>
      <c r="B41" s="99"/>
      <c r="C41" s="408"/>
      <c r="D41" s="409"/>
      <c r="E41" s="408"/>
      <c r="F41" s="408"/>
      <c r="G41" s="410"/>
      <c r="H41" s="408"/>
      <c r="I41" s="408"/>
      <c r="J41" s="410"/>
      <c r="K41" s="408"/>
      <c r="L41" s="410"/>
      <c r="M41" s="411"/>
      <c r="N41" s="411"/>
      <c r="O41" s="99"/>
    </row>
    <row r="42" spans="1:52" ht="58" x14ac:dyDescent="0.35">
      <c r="A42" s="98" t="s">
        <v>268</v>
      </c>
      <c r="B42" s="99" t="s">
        <v>269</v>
      </c>
      <c r="C42" s="408">
        <v>1</v>
      </c>
      <c r="D42" s="409" t="s">
        <v>247</v>
      </c>
      <c r="E42" s="408"/>
      <c r="F42" s="408" t="s">
        <v>49</v>
      </c>
      <c r="G42" s="410"/>
      <c r="H42" s="408"/>
      <c r="I42" s="408"/>
      <c r="J42" s="410"/>
      <c r="K42" s="408"/>
      <c r="L42" s="410"/>
      <c r="M42" s="411"/>
      <c r="N42" s="411"/>
      <c r="O42" s="99"/>
    </row>
    <row r="43" spans="1:52" x14ac:dyDescent="0.35">
      <c r="A43" s="98"/>
      <c r="B43" s="99"/>
      <c r="C43" s="408"/>
      <c r="D43" s="409"/>
      <c r="E43" s="408"/>
      <c r="F43" s="408"/>
      <c r="G43" s="410"/>
      <c r="H43" s="408"/>
      <c r="I43" s="408"/>
      <c r="J43" s="410"/>
      <c r="K43" s="408"/>
      <c r="L43" s="410"/>
      <c r="M43" s="411"/>
      <c r="N43" s="411"/>
      <c r="O43" s="99"/>
    </row>
    <row r="44" spans="1:52" s="89" customFormat="1" x14ac:dyDescent="0.35">
      <c r="A44" s="100" t="s">
        <v>239</v>
      </c>
      <c r="B44" s="101" t="s">
        <v>123</v>
      </c>
      <c r="C44" s="412"/>
      <c r="D44" s="413" t="s">
        <v>0</v>
      </c>
      <c r="E44" s="412"/>
      <c r="F44" s="414">
        <f>+F46</f>
        <v>11900</v>
      </c>
      <c r="G44" s="415"/>
      <c r="H44" s="414"/>
      <c r="I44" s="414">
        <f>+I46</f>
        <v>11223.376752114478</v>
      </c>
      <c r="J44" s="415"/>
      <c r="K44" s="414"/>
      <c r="L44" s="415"/>
      <c r="M44" s="416">
        <f>+M46</f>
        <v>0</v>
      </c>
      <c r="N44" s="416"/>
      <c r="O44" s="101"/>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x14ac:dyDescent="0.35">
      <c r="A45" s="98"/>
      <c r="B45" s="99"/>
      <c r="C45" s="408"/>
      <c r="D45" s="409"/>
      <c r="E45" s="408"/>
      <c r="F45" s="408"/>
      <c r="G45" s="410"/>
      <c r="H45" s="408"/>
      <c r="I45" s="408"/>
      <c r="J45" s="410"/>
      <c r="K45" s="408"/>
      <c r="L45" s="410"/>
      <c r="M45" s="411"/>
      <c r="N45" s="411"/>
      <c r="O45" s="99"/>
    </row>
    <row r="46" spans="1:52" ht="43.5" x14ac:dyDescent="0.35">
      <c r="A46" s="98" t="s">
        <v>270</v>
      </c>
      <c r="B46" s="99" t="s">
        <v>271</v>
      </c>
      <c r="C46" s="408">
        <v>2</v>
      </c>
      <c r="D46" s="409" t="s">
        <v>247</v>
      </c>
      <c r="E46" s="417">
        <v>5950</v>
      </c>
      <c r="F46" s="417">
        <f>+C46*E46</f>
        <v>11900</v>
      </c>
      <c r="G46" s="410">
        <v>5.6859096460968157E-2</v>
      </c>
      <c r="H46" s="417">
        <f t="shared" si="0"/>
        <v>5611.6883760572391</v>
      </c>
      <c r="I46" s="417">
        <f t="shared" si="1"/>
        <v>11223.376752114478</v>
      </c>
      <c r="J46" s="410"/>
      <c r="K46" s="417"/>
      <c r="L46" s="410"/>
      <c r="M46" s="411">
        <f>+I46*L46</f>
        <v>0</v>
      </c>
      <c r="N46" s="411"/>
      <c r="O46" s="99"/>
    </row>
    <row r="47" spans="1:52" x14ac:dyDescent="0.35">
      <c r="A47" s="98"/>
      <c r="B47" s="99"/>
      <c r="C47" s="408"/>
      <c r="D47" s="409"/>
      <c r="E47" s="408"/>
      <c r="F47" s="408"/>
      <c r="G47" s="410"/>
      <c r="H47" s="408"/>
      <c r="I47" s="408"/>
      <c r="J47" s="410"/>
      <c r="K47" s="408"/>
      <c r="L47" s="410"/>
      <c r="M47" s="411"/>
      <c r="N47" s="411"/>
      <c r="O47" s="99"/>
    </row>
    <row r="48" spans="1:52" s="3" customFormat="1" x14ac:dyDescent="0.35">
      <c r="A48" s="104" t="s">
        <v>239</v>
      </c>
      <c r="B48" s="105" t="s">
        <v>272</v>
      </c>
      <c r="C48" s="418"/>
      <c r="D48" s="419" t="s">
        <v>0</v>
      </c>
      <c r="E48" s="418"/>
      <c r="F48" s="418">
        <v>0</v>
      </c>
      <c r="G48" s="420"/>
      <c r="H48" s="418"/>
      <c r="I48" s="418"/>
      <c r="J48" s="420"/>
      <c r="K48" s="418"/>
      <c r="L48" s="420"/>
      <c r="M48" s="421"/>
      <c r="N48" s="421"/>
      <c r="O48" s="105"/>
    </row>
    <row r="49" spans="1:52" x14ac:dyDescent="0.35">
      <c r="A49" s="98"/>
      <c r="B49" s="99"/>
      <c r="C49" s="408"/>
      <c r="D49" s="409"/>
      <c r="E49" s="408"/>
      <c r="F49" s="408"/>
      <c r="G49" s="410"/>
      <c r="H49" s="408"/>
      <c r="I49" s="408"/>
      <c r="J49" s="410"/>
      <c r="K49" s="408"/>
      <c r="L49" s="410"/>
      <c r="M49" s="411"/>
      <c r="N49" s="411"/>
      <c r="O49" s="99"/>
    </row>
    <row r="50" spans="1:52" ht="58" x14ac:dyDescent="0.35">
      <c r="A50" s="98" t="s">
        <v>273</v>
      </c>
      <c r="B50" s="99" t="s">
        <v>274</v>
      </c>
      <c r="C50" s="408">
        <v>3</v>
      </c>
      <c r="D50" s="409" t="s">
        <v>247</v>
      </c>
      <c r="E50" s="408"/>
      <c r="F50" s="408" t="s">
        <v>49</v>
      </c>
      <c r="G50" s="410"/>
      <c r="H50" s="408"/>
      <c r="I50" s="408"/>
      <c r="J50" s="410"/>
      <c r="K50" s="408"/>
      <c r="L50" s="410"/>
      <c r="M50" s="411"/>
      <c r="N50" s="411"/>
      <c r="O50" s="99"/>
    </row>
    <row r="51" spans="1:52" x14ac:dyDescent="0.35">
      <c r="A51" s="98"/>
      <c r="B51" s="99"/>
      <c r="C51" s="408"/>
      <c r="D51" s="409"/>
      <c r="E51" s="408"/>
      <c r="F51" s="408"/>
      <c r="G51" s="410"/>
      <c r="H51" s="408"/>
      <c r="I51" s="408"/>
      <c r="J51" s="410"/>
      <c r="K51" s="408"/>
      <c r="L51" s="410"/>
      <c r="M51" s="411"/>
      <c r="N51" s="411"/>
      <c r="O51" s="99"/>
    </row>
    <row r="52" spans="1:52" s="89" customFormat="1" x14ac:dyDescent="0.35">
      <c r="A52" s="100" t="s">
        <v>239</v>
      </c>
      <c r="B52" s="101" t="s">
        <v>275</v>
      </c>
      <c r="C52" s="412"/>
      <c r="D52" s="413" t="s">
        <v>0</v>
      </c>
      <c r="E52" s="412"/>
      <c r="F52" s="414">
        <f>+F55+F57+F59</f>
        <v>46738</v>
      </c>
      <c r="G52" s="415"/>
      <c r="H52" s="414"/>
      <c r="I52" s="414">
        <f>+I55+I57+I59</f>
        <v>44080.51954960727</v>
      </c>
      <c r="J52" s="415"/>
      <c r="K52" s="416">
        <f>+K55+K57+K59</f>
        <v>0</v>
      </c>
      <c r="L52" s="415"/>
      <c r="M52" s="416">
        <f>+M55+M57+M59</f>
        <v>33646.268791483897</v>
      </c>
      <c r="N52" s="416">
        <f>+N55+N57+N59</f>
        <v>33646.268791483897</v>
      </c>
      <c r="O52" s="101"/>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row>
    <row r="53" spans="1:52" x14ac:dyDescent="0.35">
      <c r="A53" s="98"/>
      <c r="B53" s="99"/>
      <c r="C53" s="408"/>
      <c r="D53" s="409"/>
      <c r="E53" s="408"/>
      <c r="F53" s="408"/>
      <c r="G53" s="410"/>
      <c r="H53" s="408"/>
      <c r="I53" s="408"/>
      <c r="J53" s="410"/>
      <c r="K53" s="408"/>
      <c r="L53" s="410"/>
      <c r="M53" s="411"/>
      <c r="N53" s="411"/>
      <c r="O53" s="99"/>
    </row>
    <row r="54" spans="1:52" x14ac:dyDescent="0.35">
      <c r="A54" s="98"/>
      <c r="B54" s="99"/>
      <c r="C54" s="408"/>
      <c r="D54" s="409"/>
      <c r="E54" s="408"/>
      <c r="F54" s="408"/>
      <c r="G54" s="410"/>
      <c r="H54" s="408"/>
      <c r="I54" s="408"/>
      <c r="J54" s="410"/>
      <c r="K54" s="408"/>
      <c r="L54" s="410"/>
      <c r="M54" s="411"/>
      <c r="N54" s="411"/>
      <c r="O54" s="99"/>
    </row>
    <row r="55" spans="1:52" ht="58" x14ac:dyDescent="0.35">
      <c r="A55" s="322" t="s">
        <v>277</v>
      </c>
      <c r="B55" s="299" t="s">
        <v>278</v>
      </c>
      <c r="C55" s="431">
        <v>2</v>
      </c>
      <c r="D55" s="432" t="s">
        <v>247</v>
      </c>
      <c r="E55" s="499">
        <v>5466</v>
      </c>
      <c r="F55" s="499">
        <f>+C55*E55</f>
        <v>10932</v>
      </c>
      <c r="G55" s="500">
        <v>5.6859096460968157E-2</v>
      </c>
      <c r="H55" s="437">
        <f t="shared" si="0"/>
        <v>5155.2081787443476</v>
      </c>
      <c r="I55" s="437">
        <f t="shared" si="1"/>
        <v>10310.416357488695</v>
      </c>
      <c r="J55" s="424">
        <v>0</v>
      </c>
      <c r="K55" s="417">
        <f>+I55*J55</f>
        <v>0</v>
      </c>
      <c r="L55" s="519">
        <f>30%+20%+30%</f>
        <v>0.8</v>
      </c>
      <c r="M55" s="417">
        <f>+I55*L55</f>
        <v>8248.3330859909565</v>
      </c>
      <c r="N55" s="417">
        <f t="shared" ref="N55" si="2">+M55-K55</f>
        <v>8248.3330859909565</v>
      </c>
      <c r="O55" s="514" t="s">
        <v>840</v>
      </c>
    </row>
    <row r="56" spans="1:52" x14ac:dyDescent="0.35">
      <c r="A56" s="321"/>
      <c r="B56" s="302"/>
      <c r="C56" s="438"/>
      <c r="D56" s="439"/>
      <c r="E56" s="438"/>
      <c r="F56" s="438"/>
      <c r="G56" s="440"/>
      <c r="H56" s="438"/>
      <c r="I56" s="438"/>
      <c r="J56" s="440"/>
      <c r="K56" s="438"/>
      <c r="L56" s="440"/>
      <c r="M56" s="441"/>
      <c r="N56" s="441"/>
      <c r="O56" s="302"/>
    </row>
    <row r="57" spans="1:52" ht="58" x14ac:dyDescent="0.35">
      <c r="A57" s="98" t="s">
        <v>279</v>
      </c>
      <c r="B57" s="99" t="s">
        <v>280</v>
      </c>
      <c r="C57" s="408">
        <v>6</v>
      </c>
      <c r="D57" s="409" t="s">
        <v>247</v>
      </c>
      <c r="E57" s="495">
        <v>5014.5</v>
      </c>
      <c r="F57" s="495">
        <f>+C57*E57</f>
        <v>30087</v>
      </c>
      <c r="G57" s="496">
        <v>5.6859096460968157E-2</v>
      </c>
      <c r="H57" s="417">
        <f t="shared" si="0"/>
        <v>4729.3800607964749</v>
      </c>
      <c r="I57" s="417">
        <f t="shared" si="1"/>
        <v>28376.28036477885</v>
      </c>
      <c r="J57" s="424">
        <v>0</v>
      </c>
      <c r="K57" s="417">
        <f>+I57*J57</f>
        <v>0</v>
      </c>
      <c r="L57" s="519">
        <f>30%+20%+30%</f>
        <v>0.8</v>
      </c>
      <c r="M57" s="417">
        <f>+I57*L57</f>
        <v>22701.02429182308</v>
      </c>
      <c r="N57" s="417">
        <f t="shared" ref="N57" si="3">+M57-K57</f>
        <v>22701.02429182308</v>
      </c>
      <c r="O57" s="514" t="s">
        <v>840</v>
      </c>
    </row>
    <row r="58" spans="1:52" x14ac:dyDescent="0.35">
      <c r="A58" s="98"/>
      <c r="B58" s="99"/>
      <c r="C58" s="408"/>
      <c r="D58" s="409"/>
      <c r="E58" s="408"/>
      <c r="F58" s="408"/>
      <c r="G58" s="410"/>
      <c r="H58" s="408"/>
      <c r="I58" s="408"/>
      <c r="J58" s="410"/>
      <c r="K58" s="408"/>
      <c r="L58" s="410"/>
      <c r="M58" s="411"/>
      <c r="N58" s="411"/>
      <c r="O58" s="99"/>
    </row>
    <row r="59" spans="1:52" ht="58" x14ac:dyDescent="0.35">
      <c r="A59" s="98" t="s">
        <v>281</v>
      </c>
      <c r="B59" s="99" t="s">
        <v>282</v>
      </c>
      <c r="C59" s="408">
        <v>1</v>
      </c>
      <c r="D59" s="409" t="s">
        <v>247</v>
      </c>
      <c r="E59" s="495">
        <v>5719</v>
      </c>
      <c r="F59" s="495">
        <f>+C59*E59</f>
        <v>5719</v>
      </c>
      <c r="G59" s="496">
        <v>5.6859096460968157E-2</v>
      </c>
      <c r="H59" s="417">
        <f t="shared" si="0"/>
        <v>5393.8228273397235</v>
      </c>
      <c r="I59" s="417">
        <f t="shared" si="1"/>
        <v>5393.8228273397235</v>
      </c>
      <c r="J59" s="424">
        <v>0</v>
      </c>
      <c r="K59" s="417">
        <f>+I59*J59</f>
        <v>0</v>
      </c>
      <c r="L59" s="519">
        <f>30%+20%</f>
        <v>0.5</v>
      </c>
      <c r="M59" s="417">
        <f>+I59*L59</f>
        <v>2696.9114136698618</v>
      </c>
      <c r="N59" s="417">
        <f t="shared" ref="N59" si="4">+M59-K59</f>
        <v>2696.9114136698618</v>
      </c>
      <c r="O59" s="514" t="s">
        <v>840</v>
      </c>
    </row>
    <row r="60" spans="1:52" x14ac:dyDescent="0.35">
      <c r="A60" s="98"/>
      <c r="B60" s="99"/>
      <c r="C60" s="408"/>
      <c r="D60" s="409"/>
      <c r="E60" s="408"/>
      <c r="F60" s="408"/>
      <c r="G60" s="410"/>
      <c r="H60" s="408"/>
      <c r="I60" s="408"/>
      <c r="J60" s="410"/>
      <c r="K60" s="408"/>
      <c r="L60" s="410"/>
      <c r="M60" s="411"/>
      <c r="N60" s="411"/>
      <c r="O60" s="99"/>
    </row>
    <row r="61" spans="1:52" s="89" customFormat="1" x14ac:dyDescent="0.35">
      <c r="A61" s="100" t="s">
        <v>276</v>
      </c>
      <c r="B61" s="101" t="s">
        <v>283</v>
      </c>
      <c r="C61" s="412"/>
      <c r="D61" s="413" t="s">
        <v>0</v>
      </c>
      <c r="E61" s="412"/>
      <c r="F61" s="414">
        <f>+F63+F69+F75+F83</f>
        <v>50036</v>
      </c>
      <c r="G61" s="415"/>
      <c r="H61" s="414"/>
      <c r="I61" s="414">
        <f>+I63+I69+I75+I83</f>
        <v>47190.998249479002</v>
      </c>
      <c r="J61" s="415"/>
      <c r="K61" s="416">
        <f>+K63+K69+K75+K83</f>
        <v>0</v>
      </c>
      <c r="L61" s="415"/>
      <c r="M61" s="416">
        <f>+M63+M69+M75+M83</f>
        <v>24835.823726983679</v>
      </c>
      <c r="N61" s="416">
        <f>+N63+N69+N75+N83</f>
        <v>24835.823726983679</v>
      </c>
      <c r="O61" s="101"/>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spans="1:52" x14ac:dyDescent="0.35">
      <c r="A62" s="98"/>
      <c r="B62" s="99"/>
      <c r="C62" s="408"/>
      <c r="D62" s="409"/>
      <c r="E62" s="408"/>
      <c r="F62" s="408"/>
      <c r="G62" s="410"/>
      <c r="H62" s="408"/>
      <c r="I62" s="408"/>
      <c r="J62" s="410"/>
      <c r="K62" s="408"/>
      <c r="L62" s="410"/>
      <c r="M62" s="411"/>
      <c r="N62" s="411"/>
      <c r="O62" s="99"/>
    </row>
    <row r="63" spans="1:52" ht="58" x14ac:dyDescent="0.35">
      <c r="A63" s="98" t="s">
        <v>284</v>
      </c>
      <c r="B63" s="99" t="s">
        <v>285</v>
      </c>
      <c r="C63" s="408">
        <v>2</v>
      </c>
      <c r="D63" s="409" t="s">
        <v>247</v>
      </c>
      <c r="E63" s="495">
        <v>5466</v>
      </c>
      <c r="F63" s="495">
        <f>+C63*E63</f>
        <v>10932</v>
      </c>
      <c r="G63" s="496">
        <v>5.6859096460968157E-2</v>
      </c>
      <c r="H63" s="417">
        <f t="shared" si="0"/>
        <v>5155.2081787443476</v>
      </c>
      <c r="I63" s="417">
        <f t="shared" si="1"/>
        <v>10310.416357488695</v>
      </c>
      <c r="J63" s="424">
        <v>0</v>
      </c>
      <c r="K63" s="417">
        <f>+I63*J63</f>
        <v>0</v>
      </c>
      <c r="L63" s="519">
        <f>30%+20%+30%</f>
        <v>0.8</v>
      </c>
      <c r="M63" s="417">
        <f>+I63*L63</f>
        <v>8248.3330859909565</v>
      </c>
      <c r="N63" s="417">
        <f t="shared" ref="N63" si="5">+M63-K63</f>
        <v>8248.3330859909565</v>
      </c>
      <c r="O63" s="514" t="s">
        <v>840</v>
      </c>
    </row>
    <row r="64" spans="1:52" x14ac:dyDescent="0.35">
      <c r="A64" s="98"/>
      <c r="B64" s="99"/>
      <c r="C64" s="408"/>
      <c r="D64" s="409"/>
      <c r="E64" s="408"/>
      <c r="F64" s="408"/>
      <c r="G64" s="410"/>
      <c r="H64" s="408"/>
      <c r="I64" s="408"/>
      <c r="J64" s="410"/>
      <c r="K64" s="408"/>
      <c r="L64" s="410"/>
      <c r="M64" s="411"/>
      <c r="N64" s="411"/>
      <c r="O64" s="99"/>
    </row>
    <row r="65" spans="1:15" s="3" customFormat="1" ht="29" x14ac:dyDescent="0.35">
      <c r="A65" s="104" t="s">
        <v>276</v>
      </c>
      <c r="B65" s="105" t="s">
        <v>286</v>
      </c>
      <c r="C65" s="418"/>
      <c r="D65" s="419"/>
      <c r="E65" s="418"/>
      <c r="F65" s="418"/>
      <c r="G65" s="420"/>
      <c r="H65" s="418"/>
      <c r="I65" s="418"/>
      <c r="J65" s="420"/>
      <c r="K65" s="418"/>
      <c r="L65" s="420"/>
      <c r="M65" s="421"/>
      <c r="N65" s="421"/>
      <c r="O65" s="105"/>
    </row>
    <row r="66" spans="1:15" x14ac:dyDescent="0.35">
      <c r="A66" s="98"/>
      <c r="B66" s="99"/>
      <c r="C66" s="408"/>
      <c r="D66" s="409"/>
      <c r="E66" s="408"/>
      <c r="F66" s="408"/>
      <c r="G66" s="410"/>
      <c r="H66" s="408"/>
      <c r="I66" s="408"/>
      <c r="J66" s="410"/>
      <c r="K66" s="408"/>
      <c r="L66" s="410"/>
      <c r="M66" s="411"/>
      <c r="N66" s="411"/>
      <c r="O66" s="99"/>
    </row>
    <row r="67" spans="1:15" s="3" customFormat="1" x14ac:dyDescent="0.35">
      <c r="A67" s="104" t="s">
        <v>276</v>
      </c>
      <c r="B67" s="105" t="s">
        <v>287</v>
      </c>
      <c r="C67" s="418"/>
      <c r="D67" s="419"/>
      <c r="E67" s="418"/>
      <c r="F67" s="418"/>
      <c r="G67" s="420"/>
      <c r="H67" s="418"/>
      <c r="I67" s="418"/>
      <c r="J67" s="420"/>
      <c r="K67" s="418"/>
      <c r="L67" s="420"/>
      <c r="M67" s="421"/>
      <c r="N67" s="421"/>
      <c r="O67" s="105"/>
    </row>
    <row r="68" spans="1:15" x14ac:dyDescent="0.35">
      <c r="A68" s="98"/>
      <c r="B68" s="99"/>
      <c r="C68" s="408"/>
      <c r="D68" s="409"/>
      <c r="E68" s="408"/>
      <c r="F68" s="408"/>
      <c r="G68" s="410"/>
      <c r="H68" s="408"/>
      <c r="I68" s="408"/>
      <c r="J68" s="410"/>
      <c r="K68" s="408"/>
      <c r="L68" s="410"/>
      <c r="M68" s="411"/>
      <c r="N68" s="411"/>
      <c r="O68" s="99"/>
    </row>
    <row r="69" spans="1:15" ht="58" x14ac:dyDescent="0.35">
      <c r="A69" s="98" t="s">
        <v>288</v>
      </c>
      <c r="B69" s="99" t="s">
        <v>289</v>
      </c>
      <c r="C69" s="408">
        <v>4</v>
      </c>
      <c r="D69" s="409" t="s">
        <v>247</v>
      </c>
      <c r="E69" s="495">
        <v>5025</v>
      </c>
      <c r="F69" s="495">
        <f>+C69*E69</f>
        <v>20100</v>
      </c>
      <c r="G69" s="496">
        <v>5.6859096460968157E-2</v>
      </c>
      <c r="H69" s="417">
        <f t="shared" si="0"/>
        <v>4739.2830402836353</v>
      </c>
      <c r="I69" s="417">
        <f t="shared" si="1"/>
        <v>18957.132161134541</v>
      </c>
      <c r="J69" s="424">
        <v>0</v>
      </c>
      <c r="K69" s="417">
        <f>+I69*J69</f>
        <v>0</v>
      </c>
      <c r="L69" s="519">
        <f>30%+20%+30%</f>
        <v>0.8</v>
      </c>
      <c r="M69" s="417">
        <f>+I69*L69</f>
        <v>15165.705728907633</v>
      </c>
      <c r="N69" s="417">
        <f t="shared" ref="N69" si="6">+M69-K69</f>
        <v>15165.705728907633</v>
      </c>
      <c r="O69" s="514" t="s">
        <v>840</v>
      </c>
    </row>
    <row r="70" spans="1:15" x14ac:dyDescent="0.35">
      <c r="A70" s="98"/>
      <c r="B70" s="99"/>
      <c r="C70" s="408"/>
      <c r="D70" s="409"/>
      <c r="E70" s="408"/>
      <c r="F70" s="408"/>
      <c r="G70" s="410"/>
      <c r="H70" s="408"/>
      <c r="I70" s="408"/>
      <c r="J70" s="410"/>
      <c r="K70" s="408"/>
      <c r="L70" s="410"/>
      <c r="M70" s="411"/>
      <c r="N70" s="411"/>
      <c r="O70" s="99"/>
    </row>
    <row r="71" spans="1:15" s="3" customFormat="1" x14ac:dyDescent="0.35">
      <c r="A71" s="104" t="s">
        <v>276</v>
      </c>
      <c r="B71" s="105" t="s">
        <v>290</v>
      </c>
      <c r="C71" s="418"/>
      <c r="D71" s="419"/>
      <c r="E71" s="418"/>
      <c r="F71" s="418"/>
      <c r="G71" s="420"/>
      <c r="H71" s="418"/>
      <c r="I71" s="418"/>
      <c r="J71" s="420"/>
      <c r="K71" s="418"/>
      <c r="L71" s="420"/>
      <c r="M71" s="421"/>
      <c r="N71" s="421"/>
      <c r="O71" s="105"/>
    </row>
    <row r="72" spans="1:15" x14ac:dyDescent="0.35">
      <c r="A72" s="98"/>
      <c r="B72" s="99"/>
      <c r="C72" s="408"/>
      <c r="D72" s="409"/>
      <c r="E72" s="408"/>
      <c r="F72" s="408"/>
      <c r="G72" s="410"/>
      <c r="H72" s="408"/>
      <c r="I72" s="408"/>
      <c r="J72" s="410"/>
      <c r="K72" s="408"/>
      <c r="L72" s="410"/>
      <c r="M72" s="411"/>
      <c r="N72" s="411"/>
      <c r="O72" s="99"/>
    </row>
    <row r="73" spans="1:15" s="3" customFormat="1" x14ac:dyDescent="0.35">
      <c r="A73" s="104" t="s">
        <v>276</v>
      </c>
      <c r="B73" s="105" t="s">
        <v>283</v>
      </c>
      <c r="C73" s="418"/>
      <c r="D73" s="419"/>
      <c r="E73" s="418"/>
      <c r="F73" s="418"/>
      <c r="G73" s="420"/>
      <c r="H73" s="418"/>
      <c r="I73" s="418"/>
      <c r="J73" s="420"/>
      <c r="K73" s="418"/>
      <c r="L73" s="420"/>
      <c r="M73" s="421"/>
      <c r="N73" s="421"/>
      <c r="O73" s="105"/>
    </row>
    <row r="74" spans="1:15" x14ac:dyDescent="0.35">
      <c r="A74" s="98"/>
      <c r="B74" s="99"/>
      <c r="C74" s="408"/>
      <c r="D74" s="409"/>
      <c r="E74" s="408"/>
      <c r="F74" s="408"/>
      <c r="G74" s="410"/>
      <c r="H74" s="408"/>
      <c r="I74" s="408"/>
      <c r="J74" s="410"/>
      <c r="K74" s="408"/>
      <c r="L74" s="410"/>
      <c r="M74" s="411"/>
      <c r="N74" s="411"/>
      <c r="O74" s="99"/>
    </row>
    <row r="75" spans="1:15" ht="58" x14ac:dyDescent="0.35">
      <c r="A75" s="98" t="s">
        <v>291</v>
      </c>
      <c r="B75" s="99" t="s">
        <v>292</v>
      </c>
      <c r="C75" s="408">
        <v>1</v>
      </c>
      <c r="D75" s="409" t="s">
        <v>247</v>
      </c>
      <c r="E75" s="495">
        <v>5025</v>
      </c>
      <c r="F75" s="495">
        <f>+C75*E75</f>
        <v>5025</v>
      </c>
      <c r="G75" s="496">
        <v>5.6859096460968157E-2</v>
      </c>
      <c r="H75" s="417">
        <f t="shared" si="0"/>
        <v>4739.2830402836353</v>
      </c>
      <c r="I75" s="417">
        <f t="shared" si="1"/>
        <v>4739.2830402836353</v>
      </c>
      <c r="J75" s="424">
        <v>0</v>
      </c>
      <c r="K75" s="417">
        <f>+I75*J75</f>
        <v>0</v>
      </c>
      <c r="L75" s="519">
        <v>0.3</v>
      </c>
      <c r="M75" s="417">
        <f>+I75*L75</f>
        <v>1421.7849120850906</v>
      </c>
      <c r="N75" s="417">
        <f t="shared" ref="N75" si="7">+M75-K75</f>
        <v>1421.7849120850906</v>
      </c>
      <c r="O75" s="514" t="s">
        <v>840</v>
      </c>
    </row>
    <row r="76" spans="1:15" x14ac:dyDescent="0.35">
      <c r="A76" s="98"/>
      <c r="B76" s="99"/>
      <c r="C76" s="408"/>
      <c r="D76" s="409"/>
      <c r="E76" s="408"/>
      <c r="F76" s="408"/>
      <c r="G76" s="410"/>
      <c r="H76" s="408"/>
      <c r="I76" s="408"/>
      <c r="J76" s="410"/>
      <c r="K76" s="408"/>
      <c r="L76" s="410"/>
      <c r="M76" s="411"/>
      <c r="N76" s="411"/>
      <c r="O76" s="99"/>
    </row>
    <row r="77" spans="1:15" s="3" customFormat="1" x14ac:dyDescent="0.35">
      <c r="A77" s="104" t="s">
        <v>276</v>
      </c>
      <c r="B77" s="105" t="s">
        <v>120</v>
      </c>
      <c r="C77" s="418"/>
      <c r="D77" s="419"/>
      <c r="E77" s="418"/>
      <c r="F77" s="418"/>
      <c r="G77" s="420"/>
      <c r="H77" s="418"/>
      <c r="I77" s="418"/>
      <c r="J77" s="420"/>
      <c r="K77" s="418"/>
      <c r="L77" s="420"/>
      <c r="M77" s="421"/>
      <c r="N77" s="421"/>
      <c r="O77" s="105"/>
    </row>
    <row r="78" spans="1:15" x14ac:dyDescent="0.35">
      <c r="A78" s="98"/>
      <c r="B78" s="99"/>
      <c r="C78" s="408"/>
      <c r="D78" s="409"/>
      <c r="E78" s="408"/>
      <c r="F78" s="408"/>
      <c r="G78" s="410"/>
      <c r="H78" s="408"/>
      <c r="I78" s="408"/>
      <c r="J78" s="410"/>
      <c r="K78" s="408"/>
      <c r="L78" s="410"/>
      <c r="M78" s="411"/>
      <c r="N78" s="411"/>
      <c r="O78" s="99"/>
    </row>
    <row r="79" spans="1:15" ht="58" x14ac:dyDescent="0.35">
      <c r="A79" s="98" t="s">
        <v>293</v>
      </c>
      <c r="B79" s="99" t="s">
        <v>294</v>
      </c>
      <c r="C79" s="408">
        <v>1</v>
      </c>
      <c r="D79" s="409" t="s">
        <v>247</v>
      </c>
      <c r="E79" s="408"/>
      <c r="F79" s="408" t="s">
        <v>49</v>
      </c>
      <c r="G79" s="410"/>
      <c r="H79" s="408"/>
      <c r="I79" s="408"/>
      <c r="J79" s="410"/>
      <c r="K79" s="408"/>
      <c r="L79" s="410"/>
      <c r="M79" s="411"/>
      <c r="N79" s="411"/>
      <c r="O79" s="99"/>
    </row>
    <row r="80" spans="1:15" x14ac:dyDescent="0.35">
      <c r="A80" s="98"/>
      <c r="B80" s="99"/>
      <c r="C80" s="408"/>
      <c r="D80" s="409"/>
      <c r="E80" s="408"/>
      <c r="F80" s="408"/>
      <c r="G80" s="410"/>
      <c r="H80" s="408"/>
      <c r="I80" s="408"/>
      <c r="J80" s="410"/>
      <c r="K80" s="408"/>
      <c r="L80" s="410"/>
      <c r="M80" s="411"/>
      <c r="N80" s="411"/>
      <c r="O80" s="99"/>
    </row>
    <row r="81" spans="1:52" s="3" customFormat="1" x14ac:dyDescent="0.35">
      <c r="A81" s="104" t="s">
        <v>276</v>
      </c>
      <c r="B81" s="105" t="s">
        <v>295</v>
      </c>
      <c r="C81" s="418"/>
      <c r="D81" s="419"/>
      <c r="E81" s="418"/>
      <c r="F81" s="418"/>
      <c r="G81" s="420"/>
      <c r="H81" s="418"/>
      <c r="I81" s="418"/>
      <c r="J81" s="420"/>
      <c r="K81" s="418"/>
      <c r="L81" s="420"/>
      <c r="M81" s="421"/>
      <c r="N81" s="421"/>
      <c r="O81" s="105"/>
    </row>
    <row r="82" spans="1:52" x14ac:dyDescent="0.35">
      <c r="A82" s="98"/>
      <c r="B82" s="99"/>
      <c r="C82" s="408"/>
      <c r="D82" s="409"/>
      <c r="E82" s="408"/>
      <c r="F82" s="408"/>
      <c r="G82" s="410"/>
      <c r="H82" s="408"/>
      <c r="I82" s="408"/>
      <c r="J82" s="410"/>
      <c r="K82" s="408"/>
      <c r="L82" s="410"/>
      <c r="M82" s="411"/>
      <c r="N82" s="411"/>
      <c r="O82" s="99"/>
    </row>
    <row r="83" spans="1:52" ht="43.5" x14ac:dyDescent="0.35">
      <c r="A83" s="98" t="s">
        <v>296</v>
      </c>
      <c r="B83" s="99" t="s">
        <v>297</v>
      </c>
      <c r="C83" s="408">
        <v>2</v>
      </c>
      <c r="D83" s="409" t="s">
        <v>247</v>
      </c>
      <c r="E83" s="417">
        <v>6989.5</v>
      </c>
      <c r="F83" s="417">
        <f>+C83*E83</f>
        <v>13979</v>
      </c>
      <c r="G83" s="410">
        <v>5.6859096460968157E-2</v>
      </c>
      <c r="H83" s="417">
        <f t="shared" ref="H83:H140" si="8">+(E83)-(E83*G83)</f>
        <v>6592.0833452860634</v>
      </c>
      <c r="I83" s="417">
        <f t="shared" ref="I83:I140" si="9">+C83*H83</f>
        <v>13184.166690572127</v>
      </c>
      <c r="J83" s="410"/>
      <c r="K83" s="417"/>
      <c r="L83" s="410"/>
      <c r="M83" s="411">
        <f>+I83*L83</f>
        <v>0</v>
      </c>
      <c r="N83" s="411"/>
      <c r="O83" s="99"/>
    </row>
    <row r="84" spans="1:52" x14ac:dyDescent="0.35">
      <c r="A84" s="98"/>
      <c r="B84" s="99"/>
      <c r="C84" s="408"/>
      <c r="D84" s="409"/>
      <c r="E84" s="408"/>
      <c r="F84" s="408"/>
      <c r="G84" s="410"/>
      <c r="H84" s="408"/>
      <c r="I84" s="408"/>
      <c r="J84" s="410"/>
      <c r="K84" s="408"/>
      <c r="L84" s="410"/>
      <c r="M84" s="411"/>
      <c r="N84" s="411"/>
      <c r="O84" s="99"/>
    </row>
    <row r="85" spans="1:52" s="3" customFormat="1" x14ac:dyDescent="0.35">
      <c r="A85" s="104" t="s">
        <v>276</v>
      </c>
      <c r="B85" s="105" t="s">
        <v>298</v>
      </c>
      <c r="C85" s="418"/>
      <c r="D85" s="419"/>
      <c r="E85" s="418"/>
      <c r="F85" s="418"/>
      <c r="G85" s="420"/>
      <c r="H85" s="418"/>
      <c r="I85" s="418"/>
      <c r="J85" s="420"/>
      <c r="K85" s="418"/>
      <c r="L85" s="420"/>
      <c r="M85" s="421"/>
      <c r="N85" s="421"/>
      <c r="O85" s="105"/>
    </row>
    <row r="86" spans="1:52" x14ac:dyDescent="0.35">
      <c r="A86" s="322"/>
      <c r="B86" s="299"/>
      <c r="C86" s="431"/>
      <c r="D86" s="432"/>
      <c r="E86" s="431"/>
      <c r="F86" s="431"/>
      <c r="G86" s="433"/>
      <c r="H86" s="431"/>
      <c r="I86" s="431"/>
      <c r="J86" s="433"/>
      <c r="K86" s="431"/>
      <c r="L86" s="433"/>
      <c r="M86" s="434"/>
      <c r="N86" s="434"/>
      <c r="O86" s="299"/>
    </row>
    <row r="87" spans="1:52" ht="58" x14ac:dyDescent="0.35">
      <c r="A87" s="321" t="s">
        <v>299</v>
      </c>
      <c r="B87" s="302" t="s">
        <v>300</v>
      </c>
      <c r="C87" s="438">
        <v>2</v>
      </c>
      <c r="D87" s="439" t="s">
        <v>247</v>
      </c>
      <c r="E87" s="438"/>
      <c r="F87" s="438" t="s">
        <v>49</v>
      </c>
      <c r="G87" s="440"/>
      <c r="H87" s="438"/>
      <c r="I87" s="438"/>
      <c r="J87" s="440"/>
      <c r="K87" s="438"/>
      <c r="L87" s="440"/>
      <c r="M87" s="441"/>
      <c r="N87" s="441"/>
      <c r="O87" s="302"/>
    </row>
    <row r="88" spans="1:52" x14ac:dyDescent="0.35">
      <c r="A88" s="98"/>
      <c r="B88" s="99"/>
      <c r="C88" s="408"/>
      <c r="D88" s="409"/>
      <c r="E88" s="408"/>
      <c r="F88" s="408"/>
      <c r="G88" s="410"/>
      <c r="H88" s="408"/>
      <c r="I88" s="408"/>
      <c r="J88" s="410"/>
      <c r="K88" s="408"/>
      <c r="L88" s="410"/>
      <c r="M88" s="411"/>
      <c r="N88" s="411"/>
      <c r="O88" s="99"/>
    </row>
    <row r="89" spans="1:52" ht="58" x14ac:dyDescent="0.35">
      <c r="A89" s="98" t="s">
        <v>301</v>
      </c>
      <c r="B89" s="99" t="s">
        <v>302</v>
      </c>
      <c r="C89" s="408">
        <v>1</v>
      </c>
      <c r="D89" s="409" t="s">
        <v>247</v>
      </c>
      <c r="E89" s="408"/>
      <c r="F89" s="408" t="s">
        <v>49</v>
      </c>
      <c r="G89" s="410"/>
      <c r="H89" s="408"/>
      <c r="I89" s="408"/>
      <c r="J89" s="410"/>
      <c r="K89" s="408"/>
      <c r="L89" s="410"/>
      <c r="M89" s="411"/>
      <c r="N89" s="411"/>
      <c r="O89" s="99"/>
    </row>
    <row r="90" spans="1:52" x14ac:dyDescent="0.35">
      <c r="A90" s="98"/>
      <c r="B90" s="99"/>
      <c r="C90" s="408"/>
      <c r="D90" s="409"/>
      <c r="E90" s="408"/>
      <c r="F90" s="408"/>
      <c r="G90" s="410"/>
      <c r="H90" s="408"/>
      <c r="I90" s="408"/>
      <c r="J90" s="410"/>
      <c r="K90" s="408"/>
      <c r="L90" s="410"/>
      <c r="M90" s="411"/>
      <c r="N90" s="411"/>
      <c r="O90" s="99"/>
    </row>
    <row r="91" spans="1:52" s="90" customFormat="1" x14ac:dyDescent="0.35">
      <c r="A91" s="108" t="s">
        <v>276</v>
      </c>
      <c r="B91" s="109" t="s">
        <v>303</v>
      </c>
      <c r="C91" s="442"/>
      <c r="D91" s="443" t="s">
        <v>0</v>
      </c>
      <c r="E91" s="442"/>
      <c r="F91" s="444">
        <f>+F93+F112+F142+F161</f>
        <v>277121</v>
      </c>
      <c r="G91" s="445"/>
      <c r="H91" s="444"/>
      <c r="I91" s="444">
        <f>+I93+I112+I142+I161</f>
        <v>261364.15032964002</v>
      </c>
      <c r="J91" s="445"/>
      <c r="K91" s="446">
        <f>+K93+K112+K142+K161</f>
        <v>0</v>
      </c>
      <c r="L91" s="445"/>
      <c r="M91" s="446">
        <f>+M93+M112+M142+M161</f>
        <v>0</v>
      </c>
      <c r="N91" s="446">
        <f>+N93+N112+N142+N161</f>
        <v>0</v>
      </c>
      <c r="O91" s="109"/>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x14ac:dyDescent="0.35">
      <c r="A92" s="98"/>
      <c r="B92" s="99"/>
      <c r="C92" s="408"/>
      <c r="D92" s="409"/>
      <c r="E92" s="408"/>
      <c r="F92" s="408"/>
      <c r="G92" s="410"/>
      <c r="H92" s="408"/>
      <c r="I92" s="408"/>
      <c r="J92" s="410"/>
      <c r="K92" s="408"/>
      <c r="L92" s="410"/>
      <c r="M92" s="411"/>
      <c r="N92" s="411"/>
      <c r="O92" s="99"/>
    </row>
    <row r="93" spans="1:52" s="89" customFormat="1" ht="29" x14ac:dyDescent="0.35">
      <c r="A93" s="100" t="s">
        <v>276</v>
      </c>
      <c r="B93" s="101" t="s">
        <v>304</v>
      </c>
      <c r="C93" s="412"/>
      <c r="D93" s="413" t="s">
        <v>0</v>
      </c>
      <c r="E93" s="412"/>
      <c r="F93" s="414">
        <f>+F101+F103+F106+F110</f>
        <v>67350</v>
      </c>
      <c r="G93" s="415"/>
      <c r="H93" s="414"/>
      <c r="I93" s="414">
        <f>+I101+I103+I106+I110</f>
        <v>63520.539853353795</v>
      </c>
      <c r="J93" s="415"/>
      <c r="K93" s="416">
        <f>+K101+K103+K106+K110</f>
        <v>0</v>
      </c>
      <c r="L93" s="415"/>
      <c r="M93" s="416">
        <f>+M101+M103+M106+M110</f>
        <v>0</v>
      </c>
      <c r="N93" s="416">
        <f>+N101+N103+N106+N110</f>
        <v>0</v>
      </c>
      <c r="O93" s="101"/>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x14ac:dyDescent="0.35">
      <c r="A94" s="98"/>
      <c r="B94" s="99"/>
      <c r="C94" s="408"/>
      <c r="D94" s="409"/>
      <c r="E94" s="408"/>
      <c r="F94" s="408"/>
      <c r="G94" s="410"/>
      <c r="H94" s="408"/>
      <c r="I94" s="408"/>
      <c r="J94" s="410"/>
      <c r="K94" s="408"/>
      <c r="L94" s="410"/>
      <c r="M94" s="411"/>
      <c r="N94" s="411"/>
      <c r="O94" s="99"/>
    </row>
    <row r="95" spans="1:52" s="3" customFormat="1" ht="29" x14ac:dyDescent="0.35">
      <c r="A95" s="104" t="s">
        <v>276</v>
      </c>
      <c r="B95" s="105" t="s">
        <v>305</v>
      </c>
      <c r="C95" s="418"/>
      <c r="D95" s="419"/>
      <c r="E95" s="418"/>
      <c r="F95" s="418"/>
      <c r="G95" s="420"/>
      <c r="H95" s="418"/>
      <c r="I95" s="418"/>
      <c r="J95" s="420"/>
      <c r="K95" s="418"/>
      <c r="L95" s="420"/>
      <c r="M95" s="421"/>
      <c r="N95" s="421"/>
      <c r="O95" s="105"/>
    </row>
    <row r="96" spans="1:52" x14ac:dyDescent="0.35">
      <c r="A96" s="98"/>
      <c r="B96" s="99"/>
      <c r="C96" s="408"/>
      <c r="D96" s="409"/>
      <c r="E96" s="408"/>
      <c r="F96" s="408"/>
      <c r="G96" s="410"/>
      <c r="H96" s="408"/>
      <c r="I96" s="408"/>
      <c r="J96" s="410"/>
      <c r="K96" s="408"/>
      <c r="L96" s="410"/>
      <c r="M96" s="411"/>
      <c r="N96" s="411"/>
      <c r="O96" s="99"/>
    </row>
    <row r="97" spans="1:52" s="3" customFormat="1" ht="87" x14ac:dyDescent="0.35">
      <c r="A97" s="104" t="s">
        <v>276</v>
      </c>
      <c r="B97" s="105" t="s">
        <v>306</v>
      </c>
      <c r="C97" s="418"/>
      <c r="D97" s="419"/>
      <c r="E97" s="418"/>
      <c r="F97" s="418"/>
      <c r="G97" s="420"/>
      <c r="H97" s="418"/>
      <c r="I97" s="418"/>
      <c r="J97" s="420"/>
      <c r="K97" s="418"/>
      <c r="L97" s="420"/>
      <c r="M97" s="421"/>
      <c r="N97" s="421"/>
      <c r="O97" s="105"/>
    </row>
    <row r="98" spans="1:52" x14ac:dyDescent="0.35">
      <c r="A98" s="98"/>
      <c r="B98" s="99"/>
      <c r="C98" s="408"/>
      <c r="D98" s="409"/>
      <c r="E98" s="408"/>
      <c r="F98" s="408"/>
      <c r="G98" s="410"/>
      <c r="H98" s="408"/>
      <c r="I98" s="408"/>
      <c r="J98" s="410"/>
      <c r="K98" s="408"/>
      <c r="L98" s="410"/>
      <c r="M98" s="411"/>
      <c r="N98" s="411"/>
      <c r="O98" s="99"/>
    </row>
    <row r="99" spans="1:52" s="3" customFormat="1" ht="29" x14ac:dyDescent="0.35">
      <c r="A99" s="104" t="s">
        <v>276</v>
      </c>
      <c r="B99" s="105" t="s">
        <v>307</v>
      </c>
      <c r="C99" s="418"/>
      <c r="D99" s="419"/>
      <c r="E99" s="418"/>
      <c r="F99" s="418"/>
      <c r="G99" s="420"/>
      <c r="H99" s="418"/>
      <c r="I99" s="418"/>
      <c r="J99" s="420"/>
      <c r="K99" s="418"/>
      <c r="L99" s="420"/>
      <c r="M99" s="421"/>
      <c r="N99" s="421"/>
      <c r="O99" s="105"/>
    </row>
    <row r="100" spans="1:52" x14ac:dyDescent="0.35">
      <c r="A100" s="98"/>
      <c r="B100" s="99"/>
      <c r="C100" s="408"/>
      <c r="D100" s="409"/>
      <c r="E100" s="408"/>
      <c r="F100" s="408"/>
      <c r="G100" s="410"/>
      <c r="H100" s="408"/>
      <c r="I100" s="408"/>
      <c r="J100" s="410"/>
      <c r="K100" s="408"/>
      <c r="L100" s="410"/>
      <c r="M100" s="411"/>
      <c r="N100" s="411"/>
      <c r="O100" s="99"/>
    </row>
    <row r="101" spans="1:52" ht="29" x14ac:dyDescent="0.35">
      <c r="A101" s="98" t="s">
        <v>308</v>
      </c>
      <c r="B101" s="99" t="s">
        <v>309</v>
      </c>
      <c r="C101" s="408">
        <v>3</v>
      </c>
      <c r="D101" s="409" t="s">
        <v>247</v>
      </c>
      <c r="E101" s="417">
        <v>7200</v>
      </c>
      <c r="F101" s="417">
        <f>+C101*E101</f>
        <v>21600</v>
      </c>
      <c r="G101" s="410">
        <v>5.6859096460968157E-2</v>
      </c>
      <c r="H101" s="417">
        <f t="shared" si="8"/>
        <v>6790.6145054810295</v>
      </c>
      <c r="I101" s="417">
        <f t="shared" si="9"/>
        <v>20371.843516443088</v>
      </c>
      <c r="J101" s="410"/>
      <c r="K101" s="417"/>
      <c r="L101" s="410"/>
      <c r="M101" s="411">
        <f>+I101*L101</f>
        <v>0</v>
      </c>
      <c r="N101" s="411"/>
      <c r="O101" s="99"/>
    </row>
    <row r="102" spans="1:52" x14ac:dyDescent="0.35">
      <c r="A102" s="98"/>
      <c r="B102" s="99"/>
      <c r="C102" s="408"/>
      <c r="D102" s="409"/>
      <c r="E102" s="408"/>
      <c r="F102" s="408"/>
      <c r="G102" s="410"/>
      <c r="H102" s="408"/>
      <c r="I102" s="408"/>
      <c r="J102" s="410"/>
      <c r="K102" s="408"/>
      <c r="L102" s="410"/>
      <c r="M102" s="411"/>
      <c r="N102" s="411"/>
      <c r="O102" s="99"/>
    </row>
    <row r="103" spans="1:52" ht="29" x14ac:dyDescent="0.35">
      <c r="A103" s="98" t="s">
        <v>310</v>
      </c>
      <c r="B103" s="99" t="s">
        <v>311</v>
      </c>
      <c r="C103" s="408">
        <v>1</v>
      </c>
      <c r="D103" s="409" t="s">
        <v>247</v>
      </c>
      <c r="E103" s="417">
        <v>7200</v>
      </c>
      <c r="F103" s="417">
        <f>+C103*E103</f>
        <v>7200</v>
      </c>
      <c r="G103" s="410">
        <v>5.6859096460968157E-2</v>
      </c>
      <c r="H103" s="417">
        <f t="shared" si="8"/>
        <v>6790.6145054810295</v>
      </c>
      <c r="I103" s="417">
        <f t="shared" si="9"/>
        <v>6790.6145054810295</v>
      </c>
      <c r="J103" s="410"/>
      <c r="K103" s="417"/>
      <c r="L103" s="410"/>
      <c r="M103" s="411">
        <f>+I103*L103</f>
        <v>0</v>
      </c>
      <c r="N103" s="411"/>
      <c r="O103" s="99"/>
    </row>
    <row r="104" spans="1:52" x14ac:dyDescent="0.35">
      <c r="A104" s="98"/>
      <c r="B104" s="99"/>
      <c r="C104" s="408"/>
      <c r="D104" s="409"/>
      <c r="E104" s="408"/>
      <c r="F104" s="408"/>
      <c r="G104" s="410"/>
      <c r="H104" s="408"/>
      <c r="I104" s="408"/>
      <c r="J104" s="410"/>
      <c r="K104" s="408"/>
      <c r="L104" s="410"/>
      <c r="M104" s="411"/>
      <c r="N104" s="411"/>
      <c r="O104" s="99"/>
    </row>
    <row r="105" spans="1:52" x14ac:dyDescent="0.35">
      <c r="A105" s="98"/>
      <c r="B105" s="99"/>
      <c r="C105" s="408"/>
      <c r="D105" s="409"/>
      <c r="E105" s="408"/>
      <c r="F105" s="408"/>
      <c r="G105" s="410"/>
      <c r="H105" s="408"/>
      <c r="I105" s="408"/>
      <c r="J105" s="410"/>
      <c r="K105" s="408"/>
      <c r="L105" s="410"/>
      <c r="M105" s="411"/>
      <c r="N105" s="411"/>
      <c r="O105" s="99"/>
    </row>
    <row r="106" spans="1:52" ht="29" x14ac:dyDescent="0.35">
      <c r="A106" s="98" t="s">
        <v>313</v>
      </c>
      <c r="B106" s="99" t="s">
        <v>314</v>
      </c>
      <c r="C106" s="408">
        <v>1</v>
      </c>
      <c r="D106" s="409" t="s">
        <v>247</v>
      </c>
      <c r="E106" s="417">
        <v>7200</v>
      </c>
      <c r="F106" s="417">
        <f>+C106*E106</f>
        <v>7200</v>
      </c>
      <c r="G106" s="410">
        <v>5.6859096460968157E-2</v>
      </c>
      <c r="H106" s="417">
        <f t="shared" si="8"/>
        <v>6790.6145054810295</v>
      </c>
      <c r="I106" s="417">
        <f t="shared" si="9"/>
        <v>6790.6145054810295</v>
      </c>
      <c r="J106" s="410"/>
      <c r="K106" s="417"/>
      <c r="L106" s="410"/>
      <c r="M106" s="411">
        <f>+I106*L106</f>
        <v>0</v>
      </c>
      <c r="N106" s="411"/>
      <c r="O106" s="99"/>
    </row>
    <row r="107" spans="1:52" x14ac:dyDescent="0.35">
      <c r="A107" s="98"/>
      <c r="B107" s="99"/>
      <c r="C107" s="408"/>
      <c r="D107" s="409"/>
      <c r="E107" s="408"/>
      <c r="F107" s="408"/>
      <c r="G107" s="410"/>
      <c r="H107" s="408"/>
      <c r="I107" s="408"/>
      <c r="J107" s="410"/>
      <c r="K107" s="408"/>
      <c r="L107" s="410"/>
      <c r="M107" s="411"/>
      <c r="N107" s="411"/>
      <c r="O107" s="99"/>
    </row>
    <row r="108" spans="1:52" s="3" customFormat="1" x14ac:dyDescent="0.35">
      <c r="A108" s="104" t="s">
        <v>312</v>
      </c>
      <c r="B108" s="105" t="s">
        <v>315</v>
      </c>
      <c r="C108" s="418"/>
      <c r="D108" s="419"/>
      <c r="E108" s="418"/>
      <c r="F108" s="418"/>
      <c r="G108" s="420"/>
      <c r="H108" s="418"/>
      <c r="I108" s="418"/>
      <c r="J108" s="420"/>
      <c r="K108" s="418"/>
      <c r="L108" s="420"/>
      <c r="M108" s="421"/>
      <c r="N108" s="421"/>
      <c r="O108" s="105"/>
    </row>
    <row r="109" spans="1:52" x14ac:dyDescent="0.35">
      <c r="A109" s="98"/>
      <c r="B109" s="99"/>
      <c r="C109" s="408"/>
      <c r="D109" s="409"/>
      <c r="E109" s="408"/>
      <c r="F109" s="408"/>
      <c r="G109" s="410"/>
      <c r="H109" s="408"/>
      <c r="I109" s="408"/>
      <c r="J109" s="410"/>
      <c r="K109" s="408"/>
      <c r="L109" s="410"/>
      <c r="M109" s="411"/>
      <c r="N109" s="411"/>
      <c r="O109" s="99"/>
    </row>
    <row r="110" spans="1:52" ht="29" x14ac:dyDescent="0.35">
      <c r="A110" s="98" t="s">
        <v>316</v>
      </c>
      <c r="B110" s="99" t="s">
        <v>317</v>
      </c>
      <c r="C110" s="408">
        <v>3</v>
      </c>
      <c r="D110" s="409" t="s">
        <v>247</v>
      </c>
      <c r="E110" s="417">
        <v>10450</v>
      </c>
      <c r="F110" s="417">
        <f>+C110*E110</f>
        <v>31350</v>
      </c>
      <c r="G110" s="410">
        <v>5.6859096460968157E-2</v>
      </c>
      <c r="H110" s="417">
        <f t="shared" si="8"/>
        <v>9855.8224419828821</v>
      </c>
      <c r="I110" s="417">
        <f t="shared" si="9"/>
        <v>29567.467325948644</v>
      </c>
      <c r="J110" s="410"/>
      <c r="K110" s="417"/>
      <c r="L110" s="410"/>
      <c r="M110" s="411">
        <f>+I110*L110</f>
        <v>0</v>
      </c>
      <c r="N110" s="411"/>
      <c r="O110" s="99" t="s">
        <v>318</v>
      </c>
    </row>
    <row r="111" spans="1:52" x14ac:dyDescent="0.35">
      <c r="A111" s="98"/>
      <c r="B111" s="99"/>
      <c r="C111" s="408"/>
      <c r="D111" s="409"/>
      <c r="E111" s="408"/>
      <c r="F111" s="408"/>
      <c r="G111" s="410"/>
      <c r="H111" s="408"/>
      <c r="I111" s="408"/>
      <c r="J111" s="410"/>
      <c r="K111" s="408"/>
      <c r="L111" s="410"/>
      <c r="M111" s="411"/>
      <c r="N111" s="411"/>
      <c r="O111" s="99"/>
    </row>
    <row r="112" spans="1:52" s="89" customFormat="1" ht="29" x14ac:dyDescent="0.35">
      <c r="A112" s="100" t="s">
        <v>312</v>
      </c>
      <c r="B112" s="101" t="s">
        <v>319</v>
      </c>
      <c r="C112" s="412"/>
      <c r="D112" s="413" t="s">
        <v>0</v>
      </c>
      <c r="E112" s="412"/>
      <c r="F112" s="414">
        <f>+F118+F120+F124+F126+F128+F132+F134+F138+F140</f>
        <v>90597</v>
      </c>
      <c r="G112" s="415"/>
      <c r="H112" s="414"/>
      <c r="I112" s="414">
        <f>+I118+I120+I124+I126+I128+I132+I134+I138+I140</f>
        <v>85445.736437925647</v>
      </c>
      <c r="J112" s="415"/>
      <c r="K112" s="416">
        <f>+K118+K120+K124+K126+K128+K132+K134+K138+K140</f>
        <v>0</v>
      </c>
      <c r="L112" s="415"/>
      <c r="M112" s="416">
        <f>+M118+M120+M124+M126+M128+M132+M134+M138+M140</f>
        <v>0</v>
      </c>
      <c r="N112" s="416">
        <f>+N118+N120+N124+N126+N128+N132+N134+N138+N140</f>
        <v>0</v>
      </c>
      <c r="O112" s="101"/>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spans="1:15" x14ac:dyDescent="0.35">
      <c r="A113" s="98"/>
      <c r="B113" s="99"/>
      <c r="C113" s="408"/>
      <c r="D113" s="409"/>
      <c r="E113" s="408"/>
      <c r="F113" s="408"/>
      <c r="G113" s="410"/>
      <c r="H113" s="408"/>
      <c r="I113" s="408"/>
      <c r="J113" s="410"/>
      <c r="K113" s="408"/>
      <c r="L113" s="410"/>
      <c r="M113" s="411"/>
      <c r="N113" s="411"/>
      <c r="O113" s="99"/>
    </row>
    <row r="114" spans="1:15" s="3" customFormat="1" ht="87" x14ac:dyDescent="0.35">
      <c r="A114" s="104" t="s">
        <v>312</v>
      </c>
      <c r="B114" s="105" t="s">
        <v>306</v>
      </c>
      <c r="C114" s="418"/>
      <c r="D114" s="419"/>
      <c r="E114" s="418"/>
      <c r="F114" s="418"/>
      <c r="G114" s="420"/>
      <c r="H114" s="418"/>
      <c r="I114" s="418"/>
      <c r="J114" s="420"/>
      <c r="K114" s="418"/>
      <c r="L114" s="420"/>
      <c r="M114" s="421"/>
      <c r="N114" s="421"/>
      <c r="O114" s="105"/>
    </row>
    <row r="115" spans="1:15" x14ac:dyDescent="0.35">
      <c r="A115" s="322"/>
      <c r="B115" s="299"/>
      <c r="C115" s="431"/>
      <c r="D115" s="432"/>
      <c r="E115" s="431"/>
      <c r="F115" s="431"/>
      <c r="G115" s="433"/>
      <c r="H115" s="431"/>
      <c r="I115" s="431"/>
      <c r="J115" s="433"/>
      <c r="K115" s="431"/>
      <c r="L115" s="433"/>
      <c r="M115" s="434"/>
      <c r="N115" s="434"/>
      <c r="O115" s="299"/>
    </row>
    <row r="116" spans="1:15" s="3" customFormat="1" ht="29" x14ac:dyDescent="0.35">
      <c r="A116" s="323" t="s">
        <v>312</v>
      </c>
      <c r="B116" s="312" t="s">
        <v>307</v>
      </c>
      <c r="C116" s="447"/>
      <c r="D116" s="448"/>
      <c r="E116" s="447"/>
      <c r="F116" s="447"/>
      <c r="G116" s="449"/>
      <c r="H116" s="447"/>
      <c r="I116" s="447"/>
      <c r="J116" s="449"/>
      <c r="K116" s="447"/>
      <c r="L116" s="449"/>
      <c r="M116" s="450"/>
      <c r="N116" s="450"/>
      <c r="O116" s="312"/>
    </row>
    <row r="117" spans="1:15" x14ac:dyDescent="0.35">
      <c r="A117" s="98"/>
      <c r="B117" s="99"/>
      <c r="C117" s="408"/>
      <c r="D117" s="409"/>
      <c r="E117" s="408"/>
      <c r="F117" s="408"/>
      <c r="G117" s="410"/>
      <c r="H117" s="408"/>
      <c r="I117" s="408"/>
      <c r="J117" s="410"/>
      <c r="K117" s="408"/>
      <c r="L117" s="410"/>
      <c r="M117" s="411"/>
      <c r="N117" s="411"/>
      <c r="O117" s="99"/>
    </row>
    <row r="118" spans="1:15" ht="29" x14ac:dyDescent="0.35">
      <c r="A118" s="98" t="s">
        <v>320</v>
      </c>
      <c r="B118" s="99" t="s">
        <v>321</v>
      </c>
      <c r="C118" s="408">
        <v>1</v>
      </c>
      <c r="D118" s="409" t="s">
        <v>247</v>
      </c>
      <c r="E118" s="417">
        <v>14000</v>
      </c>
      <c r="F118" s="417">
        <f>+C118*E118</f>
        <v>14000</v>
      </c>
      <c r="G118" s="410">
        <v>5.6859096460968157E-2</v>
      </c>
      <c r="H118" s="417">
        <f t="shared" si="8"/>
        <v>13203.972649546446</v>
      </c>
      <c r="I118" s="417">
        <f t="shared" si="9"/>
        <v>13203.972649546446</v>
      </c>
      <c r="J118" s="410"/>
      <c r="K118" s="417"/>
      <c r="L118" s="410"/>
      <c r="M118" s="411">
        <f>+I118*L118</f>
        <v>0</v>
      </c>
      <c r="N118" s="411"/>
      <c r="O118" s="99"/>
    </row>
    <row r="119" spans="1:15" x14ac:dyDescent="0.35">
      <c r="A119" s="98"/>
      <c r="B119" s="99"/>
      <c r="C119" s="408"/>
      <c r="D119" s="409"/>
      <c r="E119" s="408"/>
      <c r="F119" s="408"/>
      <c r="G119" s="410"/>
      <c r="H119" s="408"/>
      <c r="I119" s="408"/>
      <c r="J119" s="410"/>
      <c r="K119" s="408"/>
      <c r="L119" s="410"/>
      <c r="M119" s="411"/>
      <c r="N119" s="411"/>
      <c r="O119" s="99"/>
    </row>
    <row r="120" spans="1:15" ht="29" x14ac:dyDescent="0.35">
      <c r="A120" s="98" t="s">
        <v>322</v>
      </c>
      <c r="B120" s="99" t="s">
        <v>323</v>
      </c>
      <c r="C120" s="408">
        <v>2</v>
      </c>
      <c r="D120" s="409" t="s">
        <v>247</v>
      </c>
      <c r="E120" s="417">
        <v>7200</v>
      </c>
      <c r="F120" s="417">
        <f>+C120*E120</f>
        <v>14400</v>
      </c>
      <c r="G120" s="410">
        <v>5.6859096460968157E-2</v>
      </c>
      <c r="H120" s="417">
        <f t="shared" si="8"/>
        <v>6790.6145054810295</v>
      </c>
      <c r="I120" s="417">
        <f t="shared" si="9"/>
        <v>13581.229010962059</v>
      </c>
      <c r="J120" s="410"/>
      <c r="K120" s="417"/>
      <c r="L120" s="410"/>
      <c r="M120" s="411">
        <f>+I120*L120</f>
        <v>0</v>
      </c>
      <c r="N120" s="411"/>
      <c r="O120" s="99"/>
    </row>
    <row r="121" spans="1:15" x14ac:dyDescent="0.35">
      <c r="A121" s="98"/>
      <c r="B121" s="99"/>
      <c r="C121" s="408"/>
      <c r="D121" s="409"/>
      <c r="E121" s="408"/>
      <c r="F121" s="408"/>
      <c r="G121" s="410"/>
      <c r="H121" s="408"/>
      <c r="I121" s="408"/>
      <c r="J121" s="410"/>
      <c r="K121" s="408"/>
      <c r="L121" s="410"/>
      <c r="M121" s="411"/>
      <c r="N121" s="411"/>
      <c r="O121" s="99"/>
    </row>
    <row r="122" spans="1:15" s="3" customFormat="1" ht="29" x14ac:dyDescent="0.35">
      <c r="A122" s="104" t="s">
        <v>312</v>
      </c>
      <c r="B122" s="105" t="s">
        <v>324</v>
      </c>
      <c r="C122" s="418"/>
      <c r="D122" s="419"/>
      <c r="E122" s="418"/>
      <c r="F122" s="418"/>
      <c r="G122" s="420"/>
      <c r="H122" s="418"/>
      <c r="I122" s="418"/>
      <c r="J122" s="420"/>
      <c r="K122" s="418"/>
      <c r="L122" s="420"/>
      <c r="M122" s="421"/>
      <c r="N122" s="421"/>
      <c r="O122" s="105"/>
    </row>
    <row r="123" spans="1:15" x14ac:dyDescent="0.35">
      <c r="A123" s="98"/>
      <c r="B123" s="99"/>
      <c r="C123" s="408"/>
      <c r="D123" s="409"/>
      <c r="E123" s="408"/>
      <c r="F123" s="408"/>
      <c r="G123" s="410"/>
      <c r="H123" s="408"/>
      <c r="I123" s="408"/>
      <c r="J123" s="410"/>
      <c r="K123" s="408"/>
      <c r="L123" s="410"/>
      <c r="M123" s="411"/>
      <c r="N123" s="411"/>
      <c r="O123" s="99"/>
    </row>
    <row r="124" spans="1:15" ht="29" x14ac:dyDescent="0.35">
      <c r="A124" s="98" t="s">
        <v>325</v>
      </c>
      <c r="B124" s="99" t="s">
        <v>326</v>
      </c>
      <c r="C124" s="408">
        <v>1</v>
      </c>
      <c r="D124" s="409" t="s">
        <v>247</v>
      </c>
      <c r="E124" s="417">
        <v>5772.5</v>
      </c>
      <c r="F124" s="417">
        <f>+C124*E124</f>
        <v>5772.5</v>
      </c>
      <c r="G124" s="410">
        <v>5.6859096460968157E-2</v>
      </c>
      <c r="H124" s="417">
        <f t="shared" si="8"/>
        <v>5444.2808656790612</v>
      </c>
      <c r="I124" s="417">
        <f t="shared" si="9"/>
        <v>5444.2808656790612</v>
      </c>
      <c r="J124" s="410"/>
      <c r="K124" s="417"/>
      <c r="L124" s="410"/>
      <c r="M124" s="411">
        <f>+I124*L124</f>
        <v>0</v>
      </c>
      <c r="N124" s="411"/>
      <c r="O124" s="99"/>
    </row>
    <row r="125" spans="1:15" x14ac:dyDescent="0.35">
      <c r="A125" s="98"/>
      <c r="B125" s="99"/>
      <c r="C125" s="408"/>
      <c r="D125" s="409"/>
      <c r="E125" s="408"/>
      <c r="F125" s="408"/>
      <c r="G125" s="410"/>
      <c r="H125" s="408"/>
      <c r="I125" s="408"/>
      <c r="J125" s="410"/>
      <c r="K125" s="408"/>
      <c r="L125" s="410"/>
      <c r="M125" s="411"/>
      <c r="N125" s="411"/>
      <c r="O125" s="99"/>
    </row>
    <row r="126" spans="1:15" ht="29" x14ac:dyDescent="0.35">
      <c r="A126" s="98" t="s">
        <v>327</v>
      </c>
      <c r="B126" s="99" t="s">
        <v>328</v>
      </c>
      <c r="C126" s="408">
        <v>1</v>
      </c>
      <c r="D126" s="409" t="s">
        <v>247</v>
      </c>
      <c r="E126" s="417">
        <v>5772.5</v>
      </c>
      <c r="F126" s="417">
        <f>+C126*E126</f>
        <v>5772.5</v>
      </c>
      <c r="G126" s="410">
        <v>5.6859096460968157E-2</v>
      </c>
      <c r="H126" s="417">
        <f t="shared" si="8"/>
        <v>5444.2808656790612</v>
      </c>
      <c r="I126" s="417">
        <f t="shared" si="9"/>
        <v>5444.2808656790612</v>
      </c>
      <c r="J126" s="410"/>
      <c r="K126" s="417"/>
      <c r="L126" s="410"/>
      <c r="M126" s="411">
        <f>+I126*L126</f>
        <v>0</v>
      </c>
      <c r="N126" s="411"/>
      <c r="O126" s="99"/>
    </row>
    <row r="127" spans="1:15" x14ac:dyDescent="0.35">
      <c r="A127" s="98"/>
      <c r="B127" s="99"/>
      <c r="C127" s="408"/>
      <c r="D127" s="409"/>
      <c r="E127" s="408"/>
      <c r="F127" s="408"/>
      <c r="G127" s="410"/>
      <c r="H127" s="408"/>
      <c r="I127" s="408"/>
      <c r="J127" s="410"/>
      <c r="K127" s="408"/>
      <c r="L127" s="410"/>
      <c r="M127" s="411"/>
      <c r="N127" s="411"/>
      <c r="O127" s="99"/>
    </row>
    <row r="128" spans="1:15" ht="29" x14ac:dyDescent="0.35">
      <c r="A128" s="98" t="s">
        <v>329</v>
      </c>
      <c r="B128" s="99" t="s">
        <v>330</v>
      </c>
      <c r="C128" s="408">
        <v>1</v>
      </c>
      <c r="D128" s="409" t="s">
        <v>247</v>
      </c>
      <c r="E128" s="417">
        <v>5944</v>
      </c>
      <c r="F128" s="417">
        <f>+C128*E128</f>
        <v>5944</v>
      </c>
      <c r="G128" s="410">
        <v>5.6859096460968157E-2</v>
      </c>
      <c r="H128" s="417">
        <f t="shared" si="8"/>
        <v>5606.0295306360049</v>
      </c>
      <c r="I128" s="417">
        <f t="shared" si="9"/>
        <v>5606.0295306360049</v>
      </c>
      <c r="J128" s="410"/>
      <c r="K128" s="417"/>
      <c r="L128" s="410"/>
      <c r="M128" s="411">
        <f>+I128*L128</f>
        <v>0</v>
      </c>
      <c r="N128" s="411"/>
      <c r="O128" s="99"/>
    </row>
    <row r="129" spans="1:52" x14ac:dyDescent="0.35">
      <c r="A129" s="98"/>
      <c r="B129" s="99"/>
      <c r="C129" s="408"/>
      <c r="D129" s="409"/>
      <c r="E129" s="408"/>
      <c r="F129" s="408"/>
      <c r="G129" s="410"/>
      <c r="H129" s="408"/>
      <c r="I129" s="408"/>
      <c r="J129" s="410"/>
      <c r="K129" s="408"/>
      <c r="L129" s="410"/>
      <c r="M129" s="411"/>
      <c r="N129" s="411"/>
      <c r="O129" s="99"/>
    </row>
    <row r="130" spans="1:52" s="3" customFormat="1" x14ac:dyDescent="0.35">
      <c r="A130" s="104" t="s">
        <v>312</v>
      </c>
      <c r="B130" s="105" t="s">
        <v>331</v>
      </c>
      <c r="C130" s="418"/>
      <c r="D130" s="419"/>
      <c r="E130" s="418"/>
      <c r="F130" s="418"/>
      <c r="G130" s="420"/>
      <c r="H130" s="418"/>
      <c r="I130" s="418"/>
      <c r="J130" s="420"/>
      <c r="K130" s="418"/>
      <c r="L130" s="420"/>
      <c r="M130" s="421"/>
      <c r="N130" s="421"/>
      <c r="O130" s="105"/>
    </row>
    <row r="131" spans="1:52" x14ac:dyDescent="0.35">
      <c r="A131" s="98"/>
      <c r="B131" s="99"/>
      <c r="C131" s="408"/>
      <c r="D131" s="409"/>
      <c r="E131" s="408"/>
      <c r="F131" s="408"/>
      <c r="G131" s="410"/>
      <c r="H131" s="408"/>
      <c r="I131" s="408"/>
      <c r="J131" s="410"/>
      <c r="K131" s="408"/>
      <c r="L131" s="410"/>
      <c r="M131" s="411"/>
      <c r="N131" s="411"/>
      <c r="O131" s="99"/>
    </row>
    <row r="132" spans="1:52" ht="29" x14ac:dyDescent="0.35">
      <c r="A132" s="98" t="s">
        <v>332</v>
      </c>
      <c r="B132" s="99" t="s">
        <v>333</v>
      </c>
      <c r="C132" s="408">
        <v>1</v>
      </c>
      <c r="D132" s="409" t="s">
        <v>247</v>
      </c>
      <c r="E132" s="417">
        <v>5944</v>
      </c>
      <c r="F132" s="417">
        <f>+C132*E132</f>
        <v>5944</v>
      </c>
      <c r="G132" s="410">
        <v>5.6859096460968157E-2</v>
      </c>
      <c r="H132" s="417">
        <f t="shared" si="8"/>
        <v>5606.0295306360049</v>
      </c>
      <c r="I132" s="417">
        <f t="shared" si="9"/>
        <v>5606.0295306360049</v>
      </c>
      <c r="J132" s="410"/>
      <c r="K132" s="417"/>
      <c r="L132" s="410"/>
      <c r="M132" s="411">
        <f>+I132*L132</f>
        <v>0</v>
      </c>
      <c r="N132" s="411"/>
      <c r="O132" s="99"/>
    </row>
    <row r="133" spans="1:52" x14ac:dyDescent="0.35">
      <c r="A133" s="98"/>
      <c r="B133" s="99"/>
      <c r="C133" s="408"/>
      <c r="D133" s="409"/>
      <c r="E133" s="408"/>
      <c r="F133" s="408"/>
      <c r="G133" s="410"/>
      <c r="H133" s="408"/>
      <c r="I133" s="408"/>
      <c r="J133" s="410"/>
      <c r="K133" s="408"/>
      <c r="L133" s="410"/>
      <c r="M133" s="411"/>
      <c r="N133" s="411"/>
      <c r="O133" s="99"/>
    </row>
    <row r="134" spans="1:52" ht="29" x14ac:dyDescent="0.35">
      <c r="A134" s="98" t="s">
        <v>334</v>
      </c>
      <c r="B134" s="99" t="s">
        <v>335</v>
      </c>
      <c r="C134" s="408">
        <v>3</v>
      </c>
      <c r="D134" s="409" t="s">
        <v>247</v>
      </c>
      <c r="E134" s="417">
        <v>7500</v>
      </c>
      <c r="F134" s="417">
        <f>+C134*E134</f>
        <v>22500</v>
      </c>
      <c r="G134" s="410">
        <v>5.6859096460968157E-2</v>
      </c>
      <c r="H134" s="417">
        <f t="shared" si="8"/>
        <v>7073.5567765427386</v>
      </c>
      <c r="I134" s="417">
        <f t="shared" si="9"/>
        <v>21220.670329628214</v>
      </c>
      <c r="J134" s="410"/>
      <c r="K134" s="417"/>
      <c r="L134" s="410"/>
      <c r="M134" s="411">
        <f>+I134*L134</f>
        <v>0</v>
      </c>
      <c r="N134" s="411"/>
      <c r="O134" s="99" t="s">
        <v>336</v>
      </c>
    </row>
    <row r="135" spans="1:52" x14ac:dyDescent="0.35">
      <c r="A135" s="98"/>
      <c r="B135" s="99"/>
      <c r="C135" s="408"/>
      <c r="D135" s="409"/>
      <c r="E135" s="408"/>
      <c r="F135" s="408"/>
      <c r="G135" s="410"/>
      <c r="H135" s="408"/>
      <c r="I135" s="408"/>
      <c r="J135" s="410"/>
      <c r="K135" s="408"/>
      <c r="L135" s="410"/>
      <c r="M135" s="411"/>
      <c r="N135" s="411"/>
      <c r="O135" s="99"/>
    </row>
    <row r="136" spans="1:52" s="3" customFormat="1" ht="43.5" x14ac:dyDescent="0.35">
      <c r="A136" s="104" t="s">
        <v>312</v>
      </c>
      <c r="B136" s="105" t="s">
        <v>337</v>
      </c>
      <c r="C136" s="418"/>
      <c r="D136" s="419"/>
      <c r="E136" s="418"/>
      <c r="F136" s="418"/>
      <c r="G136" s="420"/>
      <c r="H136" s="418"/>
      <c r="I136" s="418"/>
      <c r="J136" s="420"/>
      <c r="K136" s="418"/>
      <c r="L136" s="420"/>
      <c r="M136" s="421"/>
      <c r="N136" s="421"/>
      <c r="O136" s="105"/>
    </row>
    <row r="137" spans="1:52" x14ac:dyDescent="0.35">
      <c r="A137" s="98"/>
      <c r="B137" s="99"/>
      <c r="C137" s="408"/>
      <c r="D137" s="409"/>
      <c r="E137" s="408"/>
      <c r="F137" s="408"/>
      <c r="G137" s="410"/>
      <c r="H137" s="408"/>
      <c r="I137" s="408"/>
      <c r="J137" s="410"/>
      <c r="K137" s="408"/>
      <c r="L137" s="410"/>
      <c r="M137" s="411"/>
      <c r="N137" s="411"/>
      <c r="O137" s="99"/>
    </row>
    <row r="138" spans="1:52" ht="29" x14ac:dyDescent="0.35">
      <c r="A138" s="98" t="s">
        <v>338</v>
      </c>
      <c r="B138" s="99" t="s">
        <v>339</v>
      </c>
      <c r="C138" s="408">
        <v>1</v>
      </c>
      <c r="D138" s="409" t="s">
        <v>247</v>
      </c>
      <c r="E138" s="417">
        <v>5814</v>
      </c>
      <c r="F138" s="417">
        <f>+C138*E138</f>
        <v>5814</v>
      </c>
      <c r="G138" s="410">
        <v>5.6859096460968157E-2</v>
      </c>
      <c r="H138" s="417">
        <f t="shared" si="8"/>
        <v>5483.4212131759314</v>
      </c>
      <c r="I138" s="417">
        <f t="shared" si="9"/>
        <v>5483.4212131759314</v>
      </c>
      <c r="J138" s="410"/>
      <c r="K138" s="417"/>
      <c r="L138" s="410"/>
      <c r="M138" s="411">
        <f>+I138*L138</f>
        <v>0</v>
      </c>
      <c r="N138" s="411"/>
      <c r="O138" s="99"/>
    </row>
    <row r="139" spans="1:52" x14ac:dyDescent="0.35">
      <c r="A139" s="98"/>
      <c r="B139" s="99"/>
      <c r="C139" s="408"/>
      <c r="D139" s="409"/>
      <c r="E139" s="408"/>
      <c r="F139" s="408"/>
      <c r="G139" s="410"/>
      <c r="H139" s="408"/>
      <c r="I139" s="408"/>
      <c r="J139" s="410"/>
      <c r="K139" s="408"/>
      <c r="L139" s="410"/>
      <c r="M139" s="411"/>
      <c r="N139" s="411"/>
      <c r="O139" s="99"/>
    </row>
    <row r="140" spans="1:52" ht="29" x14ac:dyDescent="0.35">
      <c r="A140" s="98" t="s">
        <v>340</v>
      </c>
      <c r="B140" s="99" t="s">
        <v>317</v>
      </c>
      <c r="C140" s="408">
        <v>1</v>
      </c>
      <c r="D140" s="409" t="s">
        <v>247</v>
      </c>
      <c r="E140" s="417">
        <v>10450</v>
      </c>
      <c r="F140" s="417">
        <f>+C140*E140</f>
        <v>10450</v>
      </c>
      <c r="G140" s="410">
        <v>5.6859096460968157E-2</v>
      </c>
      <c r="H140" s="417">
        <f t="shared" si="8"/>
        <v>9855.8224419828821</v>
      </c>
      <c r="I140" s="417">
        <f t="shared" si="9"/>
        <v>9855.8224419828821</v>
      </c>
      <c r="J140" s="410"/>
      <c r="K140" s="417"/>
      <c r="L140" s="410"/>
      <c r="M140" s="411">
        <f>+I140*L140</f>
        <v>0</v>
      </c>
      <c r="N140" s="411"/>
      <c r="O140" s="99"/>
    </row>
    <row r="141" spans="1:52" x14ac:dyDescent="0.35">
      <c r="A141" s="98"/>
      <c r="B141" s="99"/>
      <c r="C141" s="408"/>
      <c r="D141" s="409"/>
      <c r="E141" s="408"/>
      <c r="F141" s="408"/>
      <c r="G141" s="410"/>
      <c r="H141" s="408"/>
      <c r="I141" s="408"/>
      <c r="J141" s="410"/>
      <c r="K141" s="408"/>
      <c r="L141" s="410"/>
      <c r="M141" s="411"/>
      <c r="N141" s="411"/>
      <c r="O141" s="99"/>
    </row>
    <row r="142" spans="1:52" s="89" customFormat="1" x14ac:dyDescent="0.35">
      <c r="A142" s="100" t="s">
        <v>312</v>
      </c>
      <c r="B142" s="101" t="s">
        <v>341</v>
      </c>
      <c r="C142" s="412"/>
      <c r="D142" s="413" t="s">
        <v>0</v>
      </c>
      <c r="E142" s="412"/>
      <c r="F142" s="414">
        <f>+F148+F150+F152+F154+F157+F159</f>
        <v>37074</v>
      </c>
      <c r="G142" s="415"/>
      <c r="H142" s="414"/>
      <c r="I142" s="414">
        <f>+I148+I150+I152+I154+I157+I159</f>
        <v>34966.005857806063</v>
      </c>
      <c r="J142" s="415"/>
      <c r="K142" s="416">
        <f>+K148+K150+K152+K154+K157+K159</f>
        <v>0</v>
      </c>
      <c r="L142" s="415"/>
      <c r="M142" s="416">
        <f>+M148+M150+M152+M154+M157+M159</f>
        <v>0</v>
      </c>
      <c r="N142" s="416">
        <f>+N148+N150+N152+N154+N157+N159</f>
        <v>0</v>
      </c>
      <c r="O142" s="101"/>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x14ac:dyDescent="0.35">
      <c r="A143" s="98"/>
      <c r="B143" s="99"/>
      <c r="C143" s="408"/>
      <c r="D143" s="409"/>
      <c r="E143" s="408"/>
      <c r="F143" s="408"/>
      <c r="G143" s="410"/>
      <c r="H143" s="408"/>
      <c r="I143" s="408"/>
      <c r="J143" s="410"/>
      <c r="K143" s="408"/>
      <c r="L143" s="410"/>
      <c r="M143" s="411"/>
      <c r="N143" s="411"/>
      <c r="O143" s="99"/>
    </row>
    <row r="144" spans="1:52" s="3" customFormat="1" ht="29" x14ac:dyDescent="0.35">
      <c r="A144" s="104" t="s">
        <v>312</v>
      </c>
      <c r="B144" s="105" t="s">
        <v>342</v>
      </c>
      <c r="C144" s="418"/>
      <c r="D144" s="419"/>
      <c r="E144" s="418"/>
      <c r="F144" s="418"/>
      <c r="G144" s="420"/>
      <c r="H144" s="418"/>
      <c r="I144" s="418"/>
      <c r="J144" s="420"/>
      <c r="K144" s="418"/>
      <c r="L144" s="420"/>
      <c r="M144" s="421"/>
      <c r="N144" s="421"/>
      <c r="O144" s="105"/>
    </row>
    <row r="145" spans="1:15" x14ac:dyDescent="0.35">
      <c r="A145" s="98"/>
      <c r="B145" s="99"/>
      <c r="C145" s="408"/>
      <c r="D145" s="409"/>
      <c r="E145" s="408"/>
      <c r="F145" s="408"/>
      <c r="G145" s="410"/>
      <c r="H145" s="408"/>
      <c r="I145" s="408"/>
      <c r="J145" s="410"/>
      <c r="K145" s="408"/>
      <c r="L145" s="410"/>
      <c r="M145" s="411"/>
      <c r="N145" s="411"/>
      <c r="O145" s="99"/>
    </row>
    <row r="146" spans="1:15" s="3" customFormat="1" ht="87" x14ac:dyDescent="0.35">
      <c r="A146" s="104" t="s">
        <v>312</v>
      </c>
      <c r="B146" s="105" t="s">
        <v>306</v>
      </c>
      <c r="C146" s="418"/>
      <c r="D146" s="419"/>
      <c r="E146" s="418"/>
      <c r="F146" s="418"/>
      <c r="G146" s="420"/>
      <c r="H146" s="418"/>
      <c r="I146" s="418"/>
      <c r="J146" s="420"/>
      <c r="K146" s="418"/>
      <c r="L146" s="420"/>
      <c r="M146" s="421"/>
      <c r="N146" s="421"/>
      <c r="O146" s="105"/>
    </row>
    <row r="147" spans="1:15" x14ac:dyDescent="0.35">
      <c r="A147" s="322"/>
      <c r="B147" s="299"/>
      <c r="C147" s="431"/>
      <c r="D147" s="432"/>
      <c r="E147" s="431"/>
      <c r="F147" s="431"/>
      <c r="G147" s="433"/>
      <c r="H147" s="431"/>
      <c r="I147" s="431"/>
      <c r="J147" s="433"/>
      <c r="K147" s="431"/>
      <c r="L147" s="433"/>
      <c r="M147" s="434"/>
      <c r="N147" s="434"/>
      <c r="O147" s="299"/>
    </row>
    <row r="148" spans="1:15" ht="58" x14ac:dyDescent="0.35">
      <c r="A148" s="321" t="s">
        <v>343</v>
      </c>
      <c r="B148" s="302" t="s">
        <v>344</v>
      </c>
      <c r="C148" s="438">
        <v>1</v>
      </c>
      <c r="D148" s="439" t="s">
        <v>247</v>
      </c>
      <c r="E148" s="451">
        <v>5700</v>
      </c>
      <c r="F148" s="451">
        <f>+C148*E148</f>
        <v>5700</v>
      </c>
      <c r="G148" s="440">
        <v>5.6859096460968157E-2</v>
      </c>
      <c r="H148" s="451">
        <f t="shared" ref="H148:H203" si="10">+(E148)-(E148*G148)</f>
        <v>5375.9031501724812</v>
      </c>
      <c r="I148" s="451">
        <f t="shared" ref="I148:I203" si="11">+C148*H148</f>
        <v>5375.9031501724812</v>
      </c>
      <c r="J148" s="440"/>
      <c r="K148" s="451"/>
      <c r="L148" s="440"/>
      <c r="M148" s="441">
        <f>+I148*L148</f>
        <v>0</v>
      </c>
      <c r="N148" s="441"/>
      <c r="O148" s="302"/>
    </row>
    <row r="149" spans="1:15" x14ac:dyDescent="0.35">
      <c r="A149" s="98"/>
      <c r="B149" s="99"/>
      <c r="C149" s="408"/>
      <c r="D149" s="409"/>
      <c r="E149" s="408"/>
      <c r="F149" s="408"/>
      <c r="G149" s="410"/>
      <c r="H149" s="408"/>
      <c r="I149" s="408"/>
      <c r="J149" s="410"/>
      <c r="K149" s="408"/>
      <c r="L149" s="410"/>
      <c r="M149" s="411"/>
      <c r="N149" s="411"/>
      <c r="O149" s="99"/>
    </row>
    <row r="150" spans="1:15" ht="58" x14ac:dyDescent="0.35">
      <c r="A150" s="98" t="s">
        <v>345</v>
      </c>
      <c r="B150" s="99" t="s">
        <v>346</v>
      </c>
      <c r="C150" s="408">
        <v>1</v>
      </c>
      <c r="D150" s="409" t="s">
        <v>247</v>
      </c>
      <c r="E150" s="417">
        <v>5900</v>
      </c>
      <c r="F150" s="417">
        <f>+C150*E150</f>
        <v>5900</v>
      </c>
      <c r="G150" s="410">
        <v>5.6859096460968157E-2</v>
      </c>
      <c r="H150" s="417">
        <f t="shared" si="10"/>
        <v>5564.5313308802879</v>
      </c>
      <c r="I150" s="417">
        <f t="shared" si="11"/>
        <v>5564.5313308802879</v>
      </c>
      <c r="J150" s="410"/>
      <c r="K150" s="417"/>
      <c r="L150" s="410"/>
      <c r="M150" s="411">
        <f>+I150*L150</f>
        <v>0</v>
      </c>
      <c r="N150" s="411"/>
      <c r="O150" s="99"/>
    </row>
    <row r="151" spans="1:15" x14ac:dyDescent="0.35">
      <c r="A151" s="98"/>
      <c r="B151" s="99"/>
      <c r="C151" s="408"/>
      <c r="D151" s="409"/>
      <c r="E151" s="408"/>
      <c r="F151" s="408"/>
      <c r="G151" s="410"/>
      <c r="H151" s="408"/>
      <c r="I151" s="408"/>
      <c r="J151" s="410"/>
      <c r="K151" s="408"/>
      <c r="L151" s="410"/>
      <c r="M151" s="411"/>
      <c r="N151" s="411"/>
      <c r="O151" s="99"/>
    </row>
    <row r="152" spans="1:15" ht="58" x14ac:dyDescent="0.35">
      <c r="A152" s="98" t="s">
        <v>347</v>
      </c>
      <c r="B152" s="99" t="s">
        <v>348</v>
      </c>
      <c r="C152" s="408">
        <v>1</v>
      </c>
      <c r="D152" s="409" t="s">
        <v>247</v>
      </c>
      <c r="E152" s="417">
        <v>6050</v>
      </c>
      <c r="F152" s="417">
        <f>+C152*E152</f>
        <v>6050</v>
      </c>
      <c r="G152" s="410">
        <v>5.6859096460968157E-2</v>
      </c>
      <c r="H152" s="417">
        <f t="shared" si="10"/>
        <v>5706.0024664111424</v>
      </c>
      <c r="I152" s="417">
        <f t="shared" si="11"/>
        <v>5706.0024664111424</v>
      </c>
      <c r="J152" s="410"/>
      <c r="K152" s="417"/>
      <c r="L152" s="410"/>
      <c r="M152" s="411">
        <f>+I152*L152</f>
        <v>0</v>
      </c>
      <c r="N152" s="411"/>
      <c r="O152" s="99"/>
    </row>
    <row r="153" spans="1:15" x14ac:dyDescent="0.35">
      <c r="A153" s="98"/>
      <c r="B153" s="99"/>
      <c r="C153" s="408"/>
      <c r="D153" s="409"/>
      <c r="E153" s="408"/>
      <c r="F153" s="408"/>
      <c r="G153" s="410"/>
      <c r="H153" s="408"/>
      <c r="I153" s="408"/>
      <c r="J153" s="410"/>
      <c r="K153" s="408"/>
      <c r="L153" s="410"/>
      <c r="M153" s="411"/>
      <c r="N153" s="411"/>
      <c r="O153" s="99"/>
    </row>
    <row r="154" spans="1:15" ht="58" x14ac:dyDescent="0.35">
      <c r="A154" s="98" t="s">
        <v>349</v>
      </c>
      <c r="B154" s="99" t="s">
        <v>350</v>
      </c>
      <c r="C154" s="408">
        <v>1</v>
      </c>
      <c r="D154" s="409" t="s">
        <v>247</v>
      </c>
      <c r="E154" s="417">
        <v>5900</v>
      </c>
      <c r="F154" s="417">
        <f>+C154*E154</f>
        <v>5900</v>
      </c>
      <c r="G154" s="410">
        <v>5.6859096460968157E-2</v>
      </c>
      <c r="H154" s="417">
        <f t="shared" si="10"/>
        <v>5564.5313308802879</v>
      </c>
      <c r="I154" s="417">
        <f t="shared" si="11"/>
        <v>5564.5313308802879</v>
      </c>
      <c r="J154" s="410"/>
      <c r="K154" s="417"/>
      <c r="L154" s="410"/>
      <c r="M154" s="411">
        <f>+I154*L154</f>
        <v>0</v>
      </c>
      <c r="N154" s="411"/>
      <c r="O154" s="99"/>
    </row>
    <row r="155" spans="1:15" x14ac:dyDescent="0.35">
      <c r="A155" s="98"/>
      <c r="B155" s="99"/>
      <c r="C155" s="408"/>
      <c r="D155" s="409"/>
      <c r="E155" s="408"/>
      <c r="F155" s="408"/>
      <c r="G155" s="410"/>
      <c r="H155" s="408"/>
      <c r="I155" s="408"/>
      <c r="J155" s="410"/>
      <c r="K155" s="408"/>
      <c r="L155" s="410"/>
      <c r="M155" s="411"/>
      <c r="N155" s="411"/>
      <c r="O155" s="99"/>
    </row>
    <row r="156" spans="1:15" x14ac:dyDescent="0.35">
      <c r="A156" s="98"/>
      <c r="B156" s="99"/>
      <c r="C156" s="408"/>
      <c r="D156" s="409"/>
      <c r="E156" s="408"/>
      <c r="F156" s="408"/>
      <c r="G156" s="410"/>
      <c r="H156" s="408"/>
      <c r="I156" s="408"/>
      <c r="J156" s="410"/>
      <c r="K156" s="408"/>
      <c r="L156" s="410"/>
      <c r="M156" s="411"/>
      <c r="N156" s="411"/>
      <c r="O156" s="99"/>
    </row>
    <row r="157" spans="1:15" ht="43.5" x14ac:dyDescent="0.35">
      <c r="A157" s="98" t="s">
        <v>352</v>
      </c>
      <c r="B157" s="99" t="s">
        <v>353</v>
      </c>
      <c r="C157" s="408">
        <v>1</v>
      </c>
      <c r="D157" s="409" t="s">
        <v>247</v>
      </c>
      <c r="E157" s="417">
        <v>5900</v>
      </c>
      <c r="F157" s="417">
        <f>+C157*E157</f>
        <v>5900</v>
      </c>
      <c r="G157" s="410">
        <v>5.6859096460968157E-2</v>
      </c>
      <c r="H157" s="417">
        <f t="shared" si="10"/>
        <v>5564.5313308802879</v>
      </c>
      <c r="I157" s="417">
        <f t="shared" si="11"/>
        <v>5564.5313308802879</v>
      </c>
      <c r="J157" s="410"/>
      <c r="K157" s="417"/>
      <c r="L157" s="410"/>
      <c r="M157" s="411">
        <f>+I157*L157</f>
        <v>0</v>
      </c>
      <c r="N157" s="411"/>
      <c r="O157" s="99"/>
    </row>
    <row r="158" spans="1:15" x14ac:dyDescent="0.35">
      <c r="A158" s="98"/>
      <c r="B158" s="99"/>
      <c r="C158" s="408"/>
      <c r="D158" s="409"/>
      <c r="E158" s="408"/>
      <c r="F158" s="408"/>
      <c r="G158" s="410"/>
      <c r="H158" s="408"/>
      <c r="I158" s="408"/>
      <c r="J158" s="410"/>
      <c r="K158" s="408"/>
      <c r="L158" s="410"/>
      <c r="M158" s="411"/>
      <c r="N158" s="411"/>
      <c r="O158" s="99"/>
    </row>
    <row r="159" spans="1:15" ht="43.5" x14ac:dyDescent="0.35">
      <c r="A159" s="98" t="s">
        <v>354</v>
      </c>
      <c r="B159" s="99" t="s">
        <v>355</v>
      </c>
      <c r="C159" s="408">
        <v>1</v>
      </c>
      <c r="D159" s="409" t="s">
        <v>247</v>
      </c>
      <c r="E159" s="417">
        <v>7624</v>
      </c>
      <c r="F159" s="417">
        <f>+C159*E159</f>
        <v>7624</v>
      </c>
      <c r="G159" s="410">
        <v>5.6859096460968157E-2</v>
      </c>
      <c r="H159" s="417">
        <f t="shared" si="10"/>
        <v>7190.5062485815788</v>
      </c>
      <c r="I159" s="417">
        <f t="shared" si="11"/>
        <v>7190.5062485815788</v>
      </c>
      <c r="J159" s="410"/>
      <c r="K159" s="417"/>
      <c r="L159" s="410"/>
      <c r="M159" s="411">
        <f>+I159*L159</f>
        <v>0</v>
      </c>
      <c r="N159" s="411"/>
      <c r="O159" s="99" t="s">
        <v>356</v>
      </c>
    </row>
    <row r="160" spans="1:15" x14ac:dyDescent="0.35">
      <c r="A160" s="98"/>
      <c r="B160" s="99"/>
      <c r="C160" s="408"/>
      <c r="D160" s="409"/>
      <c r="E160" s="408"/>
      <c r="F160" s="408"/>
      <c r="G160" s="410"/>
      <c r="H160" s="408"/>
      <c r="I160" s="408"/>
      <c r="J160" s="410"/>
      <c r="K160" s="408"/>
      <c r="L160" s="410"/>
      <c r="M160" s="411"/>
      <c r="N160" s="411"/>
      <c r="O160" s="99"/>
    </row>
    <row r="161" spans="1:52" s="89" customFormat="1" x14ac:dyDescent="0.35">
      <c r="A161" s="100" t="s">
        <v>351</v>
      </c>
      <c r="B161" s="101" t="s">
        <v>357</v>
      </c>
      <c r="C161" s="412"/>
      <c r="D161" s="413" t="s">
        <v>0</v>
      </c>
      <c r="E161" s="412"/>
      <c r="F161" s="414">
        <f>+F167+F169+F171+F175+F177+F179+F181+F183+F185+F187+F189</f>
        <v>82100</v>
      </c>
      <c r="G161" s="415"/>
      <c r="H161" s="414"/>
      <c r="I161" s="414">
        <f>+I167+I169+I171+I175+I177+I179+I181+I183+I185+I187+I189</f>
        <v>77431.868180554506</v>
      </c>
      <c r="J161" s="415"/>
      <c r="K161" s="416">
        <f>+K167+K169+K171+K175+K177+K179+K181+K183+K185+K187+K189</f>
        <v>0</v>
      </c>
      <c r="L161" s="415"/>
      <c r="M161" s="416">
        <f>+M167+M169+M171+M175+M177+M179+M181+M183+M185+M187+M189</f>
        <v>0</v>
      </c>
      <c r="N161" s="416">
        <f>+N167+N169+N171+N175+N177+N179+N181+N183+N185+N187+N189</f>
        <v>0</v>
      </c>
      <c r="O161" s="101"/>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row>
    <row r="162" spans="1:52" x14ac:dyDescent="0.35">
      <c r="A162" s="98"/>
      <c r="B162" s="99"/>
      <c r="C162" s="408"/>
      <c r="D162" s="409"/>
      <c r="E162" s="408"/>
      <c r="F162" s="408"/>
      <c r="G162" s="410"/>
      <c r="H162" s="408"/>
      <c r="I162" s="408"/>
      <c r="J162" s="410"/>
      <c r="K162" s="408"/>
      <c r="L162" s="410"/>
      <c r="M162" s="411"/>
      <c r="N162" s="411"/>
      <c r="O162" s="99"/>
    </row>
    <row r="163" spans="1:52" s="3" customFormat="1" ht="29" x14ac:dyDescent="0.35">
      <c r="A163" s="104" t="s">
        <v>351</v>
      </c>
      <c r="B163" s="105" t="s">
        <v>342</v>
      </c>
      <c r="C163" s="418"/>
      <c r="D163" s="419"/>
      <c r="E163" s="418"/>
      <c r="F163" s="418"/>
      <c r="G163" s="420"/>
      <c r="H163" s="418"/>
      <c r="I163" s="418"/>
      <c r="J163" s="420"/>
      <c r="K163" s="418"/>
      <c r="L163" s="420"/>
      <c r="M163" s="421"/>
      <c r="N163" s="421"/>
      <c r="O163" s="105"/>
    </row>
    <row r="164" spans="1:52" x14ac:dyDescent="0.35">
      <c r="A164" s="98"/>
      <c r="B164" s="99"/>
      <c r="C164" s="408"/>
      <c r="D164" s="409"/>
      <c r="E164" s="408"/>
      <c r="F164" s="408"/>
      <c r="G164" s="410"/>
      <c r="H164" s="408"/>
      <c r="I164" s="408"/>
      <c r="J164" s="410"/>
      <c r="K164" s="408"/>
      <c r="L164" s="410"/>
      <c r="M164" s="411"/>
      <c r="N164" s="411"/>
      <c r="O164" s="99"/>
    </row>
    <row r="165" spans="1:52" s="3" customFormat="1" ht="87" x14ac:dyDescent="0.35">
      <c r="A165" s="104" t="s">
        <v>351</v>
      </c>
      <c r="B165" s="105" t="s">
        <v>306</v>
      </c>
      <c r="C165" s="418"/>
      <c r="D165" s="419"/>
      <c r="E165" s="418"/>
      <c r="F165" s="418"/>
      <c r="G165" s="420"/>
      <c r="H165" s="418"/>
      <c r="I165" s="418"/>
      <c r="J165" s="420"/>
      <c r="K165" s="418"/>
      <c r="L165" s="420"/>
      <c r="M165" s="421"/>
      <c r="N165" s="421"/>
      <c r="O165" s="105"/>
    </row>
    <row r="166" spans="1:52" x14ac:dyDescent="0.35">
      <c r="A166" s="98"/>
      <c r="B166" s="99"/>
      <c r="C166" s="408"/>
      <c r="D166" s="409"/>
      <c r="E166" s="408"/>
      <c r="F166" s="408"/>
      <c r="G166" s="410"/>
      <c r="H166" s="408"/>
      <c r="I166" s="408"/>
      <c r="J166" s="410"/>
      <c r="K166" s="408"/>
      <c r="L166" s="410"/>
      <c r="M166" s="411"/>
      <c r="N166" s="411"/>
      <c r="O166" s="99"/>
    </row>
    <row r="167" spans="1:52" ht="43.5" x14ac:dyDescent="0.35">
      <c r="A167" s="98" t="s">
        <v>358</v>
      </c>
      <c r="B167" s="99" t="s">
        <v>359</v>
      </c>
      <c r="C167" s="408">
        <v>1</v>
      </c>
      <c r="D167" s="409" t="s">
        <v>247</v>
      </c>
      <c r="E167" s="417">
        <v>11200</v>
      </c>
      <c r="F167" s="417">
        <f>+C167*E167</f>
        <v>11200</v>
      </c>
      <c r="G167" s="410">
        <v>5.6859096460968157E-2</v>
      </c>
      <c r="H167" s="417">
        <f t="shared" si="10"/>
        <v>10563.178119637156</v>
      </c>
      <c r="I167" s="417">
        <f t="shared" si="11"/>
        <v>10563.178119637156</v>
      </c>
      <c r="J167" s="410"/>
      <c r="K167" s="417"/>
      <c r="L167" s="410"/>
      <c r="M167" s="411">
        <f>+I167*L167</f>
        <v>0</v>
      </c>
      <c r="N167" s="411"/>
      <c r="O167" s="99" t="s">
        <v>360</v>
      </c>
    </row>
    <row r="168" spans="1:52" x14ac:dyDescent="0.35">
      <c r="A168" s="98"/>
      <c r="B168" s="99"/>
      <c r="C168" s="408"/>
      <c r="D168" s="409"/>
      <c r="E168" s="408"/>
      <c r="F168" s="408"/>
      <c r="G168" s="410"/>
      <c r="H168" s="408"/>
      <c r="I168" s="408"/>
      <c r="J168" s="410"/>
      <c r="K168" s="408"/>
      <c r="L168" s="410"/>
      <c r="M168" s="411"/>
      <c r="N168" s="411"/>
      <c r="O168" s="99"/>
    </row>
    <row r="169" spans="1:52" ht="43.5" x14ac:dyDescent="0.35">
      <c r="A169" s="98" t="s">
        <v>361</v>
      </c>
      <c r="B169" s="99" t="s">
        <v>362</v>
      </c>
      <c r="C169" s="408">
        <v>1</v>
      </c>
      <c r="D169" s="409" t="s">
        <v>247</v>
      </c>
      <c r="E169" s="417">
        <v>5850</v>
      </c>
      <c r="F169" s="417">
        <f>+C169*E169</f>
        <v>5850</v>
      </c>
      <c r="G169" s="410">
        <v>5.6859096460968157E-2</v>
      </c>
      <c r="H169" s="417">
        <f t="shared" si="10"/>
        <v>5517.3742857033367</v>
      </c>
      <c r="I169" s="417">
        <f t="shared" si="11"/>
        <v>5517.3742857033367</v>
      </c>
      <c r="J169" s="410"/>
      <c r="K169" s="417"/>
      <c r="L169" s="410"/>
      <c r="M169" s="411">
        <f>+I169*L169</f>
        <v>0</v>
      </c>
      <c r="N169" s="411"/>
      <c r="O169" s="99"/>
    </row>
    <row r="170" spans="1:52" x14ac:dyDescent="0.35">
      <c r="A170" s="98"/>
      <c r="B170" s="99"/>
      <c r="C170" s="408"/>
      <c r="D170" s="409"/>
      <c r="E170" s="408"/>
      <c r="F170" s="408"/>
      <c r="G170" s="410"/>
      <c r="H170" s="408"/>
      <c r="I170" s="408"/>
      <c r="J170" s="410"/>
      <c r="K170" s="408"/>
      <c r="L170" s="410"/>
      <c r="M170" s="411"/>
      <c r="N170" s="411"/>
      <c r="O170" s="99"/>
    </row>
    <row r="171" spans="1:52" ht="43.5" x14ac:dyDescent="0.35">
      <c r="A171" s="322" t="s">
        <v>363</v>
      </c>
      <c r="B171" s="299" t="s">
        <v>364</v>
      </c>
      <c r="C171" s="431">
        <v>1</v>
      </c>
      <c r="D171" s="432" t="s">
        <v>247</v>
      </c>
      <c r="E171" s="437">
        <v>5850</v>
      </c>
      <c r="F171" s="437">
        <f>+C171*E171</f>
        <v>5850</v>
      </c>
      <c r="G171" s="433">
        <v>5.6859096460968157E-2</v>
      </c>
      <c r="H171" s="437">
        <f t="shared" si="10"/>
        <v>5517.3742857033367</v>
      </c>
      <c r="I171" s="437">
        <f t="shared" si="11"/>
        <v>5517.3742857033367</v>
      </c>
      <c r="J171" s="433"/>
      <c r="K171" s="437"/>
      <c r="L171" s="433"/>
      <c r="M171" s="434">
        <f>+I171*L171</f>
        <v>0</v>
      </c>
      <c r="N171" s="434"/>
      <c r="O171" s="299"/>
    </row>
    <row r="172" spans="1:52" x14ac:dyDescent="0.35">
      <c r="A172" s="321"/>
      <c r="B172" s="302"/>
      <c r="C172" s="438"/>
      <c r="D172" s="439"/>
      <c r="E172" s="438"/>
      <c r="F172" s="438"/>
      <c r="G172" s="440"/>
      <c r="H172" s="438"/>
      <c r="I172" s="438"/>
      <c r="J172" s="440"/>
      <c r="K172" s="438"/>
      <c r="L172" s="440"/>
      <c r="M172" s="441"/>
      <c r="N172" s="441"/>
      <c r="O172" s="302"/>
    </row>
    <row r="173" spans="1:52" ht="43.5" x14ac:dyDescent="0.35">
      <c r="A173" s="98" t="s">
        <v>365</v>
      </c>
      <c r="B173" s="99" t="s">
        <v>366</v>
      </c>
      <c r="C173" s="408">
        <v>1</v>
      </c>
      <c r="D173" s="409" t="s">
        <v>247</v>
      </c>
      <c r="E173" s="408"/>
      <c r="F173" s="408" t="s">
        <v>49</v>
      </c>
      <c r="G173" s="410"/>
      <c r="H173" s="408"/>
      <c r="I173" s="408"/>
      <c r="J173" s="410"/>
      <c r="K173" s="408"/>
      <c r="L173" s="410"/>
      <c r="M173" s="411"/>
      <c r="N173" s="411"/>
      <c r="O173" s="99" t="s">
        <v>367</v>
      </c>
    </row>
    <row r="174" spans="1:52" x14ac:dyDescent="0.35">
      <c r="A174" s="98"/>
      <c r="B174" s="99"/>
      <c r="C174" s="408"/>
      <c r="D174" s="409"/>
      <c r="E174" s="408"/>
      <c r="F174" s="408"/>
      <c r="G174" s="410"/>
      <c r="H174" s="408"/>
      <c r="I174" s="408"/>
      <c r="J174" s="410"/>
      <c r="K174" s="408"/>
      <c r="L174" s="410"/>
      <c r="M174" s="411"/>
      <c r="N174" s="411"/>
      <c r="O174" s="99"/>
    </row>
    <row r="175" spans="1:52" ht="43.5" x14ac:dyDescent="0.35">
      <c r="A175" s="98" t="s">
        <v>368</v>
      </c>
      <c r="B175" s="99" t="s">
        <v>369</v>
      </c>
      <c r="C175" s="408">
        <v>1</v>
      </c>
      <c r="D175" s="409" t="s">
        <v>247</v>
      </c>
      <c r="E175" s="417">
        <v>8000</v>
      </c>
      <c r="F175" s="417">
        <f>+C175*E175</f>
        <v>8000</v>
      </c>
      <c r="G175" s="410">
        <v>5.6859096460968157E-2</v>
      </c>
      <c r="H175" s="417">
        <f t="shared" si="10"/>
        <v>7545.1272283122544</v>
      </c>
      <c r="I175" s="417">
        <f t="shared" si="11"/>
        <v>7545.1272283122544</v>
      </c>
      <c r="J175" s="410"/>
      <c r="K175" s="417"/>
      <c r="L175" s="410"/>
      <c r="M175" s="411">
        <f>+I175*L175</f>
        <v>0</v>
      </c>
      <c r="N175" s="411"/>
      <c r="O175" s="99"/>
    </row>
    <row r="176" spans="1:52" x14ac:dyDescent="0.35">
      <c r="A176" s="98"/>
      <c r="B176" s="99"/>
      <c r="C176" s="408"/>
      <c r="D176" s="409"/>
      <c r="E176" s="408"/>
      <c r="F176" s="408"/>
      <c r="G176" s="410"/>
      <c r="H176" s="408"/>
      <c r="I176" s="408"/>
      <c r="J176" s="410"/>
      <c r="K176" s="408"/>
      <c r="L176" s="410"/>
      <c r="M176" s="411"/>
      <c r="N176" s="411"/>
      <c r="O176" s="99"/>
    </row>
    <row r="177" spans="1:52" ht="43.5" x14ac:dyDescent="0.35">
      <c r="A177" s="98" t="s">
        <v>370</v>
      </c>
      <c r="B177" s="99" t="s">
        <v>371</v>
      </c>
      <c r="C177" s="408">
        <v>1</v>
      </c>
      <c r="D177" s="409" t="s">
        <v>247</v>
      </c>
      <c r="E177" s="417">
        <v>8200</v>
      </c>
      <c r="F177" s="417">
        <f>+C177*E177</f>
        <v>8200</v>
      </c>
      <c r="G177" s="410">
        <v>5.6859096460968157E-2</v>
      </c>
      <c r="H177" s="417">
        <f t="shared" si="10"/>
        <v>7733.7554090200611</v>
      </c>
      <c r="I177" s="417">
        <f t="shared" si="11"/>
        <v>7733.7554090200611</v>
      </c>
      <c r="J177" s="410"/>
      <c r="K177" s="417"/>
      <c r="L177" s="410"/>
      <c r="M177" s="411">
        <f>+I177*L177</f>
        <v>0</v>
      </c>
      <c r="N177" s="411"/>
      <c r="O177" s="99"/>
    </row>
    <row r="178" spans="1:52" x14ac:dyDescent="0.35">
      <c r="A178" s="98"/>
      <c r="B178" s="99"/>
      <c r="C178" s="408"/>
      <c r="D178" s="409"/>
      <c r="E178" s="408"/>
      <c r="F178" s="417"/>
      <c r="G178" s="410"/>
      <c r="H178" s="417"/>
      <c r="I178" s="417"/>
      <c r="J178" s="410"/>
      <c r="K178" s="417"/>
      <c r="L178" s="410"/>
      <c r="M178" s="411"/>
      <c r="N178" s="411"/>
      <c r="O178" s="99"/>
    </row>
    <row r="179" spans="1:52" ht="43.5" x14ac:dyDescent="0.35">
      <c r="A179" s="98" t="s">
        <v>372</v>
      </c>
      <c r="B179" s="99" t="s">
        <v>373</v>
      </c>
      <c r="C179" s="408">
        <v>1</v>
      </c>
      <c r="D179" s="409" t="s">
        <v>247</v>
      </c>
      <c r="E179" s="417">
        <v>7800</v>
      </c>
      <c r="F179" s="417">
        <f>+C179*E179</f>
        <v>7800</v>
      </c>
      <c r="G179" s="410">
        <v>5.6859096460968157E-2</v>
      </c>
      <c r="H179" s="417">
        <f t="shared" si="10"/>
        <v>7356.4990476044486</v>
      </c>
      <c r="I179" s="417">
        <f t="shared" si="11"/>
        <v>7356.4990476044486</v>
      </c>
      <c r="J179" s="410"/>
      <c r="K179" s="417"/>
      <c r="L179" s="410"/>
      <c r="M179" s="411">
        <f>+I179*L179</f>
        <v>0</v>
      </c>
      <c r="N179" s="411"/>
      <c r="O179" s="99"/>
    </row>
    <row r="180" spans="1:52" x14ac:dyDescent="0.35">
      <c r="A180" s="98"/>
      <c r="B180" s="99"/>
      <c r="C180" s="408"/>
      <c r="D180" s="409"/>
      <c r="E180" s="408"/>
      <c r="F180" s="408"/>
      <c r="G180" s="410"/>
      <c r="H180" s="408"/>
      <c r="I180" s="408"/>
      <c r="J180" s="410"/>
      <c r="K180" s="408"/>
      <c r="L180" s="410"/>
      <c r="M180" s="411"/>
      <c r="N180" s="411"/>
      <c r="O180" s="99"/>
    </row>
    <row r="181" spans="1:52" ht="43.5" x14ac:dyDescent="0.35">
      <c r="A181" s="98" t="s">
        <v>374</v>
      </c>
      <c r="B181" s="99" t="s">
        <v>375</v>
      </c>
      <c r="C181" s="408">
        <v>1</v>
      </c>
      <c r="D181" s="409" t="s">
        <v>247</v>
      </c>
      <c r="E181" s="417">
        <v>8900</v>
      </c>
      <c r="F181" s="417">
        <f>+C181*E181</f>
        <v>8900</v>
      </c>
      <c r="G181" s="410">
        <v>5.6859096460968157E-2</v>
      </c>
      <c r="H181" s="417">
        <f t="shared" si="10"/>
        <v>8393.9540414973835</v>
      </c>
      <c r="I181" s="417">
        <f t="shared" si="11"/>
        <v>8393.9540414973835</v>
      </c>
      <c r="J181" s="410"/>
      <c r="K181" s="417"/>
      <c r="L181" s="410"/>
      <c r="M181" s="411">
        <f>+I181*L181</f>
        <v>0</v>
      </c>
      <c r="N181" s="452"/>
    </row>
    <row r="182" spans="1:52" x14ac:dyDescent="0.35">
      <c r="A182" s="98"/>
      <c r="B182" s="99"/>
      <c r="C182" s="408"/>
      <c r="D182" s="409"/>
      <c r="E182" s="408"/>
      <c r="F182" s="408"/>
      <c r="G182" s="410"/>
      <c r="H182" s="408"/>
      <c r="I182" s="408"/>
      <c r="J182" s="410"/>
      <c r="K182" s="408"/>
      <c r="L182" s="410"/>
      <c r="M182" s="411"/>
      <c r="N182" s="411"/>
      <c r="O182" s="99"/>
    </row>
    <row r="183" spans="1:52" ht="43.5" x14ac:dyDescent="0.35">
      <c r="A183" s="98" t="s">
        <v>376</v>
      </c>
      <c r="B183" s="99" t="s">
        <v>377</v>
      </c>
      <c r="C183" s="408">
        <v>1</v>
      </c>
      <c r="D183" s="409" t="s">
        <v>247</v>
      </c>
      <c r="E183" s="417">
        <v>6100</v>
      </c>
      <c r="F183" s="417">
        <f>+C183*E183</f>
        <v>6100</v>
      </c>
      <c r="G183" s="410">
        <v>5.6859096460968157E-2</v>
      </c>
      <c r="H183" s="417">
        <f t="shared" si="10"/>
        <v>5753.1595115880946</v>
      </c>
      <c r="I183" s="417">
        <f t="shared" si="11"/>
        <v>5753.1595115880946</v>
      </c>
      <c r="J183" s="410"/>
      <c r="K183" s="417"/>
      <c r="L183" s="410"/>
      <c r="M183" s="411">
        <f>+I183*L183</f>
        <v>0</v>
      </c>
      <c r="N183" s="411"/>
      <c r="O183" s="99"/>
    </row>
    <row r="184" spans="1:52" x14ac:dyDescent="0.35">
      <c r="A184" s="98"/>
      <c r="B184" s="99"/>
      <c r="C184" s="408"/>
      <c r="D184" s="409"/>
      <c r="E184" s="408"/>
      <c r="F184" s="408"/>
      <c r="G184" s="410"/>
      <c r="H184" s="408"/>
      <c r="I184" s="408"/>
      <c r="J184" s="410"/>
      <c r="K184" s="408"/>
      <c r="L184" s="410"/>
      <c r="M184" s="411"/>
      <c r="N184" s="411"/>
      <c r="O184" s="99"/>
    </row>
    <row r="185" spans="1:52" ht="58" x14ac:dyDescent="0.35">
      <c r="A185" s="98" t="s">
        <v>378</v>
      </c>
      <c r="B185" s="99" t="s">
        <v>379</v>
      </c>
      <c r="C185" s="408">
        <v>1</v>
      </c>
      <c r="D185" s="409" t="s">
        <v>247</v>
      </c>
      <c r="E185" s="417">
        <v>5800</v>
      </c>
      <c r="F185" s="417">
        <f>+C185*E185</f>
        <v>5800</v>
      </c>
      <c r="G185" s="410">
        <v>5.6859096460968157E-2</v>
      </c>
      <c r="H185" s="417">
        <f t="shared" si="10"/>
        <v>5470.2172405263846</v>
      </c>
      <c r="I185" s="417">
        <f t="shared" si="11"/>
        <v>5470.2172405263846</v>
      </c>
      <c r="J185" s="410"/>
      <c r="K185" s="417"/>
      <c r="L185" s="410"/>
      <c r="M185" s="411">
        <f>+I185*L185</f>
        <v>0</v>
      </c>
      <c r="N185" s="411"/>
      <c r="O185" s="99"/>
    </row>
    <row r="186" spans="1:52" x14ac:dyDescent="0.35">
      <c r="A186" s="98"/>
      <c r="B186" s="99"/>
      <c r="C186" s="408"/>
      <c r="D186" s="409"/>
      <c r="E186" s="408"/>
      <c r="F186" s="408"/>
      <c r="G186" s="410"/>
      <c r="H186" s="408"/>
      <c r="I186" s="408"/>
      <c r="J186" s="410"/>
      <c r="K186" s="408"/>
      <c r="L186" s="410"/>
      <c r="M186" s="411"/>
      <c r="N186" s="411"/>
      <c r="O186" s="99"/>
    </row>
    <row r="187" spans="1:52" ht="43.5" x14ac:dyDescent="0.35">
      <c r="A187" s="98" t="s">
        <v>380</v>
      </c>
      <c r="B187" s="99" t="s">
        <v>381</v>
      </c>
      <c r="C187" s="408">
        <v>1</v>
      </c>
      <c r="D187" s="409" t="s">
        <v>247</v>
      </c>
      <c r="E187" s="417">
        <v>7200</v>
      </c>
      <c r="F187" s="417">
        <f>+C187*E187</f>
        <v>7200</v>
      </c>
      <c r="G187" s="410">
        <v>5.6859096460968157E-2</v>
      </c>
      <c r="H187" s="417">
        <f t="shared" si="10"/>
        <v>6790.6145054810295</v>
      </c>
      <c r="I187" s="417">
        <f t="shared" si="11"/>
        <v>6790.6145054810295</v>
      </c>
      <c r="J187" s="410"/>
      <c r="K187" s="417"/>
      <c r="L187" s="410"/>
      <c r="M187" s="411">
        <f>+I187*L187</f>
        <v>0</v>
      </c>
      <c r="N187" s="411"/>
      <c r="O187" s="99"/>
    </row>
    <row r="188" spans="1:52" x14ac:dyDescent="0.35">
      <c r="A188" s="98"/>
      <c r="B188" s="99"/>
      <c r="C188" s="408"/>
      <c r="D188" s="409"/>
      <c r="E188" s="408"/>
      <c r="F188" s="408"/>
      <c r="G188" s="410"/>
      <c r="H188" s="408"/>
      <c r="I188" s="408"/>
      <c r="J188" s="410"/>
      <c r="K188" s="408"/>
      <c r="L188" s="410"/>
      <c r="M188" s="411"/>
      <c r="N188" s="411"/>
      <c r="O188" s="99"/>
    </row>
    <row r="189" spans="1:52" ht="43.5" x14ac:dyDescent="0.35">
      <c r="A189" s="98" t="s">
        <v>382</v>
      </c>
      <c r="B189" s="99" t="s">
        <v>383</v>
      </c>
      <c r="C189" s="408">
        <v>1</v>
      </c>
      <c r="D189" s="409" t="s">
        <v>247</v>
      </c>
      <c r="E189" s="417">
        <v>7200</v>
      </c>
      <c r="F189" s="417">
        <f>+C189*E189</f>
        <v>7200</v>
      </c>
      <c r="G189" s="410">
        <v>5.6859096460968157E-2</v>
      </c>
      <c r="H189" s="417">
        <f t="shared" si="10"/>
        <v>6790.6145054810295</v>
      </c>
      <c r="I189" s="417">
        <f t="shared" si="11"/>
        <v>6790.6145054810295</v>
      </c>
      <c r="J189" s="410"/>
      <c r="K189" s="417"/>
      <c r="L189" s="410"/>
      <c r="M189" s="411">
        <f>+I189*L189</f>
        <v>0</v>
      </c>
      <c r="N189" s="411"/>
      <c r="O189" s="99"/>
    </row>
    <row r="190" spans="1:52" x14ac:dyDescent="0.35">
      <c r="A190" s="98"/>
      <c r="B190" s="99"/>
      <c r="C190" s="408"/>
      <c r="D190" s="409"/>
      <c r="E190" s="408"/>
      <c r="F190" s="408"/>
      <c r="G190" s="410"/>
      <c r="H190" s="408"/>
      <c r="I190" s="408"/>
      <c r="J190" s="410"/>
      <c r="K190" s="408"/>
      <c r="L190" s="410"/>
      <c r="M190" s="411"/>
      <c r="N190" s="411"/>
      <c r="O190" s="99"/>
    </row>
    <row r="191" spans="1:52" s="90" customFormat="1" x14ac:dyDescent="0.35">
      <c r="A191" s="108" t="s">
        <v>351</v>
      </c>
      <c r="B191" s="109" t="s">
        <v>384</v>
      </c>
      <c r="C191" s="442"/>
      <c r="D191" s="443" t="s">
        <v>0</v>
      </c>
      <c r="E191" s="442"/>
      <c r="F191" s="444">
        <f>+F193+F205+F222</f>
        <v>151305.5</v>
      </c>
      <c r="G191" s="445"/>
      <c r="H191" s="444"/>
      <c r="I191" s="444">
        <f>+I193+I205+I222</f>
        <v>142702.40598042498</v>
      </c>
      <c r="J191" s="445"/>
      <c r="K191" s="446">
        <f>+K193+K205+K222</f>
        <v>0</v>
      </c>
      <c r="L191" s="445"/>
      <c r="M191" s="446">
        <f>+M193+M205+M222</f>
        <v>0</v>
      </c>
      <c r="N191" s="446">
        <f>+N193+N205+N222</f>
        <v>0</v>
      </c>
      <c r="O191" s="109"/>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row>
    <row r="192" spans="1:52" x14ac:dyDescent="0.35">
      <c r="A192" s="98"/>
      <c r="B192" s="99"/>
      <c r="C192" s="408"/>
      <c r="D192" s="409"/>
      <c r="E192" s="408"/>
      <c r="F192" s="408"/>
      <c r="G192" s="410"/>
      <c r="H192" s="408"/>
      <c r="I192" s="408"/>
      <c r="J192" s="410"/>
      <c r="K192" s="408"/>
      <c r="L192" s="410"/>
      <c r="M192" s="411"/>
      <c r="N192" s="411"/>
      <c r="O192" s="99"/>
    </row>
    <row r="193" spans="1:52" s="89" customFormat="1" x14ac:dyDescent="0.35">
      <c r="A193" s="100" t="s">
        <v>351</v>
      </c>
      <c r="B193" s="101" t="s">
        <v>385</v>
      </c>
      <c r="C193" s="412"/>
      <c r="D193" s="413" t="s">
        <v>0</v>
      </c>
      <c r="E193" s="412"/>
      <c r="F193" s="414">
        <f>+F199+F201+F203</f>
        <v>28781.5</v>
      </c>
      <c r="G193" s="415"/>
      <c r="H193" s="414"/>
      <c r="I193" s="414">
        <f>+I199+I201+I203</f>
        <v>27145.009915208644</v>
      </c>
      <c r="J193" s="415"/>
      <c r="K193" s="416">
        <f>+K199+K201+K203</f>
        <v>0</v>
      </c>
      <c r="L193" s="415"/>
      <c r="M193" s="416">
        <f>+M199+M201+M203</f>
        <v>0</v>
      </c>
      <c r="N193" s="416">
        <f>+N199+N201+N203</f>
        <v>0</v>
      </c>
      <c r="O193" s="101"/>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spans="1:52" x14ac:dyDescent="0.35">
      <c r="A194" s="98"/>
      <c r="B194" s="99"/>
      <c r="C194" s="408"/>
      <c r="D194" s="409"/>
      <c r="E194" s="408"/>
      <c r="F194" s="408"/>
      <c r="G194" s="410"/>
      <c r="H194" s="408"/>
      <c r="I194" s="408"/>
      <c r="J194" s="410"/>
      <c r="K194" s="408"/>
      <c r="L194" s="410"/>
      <c r="M194" s="411"/>
      <c r="N194" s="411"/>
      <c r="O194" s="99"/>
    </row>
    <row r="195" spans="1:52" s="3" customFormat="1" ht="29" x14ac:dyDescent="0.35">
      <c r="A195" s="104" t="s">
        <v>351</v>
      </c>
      <c r="B195" s="105" t="s">
        <v>342</v>
      </c>
      <c r="C195" s="418"/>
      <c r="D195" s="419"/>
      <c r="E195" s="418"/>
      <c r="F195" s="418"/>
      <c r="G195" s="420"/>
      <c r="H195" s="418"/>
      <c r="I195" s="418"/>
      <c r="J195" s="420"/>
      <c r="K195" s="418"/>
      <c r="L195" s="420"/>
      <c r="M195" s="421"/>
      <c r="N195" s="421"/>
      <c r="O195" s="105"/>
    </row>
    <row r="196" spans="1:52" x14ac:dyDescent="0.35">
      <c r="A196" s="98"/>
      <c r="B196" s="99"/>
      <c r="C196" s="408"/>
      <c r="D196" s="409"/>
      <c r="E196" s="408"/>
      <c r="F196" s="408"/>
      <c r="G196" s="410"/>
      <c r="H196" s="408"/>
      <c r="I196" s="408"/>
      <c r="J196" s="410"/>
      <c r="K196" s="408"/>
      <c r="L196" s="410"/>
      <c r="M196" s="411"/>
      <c r="N196" s="411"/>
      <c r="O196" s="99"/>
    </row>
    <row r="197" spans="1:52" s="3" customFormat="1" ht="87" x14ac:dyDescent="0.35">
      <c r="A197" s="324" t="s">
        <v>351</v>
      </c>
      <c r="B197" s="317" t="s">
        <v>386</v>
      </c>
      <c r="C197" s="453"/>
      <c r="D197" s="454"/>
      <c r="E197" s="453"/>
      <c r="F197" s="453"/>
      <c r="G197" s="455"/>
      <c r="H197" s="453"/>
      <c r="I197" s="453"/>
      <c r="J197" s="455"/>
      <c r="K197" s="453"/>
      <c r="L197" s="455"/>
      <c r="M197" s="456"/>
      <c r="N197" s="456"/>
      <c r="O197" s="317"/>
    </row>
    <row r="198" spans="1:52" x14ac:dyDescent="0.35">
      <c r="A198" s="321"/>
      <c r="B198" s="302"/>
      <c r="C198" s="438"/>
      <c r="D198" s="439"/>
      <c r="E198" s="438"/>
      <c r="F198" s="438"/>
      <c r="G198" s="440"/>
      <c r="H198" s="438"/>
      <c r="I198" s="438"/>
      <c r="J198" s="440"/>
      <c r="K198" s="438"/>
      <c r="L198" s="440"/>
      <c r="M198" s="441"/>
      <c r="N198" s="441"/>
      <c r="O198" s="302"/>
    </row>
    <row r="199" spans="1:52" ht="43.5" x14ac:dyDescent="0.35">
      <c r="A199" s="98" t="s">
        <v>387</v>
      </c>
      <c r="B199" s="99" t="s">
        <v>388</v>
      </c>
      <c r="C199" s="408">
        <v>2</v>
      </c>
      <c r="D199" s="409" t="s">
        <v>247</v>
      </c>
      <c r="E199" s="417">
        <v>5816.5</v>
      </c>
      <c r="F199" s="417">
        <f>+C199*E199</f>
        <v>11633</v>
      </c>
      <c r="G199" s="410">
        <v>5.6859096460968157E-2</v>
      </c>
      <c r="H199" s="417">
        <f t="shared" si="10"/>
        <v>5485.7790654347791</v>
      </c>
      <c r="I199" s="417">
        <f t="shared" si="11"/>
        <v>10971.558130869558</v>
      </c>
      <c r="J199" s="410"/>
      <c r="K199" s="417"/>
      <c r="L199" s="410"/>
      <c r="M199" s="411">
        <f>+I199*L199</f>
        <v>0</v>
      </c>
      <c r="N199" s="411"/>
      <c r="O199" s="99" t="s">
        <v>389</v>
      </c>
    </row>
    <row r="200" spans="1:52" x14ac:dyDescent="0.35">
      <c r="A200" s="98"/>
      <c r="B200" s="99"/>
      <c r="C200" s="408"/>
      <c r="D200" s="409"/>
      <c r="E200" s="408"/>
      <c r="F200" s="408"/>
      <c r="G200" s="410"/>
      <c r="H200" s="408"/>
      <c r="I200" s="408"/>
      <c r="J200" s="410"/>
      <c r="K200" s="408"/>
      <c r="L200" s="410"/>
      <c r="M200" s="411"/>
      <c r="N200" s="411"/>
      <c r="O200" s="99"/>
    </row>
    <row r="201" spans="1:52" ht="43.5" x14ac:dyDescent="0.35">
      <c r="A201" s="98" t="s">
        <v>390</v>
      </c>
      <c r="B201" s="99" t="s">
        <v>391</v>
      </c>
      <c r="C201" s="408">
        <v>2</v>
      </c>
      <c r="D201" s="409" t="s">
        <v>247</v>
      </c>
      <c r="E201" s="417">
        <v>6200</v>
      </c>
      <c r="F201" s="417">
        <f>+C201*E201</f>
        <v>12400</v>
      </c>
      <c r="G201" s="410">
        <v>5.6859096460968157E-2</v>
      </c>
      <c r="H201" s="417">
        <f t="shared" si="10"/>
        <v>5847.473601941997</v>
      </c>
      <c r="I201" s="417">
        <f t="shared" si="11"/>
        <v>11694.947203883994</v>
      </c>
      <c r="J201" s="410"/>
      <c r="K201" s="417"/>
      <c r="L201" s="410"/>
      <c r="M201" s="411">
        <f>+I201*L201</f>
        <v>0</v>
      </c>
      <c r="N201" s="411"/>
      <c r="O201" s="99" t="s">
        <v>389</v>
      </c>
    </row>
    <row r="202" spans="1:52" x14ac:dyDescent="0.35">
      <c r="A202" s="98"/>
      <c r="B202" s="99"/>
      <c r="C202" s="408"/>
      <c r="D202" s="409"/>
      <c r="E202" s="408"/>
      <c r="F202" s="408"/>
      <c r="G202" s="410"/>
      <c r="H202" s="408"/>
      <c r="I202" s="408"/>
      <c r="J202" s="410"/>
      <c r="K202" s="408"/>
      <c r="L202" s="410"/>
      <c r="M202" s="411"/>
      <c r="N202" s="411"/>
      <c r="O202" s="99"/>
    </row>
    <row r="203" spans="1:52" ht="29" x14ac:dyDescent="0.35">
      <c r="A203" s="98" t="s">
        <v>392</v>
      </c>
      <c r="B203" s="99" t="s">
        <v>393</v>
      </c>
      <c r="C203" s="408">
        <v>1</v>
      </c>
      <c r="D203" s="409" t="s">
        <v>247</v>
      </c>
      <c r="E203" s="417">
        <v>4748.5</v>
      </c>
      <c r="F203" s="417">
        <f>+C203*E203</f>
        <v>4748.5</v>
      </c>
      <c r="G203" s="410">
        <v>5.6859096460968157E-2</v>
      </c>
      <c r="H203" s="417">
        <f t="shared" si="10"/>
        <v>4478.5045804550928</v>
      </c>
      <c r="I203" s="417">
        <f t="shared" si="11"/>
        <v>4478.5045804550928</v>
      </c>
      <c r="J203" s="410"/>
      <c r="K203" s="417"/>
      <c r="L203" s="410"/>
      <c r="M203" s="411">
        <f>+I203*L203</f>
        <v>0</v>
      </c>
      <c r="N203" s="411"/>
      <c r="O203" s="99"/>
    </row>
    <row r="204" spans="1:52" x14ac:dyDescent="0.35">
      <c r="A204" s="98"/>
      <c r="B204" s="99"/>
      <c r="C204" s="408"/>
      <c r="D204" s="409"/>
      <c r="E204" s="408"/>
      <c r="F204" s="408"/>
      <c r="G204" s="410"/>
      <c r="H204" s="408"/>
      <c r="I204" s="408"/>
      <c r="J204" s="410"/>
      <c r="K204" s="408"/>
      <c r="L204" s="410"/>
      <c r="M204" s="411"/>
      <c r="N204" s="411"/>
      <c r="O204" s="99"/>
    </row>
    <row r="205" spans="1:52" s="89" customFormat="1" ht="29" x14ac:dyDescent="0.35">
      <c r="A205" s="100" t="s">
        <v>351</v>
      </c>
      <c r="B205" s="101" t="s">
        <v>394</v>
      </c>
      <c r="C205" s="412"/>
      <c r="D205" s="413" t="s">
        <v>0</v>
      </c>
      <c r="E205" s="412"/>
      <c r="F205" s="414">
        <f>+F210+F212+F214+F216+F220</f>
        <v>117924</v>
      </c>
      <c r="G205" s="415"/>
      <c r="H205" s="414"/>
      <c r="I205" s="414">
        <f>+I210+I212+I214+I216+I220</f>
        <v>111218.9479089368</v>
      </c>
      <c r="J205" s="415"/>
      <c r="K205" s="416">
        <f>+K210+K212+K214+K216+K220</f>
        <v>0</v>
      </c>
      <c r="L205" s="415"/>
      <c r="M205" s="416">
        <f>+M210+M212+M214+M216+M220</f>
        <v>0</v>
      </c>
      <c r="N205" s="416">
        <f>+N210+N212+N214+N216+N220</f>
        <v>0</v>
      </c>
      <c r="O205" s="101"/>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row>
    <row r="206" spans="1:52" x14ac:dyDescent="0.35">
      <c r="A206" s="98"/>
      <c r="B206" s="99"/>
      <c r="C206" s="408"/>
      <c r="D206" s="409"/>
      <c r="E206" s="408"/>
      <c r="F206" s="408"/>
      <c r="G206" s="410"/>
      <c r="H206" s="408"/>
      <c r="I206" s="408"/>
      <c r="J206" s="410"/>
      <c r="K206" s="408"/>
      <c r="L206" s="410"/>
      <c r="M206" s="411"/>
      <c r="N206" s="411"/>
      <c r="O206" s="99"/>
    </row>
    <row r="207" spans="1:52" x14ac:dyDescent="0.35">
      <c r="A207" s="98"/>
      <c r="B207" s="99"/>
      <c r="C207" s="408"/>
      <c r="D207" s="409"/>
      <c r="E207" s="408"/>
      <c r="F207" s="408"/>
      <c r="G207" s="410"/>
      <c r="H207" s="408"/>
      <c r="I207" s="408"/>
      <c r="J207" s="410"/>
      <c r="K207" s="408"/>
      <c r="L207" s="410"/>
      <c r="M207" s="411"/>
      <c r="N207" s="411"/>
      <c r="O207" s="99"/>
    </row>
    <row r="208" spans="1:52" s="3" customFormat="1" ht="101.5" x14ac:dyDescent="0.35">
      <c r="A208" s="104" t="s">
        <v>395</v>
      </c>
      <c r="B208" s="105" t="s">
        <v>396</v>
      </c>
      <c r="C208" s="418"/>
      <c r="D208" s="419"/>
      <c r="E208" s="418"/>
      <c r="F208" s="418"/>
      <c r="G208" s="420"/>
      <c r="H208" s="418"/>
      <c r="I208" s="418"/>
      <c r="J208" s="420"/>
      <c r="K208" s="418"/>
      <c r="L208" s="420"/>
      <c r="M208" s="421"/>
      <c r="N208" s="421"/>
      <c r="O208" s="105"/>
    </row>
    <row r="209" spans="1:52" x14ac:dyDescent="0.35">
      <c r="A209" s="98"/>
      <c r="B209" s="99"/>
      <c r="C209" s="408"/>
      <c r="D209" s="409"/>
      <c r="E209" s="408"/>
      <c r="F209" s="408"/>
      <c r="G209" s="410"/>
      <c r="H209" s="408"/>
      <c r="I209" s="408"/>
      <c r="J209" s="410"/>
      <c r="K209" s="408"/>
      <c r="L209" s="410"/>
      <c r="M209" s="411"/>
      <c r="N209" s="411"/>
      <c r="O209" s="99"/>
    </row>
    <row r="210" spans="1:52" ht="87" x14ac:dyDescent="0.35">
      <c r="A210" s="98" t="s">
        <v>397</v>
      </c>
      <c r="B210" s="99" t="s">
        <v>398</v>
      </c>
      <c r="C210" s="408">
        <v>1</v>
      </c>
      <c r="D210" s="409" t="s">
        <v>399</v>
      </c>
      <c r="E210" s="417">
        <v>6624</v>
      </c>
      <c r="F210" s="417">
        <f>+C210*E210</f>
        <v>6624</v>
      </c>
      <c r="G210" s="410">
        <v>5.6859096460968157E-2</v>
      </c>
      <c r="H210" s="417">
        <f t="shared" ref="H210:H226" si="12">+(E210)-(E210*G210)</f>
        <v>6247.3653450425472</v>
      </c>
      <c r="I210" s="417">
        <f t="shared" ref="I210:I226" si="13">+C210*H210</f>
        <v>6247.3653450425472</v>
      </c>
      <c r="J210" s="410"/>
      <c r="K210" s="417"/>
      <c r="L210" s="410"/>
      <c r="M210" s="411">
        <f>+I210*L210</f>
        <v>0</v>
      </c>
      <c r="N210" s="411"/>
      <c r="O210" s="99"/>
    </row>
    <row r="211" spans="1:52" x14ac:dyDescent="0.35">
      <c r="A211" s="98"/>
      <c r="B211" s="99"/>
      <c r="C211" s="408"/>
      <c r="D211" s="409"/>
      <c r="E211" s="408"/>
      <c r="F211" s="408"/>
      <c r="G211" s="410"/>
      <c r="H211" s="408"/>
      <c r="I211" s="408"/>
      <c r="J211" s="410"/>
      <c r="K211" s="408"/>
      <c r="L211" s="410"/>
      <c r="M211" s="411"/>
      <c r="N211" s="411"/>
      <c r="O211" s="99"/>
    </row>
    <row r="212" spans="1:52" ht="58" x14ac:dyDescent="0.35">
      <c r="A212" s="98" t="s">
        <v>400</v>
      </c>
      <c r="B212" s="99" t="s">
        <v>401</v>
      </c>
      <c r="C212" s="408">
        <v>1</v>
      </c>
      <c r="D212" s="409" t="s">
        <v>399</v>
      </c>
      <c r="E212" s="417">
        <v>14050</v>
      </c>
      <c r="F212" s="417">
        <f>+C212*E212</f>
        <v>14050</v>
      </c>
      <c r="G212" s="410">
        <v>5.6859096460968157E-2</v>
      </c>
      <c r="H212" s="417">
        <f t="shared" si="12"/>
        <v>13251.129694723397</v>
      </c>
      <c r="I212" s="417">
        <f t="shared" si="13"/>
        <v>13251.129694723397</v>
      </c>
      <c r="J212" s="410"/>
      <c r="K212" s="417"/>
      <c r="L212" s="410"/>
      <c r="M212" s="411">
        <f>+I212*L212</f>
        <v>0</v>
      </c>
      <c r="N212" s="411"/>
      <c r="O212" s="99"/>
    </row>
    <row r="213" spans="1:52" x14ac:dyDescent="0.35">
      <c r="A213" s="98"/>
      <c r="B213" s="99"/>
      <c r="C213" s="408"/>
      <c r="D213" s="409"/>
      <c r="E213" s="408"/>
      <c r="F213" s="408"/>
      <c r="G213" s="410"/>
      <c r="H213" s="408"/>
      <c r="I213" s="408"/>
      <c r="J213" s="410"/>
      <c r="K213" s="408"/>
      <c r="L213" s="410"/>
      <c r="M213" s="411"/>
      <c r="N213" s="411"/>
      <c r="O213" s="99"/>
    </row>
    <row r="214" spans="1:52" ht="58" x14ac:dyDescent="0.35">
      <c r="A214" s="98" t="s">
        <v>402</v>
      </c>
      <c r="B214" s="99" t="s">
        <v>403</v>
      </c>
      <c r="C214" s="408">
        <v>1</v>
      </c>
      <c r="D214" s="409" t="s">
        <v>399</v>
      </c>
      <c r="E214" s="417">
        <v>14050</v>
      </c>
      <c r="F214" s="417">
        <f>+C214*E214</f>
        <v>14050</v>
      </c>
      <c r="G214" s="410">
        <v>5.6859096460968157E-2</v>
      </c>
      <c r="H214" s="417">
        <f t="shared" si="12"/>
        <v>13251.129694723397</v>
      </c>
      <c r="I214" s="417">
        <f t="shared" si="13"/>
        <v>13251.129694723397</v>
      </c>
      <c r="J214" s="410"/>
      <c r="K214" s="417"/>
      <c r="L214" s="410"/>
      <c r="M214" s="411">
        <f>+I214*L214</f>
        <v>0</v>
      </c>
      <c r="N214" s="411"/>
      <c r="O214" s="99"/>
    </row>
    <row r="215" spans="1:52" x14ac:dyDescent="0.35">
      <c r="A215" s="98"/>
      <c r="B215" s="99"/>
      <c r="C215" s="408"/>
      <c r="D215" s="409"/>
      <c r="E215" s="408"/>
      <c r="F215" s="408"/>
      <c r="G215" s="410"/>
      <c r="H215" s="408"/>
      <c r="I215" s="408"/>
      <c r="J215" s="410"/>
      <c r="K215" s="408"/>
      <c r="L215" s="410"/>
      <c r="M215" s="411"/>
      <c r="N215" s="411"/>
      <c r="O215" s="99"/>
    </row>
    <row r="216" spans="1:52" ht="87" x14ac:dyDescent="0.35">
      <c r="A216" s="98" t="s">
        <v>404</v>
      </c>
      <c r="B216" s="99" t="s">
        <v>405</v>
      </c>
      <c r="C216" s="408">
        <v>2</v>
      </c>
      <c r="D216" s="409" t="s">
        <v>399</v>
      </c>
      <c r="E216" s="417">
        <v>9200</v>
      </c>
      <c r="F216" s="417">
        <f>+C216*E216</f>
        <v>18400</v>
      </c>
      <c r="G216" s="410">
        <v>5.6859096460968157E-2</v>
      </c>
      <c r="H216" s="417">
        <f t="shared" si="12"/>
        <v>8676.8963125590926</v>
      </c>
      <c r="I216" s="417">
        <f t="shared" si="13"/>
        <v>17353.792625118185</v>
      </c>
      <c r="J216" s="410"/>
      <c r="K216" s="417"/>
      <c r="L216" s="410"/>
      <c r="M216" s="411">
        <f>+I216*L216</f>
        <v>0</v>
      </c>
      <c r="N216" s="411"/>
      <c r="O216" s="99" t="s">
        <v>406</v>
      </c>
    </row>
    <row r="217" spans="1:52" x14ac:dyDescent="0.35">
      <c r="A217" s="322"/>
      <c r="B217" s="299"/>
      <c r="C217" s="431"/>
      <c r="D217" s="432"/>
      <c r="E217" s="431"/>
      <c r="F217" s="431"/>
      <c r="G217" s="433"/>
      <c r="H217" s="431"/>
      <c r="I217" s="431"/>
      <c r="J217" s="433"/>
      <c r="K217" s="431"/>
      <c r="L217" s="433"/>
      <c r="M217" s="434"/>
      <c r="N217" s="434"/>
      <c r="O217" s="299"/>
    </row>
    <row r="218" spans="1:52" ht="58" x14ac:dyDescent="0.35">
      <c r="A218" s="321" t="s">
        <v>407</v>
      </c>
      <c r="B218" s="302" t="s">
        <v>408</v>
      </c>
      <c r="C218" s="438">
        <v>1</v>
      </c>
      <c r="D218" s="439" t="s">
        <v>399</v>
      </c>
      <c r="E218" s="438"/>
      <c r="F218" s="438" t="s">
        <v>49</v>
      </c>
      <c r="G218" s="440"/>
      <c r="H218" s="438"/>
      <c r="I218" s="438"/>
      <c r="J218" s="440"/>
      <c r="K218" s="438"/>
      <c r="L218" s="440"/>
      <c r="M218" s="441"/>
      <c r="N218" s="441"/>
      <c r="O218" s="302"/>
    </row>
    <row r="219" spans="1:52" x14ac:dyDescent="0.35">
      <c r="A219" s="98"/>
      <c r="B219" s="99"/>
      <c r="C219" s="408"/>
      <c r="D219" s="409"/>
      <c r="E219" s="408"/>
      <c r="F219" s="408"/>
      <c r="G219" s="410"/>
      <c r="H219" s="408"/>
      <c r="I219" s="408"/>
      <c r="J219" s="410"/>
      <c r="K219" s="408"/>
      <c r="L219" s="410"/>
      <c r="M219" s="411"/>
      <c r="N219" s="411"/>
      <c r="O219" s="99"/>
    </row>
    <row r="220" spans="1:52" ht="87" x14ac:dyDescent="0.35">
      <c r="A220" s="98" t="s">
        <v>409</v>
      </c>
      <c r="B220" s="99" t="s">
        <v>410</v>
      </c>
      <c r="C220" s="408">
        <v>8</v>
      </c>
      <c r="D220" s="409" t="s">
        <v>399</v>
      </c>
      <c r="E220" s="417">
        <v>8100</v>
      </c>
      <c r="F220" s="417">
        <f>+C220*E220</f>
        <v>64800</v>
      </c>
      <c r="G220" s="410">
        <v>5.6859096460968157E-2</v>
      </c>
      <c r="H220" s="417">
        <f t="shared" si="12"/>
        <v>7639.4413186661577</v>
      </c>
      <c r="I220" s="417">
        <f t="shared" si="13"/>
        <v>61115.530549329262</v>
      </c>
      <c r="J220" s="410"/>
      <c r="K220" s="417"/>
      <c r="L220" s="410"/>
      <c r="M220" s="411">
        <f>+I220*L220</f>
        <v>0</v>
      </c>
      <c r="N220" s="411"/>
      <c r="O220" s="99" t="s">
        <v>406</v>
      </c>
    </row>
    <row r="221" spans="1:52" x14ac:dyDescent="0.35">
      <c r="A221" s="98"/>
      <c r="B221" s="99"/>
      <c r="C221" s="408"/>
      <c r="D221" s="409"/>
      <c r="E221" s="408"/>
      <c r="F221" s="408"/>
      <c r="G221" s="410"/>
      <c r="H221" s="408"/>
      <c r="I221" s="408"/>
      <c r="J221" s="410"/>
      <c r="K221" s="408"/>
      <c r="L221" s="410"/>
      <c r="M221" s="411"/>
      <c r="N221" s="411"/>
      <c r="O221" s="99"/>
    </row>
    <row r="222" spans="1:52" s="89" customFormat="1" x14ac:dyDescent="0.35">
      <c r="A222" s="100" t="s">
        <v>395</v>
      </c>
      <c r="B222" s="101" t="s">
        <v>411</v>
      </c>
      <c r="C222" s="412"/>
      <c r="D222" s="413" t="s">
        <v>0</v>
      </c>
      <c r="E222" s="412"/>
      <c r="F222" s="414">
        <f>+F226</f>
        <v>4600</v>
      </c>
      <c r="G222" s="415"/>
      <c r="H222" s="414"/>
      <c r="I222" s="414">
        <f>+I226</f>
        <v>4338.4481562795463</v>
      </c>
      <c r="J222" s="415"/>
      <c r="K222" s="416">
        <f>+K226</f>
        <v>0</v>
      </c>
      <c r="L222" s="415"/>
      <c r="M222" s="416">
        <f>+M226</f>
        <v>0</v>
      </c>
      <c r="N222" s="416">
        <f>+N226</f>
        <v>0</v>
      </c>
      <c r="O222" s="101"/>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row>
    <row r="223" spans="1:52" x14ac:dyDescent="0.35">
      <c r="A223" s="98"/>
      <c r="B223" s="99"/>
      <c r="C223" s="408"/>
      <c r="D223" s="409"/>
      <c r="E223" s="408"/>
      <c r="F223" s="408"/>
      <c r="G223" s="410"/>
      <c r="H223" s="408"/>
      <c r="I223" s="408"/>
      <c r="J223" s="410"/>
      <c r="K223" s="408"/>
      <c r="L223" s="410"/>
      <c r="M223" s="411"/>
      <c r="N223" s="411"/>
      <c r="O223" s="99"/>
    </row>
    <row r="224" spans="1:52" s="3" customFormat="1" ht="232" x14ac:dyDescent="0.35">
      <c r="A224" s="104" t="s">
        <v>395</v>
      </c>
      <c r="B224" s="105" t="s">
        <v>412</v>
      </c>
      <c r="C224" s="418"/>
      <c r="D224" s="419"/>
      <c r="E224" s="418"/>
      <c r="F224" s="418"/>
      <c r="G224" s="420"/>
      <c r="H224" s="418"/>
      <c r="I224" s="418"/>
      <c r="J224" s="420"/>
      <c r="K224" s="418"/>
      <c r="L224" s="420"/>
      <c r="M224" s="421"/>
      <c r="N224" s="421"/>
      <c r="O224" s="105"/>
    </row>
    <row r="225" spans="1:52" x14ac:dyDescent="0.35">
      <c r="A225" s="98"/>
      <c r="B225" s="99"/>
      <c r="C225" s="408"/>
      <c r="D225" s="409"/>
      <c r="E225" s="408"/>
      <c r="F225" s="408"/>
      <c r="G225" s="410"/>
      <c r="H225" s="408"/>
      <c r="I225" s="408"/>
      <c r="J225" s="410"/>
      <c r="K225" s="408"/>
      <c r="L225" s="410"/>
      <c r="M225" s="411"/>
      <c r="N225" s="411"/>
      <c r="O225" s="99"/>
    </row>
    <row r="226" spans="1:52" ht="58" x14ac:dyDescent="0.35">
      <c r="A226" s="98" t="s">
        <v>413</v>
      </c>
      <c r="B226" s="99" t="s">
        <v>414</v>
      </c>
      <c r="C226" s="408">
        <v>1</v>
      </c>
      <c r="D226" s="409" t="s">
        <v>11</v>
      </c>
      <c r="E226" s="417">
        <v>4600</v>
      </c>
      <c r="F226" s="417">
        <f>+C226*E226</f>
        <v>4600</v>
      </c>
      <c r="G226" s="410">
        <v>5.6859096460968157E-2</v>
      </c>
      <c r="H226" s="417">
        <f t="shared" si="12"/>
        <v>4338.4481562795463</v>
      </c>
      <c r="I226" s="417">
        <f t="shared" si="13"/>
        <v>4338.4481562795463</v>
      </c>
      <c r="J226" s="410"/>
      <c r="K226" s="417"/>
      <c r="L226" s="410"/>
      <c r="M226" s="411">
        <f>+I226*L226</f>
        <v>0</v>
      </c>
      <c r="N226" s="411"/>
      <c r="O226" s="99"/>
    </row>
    <row r="227" spans="1:52" x14ac:dyDescent="0.35">
      <c r="A227" s="98"/>
      <c r="B227" s="99"/>
      <c r="C227" s="408"/>
      <c r="D227" s="409"/>
      <c r="E227" s="408"/>
      <c r="F227" s="408"/>
      <c r="G227" s="410"/>
      <c r="H227" s="408"/>
      <c r="I227" s="408"/>
      <c r="J227" s="410"/>
      <c r="K227" s="408"/>
      <c r="L227" s="410"/>
      <c r="M227" s="411"/>
      <c r="N227" s="411"/>
      <c r="O227" s="99"/>
    </row>
    <row r="228" spans="1:52" x14ac:dyDescent="0.35">
      <c r="A228" s="123"/>
      <c r="B228" s="124"/>
      <c r="C228" s="457"/>
      <c r="D228" s="458"/>
      <c r="E228" s="457"/>
      <c r="F228" s="457"/>
      <c r="G228" s="459"/>
      <c r="H228" s="457"/>
      <c r="I228" s="457"/>
      <c r="J228" s="459"/>
      <c r="K228" s="457"/>
      <c r="L228" s="459"/>
      <c r="M228" s="460"/>
      <c r="N228" s="460"/>
      <c r="O228" s="124"/>
    </row>
    <row r="229" spans="1:52" s="91" customFormat="1" x14ac:dyDescent="0.35">
      <c r="A229" s="125"/>
      <c r="B229" s="150" t="s">
        <v>228</v>
      </c>
      <c r="C229" s="461"/>
      <c r="D229" s="462"/>
      <c r="E229" s="461"/>
      <c r="F229" s="463">
        <f>+F191+F91+F6</f>
        <v>879366.77</v>
      </c>
      <c r="G229" s="464"/>
      <c r="H229" s="463"/>
      <c r="I229" s="465">
        <f>+I191+I91+I6</f>
        <v>829366.7699999999</v>
      </c>
      <c r="J229" s="498"/>
      <c r="K229" s="465">
        <f>+K191+K91+K6</f>
        <v>0</v>
      </c>
      <c r="L229" s="464"/>
      <c r="M229" s="465">
        <f>+M191+M91+M6</f>
        <v>73275.995150947769</v>
      </c>
      <c r="N229" s="465">
        <f>+N191+N91+N6</f>
        <v>73275.995150947769</v>
      </c>
      <c r="O229" s="126"/>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row>
    <row r="231" spans="1:52" x14ac:dyDescent="0.35">
      <c r="H231" s="468"/>
      <c r="I231" s="468"/>
      <c r="K231" s="468"/>
    </row>
  </sheetData>
  <autoFilter ref="A1:AZ229" xr:uid="{F03E40A9-8654-4213-91A7-70356F9231B5}"/>
  <printOptions horizontalCentered="1"/>
  <pageMargins left="0.25" right="0.25" top="0.75" bottom="0.75" header="0.3" footer="0.3"/>
  <pageSetup paperSize="9" scale="7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F5B75-CC70-48B0-860B-F7BDB7A93FB7}">
  <dimension ref="A2:L10"/>
  <sheetViews>
    <sheetView view="pageBreakPreview" zoomScaleNormal="100" zoomScaleSheetLayoutView="100" workbookViewId="0">
      <selection activeCell="C5" sqref="C5"/>
    </sheetView>
  </sheetViews>
  <sheetFormatPr defaultRowHeight="14.5" x14ac:dyDescent="0.35"/>
  <cols>
    <col min="1" max="1" width="5.1796875" bestFit="1" customWidth="1"/>
    <col min="2" max="2" width="30.7265625" customWidth="1"/>
    <col min="4" max="4" width="4.81640625" bestFit="1" customWidth="1"/>
    <col min="7" max="8" width="9.1796875"/>
    <col min="9" max="9" width="11" customWidth="1"/>
    <col min="10" max="11" width="10.81640625" customWidth="1"/>
  </cols>
  <sheetData>
    <row r="2" spans="1:12" s="134" customFormat="1" ht="58" x14ac:dyDescent="0.35">
      <c r="A2" s="49" t="s">
        <v>237</v>
      </c>
      <c r="B2" s="50" t="s">
        <v>1</v>
      </c>
      <c r="C2" s="50" t="s">
        <v>238</v>
      </c>
      <c r="D2" s="49" t="s">
        <v>3</v>
      </c>
      <c r="E2" s="50" t="s">
        <v>4</v>
      </c>
      <c r="F2" s="50" t="s">
        <v>5</v>
      </c>
      <c r="G2" s="94" t="s">
        <v>832</v>
      </c>
      <c r="H2" s="50" t="s">
        <v>833</v>
      </c>
      <c r="I2" s="94" t="s">
        <v>834</v>
      </c>
      <c r="J2" s="50" t="s">
        <v>835</v>
      </c>
      <c r="K2" s="50" t="s">
        <v>836</v>
      </c>
      <c r="L2" s="50" t="s">
        <v>2</v>
      </c>
    </row>
    <row r="3" spans="1:12" s="134" customFormat="1" x14ac:dyDescent="0.35">
      <c r="A3" s="135"/>
      <c r="B3" s="136"/>
      <c r="C3" s="136"/>
      <c r="D3" s="135"/>
      <c r="E3" s="136"/>
      <c r="F3" s="136"/>
      <c r="G3" s="136"/>
      <c r="H3" s="136"/>
      <c r="I3" s="137"/>
      <c r="J3" s="136"/>
      <c r="K3" s="136"/>
      <c r="L3" s="136"/>
    </row>
    <row r="4" spans="1:12" x14ac:dyDescent="0.35">
      <c r="A4" s="138"/>
      <c r="B4" s="139" t="s">
        <v>632</v>
      </c>
      <c r="C4" s="138"/>
      <c r="D4" s="138"/>
      <c r="E4" s="138"/>
      <c r="F4" s="138"/>
      <c r="G4" s="138"/>
      <c r="H4" s="138"/>
      <c r="I4" s="138"/>
      <c r="J4" s="138"/>
      <c r="K4" s="138"/>
      <c r="L4" s="138"/>
    </row>
    <row r="5" spans="1:12" x14ac:dyDescent="0.35">
      <c r="A5" s="131"/>
      <c r="B5" s="140"/>
      <c r="C5" s="131"/>
      <c r="D5" s="131"/>
      <c r="E5" s="131"/>
      <c r="F5" s="131"/>
      <c r="G5" s="131"/>
      <c r="H5" s="131"/>
      <c r="I5" s="131"/>
      <c r="J5" s="131"/>
      <c r="K5" s="131"/>
      <c r="L5" s="131"/>
    </row>
    <row r="6" spans="1:12" x14ac:dyDescent="0.35">
      <c r="A6" s="108" t="s">
        <v>628</v>
      </c>
      <c r="B6" s="109" t="s">
        <v>629</v>
      </c>
      <c r="C6" s="109"/>
      <c r="D6" s="108" t="s">
        <v>0</v>
      </c>
      <c r="E6" s="109"/>
      <c r="F6" s="110">
        <f>+F8</f>
        <v>86902.2</v>
      </c>
      <c r="G6" s="110"/>
      <c r="H6" s="110"/>
      <c r="I6" s="110"/>
      <c r="J6" s="110">
        <f>+J8</f>
        <v>0</v>
      </c>
      <c r="K6" s="110"/>
      <c r="L6" s="109"/>
    </row>
    <row r="7" spans="1:12" x14ac:dyDescent="0.35">
      <c r="A7" s="131"/>
      <c r="B7" s="131"/>
      <c r="C7" s="131"/>
      <c r="D7" s="131"/>
      <c r="E7" s="131"/>
      <c r="F7" s="131"/>
      <c r="G7" s="131"/>
      <c r="H7" s="131"/>
      <c r="I7" s="131"/>
      <c r="J7" s="131"/>
      <c r="K7" s="131"/>
      <c r="L7" s="131"/>
    </row>
    <row r="8" spans="1:12" ht="29" x14ac:dyDescent="0.35">
      <c r="A8" s="98" t="s">
        <v>630</v>
      </c>
      <c r="B8" s="99" t="s">
        <v>631</v>
      </c>
      <c r="C8" s="132">
        <v>4</v>
      </c>
      <c r="D8" s="98" t="s">
        <v>11</v>
      </c>
      <c r="E8" s="103">
        <v>21725.55</v>
      </c>
      <c r="F8" s="103">
        <f>+C8*E8</f>
        <v>86902.2</v>
      </c>
      <c r="G8" s="103"/>
      <c r="H8" s="103"/>
      <c r="I8" s="103"/>
      <c r="J8" s="103">
        <f>+F8*I8</f>
        <v>0</v>
      </c>
      <c r="K8" s="103"/>
      <c r="L8" s="131"/>
    </row>
    <row r="9" spans="1:12" x14ac:dyDescent="0.35">
      <c r="A9" s="133"/>
      <c r="B9" s="133"/>
      <c r="C9" s="133"/>
      <c r="D9" s="133"/>
      <c r="E9" s="133"/>
      <c r="F9" s="133"/>
      <c r="G9" s="133"/>
      <c r="H9" s="133"/>
      <c r="I9" s="133"/>
      <c r="J9" s="133"/>
      <c r="K9" s="133"/>
      <c r="L9" s="133"/>
    </row>
    <row r="10" spans="1:12" x14ac:dyDescent="0.35">
      <c r="A10" s="151"/>
      <c r="B10" s="153" t="s">
        <v>228</v>
      </c>
      <c r="C10" s="151"/>
      <c r="D10" s="151"/>
      <c r="E10" s="151"/>
      <c r="F10" s="152">
        <f>+F6</f>
        <v>86902.2</v>
      </c>
      <c r="G10" s="152"/>
      <c r="H10" s="152">
        <f>+H6</f>
        <v>0</v>
      </c>
      <c r="I10" s="151"/>
      <c r="J10" s="152">
        <f>+J6</f>
        <v>0</v>
      </c>
      <c r="K10" s="152">
        <f>+K6</f>
        <v>0</v>
      </c>
      <c r="L10" s="151"/>
    </row>
  </sheetData>
  <printOptions horizontalCentered="1"/>
  <pageMargins left="0.25" right="0.25" top="0.75" bottom="0.75" header="0.3" footer="0.3"/>
  <pageSetup paperSize="9" scale="77"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1F92-DDF5-40C9-9E64-34BC900B1876}">
  <dimension ref="A1:L135"/>
  <sheetViews>
    <sheetView view="pageBreakPreview" zoomScaleNormal="100" zoomScaleSheetLayoutView="100" workbookViewId="0">
      <pane ySplit="2" topLeftCell="A3" activePane="bottomLeft" state="frozen"/>
      <selection pane="bottomLeft" activeCell="I47" sqref="I47:I50"/>
    </sheetView>
  </sheetViews>
  <sheetFormatPr defaultRowHeight="14.5" x14ac:dyDescent="0.35"/>
  <cols>
    <col min="1" max="1" width="7" style="127" bestFit="1" customWidth="1"/>
    <col min="2" max="2" width="31.54296875" style="134" customWidth="1"/>
    <col min="3" max="3" width="9.1796875" style="129"/>
    <col min="4" max="4" width="5.54296875" style="127" bestFit="1" customWidth="1"/>
    <col min="5" max="6" width="12" style="129" bestFit="1" customWidth="1"/>
    <col min="7" max="7" width="12" style="130" customWidth="1"/>
    <col min="8" max="8" width="12" style="129" customWidth="1"/>
    <col min="9" max="9" width="11" style="130" customWidth="1"/>
    <col min="10" max="11" width="10.54296875" style="129" customWidth="1"/>
    <col min="12" max="12" width="10.81640625" style="382" customWidth="1"/>
  </cols>
  <sheetData>
    <row r="1" spans="1:12" x14ac:dyDescent="0.35">
      <c r="A1" s="4"/>
      <c r="B1" s="51"/>
      <c r="C1" s="95"/>
      <c r="D1" s="4"/>
      <c r="E1" s="95"/>
      <c r="F1" s="95"/>
      <c r="G1" s="93"/>
      <c r="H1" s="95"/>
      <c r="I1" s="93"/>
      <c r="J1" s="95"/>
      <c r="K1" s="95"/>
      <c r="L1" s="51"/>
    </row>
    <row r="2" spans="1:12" ht="43.5" x14ac:dyDescent="0.35">
      <c r="A2" s="114" t="s">
        <v>237</v>
      </c>
      <c r="B2" s="50" t="s">
        <v>1</v>
      </c>
      <c r="C2" s="96" t="s">
        <v>238</v>
      </c>
      <c r="D2" s="114" t="s">
        <v>3</v>
      </c>
      <c r="E2" s="189" t="s">
        <v>4</v>
      </c>
      <c r="F2" s="189" t="s">
        <v>5</v>
      </c>
      <c r="G2" s="94" t="s">
        <v>832</v>
      </c>
      <c r="H2" s="50" t="s">
        <v>833</v>
      </c>
      <c r="I2" s="94" t="s">
        <v>834</v>
      </c>
      <c r="J2" s="50" t="s">
        <v>835</v>
      </c>
      <c r="K2" s="50" t="s">
        <v>836</v>
      </c>
      <c r="L2" s="50" t="s">
        <v>2</v>
      </c>
    </row>
    <row r="3" spans="1:12" x14ac:dyDescent="0.35">
      <c r="A3" s="160"/>
      <c r="B3" s="340"/>
      <c r="C3" s="172"/>
      <c r="D3" s="160"/>
      <c r="E3" s="172"/>
      <c r="F3" s="172"/>
      <c r="G3" s="177"/>
      <c r="H3" s="172"/>
      <c r="I3" s="177"/>
      <c r="J3" s="172"/>
      <c r="K3" s="172"/>
      <c r="L3" s="370"/>
    </row>
    <row r="4" spans="1:12" x14ac:dyDescent="0.35">
      <c r="A4" s="161"/>
      <c r="B4" s="341" t="s">
        <v>634</v>
      </c>
      <c r="C4" s="167"/>
      <c r="D4" s="161"/>
      <c r="E4" s="167"/>
      <c r="F4" s="167"/>
      <c r="G4" s="178"/>
      <c r="H4" s="167"/>
      <c r="I4" s="178"/>
      <c r="J4" s="167"/>
      <c r="K4" s="167"/>
      <c r="L4" s="371"/>
    </row>
    <row r="5" spans="1:12" x14ac:dyDescent="0.35">
      <c r="A5" s="162"/>
      <c r="B5" s="342"/>
      <c r="C5" s="168"/>
      <c r="D5" s="162"/>
      <c r="E5" s="168"/>
      <c r="F5" s="168"/>
      <c r="G5" s="179"/>
      <c r="H5" s="168"/>
      <c r="I5" s="179"/>
      <c r="J5" s="168"/>
      <c r="K5" s="168"/>
      <c r="L5" s="289"/>
    </row>
    <row r="6" spans="1:12" x14ac:dyDescent="0.35">
      <c r="A6" s="183"/>
      <c r="B6" s="343" t="s">
        <v>654</v>
      </c>
      <c r="C6" s="185"/>
      <c r="D6" s="183"/>
      <c r="E6" s="185"/>
      <c r="F6" s="187">
        <f>+F10+F12+F14+F18+F20+F22+F24+F26</f>
        <v>81875.018166728041</v>
      </c>
      <c r="G6" s="387"/>
      <c r="H6" s="187"/>
      <c r="I6" s="184"/>
      <c r="J6" s="187">
        <f>+J10+J12+J14+J18+J20+J22+J24+J26</f>
        <v>0</v>
      </c>
      <c r="K6" s="187"/>
      <c r="L6" s="372"/>
    </row>
    <row r="7" spans="1:12" x14ac:dyDescent="0.35">
      <c r="A7" s="162"/>
      <c r="B7" s="342"/>
      <c r="C7" s="168"/>
      <c r="D7" s="162"/>
      <c r="E7" s="168"/>
      <c r="F7" s="168"/>
      <c r="G7" s="179"/>
      <c r="H7" s="168"/>
      <c r="I7" s="179"/>
      <c r="J7" s="168"/>
      <c r="K7" s="168"/>
      <c r="L7" s="289"/>
    </row>
    <row r="8" spans="1:12" x14ac:dyDescent="0.35">
      <c r="A8" s="164">
        <v>26</v>
      </c>
      <c r="B8" s="344" t="s">
        <v>635</v>
      </c>
      <c r="C8" s="171"/>
      <c r="D8" s="162"/>
      <c r="E8" s="171"/>
      <c r="F8" s="171"/>
      <c r="G8" s="180"/>
      <c r="H8" s="171"/>
      <c r="I8" s="180"/>
      <c r="J8" s="171"/>
      <c r="K8" s="171"/>
      <c r="L8" s="289"/>
    </row>
    <row r="9" spans="1:12" x14ac:dyDescent="0.35">
      <c r="A9" s="162"/>
      <c r="B9" s="188"/>
      <c r="C9" s="171"/>
      <c r="D9" s="162"/>
      <c r="E9" s="171"/>
      <c r="F9" s="171"/>
      <c r="G9" s="180"/>
      <c r="H9" s="171"/>
      <c r="I9" s="180"/>
      <c r="J9" s="171"/>
      <c r="K9" s="171"/>
      <c r="L9" s="289"/>
    </row>
    <row r="10" spans="1:12" ht="101.5" x14ac:dyDescent="0.35">
      <c r="A10" s="162" t="s">
        <v>636</v>
      </c>
      <c r="B10" s="188" t="s">
        <v>637</v>
      </c>
      <c r="C10" s="171">
        <v>5</v>
      </c>
      <c r="D10" s="162" t="s">
        <v>638</v>
      </c>
      <c r="E10" s="171">
        <v>4608.5011196196547</v>
      </c>
      <c r="F10" s="171">
        <f>+C10*E10</f>
        <v>23042.505598098272</v>
      </c>
      <c r="G10" s="180"/>
      <c r="H10" s="171"/>
      <c r="I10" s="180"/>
      <c r="J10" s="171">
        <f>+F10*I10</f>
        <v>0</v>
      </c>
      <c r="K10" s="171"/>
      <c r="L10" s="289"/>
    </row>
    <row r="11" spans="1:12" x14ac:dyDescent="0.35">
      <c r="A11" s="162"/>
      <c r="B11" s="188"/>
      <c r="C11" s="171"/>
      <c r="D11" s="162"/>
      <c r="E11" s="171"/>
      <c r="F11" s="171"/>
      <c r="G11" s="180"/>
      <c r="H11" s="171"/>
      <c r="I11" s="180"/>
      <c r="J11" s="171"/>
      <c r="K11" s="171"/>
      <c r="L11" s="289"/>
    </row>
    <row r="12" spans="1:12" ht="87" x14ac:dyDescent="0.35">
      <c r="A12" s="162" t="s">
        <v>639</v>
      </c>
      <c r="B12" s="188" t="s">
        <v>640</v>
      </c>
      <c r="C12" s="171">
        <v>5</v>
      </c>
      <c r="D12" s="162" t="s">
        <v>638</v>
      </c>
      <c r="E12" s="171">
        <v>3212.2578901874995</v>
      </c>
      <c r="F12" s="171">
        <f>+C12*E12</f>
        <v>16061.289450937496</v>
      </c>
      <c r="G12" s="180"/>
      <c r="H12" s="171"/>
      <c r="I12" s="180"/>
      <c r="J12" s="171">
        <f>+F12*I12</f>
        <v>0</v>
      </c>
      <c r="K12" s="171"/>
      <c r="L12" s="289"/>
    </row>
    <row r="13" spans="1:12" x14ac:dyDescent="0.35">
      <c r="A13" s="162"/>
      <c r="B13" s="188"/>
      <c r="C13" s="171"/>
      <c r="D13" s="162"/>
      <c r="E13" s="171"/>
      <c r="F13" s="171"/>
      <c r="G13" s="180"/>
      <c r="H13" s="171"/>
      <c r="I13" s="180"/>
      <c r="J13" s="171"/>
      <c r="K13" s="171"/>
      <c r="L13" s="289"/>
    </row>
    <row r="14" spans="1:12" ht="72.5" x14ac:dyDescent="0.35">
      <c r="A14" s="162" t="s">
        <v>641</v>
      </c>
      <c r="B14" s="188" t="s">
        <v>642</v>
      </c>
      <c r="C14" s="171">
        <v>10</v>
      </c>
      <c r="D14" s="162" t="s">
        <v>638</v>
      </c>
      <c r="E14" s="171">
        <v>1435.466453766755</v>
      </c>
      <c r="F14" s="171">
        <f>+C14*E14</f>
        <v>14354.66453766755</v>
      </c>
      <c r="G14" s="180"/>
      <c r="H14" s="171"/>
      <c r="I14" s="180"/>
      <c r="J14" s="171">
        <f>+F14*I14</f>
        <v>0</v>
      </c>
      <c r="K14" s="171"/>
      <c r="L14" s="289"/>
    </row>
    <row r="15" spans="1:12" x14ac:dyDescent="0.35">
      <c r="A15" s="162"/>
      <c r="B15" s="188"/>
      <c r="C15" s="171"/>
      <c r="D15" s="162"/>
      <c r="E15" s="171"/>
      <c r="F15" s="171"/>
      <c r="G15" s="180"/>
      <c r="H15" s="171"/>
      <c r="I15" s="180"/>
      <c r="J15" s="171"/>
      <c r="K15" s="171"/>
      <c r="L15" s="289"/>
    </row>
    <row r="16" spans="1:12" x14ac:dyDescent="0.35">
      <c r="A16" s="164">
        <v>27</v>
      </c>
      <c r="B16" s="344" t="s">
        <v>643</v>
      </c>
      <c r="C16" s="171"/>
      <c r="D16" s="162"/>
      <c r="E16" s="171"/>
      <c r="F16" s="171"/>
      <c r="G16" s="180"/>
      <c r="H16" s="171"/>
      <c r="I16" s="180"/>
      <c r="J16" s="171"/>
      <c r="K16" s="171"/>
      <c r="L16" s="289"/>
    </row>
    <row r="17" spans="1:12" x14ac:dyDescent="0.35">
      <c r="A17" s="162"/>
      <c r="B17" s="188"/>
      <c r="C17" s="171"/>
      <c r="D17" s="162"/>
      <c r="E17" s="171"/>
      <c r="F17" s="171"/>
      <c r="G17" s="180"/>
      <c r="H17" s="171"/>
      <c r="I17" s="180"/>
      <c r="J17" s="171"/>
      <c r="K17" s="171"/>
      <c r="L17" s="289"/>
    </row>
    <row r="18" spans="1:12" ht="101.5" x14ac:dyDescent="0.35">
      <c r="A18" s="162" t="s">
        <v>644</v>
      </c>
      <c r="B18" s="188" t="s">
        <v>645</v>
      </c>
      <c r="C18" s="171">
        <v>2</v>
      </c>
      <c r="D18" s="162" t="s">
        <v>638</v>
      </c>
      <c r="E18" s="171">
        <v>3713.6168772319324</v>
      </c>
      <c r="F18" s="171">
        <f>+C18*E18</f>
        <v>7427.2337544638649</v>
      </c>
      <c r="G18" s="180"/>
      <c r="H18" s="171"/>
      <c r="I18" s="180"/>
      <c r="J18" s="171">
        <f>+F18*I18</f>
        <v>0</v>
      </c>
      <c r="K18" s="171"/>
      <c r="L18" s="289"/>
    </row>
    <row r="19" spans="1:12" x14ac:dyDescent="0.35">
      <c r="A19" s="162"/>
      <c r="B19" s="188"/>
      <c r="C19" s="171"/>
      <c r="D19" s="162"/>
      <c r="E19" s="171"/>
      <c r="F19" s="171"/>
      <c r="G19" s="180"/>
      <c r="H19" s="171"/>
      <c r="I19" s="180"/>
      <c r="J19" s="171"/>
      <c r="K19" s="171"/>
      <c r="L19" s="289"/>
    </row>
    <row r="20" spans="1:12" ht="87" x14ac:dyDescent="0.35">
      <c r="A20" s="162" t="s">
        <v>646</v>
      </c>
      <c r="B20" s="188" t="s">
        <v>647</v>
      </c>
      <c r="C20" s="171">
        <v>2</v>
      </c>
      <c r="D20" s="162" t="s">
        <v>638</v>
      </c>
      <c r="E20" s="171">
        <v>2564.7991345639002</v>
      </c>
      <c r="F20" s="171">
        <f>+C20*E20</f>
        <v>5129.5982691278004</v>
      </c>
      <c r="G20" s="180"/>
      <c r="H20" s="171"/>
      <c r="I20" s="180"/>
      <c r="J20" s="171">
        <f>+F20*I20</f>
        <v>0</v>
      </c>
      <c r="K20" s="171"/>
      <c r="L20" s="289"/>
    </row>
    <row r="21" spans="1:12" x14ac:dyDescent="0.35">
      <c r="A21" s="163"/>
      <c r="B21" s="332"/>
      <c r="C21" s="169"/>
      <c r="D21" s="163"/>
      <c r="E21" s="169"/>
      <c r="F21" s="169"/>
      <c r="G21" s="182"/>
      <c r="H21" s="169"/>
      <c r="I21" s="182"/>
      <c r="J21" s="169"/>
      <c r="K21" s="169"/>
      <c r="L21" s="373"/>
    </row>
    <row r="22" spans="1:12" ht="72.5" x14ac:dyDescent="0.35">
      <c r="A22" s="166" t="s">
        <v>648</v>
      </c>
      <c r="B22" s="325" t="s">
        <v>649</v>
      </c>
      <c r="C22" s="165">
        <v>4</v>
      </c>
      <c r="D22" s="166" t="s">
        <v>638</v>
      </c>
      <c r="E22" s="165">
        <v>1357.4915379043209</v>
      </c>
      <c r="F22" s="165">
        <f>+C22*E22</f>
        <v>5429.9661516172837</v>
      </c>
      <c r="G22" s="181"/>
      <c r="H22" s="165"/>
      <c r="I22" s="181"/>
      <c r="J22" s="165">
        <f>+F22*I22</f>
        <v>0</v>
      </c>
      <c r="K22" s="165"/>
      <c r="L22" s="374"/>
    </row>
    <row r="23" spans="1:12" x14ac:dyDescent="0.35">
      <c r="A23" s="162"/>
      <c r="B23" s="188"/>
      <c r="C23" s="171"/>
      <c r="D23" s="162"/>
      <c r="E23" s="171"/>
      <c r="F23" s="171"/>
      <c r="G23" s="180"/>
      <c r="H23" s="171"/>
      <c r="I23" s="180"/>
      <c r="J23" s="171"/>
      <c r="K23" s="171"/>
      <c r="L23" s="289"/>
    </row>
    <row r="24" spans="1:12" ht="58" x14ac:dyDescent="0.35">
      <c r="A24" s="162" t="s">
        <v>650</v>
      </c>
      <c r="B24" s="188" t="s">
        <v>651</v>
      </c>
      <c r="C24" s="171">
        <v>2</v>
      </c>
      <c r="D24" s="162" t="s">
        <v>638</v>
      </c>
      <c r="E24" s="171">
        <v>968.13231240789491</v>
      </c>
      <c r="F24" s="171">
        <f>+C24*E24</f>
        <v>1936.2646248157898</v>
      </c>
      <c r="G24" s="180"/>
      <c r="H24" s="171"/>
      <c r="I24" s="180"/>
      <c r="J24" s="171">
        <f>+F24*I24</f>
        <v>0</v>
      </c>
      <c r="K24" s="171"/>
      <c r="L24" s="289"/>
    </row>
    <row r="25" spans="1:12" x14ac:dyDescent="0.35">
      <c r="A25" s="162"/>
      <c r="B25" s="188"/>
      <c r="C25" s="171"/>
      <c r="D25" s="162"/>
      <c r="E25" s="171"/>
      <c r="F25" s="171"/>
      <c r="G25" s="180"/>
      <c r="H25" s="171"/>
      <c r="I25" s="180"/>
      <c r="J25" s="171"/>
      <c r="K25" s="171"/>
      <c r="L25" s="289"/>
    </row>
    <row r="26" spans="1:12" ht="43.5" x14ac:dyDescent="0.35">
      <c r="A26" s="162" t="s">
        <v>652</v>
      </c>
      <c r="B26" s="188" t="s">
        <v>653</v>
      </c>
      <c r="C26" s="171">
        <v>2</v>
      </c>
      <c r="D26" s="162" t="s">
        <v>638</v>
      </c>
      <c r="E26" s="171">
        <v>4246.7478899999996</v>
      </c>
      <c r="F26" s="171">
        <f>+C26*E26</f>
        <v>8493.4957799999993</v>
      </c>
      <c r="G26" s="180"/>
      <c r="H26" s="171"/>
      <c r="I26" s="180"/>
      <c r="J26" s="171">
        <f>+F26*I26</f>
        <v>0</v>
      </c>
      <c r="K26" s="171"/>
      <c r="L26" s="289"/>
    </row>
    <row r="27" spans="1:12" x14ac:dyDescent="0.35">
      <c r="A27" s="162"/>
      <c r="B27" s="188"/>
      <c r="C27" s="171"/>
      <c r="D27" s="162"/>
      <c r="E27" s="171"/>
      <c r="F27" s="171"/>
      <c r="G27" s="180"/>
      <c r="H27" s="171"/>
      <c r="I27" s="180"/>
      <c r="J27" s="171"/>
      <c r="K27" s="171"/>
      <c r="L27" s="289"/>
    </row>
    <row r="28" spans="1:12" x14ac:dyDescent="0.35">
      <c r="A28" s="161"/>
      <c r="B28" s="209" t="s">
        <v>655</v>
      </c>
      <c r="C28" s="167"/>
      <c r="D28" s="161"/>
      <c r="E28" s="167"/>
      <c r="F28" s="167"/>
      <c r="G28" s="178"/>
      <c r="H28" s="167"/>
      <c r="I28" s="178"/>
      <c r="J28" s="167"/>
      <c r="K28" s="167"/>
      <c r="L28" s="371"/>
    </row>
    <row r="29" spans="1:12" x14ac:dyDescent="0.35">
      <c r="A29" s="162"/>
      <c r="B29" s="188"/>
      <c r="C29" s="171"/>
      <c r="D29" s="162"/>
      <c r="E29" s="171"/>
      <c r="F29" s="171"/>
      <c r="G29" s="180"/>
      <c r="H29" s="171"/>
      <c r="I29" s="180"/>
      <c r="J29" s="171"/>
      <c r="K29" s="171"/>
      <c r="L29" s="289"/>
    </row>
    <row r="30" spans="1:12" ht="29" x14ac:dyDescent="0.35">
      <c r="A30" s="186">
        <v>28</v>
      </c>
      <c r="B30" s="345" t="s">
        <v>656</v>
      </c>
      <c r="C30" s="185"/>
      <c r="D30" s="183"/>
      <c r="E30" s="185"/>
      <c r="F30" s="190">
        <f>+F32</f>
        <v>8356.2767950558355</v>
      </c>
      <c r="G30" s="394"/>
      <c r="H30" s="190"/>
      <c r="I30" s="184"/>
      <c r="J30" s="190">
        <f>+J32</f>
        <v>0</v>
      </c>
      <c r="K30" s="190"/>
      <c r="L30" s="372"/>
    </row>
    <row r="31" spans="1:12" x14ac:dyDescent="0.35">
      <c r="A31" s="162"/>
      <c r="B31" s="188"/>
      <c r="C31" s="171"/>
      <c r="D31" s="162"/>
      <c r="E31" s="171"/>
      <c r="F31" s="171"/>
      <c r="G31" s="180"/>
      <c r="H31" s="171"/>
      <c r="I31" s="180"/>
      <c r="J31" s="171"/>
      <c r="K31" s="171"/>
      <c r="L31" s="289"/>
    </row>
    <row r="32" spans="1:12" ht="43.5" x14ac:dyDescent="0.35">
      <c r="A32" s="165" t="s">
        <v>657</v>
      </c>
      <c r="B32" s="175" t="s">
        <v>658</v>
      </c>
      <c r="C32" s="176">
        <v>1</v>
      </c>
      <c r="D32" s="166" t="s">
        <v>659</v>
      </c>
      <c r="E32" s="176">
        <v>8356.2767950558355</v>
      </c>
      <c r="F32" s="176">
        <f>+C32*E32</f>
        <v>8356.2767950558355</v>
      </c>
      <c r="G32" s="385"/>
      <c r="H32" s="176"/>
      <c r="I32" s="181"/>
      <c r="J32" s="171">
        <f>+F32*I32</f>
        <v>0</v>
      </c>
      <c r="K32" s="165"/>
      <c r="L32" s="374"/>
    </row>
    <row r="33" spans="1:12" x14ac:dyDescent="0.35">
      <c r="A33" s="162"/>
      <c r="B33" s="188"/>
      <c r="C33" s="171"/>
      <c r="D33" s="162"/>
      <c r="E33" s="171"/>
      <c r="F33" s="171"/>
      <c r="G33" s="180"/>
      <c r="H33" s="171"/>
      <c r="I33" s="180"/>
      <c r="J33" s="171"/>
      <c r="K33" s="171"/>
      <c r="L33" s="289"/>
    </row>
    <row r="34" spans="1:12" x14ac:dyDescent="0.35">
      <c r="A34" s="161"/>
      <c r="B34" s="209" t="s">
        <v>655</v>
      </c>
      <c r="C34" s="167"/>
      <c r="D34" s="161"/>
      <c r="E34" s="167"/>
      <c r="F34" s="167"/>
      <c r="G34" s="178"/>
      <c r="H34" s="167"/>
      <c r="I34" s="178"/>
      <c r="J34" s="167"/>
      <c r="K34" s="167"/>
      <c r="L34" s="371"/>
    </row>
    <row r="35" spans="1:12" x14ac:dyDescent="0.35">
      <c r="A35" s="162"/>
      <c r="B35" s="188"/>
      <c r="C35" s="171"/>
      <c r="D35" s="162"/>
      <c r="E35" s="171"/>
      <c r="F35" s="171"/>
      <c r="G35" s="180"/>
      <c r="H35" s="171"/>
      <c r="I35" s="180"/>
      <c r="J35" s="171"/>
      <c r="K35" s="171"/>
      <c r="L35" s="289"/>
    </row>
    <row r="36" spans="1:12" ht="16" x14ac:dyDescent="0.35">
      <c r="A36" s="186">
        <v>29</v>
      </c>
      <c r="B36" s="345" t="s">
        <v>660</v>
      </c>
      <c r="C36" s="185"/>
      <c r="D36" s="183"/>
      <c r="E36" s="185"/>
      <c r="F36" s="190">
        <f>+F38+F40</f>
        <v>7351.4438271866093</v>
      </c>
      <c r="G36" s="394"/>
      <c r="H36" s="190"/>
      <c r="I36" s="184"/>
      <c r="J36" s="190">
        <f>+J38+J40</f>
        <v>0</v>
      </c>
      <c r="K36" s="190"/>
      <c r="L36" s="372"/>
    </row>
    <row r="37" spans="1:12" x14ac:dyDescent="0.35">
      <c r="A37" s="162"/>
      <c r="B37" s="188"/>
      <c r="C37" s="171"/>
      <c r="D37" s="162"/>
      <c r="E37" s="171"/>
      <c r="F37" s="171"/>
      <c r="G37" s="180"/>
      <c r="H37" s="171"/>
      <c r="I37" s="180"/>
      <c r="J37" s="171"/>
      <c r="K37" s="171"/>
      <c r="L37" s="289"/>
    </row>
    <row r="38" spans="1:12" ht="43.5" x14ac:dyDescent="0.35">
      <c r="A38" s="171" t="s">
        <v>661</v>
      </c>
      <c r="B38" s="225" t="s">
        <v>662</v>
      </c>
      <c r="C38" s="171">
        <v>1</v>
      </c>
      <c r="D38" s="162" t="s">
        <v>638</v>
      </c>
      <c r="E38" s="171">
        <v>1260.0551027570041</v>
      </c>
      <c r="F38" s="176">
        <f>+C38*E38</f>
        <v>1260.0551027570041</v>
      </c>
      <c r="G38" s="385"/>
      <c r="H38" s="176"/>
      <c r="I38" s="181"/>
      <c r="J38" s="171">
        <f>+F38*I38</f>
        <v>0</v>
      </c>
      <c r="K38" s="171"/>
      <c r="L38" s="289"/>
    </row>
    <row r="39" spans="1:12" x14ac:dyDescent="0.35">
      <c r="A39" s="171"/>
      <c r="B39" s="225"/>
      <c r="C39" s="171"/>
      <c r="D39" s="162"/>
      <c r="E39" s="165"/>
      <c r="F39" s="171"/>
      <c r="G39" s="180"/>
      <c r="H39" s="171"/>
      <c r="I39" s="180"/>
      <c r="J39" s="171"/>
      <c r="K39" s="171"/>
      <c r="L39" s="289"/>
    </row>
    <row r="40" spans="1:12" ht="43.5" x14ac:dyDescent="0.35">
      <c r="A40" s="171" t="s">
        <v>663</v>
      </c>
      <c r="B40" s="225" t="s">
        <v>664</v>
      </c>
      <c r="C40" s="171">
        <v>2</v>
      </c>
      <c r="D40" s="162" t="s">
        <v>638</v>
      </c>
      <c r="E40" s="165">
        <v>3045.6943622148028</v>
      </c>
      <c r="F40" s="176">
        <f>+C40*E40</f>
        <v>6091.3887244296056</v>
      </c>
      <c r="G40" s="385"/>
      <c r="H40" s="176"/>
      <c r="I40" s="181"/>
      <c r="J40" s="171">
        <f>+F40*I40</f>
        <v>0</v>
      </c>
      <c r="K40" s="171"/>
      <c r="L40" s="289"/>
    </row>
    <row r="41" spans="1:12" x14ac:dyDescent="0.35">
      <c r="A41" s="162"/>
      <c r="B41" s="188"/>
      <c r="C41" s="171"/>
      <c r="D41" s="162"/>
      <c r="E41" s="171"/>
      <c r="F41" s="171"/>
      <c r="G41" s="180"/>
      <c r="H41" s="171"/>
      <c r="I41" s="180"/>
      <c r="J41" s="171"/>
      <c r="K41" s="171"/>
      <c r="L41" s="289"/>
    </row>
    <row r="42" spans="1:12" x14ac:dyDescent="0.35">
      <c r="A42" s="161"/>
      <c r="B42" s="209" t="s">
        <v>665</v>
      </c>
      <c r="C42" s="167"/>
      <c r="D42" s="161"/>
      <c r="E42" s="167"/>
      <c r="F42" s="167"/>
      <c r="G42" s="178"/>
      <c r="H42" s="167"/>
      <c r="I42" s="178"/>
      <c r="J42" s="167"/>
      <c r="K42" s="167"/>
      <c r="L42" s="371"/>
    </row>
    <row r="43" spans="1:12" x14ac:dyDescent="0.35">
      <c r="A43" s="162"/>
      <c r="B43" s="188"/>
      <c r="C43" s="171"/>
      <c r="D43" s="162"/>
      <c r="E43" s="171"/>
      <c r="F43" s="171"/>
      <c r="G43" s="180"/>
      <c r="H43" s="171"/>
      <c r="I43" s="180"/>
      <c r="J43" s="171"/>
      <c r="K43" s="171"/>
      <c r="L43" s="289"/>
    </row>
    <row r="44" spans="1:12" ht="29" x14ac:dyDescent="0.35">
      <c r="A44" s="186">
        <v>30</v>
      </c>
      <c r="B44" s="346" t="s">
        <v>675</v>
      </c>
      <c r="C44" s="185"/>
      <c r="D44" s="183"/>
      <c r="E44" s="185"/>
      <c r="F44" s="190">
        <f>+F47+F48+F49+F50</f>
        <v>7923.1375306637674</v>
      </c>
      <c r="G44" s="394"/>
      <c r="H44" s="190">
        <f>+H47+H48+H49+H50</f>
        <v>5546.196271464637</v>
      </c>
      <c r="I44" s="184"/>
      <c r="J44" s="190">
        <f>+J47+J48+J49+J50</f>
        <v>5546.196271464637</v>
      </c>
      <c r="K44" s="190">
        <f>+J44-H44</f>
        <v>0</v>
      </c>
      <c r="L44" s="372"/>
    </row>
    <row r="45" spans="1:12" x14ac:dyDescent="0.35">
      <c r="A45" s="163"/>
      <c r="B45" s="332"/>
      <c r="C45" s="169"/>
      <c r="D45" s="163"/>
      <c r="E45" s="169"/>
      <c r="F45" s="169"/>
      <c r="G45" s="182"/>
      <c r="H45" s="169"/>
      <c r="I45" s="182"/>
      <c r="J45" s="169"/>
      <c r="K45" s="169"/>
      <c r="L45" s="373"/>
    </row>
    <row r="46" spans="1:12" ht="72.5" x14ac:dyDescent="0.35">
      <c r="A46" s="173">
        <v>30</v>
      </c>
      <c r="B46" s="175" t="s">
        <v>666</v>
      </c>
      <c r="C46" s="173"/>
      <c r="D46" s="174"/>
      <c r="E46" s="173"/>
      <c r="F46" s="173"/>
      <c r="G46" s="395"/>
      <c r="H46" s="173"/>
      <c r="I46" s="181"/>
      <c r="J46" s="165"/>
      <c r="K46" s="165"/>
      <c r="L46" s="374"/>
    </row>
    <row r="47" spans="1:12" ht="29" x14ac:dyDescent="0.35">
      <c r="A47" s="168" t="s">
        <v>667</v>
      </c>
      <c r="B47" s="225" t="s">
        <v>668</v>
      </c>
      <c r="C47" s="168">
        <v>2</v>
      </c>
      <c r="D47" s="162" t="s">
        <v>458</v>
      </c>
      <c r="E47" s="168">
        <v>990.39219133297092</v>
      </c>
      <c r="F47" s="168">
        <f>+C47*E47</f>
        <v>1980.7843826659418</v>
      </c>
      <c r="G47" s="179">
        <v>0.7</v>
      </c>
      <c r="H47" s="168">
        <f>+F47*G47</f>
        <v>1386.5490678661592</v>
      </c>
      <c r="I47" s="423">
        <f>30%+20%+20%</f>
        <v>0.7</v>
      </c>
      <c r="J47" s="168">
        <f>+F47*I47</f>
        <v>1386.5490678661592</v>
      </c>
      <c r="K47" s="168">
        <f>+J47-H47</f>
        <v>0</v>
      </c>
      <c r="L47" s="289" t="s">
        <v>821</v>
      </c>
    </row>
    <row r="48" spans="1:12" ht="29" x14ac:dyDescent="0.35">
      <c r="A48" s="168" t="s">
        <v>669</v>
      </c>
      <c r="B48" s="225" t="s">
        <v>670</v>
      </c>
      <c r="C48" s="168">
        <v>2</v>
      </c>
      <c r="D48" s="162" t="s">
        <v>458</v>
      </c>
      <c r="E48" s="168">
        <v>990.39219133297092</v>
      </c>
      <c r="F48" s="168">
        <f>+C48*E48</f>
        <v>1980.7843826659418</v>
      </c>
      <c r="G48" s="179">
        <v>0.7</v>
      </c>
      <c r="H48" s="168">
        <f>+F48*G48</f>
        <v>1386.5490678661592</v>
      </c>
      <c r="I48" s="423">
        <f t="shared" ref="I48:I50" si="0">30%+20%+20%</f>
        <v>0.7</v>
      </c>
      <c r="J48" s="168">
        <f>+F48*I48</f>
        <v>1386.5490678661592</v>
      </c>
      <c r="K48" s="168">
        <f t="shared" ref="K48:K50" si="1">+J48-H48</f>
        <v>0</v>
      </c>
      <c r="L48" s="289" t="s">
        <v>821</v>
      </c>
    </row>
    <row r="49" spans="1:12" ht="29" x14ac:dyDescent="0.35">
      <c r="A49" s="168" t="s">
        <v>671</v>
      </c>
      <c r="B49" s="225" t="s">
        <v>672</v>
      </c>
      <c r="C49" s="168">
        <v>2</v>
      </c>
      <c r="D49" s="162" t="s">
        <v>458</v>
      </c>
      <c r="E49" s="168">
        <v>990.39219133297092</v>
      </c>
      <c r="F49" s="168">
        <f>+C49*E49</f>
        <v>1980.7843826659418</v>
      </c>
      <c r="G49" s="179">
        <v>0.7</v>
      </c>
      <c r="H49" s="168">
        <f>+F49*G49</f>
        <v>1386.5490678661592</v>
      </c>
      <c r="I49" s="423">
        <f t="shared" si="0"/>
        <v>0.7</v>
      </c>
      <c r="J49" s="168">
        <f>+F49*I49</f>
        <v>1386.5490678661592</v>
      </c>
      <c r="K49" s="168">
        <f t="shared" si="1"/>
        <v>0</v>
      </c>
      <c r="L49" s="289" t="s">
        <v>821</v>
      </c>
    </row>
    <row r="50" spans="1:12" ht="29" x14ac:dyDescent="0.35">
      <c r="A50" s="168" t="s">
        <v>673</v>
      </c>
      <c r="B50" s="225" t="s">
        <v>674</v>
      </c>
      <c r="C50" s="168">
        <v>2</v>
      </c>
      <c r="D50" s="162" t="s">
        <v>458</v>
      </c>
      <c r="E50" s="168">
        <v>990.39219133297092</v>
      </c>
      <c r="F50" s="168">
        <f>+C50*E50</f>
        <v>1980.7843826659418</v>
      </c>
      <c r="G50" s="179">
        <v>0.7</v>
      </c>
      <c r="H50" s="168">
        <f>+F50*G50</f>
        <v>1386.5490678661592</v>
      </c>
      <c r="I50" s="423">
        <f t="shared" si="0"/>
        <v>0.7</v>
      </c>
      <c r="J50" s="168">
        <f>+F50*I50</f>
        <v>1386.5490678661592</v>
      </c>
      <c r="K50" s="168">
        <f t="shared" si="1"/>
        <v>0</v>
      </c>
      <c r="L50" s="289" t="s">
        <v>821</v>
      </c>
    </row>
    <row r="51" spans="1:12" x14ac:dyDescent="0.35">
      <c r="A51" s="163"/>
      <c r="B51" s="332"/>
      <c r="C51" s="169"/>
      <c r="D51" s="163"/>
      <c r="E51" s="169"/>
      <c r="F51" s="169"/>
      <c r="G51" s="169"/>
      <c r="H51" s="169"/>
      <c r="I51" s="169"/>
      <c r="J51" s="169"/>
      <c r="K51" s="169"/>
      <c r="L51" s="373"/>
    </row>
    <row r="52" spans="1:12" x14ac:dyDescent="0.35">
      <c r="A52" s="347"/>
      <c r="B52" s="348" t="s">
        <v>665</v>
      </c>
      <c r="C52" s="349"/>
      <c r="D52" s="347"/>
      <c r="E52" s="349"/>
      <c r="F52" s="349"/>
      <c r="G52" s="350"/>
      <c r="H52" s="349"/>
      <c r="I52" s="350"/>
      <c r="J52" s="349"/>
      <c r="K52" s="349"/>
      <c r="L52" s="375"/>
    </row>
    <row r="53" spans="1:12" x14ac:dyDescent="0.35">
      <c r="A53" s="162"/>
      <c r="B53" s="188"/>
      <c r="C53" s="171"/>
      <c r="D53" s="162"/>
      <c r="E53" s="171"/>
      <c r="F53" s="171"/>
      <c r="G53" s="180"/>
      <c r="H53" s="171"/>
      <c r="I53" s="180"/>
      <c r="J53" s="171"/>
      <c r="K53" s="171"/>
      <c r="L53" s="289"/>
    </row>
    <row r="54" spans="1:12" ht="29" x14ac:dyDescent="0.35">
      <c r="A54" s="186">
        <v>31</v>
      </c>
      <c r="B54" s="346" t="s">
        <v>676</v>
      </c>
      <c r="C54" s="185"/>
      <c r="D54" s="183"/>
      <c r="E54" s="185"/>
      <c r="F54" s="190">
        <f>+F56+F58</f>
        <v>13694.931300716291</v>
      </c>
      <c r="G54" s="394"/>
      <c r="H54" s="190">
        <f>+H56+H58</f>
        <v>12325.438170644662</v>
      </c>
      <c r="I54" s="184"/>
      <c r="J54" s="190">
        <f>+J56+J58</f>
        <v>13694.931300716291</v>
      </c>
      <c r="K54" s="190">
        <f>+K56+K58</f>
        <v>1369.4931300716289</v>
      </c>
      <c r="L54" s="372"/>
    </row>
    <row r="55" spans="1:12" x14ac:dyDescent="0.35">
      <c r="A55" s="162"/>
      <c r="B55" s="188"/>
      <c r="C55" s="171"/>
      <c r="D55" s="162"/>
      <c r="E55" s="171"/>
      <c r="F55" s="171"/>
      <c r="G55" s="180"/>
      <c r="H55" s="171"/>
      <c r="I55" s="180"/>
      <c r="J55" s="171"/>
      <c r="K55" s="171"/>
      <c r="L55" s="289"/>
    </row>
    <row r="56" spans="1:12" ht="101.5" x14ac:dyDescent="0.35">
      <c r="A56" s="165" t="s">
        <v>677</v>
      </c>
      <c r="B56" s="175" t="s">
        <v>678</v>
      </c>
      <c r="C56" s="171">
        <v>1</v>
      </c>
      <c r="D56" s="162" t="s">
        <v>679</v>
      </c>
      <c r="E56" s="176">
        <v>10601.20940159979</v>
      </c>
      <c r="F56" s="176">
        <v>10601.20940159979</v>
      </c>
      <c r="G56" s="385">
        <v>0.9</v>
      </c>
      <c r="H56" s="176">
        <f>+F56*G56</f>
        <v>9541.088461439811</v>
      </c>
      <c r="I56" s="517">
        <v>1</v>
      </c>
      <c r="J56" s="171">
        <f>+F56*I56</f>
        <v>10601.20940159979</v>
      </c>
      <c r="K56" s="171">
        <f>+J56-H56</f>
        <v>1060.120940159979</v>
      </c>
      <c r="L56" s="289" t="s">
        <v>820</v>
      </c>
    </row>
    <row r="57" spans="1:12" x14ac:dyDescent="0.35">
      <c r="A57" s="165"/>
      <c r="B57" s="175"/>
      <c r="C57" s="171"/>
      <c r="D57" s="162"/>
      <c r="E57" s="176"/>
      <c r="F57" s="176"/>
      <c r="G57" s="385"/>
      <c r="H57" s="176"/>
      <c r="I57" s="180"/>
      <c r="J57" s="171"/>
      <c r="K57" s="171"/>
      <c r="L57" s="289"/>
    </row>
    <row r="58" spans="1:12" ht="43.5" x14ac:dyDescent="0.35">
      <c r="A58" s="165" t="s">
        <v>680</v>
      </c>
      <c r="B58" s="175" t="s">
        <v>681</v>
      </c>
      <c r="C58" s="171">
        <v>1</v>
      </c>
      <c r="D58" s="162" t="s">
        <v>679</v>
      </c>
      <c r="E58" s="176">
        <v>3093.7218991165009</v>
      </c>
      <c r="F58" s="176">
        <v>3093.7218991165009</v>
      </c>
      <c r="G58" s="385">
        <v>0.9</v>
      </c>
      <c r="H58" s="176">
        <f>+F58*G58</f>
        <v>2784.349709204851</v>
      </c>
      <c r="I58" s="517">
        <v>1</v>
      </c>
      <c r="J58" s="171">
        <f>+F58*I58</f>
        <v>3093.7218991165009</v>
      </c>
      <c r="K58" s="171">
        <f>+J58-H58</f>
        <v>309.37218991164991</v>
      </c>
      <c r="L58" s="289" t="s">
        <v>820</v>
      </c>
    </row>
    <row r="59" spans="1:12" x14ac:dyDescent="0.35">
      <c r="A59" s="162"/>
      <c r="B59" s="188"/>
      <c r="C59" s="171"/>
      <c r="D59" s="162"/>
      <c r="E59" s="171"/>
      <c r="F59" s="171"/>
      <c r="G59" s="180"/>
      <c r="H59" s="171"/>
      <c r="I59" s="180"/>
      <c r="J59" s="171"/>
      <c r="K59" s="171"/>
      <c r="L59" s="289"/>
    </row>
    <row r="60" spans="1:12" x14ac:dyDescent="0.35">
      <c r="A60" s="162"/>
      <c r="B60" s="188"/>
      <c r="C60" s="171"/>
      <c r="D60" s="162"/>
      <c r="E60" s="171"/>
      <c r="F60" s="171"/>
      <c r="G60" s="180"/>
      <c r="H60" s="171"/>
      <c r="I60" s="180"/>
      <c r="J60" s="171"/>
      <c r="K60" s="171"/>
      <c r="L60" s="289"/>
    </row>
    <row r="61" spans="1:12" ht="16" x14ac:dyDescent="0.35">
      <c r="A61" s="170">
        <v>32</v>
      </c>
      <c r="B61" s="209" t="s">
        <v>682</v>
      </c>
      <c r="C61" s="167"/>
      <c r="D61" s="161"/>
      <c r="E61" s="167"/>
      <c r="F61" s="208">
        <f>+F63+F71+F101</f>
        <v>154141.16</v>
      </c>
      <c r="G61" s="392"/>
      <c r="H61" s="208"/>
      <c r="I61" s="178"/>
      <c r="J61" s="208">
        <f>+J63+J71+J101</f>
        <v>0</v>
      </c>
      <c r="K61" s="208"/>
      <c r="L61" s="371"/>
    </row>
    <row r="62" spans="1:12" x14ac:dyDescent="0.35">
      <c r="A62" s="162"/>
      <c r="B62" s="188"/>
      <c r="C62" s="171"/>
      <c r="D62" s="162"/>
      <c r="E62" s="171"/>
      <c r="F62" s="171"/>
      <c r="G62" s="180"/>
      <c r="H62" s="171"/>
      <c r="I62" s="180"/>
      <c r="J62" s="171"/>
      <c r="K62" s="171"/>
      <c r="L62" s="289"/>
    </row>
    <row r="63" spans="1:12" x14ac:dyDescent="0.35">
      <c r="A63" s="199" t="s">
        <v>683</v>
      </c>
      <c r="B63" s="200" t="s">
        <v>684</v>
      </c>
      <c r="C63" s="201"/>
      <c r="D63" s="202" t="s">
        <v>0</v>
      </c>
      <c r="E63" s="201"/>
      <c r="F63" s="203">
        <f>+F65</f>
        <v>10435.44</v>
      </c>
      <c r="G63" s="391"/>
      <c r="H63" s="203"/>
      <c r="I63" s="204"/>
      <c r="J63" s="203">
        <f>+J65</f>
        <v>0</v>
      </c>
      <c r="K63" s="203"/>
      <c r="L63" s="376"/>
    </row>
    <row r="64" spans="1:12" x14ac:dyDescent="0.35">
      <c r="A64" s="162"/>
      <c r="B64" s="188"/>
      <c r="C64" s="171"/>
      <c r="D64" s="162"/>
      <c r="E64" s="171"/>
      <c r="F64" s="171"/>
      <c r="G64" s="180"/>
      <c r="H64" s="171"/>
      <c r="I64" s="180"/>
      <c r="J64" s="171"/>
      <c r="K64" s="171"/>
      <c r="L64" s="289"/>
    </row>
    <row r="65" spans="1:12" x14ac:dyDescent="0.35">
      <c r="A65" s="191" t="s">
        <v>683</v>
      </c>
      <c r="B65" s="192" t="s">
        <v>685</v>
      </c>
      <c r="C65" s="193"/>
      <c r="D65" s="191" t="s">
        <v>0</v>
      </c>
      <c r="E65" s="193"/>
      <c r="F65" s="193">
        <f>+F67+F69</f>
        <v>10435.44</v>
      </c>
      <c r="G65" s="194"/>
      <c r="H65" s="193"/>
      <c r="I65" s="194"/>
      <c r="J65" s="193">
        <f>+J67+J69</f>
        <v>0</v>
      </c>
      <c r="K65" s="193"/>
      <c r="L65" s="377"/>
    </row>
    <row r="66" spans="1:12" x14ac:dyDescent="0.35">
      <c r="A66" s="162"/>
      <c r="B66" s="188"/>
      <c r="C66" s="171"/>
      <c r="D66" s="162"/>
      <c r="E66" s="171"/>
      <c r="F66" s="171"/>
      <c r="G66" s="180"/>
      <c r="H66" s="171"/>
      <c r="I66" s="180"/>
      <c r="J66" s="171"/>
      <c r="K66" s="171"/>
      <c r="L66" s="289"/>
    </row>
    <row r="67" spans="1:12" ht="43.5" x14ac:dyDescent="0.35">
      <c r="A67" s="162" t="s">
        <v>686</v>
      </c>
      <c r="B67" s="188" t="s">
        <v>687</v>
      </c>
      <c r="C67" s="171">
        <v>1</v>
      </c>
      <c r="D67" s="162" t="s">
        <v>11</v>
      </c>
      <c r="E67" s="171">
        <v>4168.3</v>
      </c>
      <c r="F67" s="171">
        <f>+C67*E67</f>
        <v>4168.3</v>
      </c>
      <c r="G67" s="180"/>
      <c r="H67" s="171"/>
      <c r="I67" s="180"/>
      <c r="J67" s="171">
        <f>+F67*I67</f>
        <v>0</v>
      </c>
      <c r="K67" s="171"/>
      <c r="L67" s="289"/>
    </row>
    <row r="68" spans="1:12" x14ac:dyDescent="0.35">
      <c r="A68" s="162"/>
      <c r="B68" s="188"/>
      <c r="C68" s="171"/>
      <c r="D68" s="162"/>
      <c r="E68" s="171"/>
      <c r="F68" s="171"/>
      <c r="G68" s="180"/>
      <c r="H68" s="171"/>
      <c r="I68" s="180"/>
      <c r="J68" s="171"/>
      <c r="K68" s="171"/>
      <c r="L68" s="289"/>
    </row>
    <row r="69" spans="1:12" ht="43.5" x14ac:dyDescent="0.35">
      <c r="A69" s="162" t="s">
        <v>688</v>
      </c>
      <c r="B69" s="188" t="s">
        <v>689</v>
      </c>
      <c r="C69" s="171">
        <v>1</v>
      </c>
      <c r="D69" s="162" t="s">
        <v>11</v>
      </c>
      <c r="E69" s="171">
        <v>6267.14</v>
      </c>
      <c r="F69" s="171">
        <f>+C69*E69</f>
        <v>6267.14</v>
      </c>
      <c r="G69" s="180"/>
      <c r="H69" s="171"/>
      <c r="I69" s="180"/>
      <c r="J69" s="171">
        <f>+F69*I69</f>
        <v>0</v>
      </c>
      <c r="K69" s="171"/>
      <c r="L69" s="289"/>
    </row>
    <row r="70" spans="1:12" x14ac:dyDescent="0.35">
      <c r="A70" s="162"/>
      <c r="B70" s="188"/>
      <c r="C70" s="171"/>
      <c r="D70" s="162"/>
      <c r="E70" s="171"/>
      <c r="F70" s="171"/>
      <c r="G70" s="180"/>
      <c r="H70" s="171"/>
      <c r="I70" s="180"/>
      <c r="J70" s="171"/>
      <c r="K70" s="171"/>
      <c r="L70" s="289"/>
    </row>
    <row r="71" spans="1:12" x14ac:dyDescent="0.35">
      <c r="A71" s="199" t="s">
        <v>683</v>
      </c>
      <c r="B71" s="200" t="s">
        <v>690</v>
      </c>
      <c r="C71" s="201"/>
      <c r="D71" s="202" t="s">
        <v>0</v>
      </c>
      <c r="E71" s="201"/>
      <c r="F71" s="203">
        <f>+F73+F79+F93</f>
        <v>78277.740000000005</v>
      </c>
      <c r="G71" s="391"/>
      <c r="H71" s="203"/>
      <c r="I71" s="204"/>
      <c r="J71" s="203">
        <f>+J73+J79+J93</f>
        <v>0</v>
      </c>
      <c r="K71" s="203"/>
      <c r="L71" s="376"/>
    </row>
    <row r="72" spans="1:12" x14ac:dyDescent="0.35">
      <c r="A72" s="162"/>
      <c r="B72" s="188"/>
      <c r="C72" s="171"/>
      <c r="D72" s="162"/>
      <c r="E72" s="171"/>
      <c r="F72" s="171"/>
      <c r="G72" s="180"/>
      <c r="H72" s="171"/>
      <c r="I72" s="180"/>
      <c r="J72" s="171"/>
      <c r="K72" s="171"/>
      <c r="L72" s="289"/>
    </row>
    <row r="73" spans="1:12" x14ac:dyDescent="0.35">
      <c r="A73" s="195" t="s">
        <v>683</v>
      </c>
      <c r="B73" s="196" t="s">
        <v>691</v>
      </c>
      <c r="C73" s="193"/>
      <c r="D73" s="191" t="s">
        <v>0</v>
      </c>
      <c r="E73" s="193"/>
      <c r="F73" s="197">
        <f>+F75+F77</f>
        <v>14287.2</v>
      </c>
      <c r="G73" s="386"/>
      <c r="H73" s="197"/>
      <c r="I73" s="194"/>
      <c r="J73" s="197">
        <f>+J75+J77</f>
        <v>0</v>
      </c>
      <c r="K73" s="197"/>
      <c r="L73" s="377"/>
    </row>
    <row r="74" spans="1:12" x14ac:dyDescent="0.35">
      <c r="A74" s="162"/>
      <c r="B74" s="188"/>
      <c r="C74" s="171"/>
      <c r="D74" s="162"/>
      <c r="E74" s="171"/>
      <c r="F74" s="171"/>
      <c r="G74" s="180"/>
      <c r="H74" s="171"/>
      <c r="I74" s="180"/>
      <c r="J74" s="171"/>
      <c r="K74" s="171"/>
      <c r="L74" s="289"/>
    </row>
    <row r="75" spans="1:12" ht="29" x14ac:dyDescent="0.35">
      <c r="A75" s="162" t="s">
        <v>692</v>
      </c>
      <c r="B75" s="188" t="s">
        <v>693</v>
      </c>
      <c r="C75" s="171">
        <v>19</v>
      </c>
      <c r="D75" s="162" t="s">
        <v>48</v>
      </c>
      <c r="E75" s="171">
        <v>197.51</v>
      </c>
      <c r="F75" s="171">
        <f>+C75*E75</f>
        <v>3752.6899999999996</v>
      </c>
      <c r="G75" s="180"/>
      <c r="H75" s="171"/>
      <c r="I75" s="180"/>
      <c r="J75" s="171">
        <f>+F75*I75</f>
        <v>0</v>
      </c>
      <c r="K75" s="171"/>
      <c r="L75" s="289"/>
    </row>
    <row r="76" spans="1:12" x14ac:dyDescent="0.35">
      <c r="A76" s="162"/>
      <c r="B76" s="188"/>
      <c r="C76" s="171"/>
      <c r="D76" s="162"/>
      <c r="E76" s="171"/>
      <c r="F76" s="171"/>
      <c r="G76" s="180"/>
      <c r="H76" s="171"/>
      <c r="I76" s="180"/>
      <c r="J76" s="171"/>
      <c r="K76" s="171"/>
      <c r="L76" s="289"/>
    </row>
    <row r="77" spans="1:12" ht="29" x14ac:dyDescent="0.35">
      <c r="A77" s="162" t="s">
        <v>694</v>
      </c>
      <c r="B77" s="188" t="s">
        <v>695</v>
      </c>
      <c r="C77" s="171">
        <v>7</v>
      </c>
      <c r="D77" s="162" t="s">
        <v>23</v>
      </c>
      <c r="E77" s="171">
        <v>1504.93</v>
      </c>
      <c r="F77" s="171">
        <f>+C77*E77</f>
        <v>10534.51</v>
      </c>
      <c r="G77" s="180"/>
      <c r="H77" s="171"/>
      <c r="I77" s="180"/>
      <c r="J77" s="171">
        <f>+F77*I77</f>
        <v>0</v>
      </c>
      <c r="K77" s="171"/>
      <c r="L77" s="289"/>
    </row>
    <row r="78" spans="1:12" x14ac:dyDescent="0.35">
      <c r="A78" s="162"/>
      <c r="B78" s="188"/>
      <c r="C78" s="171"/>
      <c r="D78" s="162"/>
      <c r="E78" s="171"/>
      <c r="F78" s="171"/>
      <c r="G78" s="180"/>
      <c r="H78" s="171"/>
      <c r="I78" s="180"/>
      <c r="J78" s="171"/>
      <c r="K78" s="171"/>
      <c r="L78" s="289"/>
    </row>
    <row r="79" spans="1:12" x14ac:dyDescent="0.35">
      <c r="A79" s="326" t="s">
        <v>683</v>
      </c>
      <c r="B79" s="327" t="s">
        <v>685</v>
      </c>
      <c r="C79" s="328"/>
      <c r="D79" s="329" t="s">
        <v>0</v>
      </c>
      <c r="E79" s="328"/>
      <c r="F79" s="330">
        <f>+F83+F85+F89+F91</f>
        <v>50263.79</v>
      </c>
      <c r="G79" s="390"/>
      <c r="H79" s="330"/>
      <c r="I79" s="331"/>
      <c r="J79" s="330">
        <f>+J83+J85+J89+J91</f>
        <v>0</v>
      </c>
      <c r="K79" s="330"/>
      <c r="L79" s="378"/>
    </row>
    <row r="80" spans="1:12" x14ac:dyDescent="0.35">
      <c r="A80" s="166"/>
      <c r="B80" s="325"/>
      <c r="C80" s="165"/>
      <c r="D80" s="166"/>
      <c r="E80" s="165"/>
      <c r="F80" s="165"/>
      <c r="G80" s="181"/>
      <c r="H80" s="165"/>
      <c r="I80" s="181"/>
      <c r="J80" s="165"/>
      <c r="K80" s="165"/>
      <c r="L80" s="374"/>
    </row>
    <row r="81" spans="1:12" x14ac:dyDescent="0.35">
      <c r="A81" s="162" t="s">
        <v>683</v>
      </c>
      <c r="B81" s="188" t="s">
        <v>696</v>
      </c>
      <c r="C81" s="171"/>
      <c r="D81" s="162"/>
      <c r="E81" s="171"/>
      <c r="F81" s="171"/>
      <c r="G81" s="180"/>
      <c r="H81" s="171"/>
      <c r="I81" s="180"/>
      <c r="J81" s="171"/>
      <c r="K81" s="171"/>
      <c r="L81" s="289"/>
    </row>
    <row r="82" spans="1:12" x14ac:dyDescent="0.35">
      <c r="A82" s="162"/>
      <c r="B82" s="188"/>
      <c r="C82" s="171"/>
      <c r="D82" s="162"/>
      <c r="E82" s="171"/>
      <c r="F82" s="171"/>
      <c r="G82" s="180"/>
      <c r="H82" s="171"/>
      <c r="I82" s="180"/>
      <c r="J82" s="171"/>
      <c r="K82" s="171"/>
      <c r="L82" s="289"/>
    </row>
    <row r="83" spans="1:12" ht="43.5" x14ac:dyDescent="0.35">
      <c r="A83" s="162" t="s">
        <v>697</v>
      </c>
      <c r="B83" s="188" t="s">
        <v>698</v>
      </c>
      <c r="C83" s="171">
        <v>1</v>
      </c>
      <c r="D83" s="162" t="s">
        <v>11</v>
      </c>
      <c r="E83" s="171">
        <v>11851.36</v>
      </c>
      <c r="F83" s="171">
        <f>+C83*E83</f>
        <v>11851.36</v>
      </c>
      <c r="G83" s="180"/>
      <c r="H83" s="171"/>
      <c r="I83" s="180"/>
      <c r="J83" s="171">
        <f>+F83*I83</f>
        <v>0</v>
      </c>
      <c r="K83" s="171"/>
      <c r="L83" s="289"/>
    </row>
    <row r="84" spans="1:12" x14ac:dyDescent="0.35">
      <c r="A84" s="163"/>
      <c r="B84" s="332"/>
      <c r="C84" s="169"/>
      <c r="D84" s="163"/>
      <c r="E84" s="169"/>
      <c r="F84" s="169"/>
      <c r="G84" s="182"/>
      <c r="H84" s="169"/>
      <c r="I84" s="182"/>
      <c r="J84" s="169"/>
      <c r="K84" s="169"/>
      <c r="L84" s="373"/>
    </row>
    <row r="85" spans="1:12" ht="58" x14ac:dyDescent="0.35">
      <c r="A85" s="166" t="s">
        <v>699</v>
      </c>
      <c r="B85" s="325" t="s">
        <v>700</v>
      </c>
      <c r="C85" s="165">
        <v>1</v>
      </c>
      <c r="D85" s="166" t="s">
        <v>11</v>
      </c>
      <c r="E85" s="165">
        <v>12525.92</v>
      </c>
      <c r="F85" s="165">
        <f>+C85*E85</f>
        <v>12525.92</v>
      </c>
      <c r="G85" s="181"/>
      <c r="H85" s="165"/>
      <c r="I85" s="181"/>
      <c r="J85" s="165">
        <f>+F85*I85</f>
        <v>0</v>
      </c>
      <c r="K85" s="165"/>
      <c r="L85" s="374"/>
    </row>
    <row r="86" spans="1:12" x14ac:dyDescent="0.35">
      <c r="A86" s="162"/>
      <c r="B86" s="188"/>
      <c r="C86" s="171"/>
      <c r="D86" s="162"/>
      <c r="E86" s="171"/>
      <c r="F86" s="171"/>
      <c r="G86" s="180"/>
      <c r="H86" s="171"/>
      <c r="I86" s="180"/>
      <c r="J86" s="171"/>
      <c r="K86" s="171"/>
      <c r="L86" s="289"/>
    </row>
    <row r="87" spans="1:12" x14ac:dyDescent="0.35">
      <c r="A87" s="162" t="s">
        <v>683</v>
      </c>
      <c r="B87" s="188" t="s">
        <v>701</v>
      </c>
      <c r="C87" s="171"/>
      <c r="D87" s="162"/>
      <c r="E87" s="171"/>
      <c r="F87" s="171"/>
      <c r="G87" s="180"/>
      <c r="H87" s="171"/>
      <c r="I87" s="180"/>
      <c r="J87" s="171"/>
      <c r="K87" s="171"/>
      <c r="L87" s="289"/>
    </row>
    <row r="88" spans="1:12" x14ac:dyDescent="0.35">
      <c r="A88" s="162"/>
      <c r="B88" s="188"/>
      <c r="C88" s="171"/>
      <c r="D88" s="162"/>
      <c r="E88" s="171"/>
      <c r="F88" s="171"/>
      <c r="G88" s="180"/>
      <c r="H88" s="171"/>
      <c r="I88" s="180"/>
      <c r="J88" s="171"/>
      <c r="K88" s="171"/>
      <c r="L88" s="289"/>
    </row>
    <row r="89" spans="1:12" ht="43.5" x14ac:dyDescent="0.35">
      <c r="A89" s="162" t="s">
        <v>702</v>
      </c>
      <c r="B89" s="188" t="s">
        <v>703</v>
      </c>
      <c r="C89" s="171">
        <v>1</v>
      </c>
      <c r="D89" s="162" t="s">
        <v>11</v>
      </c>
      <c r="E89" s="171">
        <v>9654.65</v>
      </c>
      <c r="F89" s="171">
        <f>+C89*E89</f>
        <v>9654.65</v>
      </c>
      <c r="G89" s="180"/>
      <c r="H89" s="171"/>
      <c r="I89" s="180"/>
      <c r="J89" s="171">
        <f>+F89*I89</f>
        <v>0</v>
      </c>
      <c r="K89" s="171"/>
      <c r="L89" s="289"/>
    </row>
    <row r="90" spans="1:12" x14ac:dyDescent="0.35">
      <c r="A90" s="162"/>
      <c r="B90" s="188"/>
      <c r="C90" s="171"/>
      <c r="D90" s="162"/>
      <c r="E90" s="171"/>
      <c r="F90" s="171"/>
      <c r="G90" s="180"/>
      <c r="H90" s="171"/>
      <c r="I90" s="180"/>
      <c r="J90" s="171"/>
      <c r="K90" s="171"/>
      <c r="L90" s="289"/>
    </row>
    <row r="91" spans="1:12" ht="58" x14ac:dyDescent="0.35">
      <c r="A91" s="162" t="s">
        <v>704</v>
      </c>
      <c r="B91" s="188" t="s">
        <v>705</v>
      </c>
      <c r="C91" s="171">
        <v>1</v>
      </c>
      <c r="D91" s="162" t="s">
        <v>706</v>
      </c>
      <c r="E91" s="171">
        <v>16231.86</v>
      </c>
      <c r="F91" s="171">
        <f>+C91*E91</f>
        <v>16231.86</v>
      </c>
      <c r="G91" s="180"/>
      <c r="H91" s="171"/>
      <c r="I91" s="180"/>
      <c r="J91" s="171">
        <f>+F91*I91</f>
        <v>0</v>
      </c>
      <c r="K91" s="171"/>
      <c r="L91" s="289"/>
    </row>
    <row r="92" spans="1:12" x14ac:dyDescent="0.35">
      <c r="A92" s="162"/>
      <c r="B92" s="188"/>
      <c r="C92" s="171"/>
      <c r="D92" s="162"/>
      <c r="E92" s="171"/>
      <c r="F92" s="198"/>
      <c r="G92" s="393"/>
      <c r="H92" s="198"/>
      <c r="I92" s="180"/>
      <c r="J92" s="171"/>
      <c r="K92" s="171"/>
      <c r="L92" s="289"/>
    </row>
    <row r="93" spans="1:12" x14ac:dyDescent="0.35">
      <c r="A93" s="195" t="s">
        <v>683</v>
      </c>
      <c r="B93" s="196" t="s">
        <v>707</v>
      </c>
      <c r="C93" s="193"/>
      <c r="D93" s="191" t="s">
        <v>0</v>
      </c>
      <c r="E93" s="193"/>
      <c r="F93" s="197">
        <f>+F95+F97+F99</f>
        <v>13726.75</v>
      </c>
      <c r="G93" s="386"/>
      <c r="H93" s="197"/>
      <c r="I93" s="194"/>
      <c r="J93" s="197">
        <f>+J95+J97+J99</f>
        <v>0</v>
      </c>
      <c r="K93" s="197"/>
      <c r="L93" s="377"/>
    </row>
    <row r="94" spans="1:12" x14ac:dyDescent="0.35">
      <c r="A94" s="162"/>
      <c r="B94" s="188"/>
      <c r="C94" s="171"/>
      <c r="D94" s="162"/>
      <c r="E94" s="171"/>
      <c r="F94" s="171"/>
      <c r="G94" s="180"/>
      <c r="H94" s="171"/>
      <c r="I94" s="180"/>
      <c r="J94" s="171"/>
      <c r="K94" s="171"/>
      <c r="L94" s="289"/>
    </row>
    <row r="95" spans="1:12" ht="58" x14ac:dyDescent="0.35">
      <c r="A95" s="162" t="s">
        <v>708</v>
      </c>
      <c r="B95" s="188" t="s">
        <v>709</v>
      </c>
      <c r="C95" s="171">
        <v>1</v>
      </c>
      <c r="D95" s="162" t="s">
        <v>11</v>
      </c>
      <c r="E95" s="171">
        <v>5373.29</v>
      </c>
      <c r="F95" s="171">
        <f>+C95*E95</f>
        <v>5373.29</v>
      </c>
      <c r="G95" s="180"/>
      <c r="H95" s="171"/>
      <c r="I95" s="180"/>
      <c r="J95" s="171">
        <f>+F95*I95</f>
        <v>0</v>
      </c>
      <c r="K95" s="171"/>
      <c r="L95" s="289"/>
    </row>
    <row r="96" spans="1:12" x14ac:dyDescent="0.35">
      <c r="A96" s="162"/>
      <c r="B96" s="188"/>
      <c r="C96" s="171"/>
      <c r="D96" s="162"/>
      <c r="E96" s="171"/>
      <c r="F96" s="171"/>
      <c r="G96" s="180"/>
      <c r="H96" s="171"/>
      <c r="I96" s="180"/>
      <c r="J96" s="171"/>
      <c r="K96" s="171"/>
      <c r="L96" s="289"/>
    </row>
    <row r="97" spans="1:12" ht="29" x14ac:dyDescent="0.35">
      <c r="A97" s="162" t="s">
        <v>710</v>
      </c>
      <c r="B97" s="188" t="s">
        <v>711</v>
      </c>
      <c r="C97" s="171">
        <v>1</v>
      </c>
      <c r="D97" s="162" t="s">
        <v>11</v>
      </c>
      <c r="E97" s="171">
        <v>2897.93</v>
      </c>
      <c r="F97" s="171">
        <f>+C97*E97</f>
        <v>2897.93</v>
      </c>
      <c r="G97" s="180"/>
      <c r="H97" s="171"/>
      <c r="I97" s="180"/>
      <c r="J97" s="171">
        <f>+F97*I97</f>
        <v>0</v>
      </c>
      <c r="K97" s="171"/>
      <c r="L97" s="289"/>
    </row>
    <row r="98" spans="1:12" x14ac:dyDescent="0.35">
      <c r="A98" s="162"/>
      <c r="B98" s="188"/>
      <c r="C98" s="171"/>
      <c r="D98" s="162"/>
      <c r="E98" s="171"/>
      <c r="F98" s="171"/>
      <c r="G98" s="180"/>
      <c r="H98" s="171"/>
      <c r="I98" s="180"/>
      <c r="J98" s="171"/>
      <c r="K98" s="171"/>
      <c r="L98" s="289"/>
    </row>
    <row r="99" spans="1:12" ht="43.5" x14ac:dyDescent="0.35">
      <c r="A99" s="162" t="s">
        <v>712</v>
      </c>
      <c r="B99" s="188" t="s">
        <v>713</v>
      </c>
      <c r="C99" s="171">
        <v>1</v>
      </c>
      <c r="D99" s="162" t="s">
        <v>11</v>
      </c>
      <c r="E99" s="171">
        <v>5455.53</v>
      </c>
      <c r="F99" s="171">
        <f>+C99*E99</f>
        <v>5455.53</v>
      </c>
      <c r="G99" s="180"/>
      <c r="H99" s="171"/>
      <c r="I99" s="180"/>
      <c r="J99" s="171">
        <f>+F99*I99</f>
        <v>0</v>
      </c>
      <c r="K99" s="171"/>
      <c r="L99" s="289"/>
    </row>
    <row r="100" spans="1:12" x14ac:dyDescent="0.35">
      <c r="A100" s="162"/>
      <c r="B100" s="188"/>
      <c r="C100" s="171"/>
      <c r="D100" s="162"/>
      <c r="E100" s="171"/>
      <c r="F100" s="171"/>
      <c r="G100" s="180"/>
      <c r="H100" s="171"/>
      <c r="I100" s="180"/>
      <c r="J100" s="171"/>
      <c r="K100" s="171"/>
      <c r="L100" s="289"/>
    </row>
    <row r="101" spans="1:12" ht="16" x14ac:dyDescent="0.35">
      <c r="A101" s="202" t="s">
        <v>683</v>
      </c>
      <c r="B101" s="205" t="s">
        <v>714</v>
      </c>
      <c r="C101" s="201"/>
      <c r="D101" s="202" t="s">
        <v>0</v>
      </c>
      <c r="E101" s="201"/>
      <c r="F101" s="207">
        <f>+F103</f>
        <v>65427.979999999996</v>
      </c>
      <c r="G101" s="388"/>
      <c r="H101" s="207"/>
      <c r="I101" s="204"/>
      <c r="J101" s="207">
        <f>+J103</f>
        <v>0</v>
      </c>
      <c r="K101" s="207"/>
      <c r="L101" s="376"/>
    </row>
    <row r="102" spans="1:12" x14ac:dyDescent="0.35">
      <c r="A102" s="162"/>
      <c r="B102" s="188"/>
      <c r="C102" s="171"/>
      <c r="D102" s="162"/>
      <c r="E102" s="171"/>
      <c r="F102" s="171"/>
      <c r="G102" s="180"/>
      <c r="H102" s="171"/>
      <c r="I102" s="180"/>
      <c r="J102" s="171"/>
      <c r="K102" s="171"/>
      <c r="L102" s="289"/>
    </row>
    <row r="103" spans="1:12" x14ac:dyDescent="0.35">
      <c r="A103" s="195" t="s">
        <v>683</v>
      </c>
      <c r="B103" s="196" t="s">
        <v>691</v>
      </c>
      <c r="C103" s="193"/>
      <c r="D103" s="191" t="s">
        <v>0</v>
      </c>
      <c r="E103" s="193"/>
      <c r="F103" s="197">
        <f>+F105+F107+F109+F111+F113</f>
        <v>65427.979999999996</v>
      </c>
      <c r="G103" s="386"/>
      <c r="H103" s="197"/>
      <c r="I103" s="194"/>
      <c r="J103" s="197">
        <f>+J105+J107+J109+J111+J113</f>
        <v>0</v>
      </c>
      <c r="K103" s="197"/>
      <c r="L103" s="377"/>
    </row>
    <row r="104" spans="1:12" x14ac:dyDescent="0.35">
      <c r="A104" s="162"/>
      <c r="B104" s="188"/>
      <c r="C104" s="171"/>
      <c r="D104" s="162"/>
      <c r="E104" s="171"/>
      <c r="F104" s="171"/>
      <c r="G104" s="180"/>
      <c r="H104" s="171"/>
      <c r="I104" s="180"/>
      <c r="J104" s="171"/>
      <c r="K104" s="171"/>
      <c r="L104" s="289"/>
    </row>
    <row r="105" spans="1:12" ht="29" x14ac:dyDescent="0.35">
      <c r="A105" s="162" t="s">
        <v>715</v>
      </c>
      <c r="B105" s="188" t="s">
        <v>716</v>
      </c>
      <c r="C105" s="171">
        <v>33</v>
      </c>
      <c r="D105" s="162" t="s">
        <v>23</v>
      </c>
      <c r="E105" s="171">
        <v>674.29</v>
      </c>
      <c r="F105" s="171">
        <f>+C105*E105</f>
        <v>22251.57</v>
      </c>
      <c r="G105" s="180"/>
      <c r="H105" s="171"/>
      <c r="I105" s="180"/>
      <c r="J105" s="171">
        <f>+F105*I105</f>
        <v>0</v>
      </c>
      <c r="K105" s="171"/>
      <c r="L105" s="289"/>
    </row>
    <row r="106" spans="1:12" x14ac:dyDescent="0.35">
      <c r="A106" s="162"/>
      <c r="B106" s="188"/>
      <c r="C106" s="171"/>
      <c r="D106" s="162"/>
      <c r="E106" s="171"/>
      <c r="F106" s="171"/>
      <c r="G106" s="180"/>
      <c r="H106" s="171"/>
      <c r="I106" s="180"/>
      <c r="J106" s="171"/>
      <c r="K106" s="171"/>
      <c r="L106" s="289"/>
    </row>
    <row r="107" spans="1:12" ht="29" x14ac:dyDescent="0.35">
      <c r="A107" s="162" t="s">
        <v>717</v>
      </c>
      <c r="B107" s="188" t="s">
        <v>718</v>
      </c>
      <c r="C107" s="171">
        <v>62</v>
      </c>
      <c r="D107" s="162" t="s">
        <v>719</v>
      </c>
      <c r="E107" s="171">
        <v>231.28</v>
      </c>
      <c r="F107" s="171">
        <f>+C107*E107</f>
        <v>14339.36</v>
      </c>
      <c r="G107" s="180"/>
      <c r="H107" s="171"/>
      <c r="I107" s="180"/>
      <c r="J107" s="171">
        <f>+F107*I107</f>
        <v>0</v>
      </c>
      <c r="K107" s="171"/>
      <c r="L107" s="289"/>
    </row>
    <row r="108" spans="1:12" x14ac:dyDescent="0.35">
      <c r="A108" s="162"/>
      <c r="B108" s="188"/>
      <c r="C108" s="171"/>
      <c r="D108" s="162"/>
      <c r="E108" s="171"/>
      <c r="F108" s="171"/>
      <c r="G108" s="180"/>
      <c r="H108" s="171"/>
      <c r="I108" s="180"/>
      <c r="J108" s="171"/>
      <c r="K108" s="171"/>
      <c r="L108" s="289"/>
    </row>
    <row r="109" spans="1:12" ht="29" x14ac:dyDescent="0.35">
      <c r="A109" s="162" t="s">
        <v>720</v>
      </c>
      <c r="B109" s="188" t="s">
        <v>721</v>
      </c>
      <c r="C109" s="171">
        <v>31</v>
      </c>
      <c r="D109" s="162" t="s">
        <v>719</v>
      </c>
      <c r="E109" s="171">
        <v>325.19</v>
      </c>
      <c r="F109" s="171">
        <f>+C109*E109</f>
        <v>10080.89</v>
      </c>
      <c r="G109" s="180"/>
      <c r="H109" s="171"/>
      <c r="I109" s="180"/>
      <c r="J109" s="171">
        <f>+F109*I109</f>
        <v>0</v>
      </c>
      <c r="K109" s="171"/>
      <c r="L109" s="289"/>
    </row>
    <row r="110" spans="1:12" x14ac:dyDescent="0.35">
      <c r="A110" s="162"/>
      <c r="B110" s="188"/>
      <c r="C110" s="171"/>
      <c r="D110" s="162"/>
      <c r="E110" s="171"/>
      <c r="F110" s="171"/>
      <c r="G110" s="180"/>
      <c r="H110" s="171"/>
      <c r="I110" s="180"/>
      <c r="J110" s="171"/>
      <c r="K110" s="171"/>
      <c r="L110" s="289"/>
    </row>
    <row r="111" spans="1:12" ht="29" x14ac:dyDescent="0.35">
      <c r="A111" s="351" t="s">
        <v>722</v>
      </c>
      <c r="B111" s="352" t="s">
        <v>723</v>
      </c>
      <c r="C111" s="353">
        <v>10</v>
      </c>
      <c r="D111" s="351" t="s">
        <v>11</v>
      </c>
      <c r="E111" s="353">
        <v>1187.6199999999999</v>
      </c>
      <c r="F111" s="353">
        <f>+C111*E111</f>
        <v>11876.199999999999</v>
      </c>
      <c r="G111" s="354"/>
      <c r="H111" s="353"/>
      <c r="I111" s="354"/>
      <c r="J111" s="353">
        <f>+F111*I111</f>
        <v>0</v>
      </c>
      <c r="K111" s="353"/>
      <c r="L111" s="379"/>
    </row>
    <row r="112" spans="1:12" x14ac:dyDescent="0.35">
      <c r="A112" s="162"/>
      <c r="B112" s="188"/>
      <c r="C112" s="171"/>
      <c r="D112" s="162"/>
      <c r="E112" s="171"/>
      <c r="F112" s="171"/>
      <c r="G112" s="180"/>
      <c r="H112" s="171"/>
      <c r="I112" s="180"/>
      <c r="J112" s="171"/>
      <c r="K112" s="171"/>
      <c r="L112" s="289"/>
    </row>
    <row r="113" spans="1:12" ht="29" x14ac:dyDescent="0.35">
      <c r="A113" s="162" t="s">
        <v>724</v>
      </c>
      <c r="B113" s="188" t="s">
        <v>725</v>
      </c>
      <c r="C113" s="171">
        <v>2</v>
      </c>
      <c r="D113" s="162" t="s">
        <v>11</v>
      </c>
      <c r="E113" s="171">
        <v>3439.98</v>
      </c>
      <c r="F113" s="171">
        <f>+C113*E113</f>
        <v>6879.96</v>
      </c>
      <c r="G113" s="180"/>
      <c r="H113" s="171"/>
      <c r="I113" s="180"/>
      <c r="J113" s="171">
        <f>+F113*I113</f>
        <v>0</v>
      </c>
      <c r="K113" s="171"/>
      <c r="L113" s="289"/>
    </row>
    <row r="114" spans="1:12" x14ac:dyDescent="0.35">
      <c r="A114" s="162"/>
      <c r="B114" s="188"/>
      <c r="C114" s="171"/>
      <c r="D114" s="162"/>
      <c r="E114" s="171"/>
      <c r="F114" s="171"/>
      <c r="G114" s="180"/>
      <c r="H114" s="171"/>
      <c r="I114" s="180"/>
      <c r="J114" s="171"/>
      <c r="K114" s="171"/>
      <c r="L114" s="289"/>
    </row>
    <row r="115" spans="1:12" x14ac:dyDescent="0.35">
      <c r="A115" s="162" t="s">
        <v>726</v>
      </c>
      <c r="B115" s="188" t="s">
        <v>727</v>
      </c>
      <c r="C115" s="171">
        <v>0</v>
      </c>
      <c r="D115" s="162" t="s">
        <v>23</v>
      </c>
      <c r="E115" s="171">
        <v>388.27</v>
      </c>
      <c r="F115" s="171" t="s">
        <v>728</v>
      </c>
      <c r="G115" s="180"/>
      <c r="H115" s="171"/>
      <c r="I115" s="180"/>
      <c r="J115" s="171"/>
      <c r="K115" s="171"/>
      <c r="L115" s="289"/>
    </row>
    <row r="116" spans="1:12" x14ac:dyDescent="0.35">
      <c r="A116" s="162"/>
      <c r="B116" s="188"/>
      <c r="C116" s="171"/>
      <c r="D116" s="162"/>
      <c r="E116" s="171"/>
      <c r="F116" s="171"/>
      <c r="G116" s="180"/>
      <c r="H116" s="171"/>
      <c r="I116" s="180"/>
      <c r="J116" s="171"/>
      <c r="K116" s="171"/>
      <c r="L116" s="289"/>
    </row>
    <row r="117" spans="1:12" ht="16" x14ac:dyDescent="0.35">
      <c r="A117" s="355"/>
      <c r="B117" s="356" t="s">
        <v>729</v>
      </c>
      <c r="C117" s="357"/>
      <c r="D117" s="355"/>
      <c r="E117" s="357"/>
      <c r="F117" s="358">
        <f>+F119</f>
        <v>29675.593980106743</v>
      </c>
      <c r="G117" s="389"/>
      <c r="H117" s="358"/>
      <c r="I117" s="359"/>
      <c r="J117" s="358">
        <f>+J119+J123</f>
        <v>0</v>
      </c>
      <c r="K117" s="358"/>
      <c r="L117" s="380"/>
    </row>
    <row r="118" spans="1:12" x14ac:dyDescent="0.35">
      <c r="A118" s="166"/>
      <c r="B118" s="325"/>
      <c r="C118" s="165"/>
      <c r="D118" s="166"/>
      <c r="E118" s="165"/>
      <c r="F118" s="165"/>
      <c r="G118" s="181"/>
      <c r="H118" s="165"/>
      <c r="I118" s="181"/>
      <c r="J118" s="165"/>
      <c r="K118" s="165"/>
      <c r="L118" s="374"/>
    </row>
    <row r="119" spans="1:12" x14ac:dyDescent="0.35">
      <c r="A119" s="186">
        <v>33</v>
      </c>
      <c r="B119" s="217" t="s">
        <v>732</v>
      </c>
      <c r="C119" s="185"/>
      <c r="D119" s="183"/>
      <c r="E119" s="185"/>
      <c r="F119" s="206">
        <f>+F121</f>
        <v>29675.593980106743</v>
      </c>
      <c r="G119" s="384"/>
      <c r="H119" s="206"/>
      <c r="I119" s="184"/>
      <c r="J119" s="206">
        <f>+J121</f>
        <v>0</v>
      </c>
      <c r="K119" s="206"/>
      <c r="L119" s="372"/>
    </row>
    <row r="120" spans="1:12" x14ac:dyDescent="0.35">
      <c r="A120" s="162"/>
      <c r="B120" s="188"/>
      <c r="C120" s="171"/>
      <c r="D120" s="162"/>
      <c r="E120" s="171"/>
      <c r="F120" s="171"/>
      <c r="G120" s="180"/>
      <c r="H120" s="171"/>
      <c r="I120" s="180"/>
      <c r="J120" s="171"/>
      <c r="K120" s="171"/>
      <c r="L120" s="289"/>
    </row>
    <row r="121" spans="1:12" ht="87" x14ac:dyDescent="0.35">
      <c r="A121" s="162" t="s">
        <v>730</v>
      </c>
      <c r="B121" s="211" t="s">
        <v>731</v>
      </c>
      <c r="C121" s="211">
        <v>1</v>
      </c>
      <c r="D121" s="176" t="s">
        <v>11</v>
      </c>
      <c r="E121" s="165">
        <v>29675.593980106743</v>
      </c>
      <c r="F121" s="176">
        <f>+C121*E121</f>
        <v>29675.593980106743</v>
      </c>
      <c r="G121" s="385"/>
      <c r="H121" s="176"/>
      <c r="I121" s="176"/>
      <c r="J121" s="171">
        <f>+F121*I121</f>
        <v>0</v>
      </c>
      <c r="K121" s="171"/>
      <c r="L121" s="289"/>
    </row>
    <row r="122" spans="1:12" x14ac:dyDescent="0.35">
      <c r="A122" s="162"/>
      <c r="B122" s="220"/>
      <c r="C122" s="171"/>
      <c r="D122" s="162"/>
      <c r="E122" s="171"/>
      <c r="F122" s="171"/>
      <c r="G122" s="180"/>
      <c r="H122" s="171"/>
      <c r="I122" s="180"/>
      <c r="J122" s="171"/>
      <c r="K122" s="171"/>
      <c r="L122" s="289"/>
    </row>
    <row r="123" spans="1:12" ht="29" x14ac:dyDescent="0.35">
      <c r="A123" s="215"/>
      <c r="B123" s="346" t="s">
        <v>733</v>
      </c>
      <c r="C123" s="219"/>
      <c r="D123" s="215"/>
      <c r="E123" s="212"/>
      <c r="F123" s="221">
        <f>+F127+F129+F131+F133</f>
        <v>16888.340855855866</v>
      </c>
      <c r="G123" s="396"/>
      <c r="H123" s="221"/>
      <c r="I123" s="216"/>
      <c r="J123" s="210">
        <f>+J127+J129+J131+J133</f>
        <v>0</v>
      </c>
      <c r="K123" s="210"/>
      <c r="L123" s="381"/>
    </row>
    <row r="124" spans="1:12" x14ac:dyDescent="0.35">
      <c r="A124" s="162"/>
      <c r="B124" s="188"/>
      <c r="C124" s="171"/>
      <c r="D124" s="162"/>
      <c r="E124" s="171"/>
      <c r="F124" s="171"/>
      <c r="G124" s="180"/>
      <c r="H124" s="171"/>
      <c r="I124" s="180"/>
      <c r="J124" s="171"/>
      <c r="K124" s="171"/>
      <c r="L124" s="289"/>
    </row>
    <row r="125" spans="1:12" ht="72.5" x14ac:dyDescent="0.35">
      <c r="A125" s="171">
        <v>34</v>
      </c>
      <c r="B125" s="225" t="s">
        <v>734</v>
      </c>
      <c r="C125" s="198"/>
      <c r="D125" s="164"/>
      <c r="E125" s="198"/>
      <c r="F125" s="198"/>
      <c r="G125" s="393"/>
      <c r="H125" s="198"/>
      <c r="I125" s="180"/>
      <c r="J125" s="171"/>
      <c r="K125" s="171"/>
      <c r="L125" s="289"/>
    </row>
    <row r="126" spans="1:12" x14ac:dyDescent="0.35">
      <c r="A126" s="171"/>
      <c r="B126" s="225"/>
      <c r="C126" s="171"/>
      <c r="D126" s="162"/>
      <c r="E126" s="171"/>
      <c r="F126" s="171"/>
      <c r="G126" s="180"/>
      <c r="H126" s="171"/>
      <c r="I126" s="180"/>
      <c r="J126" s="171"/>
      <c r="K126" s="171"/>
      <c r="L126" s="289"/>
    </row>
    <row r="127" spans="1:12" x14ac:dyDescent="0.35">
      <c r="A127" s="171" t="s">
        <v>735</v>
      </c>
      <c r="B127" s="225" t="s">
        <v>736</v>
      </c>
      <c r="C127" s="171">
        <v>3</v>
      </c>
      <c r="D127" s="162" t="s">
        <v>458</v>
      </c>
      <c r="E127" s="171">
        <v>938.24115865865917</v>
      </c>
      <c r="F127" s="171">
        <f>+C127*E127</f>
        <v>2814.7234759759776</v>
      </c>
      <c r="G127" s="180"/>
      <c r="H127" s="171"/>
      <c r="I127" s="180"/>
      <c r="J127" s="171">
        <f>+F127*I127</f>
        <v>0</v>
      </c>
      <c r="K127" s="171"/>
      <c r="L127" s="289"/>
    </row>
    <row r="128" spans="1:12" x14ac:dyDescent="0.35">
      <c r="A128" s="171"/>
      <c r="B128" s="225"/>
      <c r="C128" s="171"/>
      <c r="D128" s="162"/>
      <c r="E128" s="171"/>
      <c r="F128" s="171"/>
      <c r="G128" s="180"/>
      <c r="H128" s="171"/>
      <c r="I128" s="180"/>
      <c r="J128" s="171"/>
      <c r="K128" s="171"/>
      <c r="L128" s="289"/>
    </row>
    <row r="129" spans="1:12" x14ac:dyDescent="0.35">
      <c r="A129" s="171" t="s">
        <v>737</v>
      </c>
      <c r="B129" s="225" t="s">
        <v>738</v>
      </c>
      <c r="C129" s="171">
        <v>6</v>
      </c>
      <c r="D129" s="162" t="s">
        <v>458</v>
      </c>
      <c r="E129" s="171">
        <v>938.24115865865917</v>
      </c>
      <c r="F129" s="171">
        <f>+C129*E129</f>
        <v>5629.4469519519553</v>
      </c>
      <c r="G129" s="180"/>
      <c r="H129" s="171"/>
      <c r="I129" s="180"/>
      <c r="J129" s="171">
        <f>+F129*I129</f>
        <v>0</v>
      </c>
      <c r="K129" s="171"/>
      <c r="L129" s="289"/>
    </row>
    <row r="130" spans="1:12" x14ac:dyDescent="0.35">
      <c r="A130" s="171"/>
      <c r="B130" s="225"/>
      <c r="C130" s="171"/>
      <c r="D130" s="162"/>
      <c r="E130" s="171"/>
      <c r="F130" s="171"/>
      <c r="G130" s="180"/>
      <c r="H130" s="171"/>
      <c r="I130" s="180"/>
      <c r="J130" s="171"/>
      <c r="K130" s="171"/>
      <c r="L130" s="289"/>
    </row>
    <row r="131" spans="1:12" x14ac:dyDescent="0.35">
      <c r="A131" s="171" t="s">
        <v>739</v>
      </c>
      <c r="B131" s="225" t="s">
        <v>740</v>
      </c>
      <c r="C131" s="171">
        <v>3</v>
      </c>
      <c r="D131" s="162" t="s">
        <v>458</v>
      </c>
      <c r="E131" s="171">
        <v>938.24115865865917</v>
      </c>
      <c r="F131" s="171">
        <f>+C131*E131</f>
        <v>2814.7234759759776</v>
      </c>
      <c r="G131" s="180"/>
      <c r="H131" s="171"/>
      <c r="I131" s="180"/>
      <c r="J131" s="171">
        <f>+F131*I131</f>
        <v>0</v>
      </c>
      <c r="K131" s="171"/>
      <c r="L131" s="289"/>
    </row>
    <row r="132" spans="1:12" x14ac:dyDescent="0.35">
      <c r="A132" s="171"/>
      <c r="B132" s="225"/>
      <c r="C132" s="171"/>
      <c r="D132" s="162"/>
      <c r="E132" s="171"/>
      <c r="F132" s="171"/>
      <c r="G132" s="180"/>
      <c r="H132" s="171"/>
      <c r="I132" s="180"/>
      <c r="J132" s="171"/>
      <c r="K132" s="171"/>
      <c r="L132" s="289"/>
    </row>
    <row r="133" spans="1:12" x14ac:dyDescent="0.35">
      <c r="A133" s="171" t="s">
        <v>741</v>
      </c>
      <c r="B133" s="225" t="s">
        <v>742</v>
      </c>
      <c r="C133" s="171">
        <v>6</v>
      </c>
      <c r="D133" s="162" t="s">
        <v>458</v>
      </c>
      <c r="E133" s="171">
        <v>938.24115865865917</v>
      </c>
      <c r="F133" s="171">
        <f>+C133*E133</f>
        <v>5629.4469519519553</v>
      </c>
      <c r="G133" s="180"/>
      <c r="H133" s="171"/>
      <c r="I133" s="180"/>
      <c r="J133" s="171">
        <f>+F133*I133</f>
        <v>0</v>
      </c>
      <c r="K133" s="171"/>
      <c r="L133" s="289"/>
    </row>
    <row r="134" spans="1:12" x14ac:dyDescent="0.35">
      <c r="A134" s="162"/>
      <c r="B134" s="188"/>
      <c r="C134" s="171"/>
      <c r="D134" s="162"/>
      <c r="E134" s="171"/>
      <c r="F134" s="171"/>
      <c r="G134" s="180"/>
      <c r="H134" s="171"/>
      <c r="I134" s="180"/>
      <c r="J134" s="171"/>
      <c r="K134" s="171"/>
      <c r="L134" s="289"/>
    </row>
    <row r="135" spans="1:12" x14ac:dyDescent="0.35">
      <c r="A135" s="163"/>
      <c r="B135" s="332"/>
      <c r="C135" s="169"/>
      <c r="D135" s="163"/>
      <c r="E135" s="169"/>
      <c r="F135" s="169"/>
      <c r="G135" s="182"/>
      <c r="H135" s="169"/>
      <c r="I135" s="182"/>
      <c r="J135" s="169"/>
      <c r="K135" s="169"/>
      <c r="L135" s="373"/>
    </row>
  </sheetData>
  <autoFilter ref="A1:L135" xr:uid="{7FC61F92-DDF5-40C9-9E64-34BC900B1876}"/>
  <printOptions horizontalCentered="1"/>
  <pageMargins left="0.25" right="0.25" top="0.25" bottom="0.25" header="0" footer="0"/>
  <pageSetup paperSize="9" scale="6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8D75-792E-4418-BF4C-CFB4FDB97C14}">
  <dimension ref="A1:S43"/>
  <sheetViews>
    <sheetView view="pageBreakPreview" zoomScale="68" zoomScaleNormal="90" zoomScaleSheetLayoutView="68" workbookViewId="0">
      <pane ySplit="3" topLeftCell="A4" activePane="bottomLeft" state="frozen"/>
      <selection pane="bottomLeft" activeCell="S27" sqref="S27"/>
    </sheetView>
  </sheetViews>
  <sheetFormatPr defaultColWidth="9.1796875" defaultRowHeight="14.5" x14ac:dyDescent="0.35"/>
  <cols>
    <col min="1" max="1" width="6.453125" customWidth="1"/>
    <col min="2" max="2" width="8.7265625" bestFit="1" customWidth="1"/>
    <col min="3" max="3" width="8.7265625" customWidth="1"/>
    <col min="4" max="4" width="9.81640625" customWidth="1"/>
    <col min="7" max="7" width="0" hidden="1" customWidth="1"/>
    <col min="8" max="8" width="17.54296875" hidden="1" customWidth="1"/>
    <col min="9" max="9" width="57" customWidth="1"/>
    <col min="10" max="10" width="14.54296875" bestFit="1" customWidth="1"/>
    <col min="11" max="11" width="18.1796875" bestFit="1" customWidth="1"/>
    <col min="12" max="12" width="16" bestFit="1" customWidth="1"/>
    <col min="13" max="13" width="18.54296875" bestFit="1" customWidth="1"/>
    <col min="14" max="14" width="16.453125" style="397" bestFit="1" customWidth="1"/>
    <col min="15" max="15" width="17.81640625" bestFit="1" customWidth="1"/>
    <col min="16" max="16" width="17.81640625" customWidth="1"/>
    <col min="17" max="17" width="16.453125" customWidth="1"/>
    <col min="18" max="18" width="35" customWidth="1"/>
  </cols>
  <sheetData>
    <row r="1" spans="1:19" x14ac:dyDescent="0.35">
      <c r="A1" s="223" t="s">
        <v>743</v>
      </c>
      <c r="B1" s="223"/>
      <c r="C1" s="223"/>
      <c r="D1" s="222"/>
      <c r="E1" s="224"/>
      <c r="F1" s="214"/>
      <c r="G1" s="224"/>
      <c r="H1" s="224"/>
      <c r="I1" s="218"/>
      <c r="J1" s="213"/>
      <c r="K1" s="213"/>
      <c r="L1" s="213"/>
      <c r="M1" s="214"/>
      <c r="N1" s="501"/>
      <c r="O1" s="214"/>
      <c r="P1" s="214"/>
      <c r="Q1" s="214"/>
      <c r="R1" s="226">
        <f ca="1">TODAY()</f>
        <v>44993</v>
      </c>
    </row>
    <row r="2" spans="1:19" x14ac:dyDescent="0.35">
      <c r="A2" s="86" t="s">
        <v>783</v>
      </c>
      <c r="B2" s="86"/>
      <c r="C2" s="86"/>
      <c r="D2" s="222"/>
      <c r="E2" s="223"/>
      <c r="F2" s="214"/>
      <c r="G2" s="223"/>
      <c r="H2" s="223"/>
      <c r="I2" s="227"/>
      <c r="J2" s="228"/>
      <c r="K2" s="228"/>
      <c r="L2" s="228"/>
      <c r="M2" s="214"/>
      <c r="N2" s="501"/>
      <c r="O2" s="214"/>
      <c r="P2" s="214"/>
      <c r="Q2" s="214"/>
      <c r="R2" s="69"/>
    </row>
    <row r="3" spans="1:19" ht="54.75" customHeight="1" x14ac:dyDescent="0.35">
      <c r="A3" s="229" t="s">
        <v>744</v>
      </c>
      <c r="B3" s="229" t="s">
        <v>745</v>
      </c>
      <c r="C3" s="229" t="s">
        <v>791</v>
      </c>
      <c r="D3" s="230" t="s">
        <v>746</v>
      </c>
      <c r="E3" s="231" t="s">
        <v>747</v>
      </c>
      <c r="F3" s="231" t="s">
        <v>748</v>
      </c>
      <c r="G3" s="232" t="s">
        <v>749</v>
      </c>
      <c r="H3" s="233" t="s">
        <v>750</v>
      </c>
      <c r="I3" s="234" t="s">
        <v>751</v>
      </c>
      <c r="J3" s="235" t="s">
        <v>752</v>
      </c>
      <c r="K3" s="235" t="s">
        <v>753</v>
      </c>
      <c r="L3" s="235" t="s">
        <v>754</v>
      </c>
      <c r="M3" s="236" t="s">
        <v>755</v>
      </c>
      <c r="N3" s="502" t="s">
        <v>873</v>
      </c>
      <c r="O3" s="236" t="s">
        <v>833</v>
      </c>
      <c r="P3" s="236" t="s">
        <v>872</v>
      </c>
      <c r="Q3" s="236" t="s">
        <v>835</v>
      </c>
      <c r="R3" s="237" t="s">
        <v>2</v>
      </c>
    </row>
    <row r="4" spans="1:19" ht="29" x14ac:dyDescent="0.35">
      <c r="A4" s="238">
        <v>1</v>
      </c>
      <c r="B4" s="238">
        <v>336</v>
      </c>
      <c r="C4" s="238" t="s">
        <v>792</v>
      </c>
      <c r="D4" s="239">
        <v>44852</v>
      </c>
      <c r="E4" s="240">
        <v>336</v>
      </c>
      <c r="F4" s="241" t="s">
        <v>756</v>
      </c>
      <c r="G4" s="242" t="s">
        <v>757</v>
      </c>
      <c r="H4" s="242" t="s">
        <v>758</v>
      </c>
      <c r="I4" s="242" t="s">
        <v>759</v>
      </c>
      <c r="J4" s="243"/>
      <c r="K4" s="243">
        <f>+'Timber doors '!I229+'Misc. Joinery'!F287</f>
        <v>2312295.9599999995</v>
      </c>
      <c r="L4" s="244"/>
      <c r="M4" s="245">
        <f>+'Timber doors '!I229+'Misc. Joinery'!F287</f>
        <v>2312295.9599999995</v>
      </c>
      <c r="N4" s="503" t="s">
        <v>760</v>
      </c>
      <c r="O4" s="246">
        <v>28504.827499999996</v>
      </c>
      <c r="P4" s="246">
        <f>+'Misc. Joinery'!J287+'Timber doors '!M229</f>
        <v>439384.67070611863</v>
      </c>
      <c r="Q4" s="246">
        <f>+'Misc. Joinery'!K287+'Timber doors '!N229</f>
        <v>410879.84320611862</v>
      </c>
      <c r="R4" s="247"/>
    </row>
    <row r="5" spans="1:19" ht="29" x14ac:dyDescent="0.35">
      <c r="A5" s="238">
        <f>+A4+1</f>
        <v>2</v>
      </c>
      <c r="B5" s="238">
        <v>348</v>
      </c>
      <c r="C5" s="238" t="s">
        <v>795</v>
      </c>
      <c r="D5" s="239">
        <v>44853</v>
      </c>
      <c r="E5" s="240">
        <v>348</v>
      </c>
      <c r="F5" s="241" t="s">
        <v>756</v>
      </c>
      <c r="G5" s="242" t="s">
        <v>757</v>
      </c>
      <c r="H5" s="242" t="s">
        <v>758</v>
      </c>
      <c r="I5" s="242" t="s">
        <v>761</v>
      </c>
      <c r="J5" s="243"/>
      <c r="K5" s="243">
        <f>+'Additional Joinery works '!F6</f>
        <v>81875.018166728041</v>
      </c>
      <c r="L5" s="244"/>
      <c r="M5" s="245">
        <f>+K5</f>
        <v>81875.018166728041</v>
      </c>
      <c r="N5" s="503" t="s">
        <v>762</v>
      </c>
      <c r="O5" s="246"/>
      <c r="P5" s="246"/>
      <c r="Q5" s="246"/>
      <c r="R5" s="247"/>
    </row>
    <row r="6" spans="1:19" x14ac:dyDescent="0.35">
      <c r="A6" s="238">
        <f t="shared" ref="A6:A23" si="0">+A5+1</f>
        <v>3</v>
      </c>
      <c r="B6" s="238">
        <v>372</v>
      </c>
      <c r="C6" s="238" t="s">
        <v>796</v>
      </c>
      <c r="D6" s="239">
        <v>44859</v>
      </c>
      <c r="E6" s="240">
        <v>372</v>
      </c>
      <c r="F6" s="241" t="s">
        <v>756</v>
      </c>
      <c r="G6" s="242" t="s">
        <v>757</v>
      </c>
      <c r="H6" s="242" t="s">
        <v>758</v>
      </c>
      <c r="I6" s="242" t="s">
        <v>763</v>
      </c>
      <c r="J6" s="243"/>
      <c r="K6" s="243">
        <f>+Daybed!F10</f>
        <v>86902.2</v>
      </c>
      <c r="L6" s="244"/>
      <c r="M6" s="245">
        <f t="shared" ref="M6:M9" si="1">J6+K6</f>
        <v>86902.2</v>
      </c>
      <c r="N6" s="503" t="s">
        <v>764</v>
      </c>
      <c r="O6" s="246"/>
      <c r="P6" s="246"/>
      <c r="Q6" s="246"/>
      <c r="R6" s="266"/>
    </row>
    <row r="7" spans="1:19" ht="43.5" x14ac:dyDescent="0.35">
      <c r="A7" s="238">
        <f t="shared" si="0"/>
        <v>4</v>
      </c>
      <c r="B7" s="238">
        <v>388</v>
      </c>
      <c r="C7" s="238" t="s">
        <v>797</v>
      </c>
      <c r="D7" s="239">
        <v>44861</v>
      </c>
      <c r="E7" s="240">
        <v>388</v>
      </c>
      <c r="F7" s="241" t="s">
        <v>756</v>
      </c>
      <c r="G7" s="242" t="s">
        <v>757</v>
      </c>
      <c r="H7" s="242" t="s">
        <v>758</v>
      </c>
      <c r="I7" s="242" t="s">
        <v>765</v>
      </c>
      <c r="J7" s="243"/>
      <c r="K7" s="253">
        <f>+'Additional Joinery works '!F123</f>
        <v>16888.340855855866</v>
      </c>
      <c r="L7" s="253"/>
      <c r="M7" s="267">
        <f t="shared" si="1"/>
        <v>16888.340855855866</v>
      </c>
      <c r="N7" s="503"/>
      <c r="O7" s="246"/>
      <c r="P7" s="246"/>
      <c r="Q7" s="246"/>
      <c r="R7" s="247" t="s">
        <v>781</v>
      </c>
    </row>
    <row r="8" spans="1:19" ht="29" x14ac:dyDescent="0.35">
      <c r="A8" s="238">
        <f t="shared" si="0"/>
        <v>5</v>
      </c>
      <c r="B8" s="248">
        <v>411</v>
      </c>
      <c r="C8" s="248" t="s">
        <v>798</v>
      </c>
      <c r="D8" s="239">
        <v>44872</v>
      </c>
      <c r="E8" s="240">
        <v>411</v>
      </c>
      <c r="F8" s="241" t="s">
        <v>756</v>
      </c>
      <c r="G8" s="242" t="s">
        <v>757</v>
      </c>
      <c r="H8" s="242" t="s">
        <v>758</v>
      </c>
      <c r="I8" s="242" t="s">
        <v>766</v>
      </c>
      <c r="J8" s="243"/>
      <c r="K8" s="243">
        <f>+'Additional Joinery works '!F30+'Additional Joinery works '!F36</f>
        <v>15707.720622242445</v>
      </c>
      <c r="L8" s="244"/>
      <c r="M8" s="245">
        <f t="shared" si="1"/>
        <v>15707.720622242445</v>
      </c>
      <c r="N8" s="503" t="s">
        <v>767</v>
      </c>
      <c r="O8" s="246"/>
      <c r="P8" s="246"/>
      <c r="Q8" s="246"/>
      <c r="R8" s="247" t="s">
        <v>807</v>
      </c>
    </row>
    <row r="9" spans="1:19" ht="43.5" x14ac:dyDescent="0.35">
      <c r="A9" s="238">
        <f t="shared" si="0"/>
        <v>6</v>
      </c>
      <c r="B9" s="250">
        <v>415</v>
      </c>
      <c r="C9" s="250" t="s">
        <v>799</v>
      </c>
      <c r="D9" s="239">
        <v>44872</v>
      </c>
      <c r="E9" s="251">
        <v>415</v>
      </c>
      <c r="F9" s="241" t="s">
        <v>756</v>
      </c>
      <c r="G9" s="242" t="s">
        <v>757</v>
      </c>
      <c r="H9" s="242" t="s">
        <v>758</v>
      </c>
      <c r="I9" s="242" t="s">
        <v>768</v>
      </c>
      <c r="J9" s="243"/>
      <c r="K9" s="243">
        <f>+'Additional Joinery works '!F54+'Additional Joinery works '!F44</f>
        <v>21618.068831380057</v>
      </c>
      <c r="L9" s="244"/>
      <c r="M9" s="245">
        <f t="shared" si="1"/>
        <v>21618.068831380057</v>
      </c>
      <c r="N9" s="503"/>
      <c r="O9" s="246">
        <f>+'Additional Joinery works '!H54+'Additional Joinery works '!H44</f>
        <v>17871.634442109298</v>
      </c>
      <c r="P9" s="246">
        <f>+'Additional Joinery works '!J54+'Additional Joinery works '!J44</f>
        <v>19241.127572180929</v>
      </c>
      <c r="Q9" s="246">
        <f>+'Additional Joinery works '!K54+'Additional Joinery works '!K44</f>
        <v>1369.4931300716289</v>
      </c>
      <c r="R9" s="247" t="s">
        <v>808</v>
      </c>
    </row>
    <row r="10" spans="1:19" ht="29" x14ac:dyDescent="0.35">
      <c r="A10" s="238">
        <f t="shared" si="0"/>
        <v>7</v>
      </c>
      <c r="B10" s="250"/>
      <c r="C10" s="250" t="s">
        <v>800</v>
      </c>
      <c r="D10" s="239">
        <v>44889</v>
      </c>
      <c r="E10" s="251">
        <v>464</v>
      </c>
      <c r="F10" s="241"/>
      <c r="G10" s="242" t="s">
        <v>757</v>
      </c>
      <c r="H10" s="242" t="s">
        <v>758</v>
      </c>
      <c r="I10" s="247" t="s">
        <v>769</v>
      </c>
      <c r="J10" s="243"/>
      <c r="K10" s="245">
        <f>+'Additional Joinery works '!F117</f>
        <v>29675.593980106743</v>
      </c>
      <c r="L10" s="244"/>
      <c r="M10" s="245">
        <v>29675.59</v>
      </c>
      <c r="N10" s="503"/>
      <c r="O10" s="246"/>
      <c r="P10" s="246"/>
      <c r="Q10" s="246"/>
      <c r="R10" s="247" t="s">
        <v>805</v>
      </c>
    </row>
    <row r="11" spans="1:19" x14ac:dyDescent="0.35">
      <c r="A11" s="238">
        <f t="shared" si="0"/>
        <v>8</v>
      </c>
      <c r="B11" s="250"/>
      <c r="C11" s="250" t="s">
        <v>801</v>
      </c>
      <c r="D11" s="239">
        <v>44887</v>
      </c>
      <c r="E11" s="251"/>
      <c r="F11" s="241"/>
      <c r="G11" s="242" t="s">
        <v>757</v>
      </c>
      <c r="H11" s="242" t="s">
        <v>758</v>
      </c>
      <c r="I11" s="247" t="s">
        <v>682</v>
      </c>
      <c r="J11" s="243"/>
      <c r="K11" s="246">
        <f>+'Additional Joinery works '!F61</f>
        <v>154141.16</v>
      </c>
      <c r="L11" s="244"/>
      <c r="M11" s="246">
        <f>+K11</f>
        <v>154141.16</v>
      </c>
      <c r="N11" s="503"/>
      <c r="O11" s="246"/>
      <c r="P11" s="246"/>
      <c r="Q11" s="246"/>
      <c r="R11" s="252" t="s">
        <v>866</v>
      </c>
    </row>
    <row r="12" spans="1:19" ht="58" x14ac:dyDescent="0.35">
      <c r="A12" s="248">
        <f>+A11+1</f>
        <v>9</v>
      </c>
      <c r="B12" s="250"/>
      <c r="C12" s="250" t="s">
        <v>793</v>
      </c>
      <c r="D12" s="239">
        <v>44923</v>
      </c>
      <c r="E12" s="251">
        <v>574</v>
      </c>
      <c r="F12" s="241"/>
      <c r="G12" s="242"/>
      <c r="H12" s="242"/>
      <c r="I12" s="247" t="s">
        <v>867</v>
      </c>
      <c r="J12" s="243"/>
      <c r="K12" s="246">
        <v>27948.99</v>
      </c>
      <c r="L12" s="244"/>
      <c r="M12" s="246">
        <f>+K12</f>
        <v>27948.99</v>
      </c>
      <c r="N12" s="503">
        <v>0.9</v>
      </c>
      <c r="O12" s="246">
        <f>+M12*0.9</f>
        <v>25154.091</v>
      </c>
      <c r="P12" s="246">
        <f>M12*N12</f>
        <v>25154.091</v>
      </c>
      <c r="Q12" s="246">
        <f>+(M12*N12)-O12</f>
        <v>0</v>
      </c>
      <c r="R12" s="252" t="s">
        <v>819</v>
      </c>
      <c r="S12" t="s">
        <v>879</v>
      </c>
    </row>
    <row r="13" spans="1:19" ht="43.5" x14ac:dyDescent="0.35">
      <c r="A13" s="360">
        <f t="shared" si="0"/>
        <v>10</v>
      </c>
      <c r="B13" s="361"/>
      <c r="C13" s="361" t="s">
        <v>794</v>
      </c>
      <c r="D13" s="362"/>
      <c r="E13" s="363"/>
      <c r="F13" s="364"/>
      <c r="G13" s="365"/>
      <c r="H13" s="365"/>
      <c r="I13" s="366" t="s">
        <v>810</v>
      </c>
      <c r="J13" s="367"/>
      <c r="K13" s="368"/>
      <c r="L13" s="369"/>
      <c r="M13" s="368"/>
      <c r="N13" s="504"/>
      <c r="O13" s="368"/>
      <c r="P13" s="368"/>
      <c r="Q13" s="368"/>
      <c r="R13" s="366" t="s">
        <v>814</v>
      </c>
    </row>
    <row r="14" spans="1:19" ht="29" x14ac:dyDescent="0.35">
      <c r="A14" s="238">
        <f t="shared" si="0"/>
        <v>11</v>
      </c>
      <c r="B14" s="250"/>
      <c r="C14" s="250" t="s">
        <v>802</v>
      </c>
      <c r="D14" s="239">
        <v>44936</v>
      </c>
      <c r="E14" s="251">
        <v>479</v>
      </c>
      <c r="F14" s="241"/>
      <c r="G14" s="242" t="s">
        <v>757</v>
      </c>
      <c r="H14" s="242" t="s">
        <v>758</v>
      </c>
      <c r="I14" s="269" t="s">
        <v>780</v>
      </c>
      <c r="J14" s="255"/>
      <c r="K14" s="253">
        <v>24473.942947781259</v>
      </c>
      <c r="L14" s="253"/>
      <c r="M14" s="254">
        <f>+K14</f>
        <v>24473.942947781259</v>
      </c>
      <c r="N14" s="505">
        <v>0.9</v>
      </c>
      <c r="O14" s="254">
        <f>+M14*25%*0.9</f>
        <v>5506.6371632507835</v>
      </c>
      <c r="P14" s="254">
        <f>M14*N14</f>
        <v>22026.548653003134</v>
      </c>
      <c r="Q14" s="246">
        <f>+(M14*N14)-O14</f>
        <v>16519.91148975235</v>
      </c>
      <c r="R14" s="247" t="s">
        <v>804</v>
      </c>
      <c r="S14" t="s">
        <v>879</v>
      </c>
    </row>
    <row r="15" spans="1:19" ht="29" x14ac:dyDescent="0.35">
      <c r="A15" s="238">
        <f t="shared" si="0"/>
        <v>12</v>
      </c>
      <c r="B15" s="250"/>
      <c r="C15" s="250" t="s">
        <v>803</v>
      </c>
      <c r="D15" s="239">
        <v>44936</v>
      </c>
      <c r="E15" s="251">
        <v>555</v>
      </c>
      <c r="F15" s="241"/>
      <c r="G15" s="242" t="s">
        <v>757</v>
      </c>
      <c r="H15" s="242" t="s">
        <v>758</v>
      </c>
      <c r="I15" s="269" t="s">
        <v>779</v>
      </c>
      <c r="J15" s="255"/>
      <c r="K15" s="253">
        <v>24075.33</v>
      </c>
      <c r="L15" s="253"/>
      <c r="M15" s="254">
        <f>+K15</f>
        <v>24075.33</v>
      </c>
      <c r="N15" s="505"/>
      <c r="O15" s="254"/>
      <c r="P15" s="254"/>
      <c r="Q15" s="254"/>
      <c r="R15" s="247" t="s">
        <v>806</v>
      </c>
    </row>
    <row r="16" spans="1:19" ht="29" x14ac:dyDescent="0.35">
      <c r="A16" s="248">
        <f>+A15+1</f>
        <v>13</v>
      </c>
      <c r="B16" s="250"/>
      <c r="C16" s="250" t="s">
        <v>822</v>
      </c>
      <c r="D16" s="239">
        <v>44936</v>
      </c>
      <c r="E16" s="251">
        <v>555</v>
      </c>
      <c r="F16" s="241"/>
      <c r="G16" s="242" t="s">
        <v>757</v>
      </c>
      <c r="H16" s="242" t="s">
        <v>758</v>
      </c>
      <c r="I16" s="269" t="s">
        <v>812</v>
      </c>
      <c r="J16" s="255">
        <v>6500</v>
      </c>
      <c r="K16" s="253"/>
      <c r="L16" s="253"/>
      <c r="M16" s="254"/>
      <c r="N16" s="505"/>
      <c r="O16" s="254"/>
      <c r="P16" s="254"/>
      <c r="Q16" s="254"/>
      <c r="R16" s="252" t="s">
        <v>811</v>
      </c>
    </row>
    <row r="17" spans="1:19" ht="72.5" x14ac:dyDescent="0.35">
      <c r="A17" s="238">
        <f t="shared" ref="A17:A19" si="2">+A16+1</f>
        <v>14</v>
      </c>
      <c r="B17" s="250"/>
      <c r="C17" s="250" t="s">
        <v>826</v>
      </c>
      <c r="D17" s="239"/>
      <c r="E17" s="251"/>
      <c r="F17" s="241"/>
      <c r="G17" s="242"/>
      <c r="H17" s="242"/>
      <c r="I17" s="247" t="s">
        <v>774</v>
      </c>
      <c r="J17" s="253"/>
      <c r="K17" s="253"/>
      <c r="L17" s="274">
        <f>+M17</f>
        <v>19273.854275034199</v>
      </c>
      <c r="M17" s="254">
        <v>19273.854275034199</v>
      </c>
      <c r="N17" s="505">
        <v>0.9</v>
      </c>
      <c r="O17" s="254">
        <v>0</v>
      </c>
      <c r="P17" s="254">
        <f>M17*N17</f>
        <v>17346.468847530778</v>
      </c>
      <c r="Q17" s="246">
        <f>+(M17*N17)-O17</f>
        <v>17346.468847530778</v>
      </c>
      <c r="R17" s="247" t="s">
        <v>868</v>
      </c>
      <c r="S17" t="s">
        <v>879</v>
      </c>
    </row>
    <row r="18" spans="1:19" ht="58" x14ac:dyDescent="0.35">
      <c r="A18" s="507">
        <f t="shared" si="2"/>
        <v>15</v>
      </c>
      <c r="B18" s="508"/>
      <c r="C18" s="508" t="s">
        <v>827</v>
      </c>
      <c r="D18" s="509"/>
      <c r="E18" s="510"/>
      <c r="F18" s="511"/>
      <c r="G18" s="252"/>
      <c r="H18" s="252"/>
      <c r="I18" s="252" t="s">
        <v>775</v>
      </c>
      <c r="J18" s="244"/>
      <c r="K18" s="244"/>
      <c r="L18" s="255"/>
      <c r="M18" s="512"/>
      <c r="N18" s="513"/>
      <c r="O18" s="512"/>
      <c r="P18" s="512"/>
      <c r="Q18" s="512"/>
      <c r="R18" s="252" t="s">
        <v>869</v>
      </c>
    </row>
    <row r="19" spans="1:19" ht="29" x14ac:dyDescent="0.35">
      <c r="A19" s="238">
        <f t="shared" si="2"/>
        <v>16</v>
      </c>
      <c r="B19" s="250"/>
      <c r="C19" s="250" t="s">
        <v>823</v>
      </c>
      <c r="D19" s="239">
        <v>44943</v>
      </c>
      <c r="E19" s="251">
        <v>631</v>
      </c>
      <c r="F19" s="241"/>
      <c r="G19" s="242"/>
      <c r="H19" s="242"/>
      <c r="I19" s="247" t="s">
        <v>772</v>
      </c>
      <c r="J19" s="243"/>
      <c r="K19" s="253">
        <v>104898.33</v>
      </c>
      <c r="L19" s="253"/>
      <c r="M19" s="246">
        <f>+K19</f>
        <v>104898.33</v>
      </c>
      <c r="N19" s="503"/>
      <c r="O19" s="246"/>
      <c r="P19" s="246"/>
      <c r="Q19" s="246"/>
      <c r="R19" s="247" t="s">
        <v>870</v>
      </c>
    </row>
    <row r="20" spans="1:19" ht="43.5" x14ac:dyDescent="0.35">
      <c r="A20" s="248">
        <f>+A19+1</f>
        <v>17</v>
      </c>
      <c r="B20" s="250"/>
      <c r="C20" s="250" t="s">
        <v>824</v>
      </c>
      <c r="D20" s="239">
        <v>44936</v>
      </c>
      <c r="E20" s="251">
        <v>609</v>
      </c>
      <c r="F20" s="241"/>
      <c r="G20" s="242"/>
      <c r="H20" s="242"/>
      <c r="I20" s="247" t="s">
        <v>770</v>
      </c>
      <c r="J20" s="244"/>
      <c r="K20" s="253">
        <v>27217.38</v>
      </c>
      <c r="L20" s="253"/>
      <c r="M20" s="246">
        <f>+K20</f>
        <v>27217.38</v>
      </c>
      <c r="N20" s="503"/>
      <c r="O20" s="246"/>
      <c r="P20" s="246"/>
      <c r="Q20" s="246"/>
      <c r="R20" s="247" t="s">
        <v>815</v>
      </c>
    </row>
    <row r="21" spans="1:19" ht="29" x14ac:dyDescent="0.35">
      <c r="A21" s="238">
        <f t="shared" si="0"/>
        <v>18</v>
      </c>
      <c r="B21" s="250"/>
      <c r="C21" s="250" t="s">
        <v>825</v>
      </c>
      <c r="D21" s="239">
        <v>44973</v>
      </c>
      <c r="E21" s="251">
        <v>752</v>
      </c>
      <c r="F21" s="241"/>
      <c r="G21" s="242" t="s">
        <v>757</v>
      </c>
      <c r="H21" s="242" t="s">
        <v>758</v>
      </c>
      <c r="I21" s="247" t="s">
        <v>773</v>
      </c>
      <c r="J21" s="253"/>
      <c r="K21" s="253">
        <v>55478.239999999998</v>
      </c>
      <c r="L21" s="253"/>
      <c r="M21" s="246">
        <f>+K21</f>
        <v>55478.239999999998</v>
      </c>
      <c r="N21" s="503"/>
      <c r="O21" s="246"/>
      <c r="P21" s="246"/>
      <c r="Q21" s="246"/>
      <c r="R21" s="247" t="s">
        <v>871</v>
      </c>
    </row>
    <row r="22" spans="1:19" ht="29" x14ac:dyDescent="0.35">
      <c r="A22" s="238">
        <f t="shared" si="0"/>
        <v>19</v>
      </c>
      <c r="B22" s="250"/>
      <c r="C22" s="250" t="s">
        <v>828</v>
      </c>
      <c r="D22" s="239"/>
      <c r="E22" s="251"/>
      <c r="F22" s="241"/>
      <c r="G22" s="242" t="s">
        <v>757</v>
      </c>
      <c r="H22" s="242" t="s">
        <v>758</v>
      </c>
      <c r="I22" s="247" t="s">
        <v>776</v>
      </c>
      <c r="J22" s="255"/>
      <c r="K22" s="253"/>
      <c r="L22" s="253">
        <v>17836.25</v>
      </c>
      <c r="M22" s="246">
        <f>+L22</f>
        <v>17836.25</v>
      </c>
      <c r="N22" s="505"/>
      <c r="O22" s="254"/>
      <c r="P22" s="254"/>
      <c r="Q22" s="254"/>
      <c r="R22" s="252" t="s">
        <v>813</v>
      </c>
    </row>
    <row r="23" spans="1:19" x14ac:dyDescent="0.35">
      <c r="A23" s="248">
        <f t="shared" si="0"/>
        <v>20</v>
      </c>
      <c r="B23" s="250"/>
      <c r="C23" s="250" t="s">
        <v>829</v>
      </c>
      <c r="D23" s="239"/>
      <c r="E23" s="251"/>
      <c r="F23" s="241"/>
      <c r="G23" s="242" t="s">
        <v>757</v>
      </c>
      <c r="H23" s="242" t="s">
        <v>758</v>
      </c>
      <c r="I23" s="247" t="s">
        <v>777</v>
      </c>
      <c r="J23" s="255">
        <v>10000</v>
      </c>
      <c r="K23" s="253"/>
      <c r="L23" s="253"/>
      <c r="M23" s="254"/>
      <c r="N23" s="505"/>
      <c r="O23" s="254"/>
      <c r="P23" s="254"/>
      <c r="Q23" s="254"/>
      <c r="R23" s="252" t="s">
        <v>809</v>
      </c>
    </row>
    <row r="24" spans="1:19" ht="29" x14ac:dyDescent="0.35">
      <c r="A24" s="248">
        <f t="shared" ref="A24:A35" si="3">+A23+1</f>
        <v>21</v>
      </c>
      <c r="B24" s="250"/>
      <c r="C24" s="250" t="s">
        <v>830</v>
      </c>
      <c r="D24" s="239"/>
      <c r="E24" s="251"/>
      <c r="F24" s="241"/>
      <c r="G24" s="242" t="s">
        <v>757</v>
      </c>
      <c r="H24" s="242" t="s">
        <v>758</v>
      </c>
      <c r="I24" s="247" t="s">
        <v>778</v>
      </c>
      <c r="J24" s="255">
        <v>25000</v>
      </c>
      <c r="K24" s="253"/>
      <c r="L24" s="253"/>
      <c r="M24" s="254"/>
      <c r="N24" s="505"/>
      <c r="O24" s="254"/>
      <c r="P24" s="254"/>
      <c r="Q24" s="254"/>
      <c r="R24" s="252" t="s">
        <v>809</v>
      </c>
    </row>
    <row r="25" spans="1:19" ht="43.5" x14ac:dyDescent="0.35">
      <c r="A25" s="238">
        <f t="shared" si="3"/>
        <v>22</v>
      </c>
      <c r="B25" s="250"/>
      <c r="C25" s="250" t="s">
        <v>841</v>
      </c>
      <c r="D25" s="239"/>
      <c r="E25" s="251"/>
      <c r="F25" s="241"/>
      <c r="G25" s="242"/>
      <c r="H25" s="242"/>
      <c r="I25" s="247" t="s">
        <v>842</v>
      </c>
      <c r="J25" s="255"/>
      <c r="K25" s="253"/>
      <c r="L25" s="254">
        <v>21090.01</v>
      </c>
      <c r="M25" s="254">
        <f>+L25</f>
        <v>21090.01</v>
      </c>
      <c r="N25" s="505"/>
      <c r="O25" s="254"/>
      <c r="P25" s="254"/>
      <c r="Q25" s="254"/>
      <c r="R25" s="247" t="s">
        <v>865</v>
      </c>
    </row>
    <row r="26" spans="1:19" ht="23.25" customHeight="1" x14ac:dyDescent="0.35">
      <c r="A26" s="248">
        <f t="shared" si="3"/>
        <v>23</v>
      </c>
      <c r="B26" s="250"/>
      <c r="C26" s="250" t="s">
        <v>843</v>
      </c>
      <c r="D26" s="239">
        <v>44943</v>
      </c>
      <c r="E26" s="251">
        <v>631</v>
      </c>
      <c r="F26" s="241"/>
      <c r="G26" s="242"/>
      <c r="H26" s="242"/>
      <c r="I26" s="247" t="s">
        <v>844</v>
      </c>
      <c r="J26" s="255"/>
      <c r="K26" s="253"/>
      <c r="L26" s="253">
        <f>(16428.32*3.88)*1.1</f>
        <v>70116.069760000013</v>
      </c>
      <c r="M26" s="254">
        <f>+L26</f>
        <v>70116.069760000013</v>
      </c>
      <c r="N26" s="505">
        <v>0.9</v>
      </c>
      <c r="O26" s="254"/>
      <c r="P26" s="254">
        <f>+L26*N26</f>
        <v>63104.46278400001</v>
      </c>
      <c r="Q26" s="254">
        <f>+P26</f>
        <v>63104.46278400001</v>
      </c>
      <c r="R26" s="252" t="s">
        <v>809</v>
      </c>
      <c r="S26" t="s">
        <v>880</v>
      </c>
    </row>
    <row r="27" spans="1:19" ht="23.25" customHeight="1" x14ac:dyDescent="0.35">
      <c r="A27" s="248">
        <f t="shared" si="3"/>
        <v>24</v>
      </c>
      <c r="B27" s="250"/>
      <c r="C27" s="250" t="s">
        <v>845</v>
      </c>
      <c r="D27" s="239">
        <v>44945</v>
      </c>
      <c r="E27" s="251">
        <v>639</v>
      </c>
      <c r="F27" s="241"/>
      <c r="G27" s="242"/>
      <c r="H27" s="242"/>
      <c r="I27" s="247" t="s">
        <v>846</v>
      </c>
      <c r="J27" s="255"/>
      <c r="K27" s="253"/>
      <c r="L27" s="253"/>
      <c r="M27" s="254"/>
      <c r="N27" s="505"/>
      <c r="O27" s="254"/>
      <c r="P27" s="254"/>
      <c r="Q27" s="254"/>
      <c r="R27" s="252" t="s">
        <v>809</v>
      </c>
    </row>
    <row r="28" spans="1:19" ht="23.25" customHeight="1" x14ac:dyDescent="0.35">
      <c r="A28" s="248">
        <f t="shared" si="3"/>
        <v>25</v>
      </c>
      <c r="B28" s="250"/>
      <c r="C28" s="250" t="s">
        <v>847</v>
      </c>
      <c r="D28" s="239">
        <v>44945</v>
      </c>
      <c r="E28" s="251">
        <v>639</v>
      </c>
      <c r="F28" s="241"/>
      <c r="G28" s="242"/>
      <c r="H28" s="242"/>
      <c r="I28" s="247" t="s">
        <v>848</v>
      </c>
      <c r="J28" s="255"/>
      <c r="K28" s="253"/>
      <c r="L28" s="253"/>
      <c r="M28" s="254"/>
      <c r="N28" s="505"/>
      <c r="O28" s="254"/>
      <c r="P28" s="254"/>
      <c r="Q28" s="254"/>
      <c r="R28" s="252" t="s">
        <v>809</v>
      </c>
    </row>
    <row r="29" spans="1:19" ht="23.25" customHeight="1" x14ac:dyDescent="0.35">
      <c r="A29" s="248">
        <f t="shared" si="3"/>
        <v>26</v>
      </c>
      <c r="B29" s="250"/>
      <c r="C29" s="250" t="s">
        <v>849</v>
      </c>
      <c r="D29" s="239">
        <v>44956</v>
      </c>
      <c r="E29" s="251">
        <v>681</v>
      </c>
      <c r="F29" s="241"/>
      <c r="G29" s="242"/>
      <c r="H29" s="242"/>
      <c r="I29" s="247" t="s">
        <v>850</v>
      </c>
      <c r="J29" s="255"/>
      <c r="K29" s="253"/>
      <c r="L29" s="253"/>
      <c r="M29" s="254"/>
      <c r="N29" s="505"/>
      <c r="O29" s="254"/>
      <c r="P29" s="254"/>
      <c r="Q29" s="254"/>
      <c r="R29" s="252" t="s">
        <v>809</v>
      </c>
    </row>
    <row r="30" spans="1:19" ht="29" x14ac:dyDescent="0.35">
      <c r="A30" s="248">
        <f t="shared" si="3"/>
        <v>27</v>
      </c>
      <c r="B30" s="250"/>
      <c r="C30" s="250" t="s">
        <v>851</v>
      </c>
      <c r="D30" s="239">
        <v>44958</v>
      </c>
      <c r="E30" s="251">
        <v>693</v>
      </c>
      <c r="F30" s="241"/>
      <c r="G30" s="242"/>
      <c r="H30" s="242"/>
      <c r="I30" s="247" t="s">
        <v>852</v>
      </c>
      <c r="J30" s="255"/>
      <c r="K30" s="253"/>
      <c r="L30" s="253"/>
      <c r="M30" s="254"/>
      <c r="N30" s="505"/>
      <c r="O30" s="254"/>
      <c r="P30" s="254"/>
      <c r="Q30" s="254"/>
      <c r="R30" s="252" t="s">
        <v>809</v>
      </c>
    </row>
    <row r="31" spans="1:19" x14ac:dyDescent="0.35">
      <c r="A31" s="248">
        <f t="shared" si="3"/>
        <v>28</v>
      </c>
      <c r="B31" s="250"/>
      <c r="C31" s="250" t="s">
        <v>853</v>
      </c>
      <c r="D31" s="239"/>
      <c r="E31" s="251">
        <v>730</v>
      </c>
      <c r="F31" s="241"/>
      <c r="G31" s="242"/>
      <c r="H31" s="242"/>
      <c r="I31" s="247" t="s">
        <v>854</v>
      </c>
      <c r="J31" s="255"/>
      <c r="K31" s="253"/>
      <c r="L31" s="253"/>
      <c r="M31" s="254"/>
      <c r="N31" s="505"/>
      <c r="O31" s="254"/>
      <c r="P31" s="254"/>
      <c r="Q31" s="254"/>
      <c r="R31" s="252" t="s">
        <v>809</v>
      </c>
    </row>
    <row r="32" spans="1:19" ht="24.75" customHeight="1" x14ac:dyDescent="0.35">
      <c r="A32" s="248">
        <f t="shared" si="3"/>
        <v>29</v>
      </c>
      <c r="B32" s="250"/>
      <c r="C32" s="250" t="s">
        <v>855</v>
      </c>
      <c r="D32" s="239">
        <v>44970</v>
      </c>
      <c r="E32" s="251">
        <v>742</v>
      </c>
      <c r="F32" s="241"/>
      <c r="G32" s="242"/>
      <c r="H32" s="242"/>
      <c r="I32" s="247" t="s">
        <v>856</v>
      </c>
      <c r="J32" s="255"/>
      <c r="K32" s="253"/>
      <c r="L32" s="253"/>
      <c r="M32" s="254"/>
      <c r="N32" s="505"/>
      <c r="O32" s="254"/>
      <c r="P32" s="254"/>
      <c r="Q32" s="254"/>
      <c r="R32" s="252" t="s">
        <v>809</v>
      </c>
    </row>
    <row r="33" spans="1:18" ht="29" x14ac:dyDescent="0.35">
      <c r="A33" s="248">
        <f t="shared" si="3"/>
        <v>30</v>
      </c>
      <c r="B33" s="250"/>
      <c r="C33" s="250" t="s">
        <v>857</v>
      </c>
      <c r="D33" s="239">
        <v>44978</v>
      </c>
      <c r="E33" s="251">
        <v>760</v>
      </c>
      <c r="F33" s="241"/>
      <c r="G33" s="242"/>
      <c r="H33" s="242"/>
      <c r="I33" s="247" t="s">
        <v>858</v>
      </c>
      <c r="J33" s="255"/>
      <c r="K33" s="253"/>
      <c r="L33" s="253"/>
      <c r="M33" s="254"/>
      <c r="N33" s="505"/>
      <c r="O33" s="254"/>
      <c r="P33" s="254"/>
      <c r="Q33" s="254"/>
      <c r="R33" s="252" t="s">
        <v>809</v>
      </c>
    </row>
    <row r="34" spans="1:18" ht="23.25" customHeight="1" x14ac:dyDescent="0.35">
      <c r="A34" s="248">
        <f t="shared" si="3"/>
        <v>31</v>
      </c>
      <c r="B34" s="250"/>
      <c r="C34" s="250" t="s">
        <v>859</v>
      </c>
      <c r="D34" s="239" t="s">
        <v>860</v>
      </c>
      <c r="E34" s="251">
        <v>773</v>
      </c>
      <c r="F34" s="241"/>
      <c r="G34" s="242"/>
      <c r="H34" s="242"/>
      <c r="I34" s="247" t="s">
        <v>861</v>
      </c>
      <c r="J34" s="255"/>
      <c r="K34" s="253"/>
      <c r="L34" s="253"/>
      <c r="M34" s="254"/>
      <c r="N34" s="505"/>
      <c r="O34" s="254"/>
      <c r="P34" s="254"/>
      <c r="Q34" s="254"/>
      <c r="R34" s="252" t="s">
        <v>809</v>
      </c>
    </row>
    <row r="35" spans="1:18" ht="43.5" x14ac:dyDescent="0.35">
      <c r="A35" s="248">
        <f t="shared" si="3"/>
        <v>32</v>
      </c>
      <c r="B35" s="250"/>
      <c r="C35" s="250" t="s">
        <v>862</v>
      </c>
      <c r="D35" s="239" t="s">
        <v>860</v>
      </c>
      <c r="E35" s="251">
        <v>780</v>
      </c>
      <c r="F35" s="241"/>
      <c r="G35" s="242"/>
      <c r="H35" s="242"/>
      <c r="I35" s="247" t="s">
        <v>863</v>
      </c>
      <c r="J35" s="255"/>
      <c r="K35" s="253"/>
      <c r="L35" s="253">
        <v>482131.41</v>
      </c>
      <c r="M35" s="254">
        <f>+L35</f>
        <v>482131.41</v>
      </c>
      <c r="N35" s="505"/>
      <c r="O35" s="254"/>
      <c r="P35" s="254"/>
      <c r="Q35" s="254"/>
      <c r="R35" s="247" t="s">
        <v>864</v>
      </c>
    </row>
    <row r="36" spans="1:18" x14ac:dyDescent="0.35">
      <c r="A36" s="238"/>
      <c r="B36" s="250"/>
      <c r="C36" s="250"/>
      <c r="D36" s="239"/>
      <c r="E36" s="251"/>
      <c r="F36" s="241"/>
      <c r="G36" s="242"/>
      <c r="H36" s="242"/>
      <c r="I36" s="247"/>
      <c r="J36" s="255"/>
      <c r="K36" s="253"/>
      <c r="L36" s="253"/>
      <c r="M36" s="254"/>
      <c r="N36" s="505"/>
      <c r="O36" s="254"/>
      <c r="P36" s="254"/>
      <c r="Q36" s="254"/>
      <c r="R36" s="247"/>
    </row>
    <row r="37" spans="1:18" x14ac:dyDescent="0.35">
      <c r="A37" s="238"/>
      <c r="B37" s="250"/>
      <c r="C37" s="250"/>
      <c r="D37" s="239"/>
      <c r="E37" s="251"/>
      <c r="F37" s="241"/>
      <c r="G37" s="242"/>
      <c r="H37" s="242"/>
      <c r="I37" s="247"/>
      <c r="J37" s="255"/>
      <c r="K37" s="253"/>
      <c r="L37" s="253"/>
      <c r="M37" s="254"/>
      <c r="N37" s="505"/>
      <c r="O37" s="254"/>
      <c r="P37" s="254"/>
      <c r="Q37" s="254"/>
      <c r="R37" s="247"/>
    </row>
    <row r="38" spans="1:18" ht="15" thickBot="1" x14ac:dyDescent="0.4">
      <c r="A38" s="250"/>
      <c r="B38" s="250"/>
      <c r="C38" s="250"/>
      <c r="D38" s="239"/>
      <c r="E38" s="251"/>
      <c r="F38" s="241"/>
      <c r="G38" s="242"/>
      <c r="H38" s="242"/>
      <c r="I38" s="242"/>
      <c r="J38" s="243"/>
      <c r="K38" s="243"/>
      <c r="L38" s="243"/>
      <c r="M38" s="246"/>
      <c r="N38" s="503"/>
      <c r="O38" s="246"/>
      <c r="P38" s="246"/>
      <c r="Q38" s="246"/>
      <c r="R38" s="249"/>
    </row>
    <row r="39" spans="1:18" ht="30" thickTop="1" thickBot="1" x14ac:dyDescent="0.4">
      <c r="A39" s="256"/>
      <c r="B39" s="256"/>
      <c r="C39" s="256"/>
      <c r="D39" s="257"/>
      <c r="E39" s="258"/>
      <c r="F39" s="259"/>
      <c r="G39" s="260"/>
      <c r="H39" s="260"/>
      <c r="I39" s="260" t="s">
        <v>771</v>
      </c>
      <c r="J39" s="261">
        <f>+SUM(J4:J38)</f>
        <v>41500</v>
      </c>
      <c r="K39" s="261">
        <f>+SUM(K4:K38)</f>
        <v>2983196.2754040943</v>
      </c>
      <c r="L39" s="262">
        <f>+SUM(L4:L38)</f>
        <v>610447.59403503418</v>
      </c>
      <c r="M39" s="261">
        <f>+SUM(M4:M38)</f>
        <v>3593643.8654590216</v>
      </c>
      <c r="N39" s="506"/>
      <c r="O39" s="261">
        <f>+SUM(O4:O38)*0.9</f>
        <v>69333.471094824068</v>
      </c>
      <c r="P39" s="261">
        <f>+SUM(P4:P38)*0.9</f>
        <v>527631.63260655012</v>
      </c>
      <c r="Q39" s="261">
        <f>+SUM(Q4:Q38)*0.9</f>
        <v>458298.16151172604</v>
      </c>
      <c r="R39" s="263" t="s">
        <v>876</v>
      </c>
    </row>
    <row r="40" spans="1:18" ht="15" thickTop="1" x14ac:dyDescent="0.35"/>
    <row r="41" spans="1:18" x14ac:dyDescent="0.35">
      <c r="M41" s="264"/>
    </row>
    <row r="42" spans="1:18" x14ac:dyDescent="0.35">
      <c r="M42" s="383"/>
    </row>
    <row r="43" spans="1:18" ht="16" x14ac:dyDescent="0.5">
      <c r="M43" s="265"/>
    </row>
  </sheetData>
  <pageMargins left="0.7" right="0.7" top="0.75" bottom="0.75" header="0.3" footer="0.3"/>
  <pageSetup paperSize="8" scale="68"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5FAB84-2EF5-4521-B587-F380D2D889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C70DED-B17E-4E6B-A2E6-0B345E678F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vt:i4>
      </vt:variant>
    </vt:vector>
  </HeadingPairs>
  <TitlesOfParts>
    <vt:vector size="23" baseType="lpstr">
      <vt:lpstr>Cover</vt:lpstr>
      <vt:lpstr>Summary</vt:lpstr>
      <vt:lpstr>Summary (2)</vt:lpstr>
      <vt:lpstr>Headboard &amp; Wall paneling</vt:lpstr>
      <vt:lpstr>Misc. Joinery</vt:lpstr>
      <vt:lpstr>Timber doors </vt:lpstr>
      <vt:lpstr>Daybed</vt:lpstr>
      <vt:lpstr>Additional Joinery works </vt:lpstr>
      <vt:lpstr>M12</vt:lpstr>
      <vt:lpstr>'Additional Joinery works '!Print_Area</vt:lpstr>
      <vt:lpstr>Cover!Print_Area</vt:lpstr>
      <vt:lpstr>Daybed!Print_Area</vt:lpstr>
      <vt:lpstr>'Headboard &amp; Wall paneling'!Print_Area</vt:lpstr>
      <vt:lpstr>'M12'!Print_Area</vt:lpstr>
      <vt:lpstr>'Misc. Joinery'!Print_Area</vt:lpstr>
      <vt:lpstr>Summary!Print_Area</vt:lpstr>
      <vt:lpstr>'Summary (2)'!Print_Area</vt:lpstr>
      <vt:lpstr>'Timber doors '!Print_Area</vt:lpstr>
      <vt:lpstr>'Additional Joinery works '!Print_Titles</vt:lpstr>
      <vt:lpstr>'Headboard &amp; Wall paneling'!Print_Titles</vt:lpstr>
      <vt:lpstr>'M12'!Print_Titles</vt:lpstr>
      <vt:lpstr>'Misc. Joinery'!Print_Titles</vt:lpstr>
      <vt:lpstr>'Timber doors '!Print_Titles</vt:lpstr>
    </vt:vector>
  </TitlesOfParts>
  <Company>Khansaheb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Renjini Andrews</dc:creator>
  <cp:lastModifiedBy>Himal Kosala</cp:lastModifiedBy>
  <cp:lastPrinted>2023-02-27T12:40:25Z</cp:lastPrinted>
  <dcterms:created xsi:type="dcterms:W3CDTF">2022-10-19T07:11:44Z</dcterms:created>
  <dcterms:modified xsi:type="dcterms:W3CDTF">2023-03-08T11:45:28Z</dcterms:modified>
</cp:coreProperties>
</file>